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QTR Summary" sheetId="3" state="visible" r:id="rId3"/>
    <sheet xmlns:r="http://schemas.openxmlformats.org/officeDocument/2006/relationships" name="Actuals" sheetId="4" state="visible" r:id="rId4"/>
    <sheet xmlns:r="http://schemas.openxmlformats.org/officeDocument/2006/relationships" name="Budget vs Actual" sheetId="5" state="visible" r:id="rId5"/>
    <sheet xmlns:r="http://schemas.openxmlformats.org/officeDocument/2006/relationships" name="Q1 Reforecast vs Actual" sheetId="6" state="visible" r:id="rId6"/>
    <sheet xmlns:r="http://schemas.openxmlformats.org/officeDocument/2006/relationships" name="Variance - Budget" sheetId="7" state="hidden" r:id="rId7"/>
    <sheet xmlns:r="http://schemas.openxmlformats.org/officeDocument/2006/relationships" name="Variance - Reforecast" sheetId="8" state="visible" r:id="rId8"/>
    <sheet xmlns:r="http://schemas.openxmlformats.org/officeDocument/2006/relationships" name="Budget" sheetId="9" state="visible" r:id="rId9"/>
    <sheet xmlns:r="http://schemas.openxmlformats.org/officeDocument/2006/relationships" name="Reforecast Q1 2026" sheetId="10" state="hidden" r:id="rId10"/>
    <sheet xmlns:r="http://schemas.openxmlformats.org/officeDocument/2006/relationships" name="BD Commission" sheetId="11" state="visible" r:id="rId11"/>
    <sheet xmlns:r="http://schemas.openxmlformats.org/officeDocument/2006/relationships" name="Projects" sheetId="12" state="visible" r:id="rId12"/>
    <sheet xmlns:r="http://schemas.openxmlformats.org/officeDocument/2006/relationships" name="Contracts In Process" sheetId="13" state="visible" r:id="rId13"/>
    <sheet xmlns:r="http://schemas.openxmlformats.org/officeDocument/2006/relationships" name="Personnel" sheetId="14" state="visible" r:id="rId14"/>
    <sheet xmlns:r="http://schemas.openxmlformats.org/officeDocument/2006/relationships" name="Uplifters" sheetId="15" state="visible" r:id="rId15"/>
    <sheet xmlns:r="http://schemas.openxmlformats.org/officeDocument/2006/relationships" name="Appendix" sheetId="16" state="hidden" r:id="rId16"/>
    <sheet xmlns:r="http://schemas.openxmlformats.org/officeDocument/2006/relationships" name="Sensitivity" sheetId="17" state="hidden" r:id="rId17"/>
    <sheet xmlns:r="http://schemas.openxmlformats.org/officeDocument/2006/relationships" name="Curves" sheetId="18" state="hidden" r:id="rId18"/>
    <sheet xmlns:r="http://schemas.openxmlformats.org/officeDocument/2006/relationships" name="Assumptions" sheetId="19" state="visible" r:id="rId19"/>
    <sheet xmlns:r="http://schemas.openxmlformats.org/officeDocument/2006/relationships" name="Escalation" sheetId="20" state="hidden" r:id="rId20"/>
    <sheet xmlns:r="http://schemas.openxmlformats.org/officeDocument/2006/relationships" name="Helpers" sheetId="21" state="hidden" r:id="rId21"/>
    <sheet xmlns:r="http://schemas.openxmlformats.org/officeDocument/2006/relationships" name="LIHTC Project P&amp;L" sheetId="22" state="hidden" r:id="rId22"/>
    <sheet xmlns:r="http://schemas.openxmlformats.org/officeDocument/2006/relationships" name="BD Commission Detail" sheetId="23" state="visible" r:id="rId23"/>
    <sheet xmlns:r="http://schemas.openxmlformats.org/officeDocument/2006/relationships" name="Retention" sheetId="24" state="visible" r:id="rId24"/>
    <sheet xmlns:r="http://schemas.openxmlformats.org/officeDocument/2006/relationships" name="APA Assumptions" sheetId="25" state="visible" r:id="rId25"/>
    <sheet xmlns:r="http://schemas.openxmlformats.org/officeDocument/2006/relationships" name="APA Projection" sheetId="26" state="visible" r:id="rId26"/>
  </sheets>
  <definedNames/>
  <calcPr calcId="124519" fullCalcOnLoad="1" refMode="A1" iterate="1" iterateCount="100" iterateDelta="0.001"/>
</workbook>
</file>

<file path=xl/styles.xml><?xml version="1.0" encoding="utf-8"?>
<styleSheet xmlns="http://schemas.openxmlformats.org/spreadsheetml/2006/main">
  <numFmts count="21">
    <numFmt numFmtId="164" formatCode="mmm\-yy"/>
    <numFmt numFmtId="165" formatCode="_(\$* #,##0_);[RED]_(\$* \(#,##0\);_(\$* \-_?_?_);_(@_)"/>
    <numFmt numFmtId="166" formatCode="0.0%;[RED]\(0.0%\);\-"/>
    <numFmt numFmtId="167" formatCode="\$#,##0;&quot;($&quot;#,##0\);\-"/>
    <numFmt numFmtId="168" formatCode="0.0%;\(0.0%\);\-"/>
    <numFmt numFmtId="169" formatCode="_(\$* #,##0_);[RED]_(\$* \(#,##0\);_(\$* \-_);_(@_)"/>
    <numFmt numFmtId="170" formatCode="mmm\ yyyy"/>
    <numFmt numFmtId="171" formatCode="_(\$* #,##0_);_(\$* \(#,##0\);_(\$* \-??_);_(@_)"/>
    <numFmt numFmtId="172" formatCode="\$#,##0;[RED]&quot;($&quot;#,##0\);\-"/>
    <numFmt numFmtId="173" formatCode="_(\$* #,##0.00_);_(\$* \(#,##0.00\);_(\$* \-??_);_(@_)"/>
    <numFmt numFmtId="174" formatCode="0.0%"/>
    <numFmt numFmtId="175" formatCode="_(\$* #,##0_);_(\$* \(#,##0\);_(\$* \-_);_(@_)"/>
    <numFmt numFmtId="176" formatCode="0.0000%"/>
    <numFmt numFmtId="177" formatCode="\$#,##0"/>
    <numFmt numFmtId="178" formatCode="mmm\-yyyy"/>
    <numFmt numFmtId="179" formatCode=";;;"/>
    <numFmt numFmtId="180" formatCode="#,##0.0,,;\(#,##0.0,,\);&quot;&quot;"/>
    <numFmt numFmtId="181" formatCode="0;;&quot;&quot;"/>
    <numFmt numFmtId="182" formatCode="#,##0.0,,;[RED]\(#,##0.0,,\);\-"/>
    <numFmt numFmtId="183" formatCode="0.0000"/>
    <numFmt numFmtId="184" formatCode="[$$-409]#,##0.00;[RED]\-[$$-409]#,##0.00"/>
  </numFmts>
  <fonts count="43">
    <font>
      <name val="Aptos"/>
      <charset val="1"/>
      <family val="2"/>
      <color theme="1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"/>
      <charset val="1"/>
      <family val="2"/>
      <b val="1"/>
      <color rgb="FF0B1833"/>
      <sz val="10"/>
    </font>
    <font>
      <name val="Aptos"/>
      <charset val="1"/>
      <family val="2"/>
      <b val="1"/>
      <color rgb="FFF8FAFC"/>
      <sz val="10"/>
    </font>
    <font>
      <name val="Aptos"/>
      <charset val="1"/>
      <family val="2"/>
      <color rgb="FF2C3A51"/>
      <sz val="10"/>
    </font>
    <font>
      <name val="Aptos"/>
      <charset val="1"/>
      <family val="2"/>
      <color rgb="FF000000"/>
      <sz val="10"/>
    </font>
    <font>
      <name val="Aptos"/>
      <charset val="1"/>
      <family val="1"/>
      <b val="1"/>
      <i val="1"/>
      <color rgb="FF2C3A51"/>
      <sz val="10"/>
    </font>
    <font>
      <name val="Aptos"/>
      <charset val="1"/>
      <family val="2"/>
      <b val="1"/>
      <color rgb="FFC4581A"/>
      <sz val="10"/>
    </font>
    <font>
      <name val="Aptos"/>
      <charset val="1"/>
      <family val="2"/>
      <b val="1"/>
      <color rgb="FF000000"/>
      <sz val="10"/>
    </font>
    <font>
      <name val="Aptos"/>
      <charset val="1"/>
      <family val="2"/>
      <i val="1"/>
      <color rgb="FF000000"/>
      <sz val="10"/>
    </font>
    <font>
      <name val="Aptos"/>
      <charset val="1"/>
      <family val="2"/>
      <i val="1"/>
      <color rgb="FFBFC7DA"/>
      <sz val="10"/>
    </font>
    <font>
      <name val="Aptos"/>
      <charset val="1"/>
      <family val="2"/>
      <color rgb="FFF8FAFC"/>
      <sz val="10"/>
    </font>
    <font>
      <name val="Aptos"/>
      <charset val="1"/>
      <family val="2"/>
      <b val="1"/>
      <i val="1"/>
      <color rgb="FFF8FAFC"/>
      <sz val="10"/>
    </font>
    <font>
      <name val="Aptos"/>
      <charset val="1"/>
      <family val="2"/>
      <b val="1"/>
      <i val="1"/>
      <color rgb="FFC4581A"/>
      <sz val="10"/>
    </font>
    <font>
      <name val="Aptos"/>
      <charset val="1"/>
      <family val="2"/>
      <b val="1"/>
      <i val="1"/>
      <color rgb="FF000000"/>
      <sz val="10"/>
    </font>
    <font>
      <name val="Aptos"/>
      <charset val="1"/>
      <family val="2"/>
      <sz val="10"/>
    </font>
    <font>
      <name val="Aptos"/>
      <charset val="1"/>
      <family val="2"/>
      <b val="1"/>
      <sz val="10"/>
    </font>
    <font>
      <name val="Aptos"/>
      <charset val="1"/>
      <family val="2"/>
      <i val="1"/>
      <color rgb="FF475569"/>
      <sz val="10"/>
    </font>
    <font>
      <name val="Aptos"/>
      <charset val="1"/>
      <family val="2"/>
      <i val="1"/>
      <color rgb="FF666666"/>
      <sz val="10"/>
    </font>
    <font>
      <name val="Aptos"/>
      <charset val="1"/>
      <family val="2"/>
      <color rgb="FF666666"/>
      <sz val="10"/>
    </font>
    <font>
      <name val="Aptos"/>
      <charset val="1"/>
      <family val="2"/>
      <color rgb="FF0B1833"/>
      <sz val="10"/>
    </font>
    <font>
      <name val="Aptos"/>
      <charset val="1"/>
      <family val="2"/>
      <b val="1"/>
      <color rgb="FFFFFFFF"/>
      <sz val="10"/>
    </font>
    <font>
      <name val="Aptos"/>
      <charset val="1"/>
      <family val="2"/>
      <b val="1"/>
      <color rgb="FFFF0000"/>
      <sz val="10"/>
    </font>
    <font>
      <name val="Aptos"/>
      <charset val="1"/>
      <family val="2"/>
      <color rgb="FFFF0000"/>
      <sz val="10"/>
    </font>
    <font>
      <name val="Aptos"/>
      <charset val="1"/>
      <family val="2"/>
      <color rgb="FF475569"/>
      <sz val="10"/>
    </font>
    <font>
      <name val="Aptos"/>
      <charset val="1"/>
      <family val="2"/>
      <color rgb="FF0000FF"/>
      <sz val="10"/>
    </font>
    <font>
      <name val="Aptos"/>
      <charset val="1"/>
      <family val="2"/>
      <i val="1"/>
      <color rgb="FFC4581A"/>
      <sz val="10"/>
    </font>
    <font>
      <name val="Aptos"/>
      <charset val="1"/>
      <family val="0"/>
      <b val="1"/>
      <color rgb="FF2D2D2D"/>
      <sz val="10"/>
    </font>
    <font>
      <name val="Aptos"/>
      <charset val="1"/>
      <family val="0"/>
      <color rgb="FF2D2D2D"/>
      <sz val="10"/>
    </font>
    <font>
      <name val="Arial"/>
      <family val="2"/>
      <sz val="10"/>
    </font>
    <font>
      <name val="Aptos"/>
      <charset val="1"/>
      <family val="2"/>
      <color rgb="FF008000"/>
      <sz val="10"/>
    </font>
    <font>
      <name val="Aptos"/>
      <charset val="1"/>
      <family val="0"/>
      <b val="1"/>
      <color rgb="FF475569"/>
      <sz val="10"/>
    </font>
    <font>
      <name val="Aptos"/>
      <charset val="1"/>
      <family val="0"/>
      <b val="1"/>
      <color rgb="FF0000FF"/>
      <sz val="10"/>
    </font>
    <font>
      <name val="Aptos"/>
      <charset val="1"/>
      <family val="2"/>
      <b val="1"/>
      <color rgb="FF1F3864"/>
      <sz val="10"/>
    </font>
    <font>
      <name val="Aptos"/>
      <charset val="1"/>
      <family val="2"/>
      <i val="1"/>
      <sz val="10"/>
    </font>
    <font>
      <name val="Aptos"/>
      <charset val="1"/>
      <family val="2"/>
      <color rgb="FF717F4B"/>
      <sz val="10"/>
    </font>
    <font>
      <name val="Aptos"/>
      <charset val="1"/>
      <family val="2"/>
      <color rgb="FFEF4444"/>
      <sz val="10"/>
    </font>
    <font>
      <name val="Aptos"/>
      <charset val="1"/>
      <family val="2"/>
      <i val="1"/>
      <color rgb="FF999999"/>
      <sz val="10"/>
    </font>
    <font>
      <name val="Aptos"/>
      <charset val="1"/>
      <family val="2"/>
      <color rgb="FF333333"/>
      <sz val="10"/>
    </font>
    <font>
      <name val="Aptos"/>
      <charset val="1"/>
      <family val="2"/>
      <b val="1"/>
      <color rgb="FF666666"/>
      <sz val="10"/>
    </font>
    <font>
      <name val="Aptos"/>
      <charset val="1"/>
      <family val="2"/>
      <color rgb="FF888888"/>
      <sz val="10"/>
    </font>
  </fonts>
  <fills count="34">
    <fill>
      <patternFill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EDEFF3"/>
        <bgColor rgb="FFEAEDF2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D9DDE5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22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ck"/>
      <bottom/>
      <diagonal/>
    </border>
    <border>
      <left/>
      <right/>
      <top/>
      <bottom style="medium">
        <color rgb="FF2C3A5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9DDE5"/>
      </left>
      <right/>
      <top style="thin">
        <color rgb="FFD9DDE5"/>
      </top>
      <bottom style="thin">
        <color rgb="FFD9DDE5"/>
      </bottom>
      <diagonal/>
    </border>
    <border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/>
      <bottom style="thin">
        <color rgb="FFB4C6E7"/>
      </bottom>
      <diagonal/>
    </border>
    <border>
      <left/>
      <right/>
      <top style="thin"/>
      <bottom style="double"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B1833"/>
      </top>
      <bottom/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D9DDE5"/>
      </top>
      <bottom/>
      <diagonal/>
    </border>
    <border>
      <left/>
      <right/>
      <top style="thin">
        <color rgb="FFD9DDE5"/>
      </top>
      <bottom style="thin">
        <color rgb="FFD9DDE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4" fontId="5" fillId="3" borderId="0" applyAlignment="1" pivotButton="0" quotePrefix="0" xfId="0">
      <alignment horizontal="center" vertical="bottom"/>
    </xf>
    <xf numFmtId="1" fontId="6" fillId="2" borderId="0" applyAlignment="1" pivotButton="0" quotePrefix="0" xfId="0">
      <alignment horizontal="general" vertical="bottom"/>
    </xf>
    <xf numFmtId="1" fontId="7" fillId="2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1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general" vertical="bottom"/>
    </xf>
    <xf numFmtId="165" fontId="11" fillId="2" borderId="0" applyAlignment="1" pivotButton="0" quotePrefix="0" xfId="0">
      <alignment horizontal="right" vertical="bottom"/>
    </xf>
    <xf numFmtId="0" fontId="5" fillId="3" borderId="0" applyAlignment="1" pivotButton="0" quotePrefix="0" xfId="0">
      <alignment horizontal="left" vertical="bottom" wrapText="1"/>
    </xf>
    <xf numFmtId="165" fontId="12" fillId="3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 wrapText="1"/>
    </xf>
    <xf numFmtId="165" fontId="7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center" vertical="bottom" wrapText="1"/>
    </xf>
    <xf numFmtId="165" fontId="7" fillId="2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left" vertical="bottom"/>
    </xf>
    <xf numFmtId="165" fontId="5" fillId="4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right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 indent="1"/>
    </xf>
    <xf numFmtId="0" fontId="10" fillId="5" borderId="1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165" fontId="16" fillId="5" borderId="1" applyAlignment="1" pivotButton="0" quotePrefix="0" xfId="0">
      <alignment horizontal="general" vertical="bottom"/>
    </xf>
    <xf numFmtId="166" fontId="11" fillId="2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/>
    </xf>
    <xf numFmtId="0" fontId="10" fillId="6" borderId="1" applyAlignment="1" pivotButton="0" quotePrefix="0" xfId="0">
      <alignment horizontal="general" vertical="bottom"/>
    </xf>
    <xf numFmtId="165" fontId="10" fillId="6" borderId="1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 wrapText="1"/>
    </xf>
    <xf numFmtId="165" fontId="10" fillId="3" borderId="0" applyAlignment="1" pivotButton="0" quotePrefix="0" xfId="0">
      <alignment horizontal="center" vertical="bottom" wrapText="1"/>
    </xf>
    <xf numFmtId="0" fontId="17" fillId="2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bottom"/>
    </xf>
    <xf numFmtId="0" fontId="19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 wrapText="1"/>
    </xf>
    <xf numFmtId="0" fontId="7" fillId="5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5" fontId="7" fillId="7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/>
    </xf>
    <xf numFmtId="165" fontId="10" fillId="3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general" vertical="bottom"/>
    </xf>
    <xf numFmtId="165" fontId="7" fillId="2" borderId="2" applyAlignment="1" pivotButton="0" quotePrefix="0" xfId="0">
      <alignment horizontal="right" vertical="bottom"/>
    </xf>
    <xf numFmtId="0" fontId="10" fillId="8" borderId="3" applyAlignment="1" pivotButton="0" quotePrefix="0" xfId="0">
      <alignment horizontal="general" vertical="bottom"/>
    </xf>
    <xf numFmtId="165" fontId="10" fillId="8" borderId="3" applyAlignment="1" pivotButton="0" quotePrefix="0" xfId="0">
      <alignment horizontal="right" vertical="bottom"/>
    </xf>
    <xf numFmtId="0" fontId="7" fillId="5" borderId="0" applyAlignment="1" pivotButton="0" quotePrefix="0" xfId="0">
      <alignment horizontal="general" vertical="bottom"/>
    </xf>
    <xf numFmtId="165" fontId="7" fillId="5" borderId="0" applyAlignment="1" pivotButton="0" quotePrefix="0" xfId="0">
      <alignment horizontal="right" vertical="bottom"/>
    </xf>
    <xf numFmtId="0" fontId="7" fillId="5" borderId="2" applyAlignment="1" pivotButton="0" quotePrefix="0" xfId="0">
      <alignment horizontal="general" vertical="bottom"/>
    </xf>
    <xf numFmtId="165" fontId="7" fillId="5" borderId="2" applyAlignment="1" pivotButton="0" quotePrefix="0" xfId="0">
      <alignment horizontal="right" vertical="bottom"/>
    </xf>
    <xf numFmtId="0" fontId="10" fillId="8" borderId="2" applyAlignment="1" pivotButton="0" quotePrefix="0" xfId="0">
      <alignment horizontal="general" vertical="bottom"/>
    </xf>
    <xf numFmtId="165" fontId="10" fillId="8" borderId="2" applyAlignment="1" pivotButton="0" quotePrefix="0" xfId="0">
      <alignment horizontal="right" vertical="bottom"/>
    </xf>
    <xf numFmtId="0" fontId="10" fillId="7" borderId="0" applyAlignment="1" pivotButton="0" quotePrefix="0" xfId="0">
      <alignment horizontal="general" vertical="bottom"/>
    </xf>
    <xf numFmtId="165" fontId="10" fillId="7" borderId="0" applyAlignment="1" pivotButton="0" quotePrefix="0" xfId="0">
      <alignment horizontal="right" vertical="bottom"/>
    </xf>
    <xf numFmtId="0" fontId="5" fillId="3" borderId="4" applyAlignment="1" pivotButton="0" quotePrefix="0" xfId="0">
      <alignment horizontal="center" vertical="bottom" wrapText="1"/>
    </xf>
    <xf numFmtId="165" fontId="10" fillId="3" borderId="4" applyAlignment="1" pivotButton="0" quotePrefix="0" xfId="0">
      <alignment horizontal="center" vertical="bottom" wrapText="1"/>
    </xf>
    <xf numFmtId="0" fontId="5" fillId="7" borderId="0" applyAlignment="1" pivotButton="0" quotePrefix="0" xfId="0">
      <alignment horizontal="center" vertical="bottom" wrapText="1"/>
    </xf>
    <xf numFmtId="165" fontId="10" fillId="7" borderId="0" applyAlignment="1" pivotButton="0" quotePrefix="0" xfId="0">
      <alignment horizontal="center" vertical="bottom" wrapText="1"/>
    </xf>
    <xf numFmtId="0" fontId="10" fillId="9" borderId="1" applyAlignment="1" pivotButton="0" quotePrefix="0" xfId="0">
      <alignment horizontal="general" vertical="bottom"/>
    </xf>
    <xf numFmtId="165" fontId="10" fillId="9" borderId="1" applyAlignment="1" pivotButton="0" quotePrefix="0" xfId="0">
      <alignment horizontal="general" vertical="bottom"/>
    </xf>
    <xf numFmtId="0" fontId="20" fillId="2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7" fontId="17" fillId="0" borderId="0" applyAlignment="1" pivotButton="0" quotePrefix="0" xfId="0">
      <alignment horizontal="general" vertical="bottom"/>
    </xf>
    <xf numFmtId="168" fontId="17" fillId="0" borderId="0" applyAlignment="1" pivotButton="0" quotePrefix="0" xfId="0">
      <alignment horizontal="general" vertical="bottom"/>
    </xf>
    <xf numFmtId="167" fontId="4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center"/>
    </xf>
    <xf numFmtId="167" fontId="22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5" fontId="17" fillId="2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bottom"/>
    </xf>
    <xf numFmtId="165" fontId="7" fillId="9" borderId="1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center" vertical="bottom"/>
    </xf>
    <xf numFmtId="0" fontId="10" fillId="5" borderId="5" applyAlignment="1" pivotButton="0" quotePrefix="0" xfId="0">
      <alignment horizontal="general" vertical="bottom"/>
    </xf>
    <xf numFmtId="165" fontId="24" fillId="5" borderId="5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5" fontId="10" fillId="5" borderId="5" applyAlignment="1" pivotButton="0" quotePrefix="0" xfId="0">
      <alignment horizontal="general" vertical="bottom"/>
    </xf>
    <xf numFmtId="165" fontId="25" fillId="2" borderId="0" applyAlignment="1" pivotButton="0" quotePrefix="0" xfId="0">
      <alignment horizontal="general" vertical="bottom"/>
    </xf>
    <xf numFmtId="169" fontId="7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0" fontId="23" fillId="3" borderId="6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171" fontId="2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right" vertical="bottom"/>
    </xf>
    <xf numFmtId="171" fontId="2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right" vertical="bottom"/>
    </xf>
    <xf numFmtId="0" fontId="28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general" vertical="bottom"/>
    </xf>
    <xf numFmtId="171" fontId="9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170" fontId="23" fillId="3" borderId="6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general" vertical="bottom"/>
    </xf>
    <xf numFmtId="0" fontId="30" fillId="0" borderId="6" applyAlignment="1" pivotButton="0" quotePrefix="0" xfId="0">
      <alignment horizontal="general" vertical="bottom"/>
    </xf>
    <xf numFmtId="167" fontId="30" fillId="0" borderId="6" applyAlignment="1" pivotButton="0" quotePrefix="0" xfId="0">
      <alignment horizontal="general" vertical="bottom"/>
    </xf>
    <xf numFmtId="167" fontId="29" fillId="0" borderId="6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167" fontId="9" fillId="0" borderId="6" applyAlignment="1" pivotButton="0" quotePrefix="0" xfId="0">
      <alignment horizontal="general" vertical="bottom"/>
    </xf>
    <xf numFmtId="0" fontId="26" fillId="0" borderId="6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3" borderId="7" applyAlignment="1" pivotButton="0" quotePrefix="0" xfId="0">
      <alignment horizontal="center" vertical="center"/>
    </xf>
    <xf numFmtId="0" fontId="23" fillId="3" borderId="8" applyAlignment="1" pivotButton="0" quotePrefix="0" xfId="0">
      <alignment horizontal="left" vertical="center"/>
    </xf>
    <xf numFmtId="0" fontId="23" fillId="4" borderId="8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72" fontId="30" fillId="0" borderId="0" applyAlignment="1" pivotButton="0" quotePrefix="0" xfId="0">
      <alignment horizontal="right" vertical="bottom"/>
    </xf>
    <xf numFmtId="172" fontId="22" fillId="0" borderId="0" applyAlignment="1" pivotButton="0" quotePrefix="0" xfId="0">
      <alignment horizontal="right" vertical="bottom"/>
    </xf>
    <xf numFmtId="0" fontId="4" fillId="10" borderId="0" applyAlignment="1" pivotButton="0" quotePrefix="0" xfId="0">
      <alignment horizontal="general" vertical="bottom"/>
    </xf>
    <xf numFmtId="172" fontId="29" fillId="10" borderId="0" applyAlignment="1" pivotButton="0" quotePrefix="0" xfId="0">
      <alignment horizontal="right" vertical="bottom"/>
    </xf>
    <xf numFmtId="172" fontId="4" fillId="10" borderId="0" applyAlignment="1" pivotButton="0" quotePrefix="0" xfId="0">
      <alignment horizontal="right" vertical="bottom"/>
    </xf>
    <xf numFmtId="166" fontId="30" fillId="0" borderId="0" applyAlignment="1" pivotButton="0" quotePrefix="0" xfId="0">
      <alignment horizontal="right" vertical="bottom"/>
    </xf>
    <xf numFmtId="166" fontId="22" fillId="0" borderId="0" applyAlignment="1" pivotButton="0" quotePrefix="0" xfId="0">
      <alignment horizontal="right" vertical="bottom"/>
    </xf>
    <xf numFmtId="172" fontId="26" fillId="0" borderId="0" applyAlignment="1" pivotButton="0" quotePrefix="0" xfId="0">
      <alignment horizontal="right" vertical="bottom"/>
    </xf>
    <xf numFmtId="0" fontId="9" fillId="10" borderId="0" applyAlignment="1" pivotButton="0" quotePrefix="0" xfId="0">
      <alignment horizontal="general" vertical="bottom"/>
    </xf>
    <xf numFmtId="172" fontId="9" fillId="10" borderId="0" applyAlignment="1" pivotButton="0" quotePrefix="0" xfId="0">
      <alignment horizontal="right" vertical="bottom"/>
    </xf>
    <xf numFmtId="0" fontId="23" fillId="3" borderId="9" applyAlignment="1" pivotButton="0" quotePrefix="0" xfId="0">
      <alignment horizontal="center" vertical="bottom"/>
    </xf>
    <xf numFmtId="0" fontId="23" fillId="11" borderId="9" applyAlignment="1" pivotButton="0" quotePrefix="0" xfId="0">
      <alignment horizontal="center" vertical="bottom"/>
    </xf>
    <xf numFmtId="0" fontId="23" fillId="3" borderId="6" applyAlignment="1" pivotButton="0" quotePrefix="0" xfId="0">
      <alignment horizontal="center" vertical="bottom"/>
    </xf>
    <xf numFmtId="0" fontId="23" fillId="11" borderId="6" applyAlignment="1" pivotButton="0" quotePrefix="0" xfId="0">
      <alignment horizontal="center" vertical="bottom"/>
    </xf>
    <xf numFmtId="0" fontId="17" fillId="0" borderId="6" applyAlignment="1" pivotButton="0" quotePrefix="0" xfId="0">
      <alignment horizontal="general" vertical="bottom"/>
    </xf>
    <xf numFmtId="171" fontId="32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general" vertical="bottom"/>
    </xf>
    <xf numFmtId="171" fontId="18" fillId="0" borderId="6" applyAlignment="1" pivotButton="0" quotePrefix="0" xfId="0">
      <alignment horizontal="general" vertical="bottom"/>
    </xf>
    <xf numFmtId="0" fontId="4" fillId="12" borderId="6" applyAlignment="1" pivotButton="0" quotePrefix="0" xfId="0">
      <alignment horizontal="general" vertical="bottom"/>
    </xf>
    <xf numFmtId="171" fontId="4" fillId="12" borderId="6" applyAlignment="1" pivotButton="0" quotePrefix="0" xfId="0">
      <alignment horizontal="right" vertical="bottom"/>
    </xf>
    <xf numFmtId="173" fontId="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167" fontId="27" fillId="0" borderId="6" applyAlignment="1" pivotButton="0" quotePrefix="0" xfId="0">
      <alignment horizontal="general" vertical="bottom"/>
    </xf>
    <xf numFmtId="174" fontId="27" fillId="0" borderId="6" applyAlignment="1" pivotButton="0" quotePrefix="0" xfId="0">
      <alignment horizontal="general" vertical="bottom"/>
    </xf>
    <xf numFmtId="0" fontId="28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general" vertical="top" wrapText="1"/>
    </xf>
    <xf numFmtId="0" fontId="26" fillId="0" borderId="6" applyAlignment="1" pivotButton="0" quotePrefix="0" xfId="0">
      <alignment horizontal="center" vertical="bottom"/>
    </xf>
    <xf numFmtId="165" fontId="17" fillId="0" borderId="0" applyAlignment="1" pivotButton="0" quotePrefix="0" xfId="0">
      <alignment horizontal="right" vertical="bottom"/>
    </xf>
    <xf numFmtId="165" fontId="27" fillId="13" borderId="0" applyAlignment="1" pivotButton="0" quotePrefix="0" xfId="0">
      <alignment horizontal="general" vertical="bottom"/>
    </xf>
    <xf numFmtId="165" fontId="27" fillId="13" borderId="0" applyAlignment="1" pivotButton="0" quotePrefix="0" xfId="0">
      <alignment horizontal="right" vertical="bottom"/>
    </xf>
    <xf numFmtId="165" fontId="0" fillId="13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165" fontId="17" fillId="13" borderId="0" applyAlignment="1" pivotButton="0" quotePrefix="0" xfId="0">
      <alignment horizontal="right" vertical="bottom"/>
    </xf>
    <xf numFmtId="165" fontId="4" fillId="0" borderId="0" applyAlignment="1" pivotButton="0" quotePrefix="0" xfId="0">
      <alignment horizontal="right" vertical="bottom"/>
    </xf>
    <xf numFmtId="166" fontId="27" fillId="13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23" fillId="3" borderId="10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left" vertical="center"/>
    </xf>
    <xf numFmtId="167" fontId="0" fillId="0" borderId="6" applyAlignment="1" pivotButton="0" quotePrefix="0" xfId="0">
      <alignment horizontal="right" vertical="center"/>
    </xf>
    <xf numFmtId="167" fontId="18" fillId="0" borderId="6" applyAlignment="1" pivotButton="0" quotePrefix="0" xfId="0">
      <alignment horizontal="right" vertical="center"/>
    </xf>
    <xf numFmtId="175" fontId="7" fillId="0" borderId="3" applyAlignment="1" pivotButton="0" quotePrefix="0" xfId="0">
      <alignment horizontal="left" vertical="center"/>
    </xf>
    <xf numFmtId="167" fontId="4" fillId="0" borderId="6" applyAlignment="1" pivotButton="0" quotePrefix="0" xfId="0">
      <alignment horizontal="right" vertical="center"/>
    </xf>
    <xf numFmtId="168" fontId="0" fillId="0" borderId="6" applyAlignment="1" pivotButton="0" quotePrefix="0" xfId="0">
      <alignment horizontal="right" vertical="center"/>
    </xf>
    <xf numFmtId="9" fontId="7" fillId="0" borderId="3" applyAlignment="1" pivotButton="0" quotePrefix="0" xfId="0">
      <alignment horizontal="left" vertical="center"/>
    </xf>
    <xf numFmtId="0" fontId="18" fillId="14" borderId="6" applyAlignment="1" pivotButton="0" quotePrefix="0" xfId="0">
      <alignment horizontal="left" vertical="center"/>
    </xf>
    <xf numFmtId="167" fontId="0" fillId="14" borderId="6" applyAlignment="1" pivotButton="0" quotePrefix="0" xfId="0">
      <alignment horizontal="right" vertical="center"/>
    </xf>
    <xf numFmtId="167" fontId="18" fillId="14" borderId="6" applyAlignment="1" pivotButton="0" quotePrefix="0" xfId="0">
      <alignment horizontal="right" vertical="center"/>
    </xf>
    <xf numFmtId="175" fontId="7" fillId="14" borderId="3" applyAlignment="1" pivotButton="0" quotePrefix="0" xfId="0">
      <alignment horizontal="left" vertical="center"/>
    </xf>
    <xf numFmtId="167" fontId="4" fillId="14" borderId="6" applyAlignment="1" pivotButton="0" quotePrefix="0" xfId="0">
      <alignment horizontal="right" vertical="center"/>
    </xf>
    <xf numFmtId="168" fontId="0" fillId="14" borderId="6" applyAlignment="1" pivotButton="0" quotePrefix="0" xfId="0">
      <alignment horizontal="right" vertical="center"/>
    </xf>
    <xf numFmtId="167" fontId="4" fillId="12" borderId="6" applyAlignment="1" pivotButton="0" quotePrefix="0" xfId="0">
      <alignment horizontal="right" vertical="bottom"/>
    </xf>
    <xf numFmtId="175" fontId="9" fillId="12" borderId="3" applyAlignment="1" pivotButton="0" quotePrefix="0" xfId="0">
      <alignment horizontal="right" vertical="center"/>
    </xf>
    <xf numFmtId="168" fontId="4" fillId="12" borderId="6" applyAlignment="1" pivotButton="0" quotePrefix="0" xfId="0">
      <alignment horizontal="right" vertical="bottom"/>
    </xf>
    <xf numFmtId="175" fontId="4" fillId="12" borderId="3" applyAlignment="1" pivotButton="0" quotePrefix="0" xfId="0">
      <alignment horizontal="right" vertical="center"/>
    </xf>
    <xf numFmtId="9" fontId="4" fillId="12" borderId="3" applyAlignment="1" pivotButton="0" quotePrefix="0" xfId="0">
      <alignment horizontal="right" vertical="center"/>
    </xf>
    <xf numFmtId="0" fontId="1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9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general" vertical="bottom"/>
    </xf>
    <xf numFmtId="176" fontId="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right" vertical="bottom"/>
    </xf>
    <xf numFmtId="0" fontId="23" fillId="3" borderId="6" applyAlignment="1" pivotButton="0" quotePrefix="0" xfId="0">
      <alignment horizontal="left" vertical="center" wrapText="1"/>
    </xf>
    <xf numFmtId="164" fontId="23" fillId="3" borderId="6" applyAlignment="1" pivotButton="0" quotePrefix="0" xfId="0">
      <alignment horizontal="center" vertical="bottom" textRotation="90"/>
    </xf>
    <xf numFmtId="177" fontId="26" fillId="0" borderId="0" applyAlignment="1" pivotButton="0" quotePrefix="0" xfId="0">
      <alignment horizontal="general" vertical="bottom"/>
    </xf>
    <xf numFmtId="178" fontId="30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79" fontId="0" fillId="0" borderId="0" applyAlignment="1" pivotButton="0" quotePrefix="0" xfId="0">
      <alignment horizontal="general" vertical="bottom"/>
    </xf>
    <xf numFmtId="180" fontId="4" fillId="0" borderId="0" applyAlignment="1" pivotButton="0" quotePrefix="0" xfId="0">
      <alignment horizontal="center" vertical="bottom"/>
    </xf>
    <xf numFmtId="181" fontId="4" fillId="0" borderId="0" applyAlignment="1" pivotButton="0" quotePrefix="0" xfId="0">
      <alignment horizontal="center" vertical="bottom"/>
    </xf>
    <xf numFmtId="0" fontId="9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180" fontId="9" fillId="15" borderId="0" applyAlignment="1" pivotButton="0" quotePrefix="0" xfId="0">
      <alignment horizontal="center" vertical="bottom"/>
    </xf>
    <xf numFmtId="181" fontId="9" fillId="15" borderId="0" applyAlignment="1" pivotButton="0" quotePrefix="0" xfId="0">
      <alignment horizontal="center" vertical="bottom"/>
    </xf>
    <xf numFmtId="177" fontId="34" fillId="16" borderId="6" applyAlignment="1" pivotButton="0" quotePrefix="0" xfId="0">
      <alignment horizontal="general" vertical="bottom"/>
    </xf>
    <xf numFmtId="180" fontId="26" fillId="0" borderId="0" applyAlignment="1" pivotButton="0" quotePrefix="0" xfId="0">
      <alignment horizontal="center" vertical="bottom"/>
    </xf>
    <xf numFmtId="182" fontId="4" fillId="0" borderId="0" applyAlignment="1" pivotButton="0" quotePrefix="0" xfId="0">
      <alignment horizontal="center" vertical="bottom"/>
    </xf>
    <xf numFmtId="0" fontId="23" fillId="3" borderId="6" applyAlignment="1" pivotButton="0" quotePrefix="0" xfId="0">
      <alignment horizontal="left" vertical="center"/>
    </xf>
    <xf numFmtId="0" fontId="23" fillId="3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left" vertical="center"/>
    </xf>
    <xf numFmtId="177" fontId="30" fillId="0" borderId="6" applyAlignment="1" pivotButton="0" quotePrefix="0" xfId="0">
      <alignment horizontal="right" vertical="center"/>
    </xf>
    <xf numFmtId="1" fontId="30" fillId="0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center" vertical="center"/>
    </xf>
    <xf numFmtId="10" fontId="30" fillId="0" borderId="6" applyAlignment="1" pivotButton="0" quotePrefix="0" xfId="0">
      <alignment horizontal="right" vertical="center"/>
    </xf>
    <xf numFmtId="0" fontId="30" fillId="14" borderId="6" applyAlignment="1" pivotButton="0" quotePrefix="0" xfId="0">
      <alignment horizontal="left" vertical="center"/>
    </xf>
    <xf numFmtId="177" fontId="30" fillId="14" borderId="6" applyAlignment="1" pivotButton="0" quotePrefix="0" xfId="0">
      <alignment horizontal="right" vertical="center"/>
    </xf>
    <xf numFmtId="1" fontId="30" fillId="14" borderId="6" applyAlignment="1" pivotButton="0" quotePrefix="0" xfId="0">
      <alignment horizontal="center" vertical="center"/>
    </xf>
    <xf numFmtId="0" fontId="30" fillId="14" borderId="6" applyAlignment="1" pivotButton="0" quotePrefix="0" xfId="0">
      <alignment horizontal="center" vertical="center"/>
    </xf>
    <xf numFmtId="10" fontId="30" fillId="14" borderId="6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right" vertical="center"/>
    </xf>
    <xf numFmtId="1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10" fontId="30" fillId="0" borderId="0" applyAlignment="1" pivotButton="0" quotePrefix="0" xfId="0">
      <alignment horizontal="right" vertical="center"/>
    </xf>
    <xf numFmtId="0" fontId="4" fillId="12" borderId="6" applyAlignment="1" pivotButton="0" quotePrefix="0" xfId="0">
      <alignment horizontal="left" vertical="center"/>
    </xf>
    <xf numFmtId="0" fontId="4" fillId="12" borderId="6" applyAlignment="1" pivotButton="0" quotePrefix="0" xfId="0">
      <alignment horizontal="center" vertical="center"/>
    </xf>
    <xf numFmtId="177" fontId="4" fillId="12" borderId="6" applyAlignment="1" pivotButton="0" quotePrefix="0" xfId="0">
      <alignment horizontal="center" vertical="center"/>
    </xf>
    <xf numFmtId="1" fontId="4" fillId="12" borderId="6" applyAlignment="1" pivotButton="0" quotePrefix="0" xfId="0">
      <alignment horizontal="center" vertical="center"/>
    </xf>
    <xf numFmtId="10" fontId="4" fillId="12" borderId="6" applyAlignment="1" pivotButton="0" quotePrefix="0" xfId="0">
      <alignment horizontal="center" vertical="center"/>
    </xf>
    <xf numFmtId="3" fontId="17" fillId="0" borderId="0" applyAlignment="1" pivotButton="0" quotePrefix="0" xfId="0">
      <alignment horizontal="general" vertical="bottom"/>
    </xf>
    <xf numFmtId="169" fontId="17" fillId="0" borderId="0" applyAlignment="1" pivotButton="0" quotePrefix="0" xfId="0">
      <alignment horizontal="general" vertical="bottom"/>
    </xf>
    <xf numFmtId="169" fontId="18" fillId="0" borderId="0" applyAlignment="1" pivotButton="0" quotePrefix="0" xfId="0">
      <alignment horizontal="general" vertical="bottom"/>
    </xf>
    <xf numFmtId="0" fontId="23" fillId="17" borderId="0" applyAlignment="1" pivotButton="0" quotePrefix="0" xfId="0">
      <alignment horizontal="general" vertical="bottom"/>
    </xf>
    <xf numFmtId="0" fontId="35" fillId="18" borderId="0" applyAlignment="1" pivotButton="0" quotePrefix="0" xfId="0">
      <alignment horizontal="general" vertical="bottom"/>
    </xf>
    <xf numFmtId="0" fontId="18" fillId="19" borderId="2" applyAlignment="1" pivotButton="0" quotePrefix="0" xfId="0">
      <alignment horizontal="general" vertical="bottom"/>
    </xf>
    <xf numFmtId="169" fontId="18" fillId="20" borderId="2" applyAlignment="1" pivotButton="0" quotePrefix="0" xfId="0">
      <alignment horizontal="general" vertical="bottom"/>
    </xf>
    <xf numFmtId="0" fontId="18" fillId="19" borderId="11" applyAlignment="1" pivotButton="0" quotePrefix="0" xfId="0">
      <alignment horizontal="general" vertical="bottom"/>
    </xf>
    <xf numFmtId="169" fontId="18" fillId="20" borderId="11" applyAlignment="1" pivotButton="0" quotePrefix="0" xfId="0">
      <alignment horizontal="general" vertical="bottom"/>
    </xf>
    <xf numFmtId="0" fontId="23" fillId="21" borderId="0" applyAlignment="1" pivotButton="0" quotePrefix="0" xfId="0">
      <alignment horizontal="general" vertical="bottom"/>
    </xf>
    <xf numFmtId="0" fontId="18" fillId="19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3" fontId="18" fillId="19" borderId="0" applyAlignment="1" pivotButton="0" quotePrefix="0" xfId="0">
      <alignment horizontal="general" vertical="bottom"/>
    </xf>
    <xf numFmtId="169" fontId="18" fillId="19" borderId="0" applyAlignment="1" pivotButton="0" quotePrefix="0" xfId="0">
      <alignment horizontal="general" vertical="bottom"/>
    </xf>
    <xf numFmtId="0" fontId="23" fillId="22" borderId="0" applyAlignment="1" pivotButton="0" quotePrefix="0" xfId="0">
      <alignment horizontal="general" vertical="bottom"/>
    </xf>
    <xf numFmtId="0" fontId="18" fillId="23" borderId="0" applyAlignment="1" pivotButton="0" quotePrefix="0" xfId="0">
      <alignment horizontal="general" vertical="bottom"/>
    </xf>
    <xf numFmtId="169" fontId="18" fillId="23" borderId="0" applyAlignment="1" pivotButton="0" quotePrefix="0" xfId="0">
      <alignment horizontal="general" vertical="bottom"/>
    </xf>
    <xf numFmtId="0" fontId="23" fillId="24" borderId="0" applyAlignment="1" pivotButton="0" quotePrefix="0" xfId="0">
      <alignment horizontal="general" vertical="bottom"/>
    </xf>
    <xf numFmtId="0" fontId="18" fillId="25" borderId="0" applyAlignment="1" pivotButton="0" quotePrefix="0" xfId="0">
      <alignment horizontal="general" vertical="bottom"/>
    </xf>
    <xf numFmtId="169" fontId="18" fillId="25" borderId="0" applyAlignment="1" pivotButton="0" quotePrefix="0" xfId="0">
      <alignment horizontal="general" vertical="bottom"/>
    </xf>
    <xf numFmtId="0" fontId="23" fillId="11" borderId="0" applyAlignment="1" pivotButton="0" quotePrefix="0" xfId="0">
      <alignment horizontal="general" vertical="bottom"/>
    </xf>
    <xf numFmtId="0" fontId="18" fillId="20" borderId="0" applyAlignment="1" pivotButton="0" quotePrefix="0" xfId="0">
      <alignment horizontal="general" vertical="bottom"/>
    </xf>
    <xf numFmtId="169" fontId="18" fillId="2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 wrapText="1"/>
    </xf>
    <xf numFmtId="0" fontId="23" fillId="26" borderId="0" applyAlignment="1" pivotButton="0" quotePrefix="0" xfId="0">
      <alignment horizontal="general" vertical="bottom"/>
    </xf>
    <xf numFmtId="174" fontId="17" fillId="0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9" fontId="37" fillId="2" borderId="0" applyAlignment="1" pivotButton="0" quotePrefix="0" xfId="0">
      <alignment horizontal="general" vertical="bottom"/>
    </xf>
    <xf numFmtId="0" fontId="4" fillId="5" borderId="1" applyAlignment="1" pivotButton="0" quotePrefix="0" xfId="0">
      <alignment horizontal="general" vertical="bottom"/>
    </xf>
    <xf numFmtId="169" fontId="4" fillId="5" borderId="1" applyAlignment="1" pivotButton="0" quotePrefix="0" xfId="0">
      <alignment horizontal="general" vertical="bottom"/>
    </xf>
    <xf numFmtId="169" fontId="4" fillId="2" borderId="0" applyAlignment="1" pivotButton="0" quotePrefix="0" xfId="0">
      <alignment horizontal="general" vertical="bottom"/>
    </xf>
    <xf numFmtId="0" fontId="38" fillId="2" borderId="0" applyAlignment="1" pivotButton="0" quotePrefix="0" xfId="0">
      <alignment horizontal="general" vertical="bottom"/>
    </xf>
    <xf numFmtId="169" fontId="38" fillId="2" borderId="0" applyAlignment="1" pivotButton="0" quotePrefix="0" xfId="0">
      <alignment horizontal="general" vertical="bottom"/>
    </xf>
    <xf numFmtId="164" fontId="22" fillId="2" borderId="0" applyAlignment="1" pivotButton="0" quotePrefix="0" xfId="0">
      <alignment horizontal="general" vertical="bottom"/>
    </xf>
    <xf numFmtId="0" fontId="39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10" fontId="37" fillId="2" borderId="0" applyAlignment="1" pivotButton="0" quotePrefix="0" xfId="0">
      <alignment horizontal="general" vertical="bottom"/>
    </xf>
    <xf numFmtId="10" fontId="27" fillId="27" borderId="0" applyAlignment="1" pivotButton="0" quotePrefix="0" xfId="0">
      <alignment horizontal="general" vertical="bottom"/>
    </xf>
    <xf numFmtId="10" fontId="22" fillId="2" borderId="0" applyAlignment="1" pivotButton="0" quotePrefix="0" xfId="0">
      <alignment horizontal="general" vertical="bottom"/>
    </xf>
    <xf numFmtId="169" fontId="27" fillId="27" borderId="0" applyAlignment="1" pivotButton="0" quotePrefix="0" xfId="0">
      <alignment horizontal="general" vertical="bottom"/>
    </xf>
    <xf numFmtId="169" fontId="22" fillId="2" borderId="0" applyAlignment="1" pivotButton="0" quotePrefix="0" xfId="0">
      <alignment horizontal="general" vertical="bottom"/>
    </xf>
    <xf numFmtId="3" fontId="27" fillId="2" borderId="0" applyAlignment="1" pivotButton="0" quotePrefix="0" xfId="0">
      <alignment horizontal="general" vertical="bottom"/>
    </xf>
    <xf numFmtId="3" fontId="27" fillId="27" borderId="0" applyAlignment="1" pivotButton="0" quotePrefix="0" xfId="0">
      <alignment horizontal="general" vertical="bottom"/>
    </xf>
    <xf numFmtId="3" fontId="22" fillId="2" borderId="0" applyAlignment="1" pivotButton="0" quotePrefix="0" xfId="0">
      <alignment horizontal="general" vertical="bottom"/>
    </xf>
    <xf numFmtId="169" fontId="27" fillId="2" borderId="0" applyAlignment="1" pivotButton="0" quotePrefix="0" xfId="0">
      <alignment horizontal="general" vertical="bottom"/>
    </xf>
    <xf numFmtId="0" fontId="3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169" fontId="9" fillId="6" borderId="1" applyAlignment="1" pivotButton="0" quotePrefix="0" xfId="0">
      <alignment horizontal="general" vertical="bottom"/>
    </xf>
    <xf numFmtId="0" fontId="4" fillId="9" borderId="1" applyAlignment="1" pivotButton="0" quotePrefix="0" xfId="0">
      <alignment horizontal="general" vertical="bottom"/>
    </xf>
    <xf numFmtId="169" fontId="4" fillId="9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0" fontId="5" fillId="2" borderId="0" applyAlignment="1" pivotButton="0" quotePrefix="0" xfId="0">
      <alignment horizontal="center" vertical="bottom"/>
    </xf>
    <xf numFmtId="10" fontId="6" fillId="2" borderId="0" applyAlignment="1" pivotButton="0" quotePrefix="0" xfId="0">
      <alignment horizontal="general" vertical="bottom"/>
    </xf>
    <xf numFmtId="169" fontId="4" fillId="27" borderId="0" applyAlignment="1" pivotButton="0" quotePrefix="0" xfId="0">
      <alignment horizontal="general" vertical="bottom"/>
    </xf>
    <xf numFmtId="169" fontId="27" fillId="9" borderId="1" applyAlignment="1" pivotButton="0" quotePrefix="0" xfId="0">
      <alignment horizontal="general" vertical="bottom"/>
    </xf>
    <xf numFmtId="169" fontId="22" fillId="9" borderId="1" applyAlignment="1" pivotButton="0" quotePrefix="0" xfId="0">
      <alignment horizontal="general" vertical="bottom"/>
    </xf>
    <xf numFmtId="10" fontId="27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general" vertical="bottom"/>
    </xf>
    <xf numFmtId="169" fontId="9" fillId="2" borderId="0" applyAlignment="1" pivotButton="0" quotePrefix="0" xfId="0">
      <alignment horizontal="general" vertical="bottom"/>
    </xf>
    <xf numFmtId="10" fontId="2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6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7" fillId="27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169" fontId="22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4" fontId="17" fillId="0" borderId="0" applyAlignment="1" pivotButton="0" quotePrefix="0" xfId="0">
      <alignment horizontal="general" vertical="bottom"/>
    </xf>
    <xf numFmtId="0" fontId="23" fillId="28" borderId="0" applyAlignment="1" pivotButton="0" quotePrefix="0" xfId="0">
      <alignment horizontal="general" vertical="bottom"/>
    </xf>
    <xf numFmtId="0" fontId="17" fillId="29" borderId="12" applyAlignment="1" pivotButton="0" quotePrefix="0" xfId="0">
      <alignment horizontal="general" vertical="bottom"/>
    </xf>
    <xf numFmtId="169" fontId="17" fillId="29" borderId="12" applyAlignment="1" pivotButton="0" quotePrefix="0" xfId="0">
      <alignment horizontal="right" vertical="bottom"/>
    </xf>
    <xf numFmtId="0" fontId="17" fillId="7" borderId="12" applyAlignment="1" pivotButton="0" quotePrefix="0" xfId="0">
      <alignment horizontal="general" vertical="bottom"/>
    </xf>
    <xf numFmtId="169" fontId="17" fillId="7" borderId="12" applyAlignment="1" pivotButton="0" quotePrefix="0" xfId="0">
      <alignment horizontal="right" vertical="bottom"/>
    </xf>
    <xf numFmtId="3" fontId="17" fillId="29" borderId="12" applyAlignment="1" pivotButton="0" quotePrefix="0" xfId="0">
      <alignment horizontal="right" vertical="bottom"/>
    </xf>
    <xf numFmtId="0" fontId="23" fillId="3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22" fillId="30" borderId="0" applyAlignment="1" pivotButton="0" quotePrefix="0" xfId="0">
      <alignment horizontal="right" vertical="bottom"/>
    </xf>
    <xf numFmtId="0" fontId="22" fillId="0" borderId="3" applyAlignment="1" pivotButton="0" quotePrefix="0" xfId="0">
      <alignment horizontal="left" vertical="center"/>
    </xf>
    <xf numFmtId="175" fontId="4" fillId="30" borderId="3" applyAlignment="1" pivotButton="0" quotePrefix="0" xfId="0">
      <alignment horizontal="right" vertical="center"/>
    </xf>
    <xf numFmtId="9" fontId="9" fillId="30" borderId="3" applyAlignment="1" pivotButton="0" quotePrefix="0" xfId="0">
      <alignment horizontal="center" vertical="center"/>
    </xf>
    <xf numFmtId="183" fontId="22" fillId="0" borderId="0" applyAlignment="1" pivotButton="0" quotePrefix="0" xfId="0">
      <alignment horizontal="general" vertical="bottom"/>
    </xf>
    <xf numFmtId="169" fontId="4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69" fontId="38" fillId="0" borderId="0" applyAlignment="1" pivotButton="0" quotePrefix="0" xfId="0">
      <alignment horizontal="general" vertical="bottom"/>
    </xf>
    <xf numFmtId="184" fontId="0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169" fontId="18" fillId="0" borderId="13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horizontal="center" vertical="bottom"/>
    </xf>
    <xf numFmtId="0" fontId="17" fillId="0" borderId="14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31" borderId="0" applyAlignment="1" pivotButton="0" quotePrefix="0" xfId="0">
      <alignment horizontal="general" vertical="bottom"/>
    </xf>
    <xf numFmtId="169" fontId="23" fillId="31" borderId="0" applyAlignment="1" pivotButton="0" quotePrefix="0" xfId="0">
      <alignment horizontal="general" vertical="bottom"/>
    </xf>
    <xf numFmtId="0" fontId="17" fillId="29" borderId="0" applyAlignment="1" pivotButton="0" quotePrefix="0" xfId="0">
      <alignment horizontal="general" vertical="bottom"/>
    </xf>
    <xf numFmtId="169" fontId="17" fillId="29" borderId="0" applyAlignment="1" pivotButton="0" quotePrefix="0" xfId="0">
      <alignment horizontal="general" vertical="bottom"/>
    </xf>
    <xf numFmtId="0" fontId="10" fillId="0" borderId="13" applyAlignment="1" pivotButton="0" quotePrefix="0" xfId="0">
      <alignment horizontal="general" vertical="bottom"/>
    </xf>
    <xf numFmtId="169" fontId="10" fillId="0" borderId="13" applyAlignment="1" pivotButton="0" quotePrefix="0" xfId="0">
      <alignment horizontal="general" vertical="bottom"/>
    </xf>
    <xf numFmtId="169" fontId="23" fillId="28" borderId="0" applyAlignment="1" pivotButton="0" quotePrefix="0" xfId="0">
      <alignment horizontal="general" vertical="bottom"/>
    </xf>
    <xf numFmtId="0" fontId="17" fillId="19" borderId="0" applyAlignment="1" pivotButton="0" quotePrefix="0" xfId="0">
      <alignment horizontal="general" vertical="bottom"/>
    </xf>
    <xf numFmtId="169" fontId="17" fillId="19" borderId="0" applyAlignment="1" pivotButton="0" quotePrefix="0" xfId="0">
      <alignment horizontal="general" vertical="bottom"/>
    </xf>
    <xf numFmtId="0" fontId="40" fillId="19" borderId="0" applyAlignment="1" pivotButton="0" quotePrefix="0" xfId="0">
      <alignment horizontal="general" vertical="bottom"/>
    </xf>
    <xf numFmtId="169" fontId="40" fillId="19" borderId="0" applyAlignment="1" pivotButton="0" quotePrefix="0" xfId="0">
      <alignment horizontal="general" vertical="bottom"/>
    </xf>
    <xf numFmtId="0" fontId="23" fillId="32" borderId="13" applyAlignment="1" pivotButton="0" quotePrefix="0" xfId="0">
      <alignment horizontal="general" vertical="bottom"/>
    </xf>
    <xf numFmtId="169" fontId="23" fillId="32" borderId="13" applyAlignment="1" pivotButton="0" quotePrefix="0" xfId="0">
      <alignment horizontal="general" vertical="bottom"/>
    </xf>
    <xf numFmtId="0" fontId="17" fillId="23" borderId="0" applyAlignment="1" pivotButton="0" quotePrefix="0" xfId="0">
      <alignment horizontal="general" vertical="bottom"/>
    </xf>
    <xf numFmtId="169" fontId="17" fillId="23" borderId="0" applyAlignment="1" pivotButton="0" quotePrefix="0" xfId="0">
      <alignment horizontal="general" vertical="bottom"/>
    </xf>
    <xf numFmtId="0" fontId="17" fillId="32" borderId="0" applyAlignment="1" pivotButton="0" quotePrefix="0" xfId="0">
      <alignment horizontal="general" vertical="bottom"/>
    </xf>
    <xf numFmtId="169" fontId="17" fillId="32" borderId="0" applyAlignment="1" pivotButton="0" quotePrefix="0" xfId="0">
      <alignment horizontal="general" vertical="bottom"/>
    </xf>
    <xf numFmtId="169" fontId="40" fillId="0" borderId="0" applyAlignment="1" pivotButton="0" quotePrefix="0" xfId="0">
      <alignment horizontal="general" vertical="bottom"/>
    </xf>
    <xf numFmtId="0" fontId="23" fillId="33" borderId="0" applyAlignment="1" pivotButton="0" quotePrefix="0" xfId="0">
      <alignment horizontal="general" vertical="bottom"/>
    </xf>
    <xf numFmtId="169" fontId="23" fillId="33" borderId="0" applyAlignment="1" pivotButton="0" quotePrefix="0" xfId="0">
      <alignment horizontal="general" vertical="bottom"/>
    </xf>
    <xf numFmtId="0" fontId="17" fillId="0" borderId="13" applyAlignment="1" pivotButton="0" quotePrefix="0" xfId="0">
      <alignment horizontal="general" vertical="bottom"/>
    </xf>
    <xf numFmtId="169" fontId="17" fillId="0" borderId="13" applyAlignment="1" pivotButton="0" quotePrefix="0" xfId="0">
      <alignment horizontal="general" vertical="bottom"/>
    </xf>
    <xf numFmtId="0" fontId="17" fillId="33" borderId="0" applyAlignment="1" pivotButton="0" quotePrefix="0" xfId="0">
      <alignment horizontal="general" vertical="bottom"/>
    </xf>
    <xf numFmtId="169" fontId="17" fillId="33" borderId="0" applyAlignment="1" pivotButton="0" quotePrefix="0" xfId="0">
      <alignment horizontal="general" vertical="bottom"/>
    </xf>
    <xf numFmtId="0" fontId="17" fillId="25" borderId="0" applyAlignment="1" pivotButton="0" quotePrefix="0" xfId="0">
      <alignment horizontal="general" vertical="bottom"/>
    </xf>
    <xf numFmtId="169" fontId="17" fillId="25" borderId="0" applyAlignment="1" pivotButton="0" quotePrefix="0" xfId="0">
      <alignment horizontal="general" vertical="bottom"/>
    </xf>
    <xf numFmtId="0" fontId="40" fillId="25" borderId="0" applyAlignment="1" pivotButton="0" quotePrefix="0" xfId="0">
      <alignment horizontal="general" vertical="bottom"/>
    </xf>
    <xf numFmtId="169" fontId="40" fillId="25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74" fontId="0" fillId="0" borderId="0" applyAlignment="1" pivotButton="0" quotePrefix="0" xfId="0">
      <alignment horizontal="general" vertical="bottom"/>
    </xf>
    <xf numFmtId="1" fontId="23" fillId="3" borderId="0" applyAlignment="1" pivotButton="0" quotePrefix="0" xfId="0">
      <alignment horizontal="center" vertical="center" wrapText="1"/>
    </xf>
    <xf numFmtId="165" fontId="23" fillId="3" borderId="0" applyAlignment="1" pivotButton="0" quotePrefix="0" xfId="0">
      <alignment horizontal="center" vertical="center" wrapText="1"/>
    </xf>
    <xf numFmtId="9" fontId="23" fillId="3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169" fontId="30" fillId="0" borderId="0" applyAlignment="1" pivotButton="0" quotePrefix="0" xfId="0">
      <alignment horizontal="general" vertical="bottom"/>
    </xf>
    <xf numFmtId="1" fontId="30" fillId="0" borderId="0" applyAlignment="1" pivotButton="0" quotePrefix="0" xfId="0">
      <alignment horizontal="center" vertical="bottom"/>
    </xf>
    <xf numFmtId="164" fontId="30" fillId="0" borderId="0" applyAlignment="1" pivotButton="0" quotePrefix="0" xfId="0">
      <alignment horizontal="center" vertical="bottom"/>
    </xf>
    <xf numFmtId="1" fontId="27" fillId="0" borderId="0" applyAlignment="1" pivotButton="0" quotePrefix="0" xfId="0">
      <alignment horizontal="center" vertical="bottom"/>
    </xf>
    <xf numFmtId="1" fontId="5" fillId="3" borderId="0" applyAlignment="1" pivotButton="0" quotePrefix="0" xfId="0">
      <alignment horizontal="center" vertical="bottom"/>
    </xf>
    <xf numFmtId="0" fontId="29" fillId="0" borderId="15" applyAlignment="1" pivotButton="0" quotePrefix="0" xfId="0">
      <alignment horizontal="general" vertical="bottom"/>
    </xf>
    <xf numFmtId="169" fontId="29" fillId="0" borderId="15" applyAlignment="1" pivotButton="0" quotePrefix="0" xfId="0">
      <alignment horizontal="general" vertical="bottom"/>
    </xf>
    <xf numFmtId="0" fontId="9" fillId="0" borderId="15" applyAlignment="1" pivotButton="0" quotePrefix="0" xfId="0">
      <alignment horizontal="general" vertical="bottom"/>
    </xf>
    <xf numFmtId="169" fontId="9" fillId="0" borderId="15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4" fontId="5" fillId="3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1" fontId="6" fillId="2" borderId="0" applyAlignment="1" pivotButton="0" quotePrefix="0" xfId="0">
      <alignment horizontal="general" vertical="bottom"/>
    </xf>
    <xf numFmtId="1" fontId="7" fillId="2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center" vertical="bottom"/>
    </xf>
    <xf numFmtId="1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general" vertical="bottom"/>
    </xf>
    <xf numFmtId="165" fontId="11" fillId="2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left" vertical="bottom" wrapText="1"/>
    </xf>
    <xf numFmtId="165" fontId="12" fillId="3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 wrapText="1"/>
    </xf>
    <xf numFmtId="165" fontId="7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center" vertical="bottom" wrapText="1"/>
    </xf>
    <xf numFmtId="165" fontId="7" fillId="2" borderId="0" applyAlignment="1" pivotButton="0" quotePrefix="0" xfId="0">
      <alignment horizontal="right" vertical="bottom"/>
    </xf>
    <xf numFmtId="0" fontId="5" fillId="4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left" vertical="bottom"/>
    </xf>
    <xf numFmtId="165" fontId="5" fillId="4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right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 indent="1"/>
    </xf>
    <xf numFmtId="0" fontId="10" fillId="5" borderId="1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165" fontId="16" fillId="5" borderId="1" applyAlignment="1" pivotButton="0" quotePrefix="0" xfId="0">
      <alignment horizontal="general" vertical="bottom"/>
    </xf>
    <xf numFmtId="166" fontId="11" fillId="2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/>
    </xf>
    <xf numFmtId="0" fontId="10" fillId="6" borderId="1" applyAlignment="1" pivotButton="0" quotePrefix="0" xfId="0">
      <alignment horizontal="general" vertical="bottom"/>
    </xf>
    <xf numFmtId="165" fontId="10" fillId="6" borderId="1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 wrapText="1"/>
    </xf>
    <xf numFmtId="165" fontId="10" fillId="3" borderId="0" applyAlignment="1" pivotButton="0" quotePrefix="0" xfId="0">
      <alignment horizontal="center" vertical="bottom" wrapText="1"/>
    </xf>
    <xf numFmtId="0" fontId="17" fillId="2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bottom"/>
    </xf>
    <xf numFmtId="0" fontId="19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 wrapText="1"/>
    </xf>
    <xf numFmtId="0" fontId="7" fillId="5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5" fontId="7" fillId="7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/>
    </xf>
    <xf numFmtId="165" fontId="10" fillId="3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general" vertical="bottom"/>
    </xf>
    <xf numFmtId="165" fontId="7" fillId="2" borderId="2" applyAlignment="1" pivotButton="0" quotePrefix="0" xfId="0">
      <alignment horizontal="right" vertical="bottom"/>
    </xf>
    <xf numFmtId="0" fontId="10" fillId="8" borderId="3" applyAlignment="1" pivotButton="0" quotePrefix="0" xfId="0">
      <alignment horizontal="general" vertical="bottom"/>
    </xf>
    <xf numFmtId="165" fontId="10" fillId="8" borderId="3" applyAlignment="1" pivotButton="0" quotePrefix="0" xfId="0">
      <alignment horizontal="right" vertical="bottom"/>
    </xf>
    <xf numFmtId="0" fontId="7" fillId="5" borderId="0" applyAlignment="1" pivotButton="0" quotePrefix="0" xfId="0">
      <alignment horizontal="general" vertical="bottom"/>
    </xf>
    <xf numFmtId="165" fontId="7" fillId="5" borderId="0" applyAlignment="1" pivotButton="0" quotePrefix="0" xfId="0">
      <alignment horizontal="right" vertical="bottom"/>
    </xf>
    <xf numFmtId="0" fontId="7" fillId="5" borderId="2" applyAlignment="1" pivotButton="0" quotePrefix="0" xfId="0">
      <alignment horizontal="general" vertical="bottom"/>
    </xf>
    <xf numFmtId="165" fontId="7" fillId="5" borderId="2" applyAlignment="1" pivotButton="0" quotePrefix="0" xfId="0">
      <alignment horizontal="right" vertical="bottom"/>
    </xf>
    <xf numFmtId="0" fontId="10" fillId="8" borderId="2" applyAlignment="1" pivotButton="0" quotePrefix="0" xfId="0">
      <alignment horizontal="general" vertical="bottom"/>
    </xf>
    <xf numFmtId="165" fontId="10" fillId="8" borderId="2" applyAlignment="1" pivotButton="0" quotePrefix="0" xfId="0">
      <alignment horizontal="right" vertical="bottom"/>
    </xf>
    <xf numFmtId="0" fontId="10" fillId="7" borderId="0" applyAlignment="1" pivotButton="0" quotePrefix="0" xfId="0">
      <alignment horizontal="general" vertical="bottom"/>
    </xf>
    <xf numFmtId="165" fontId="10" fillId="7" borderId="0" applyAlignment="1" pivotButton="0" quotePrefix="0" xfId="0">
      <alignment horizontal="right" vertical="bottom"/>
    </xf>
    <xf numFmtId="0" fontId="5" fillId="3" borderId="4" applyAlignment="1" pivotButton="0" quotePrefix="0" xfId="0">
      <alignment horizontal="center" vertical="bottom" wrapText="1"/>
    </xf>
    <xf numFmtId="165" fontId="10" fillId="3" borderId="4" applyAlignment="1" pivotButton="0" quotePrefix="0" xfId="0">
      <alignment horizontal="center" vertical="bottom" wrapText="1"/>
    </xf>
    <xf numFmtId="0" fontId="5" fillId="7" borderId="0" applyAlignment="1" pivotButton="0" quotePrefix="0" xfId="0">
      <alignment horizontal="center" vertical="bottom" wrapText="1"/>
    </xf>
    <xf numFmtId="165" fontId="10" fillId="7" borderId="0" applyAlignment="1" pivotButton="0" quotePrefix="0" xfId="0">
      <alignment horizontal="center" vertical="bottom" wrapText="1"/>
    </xf>
    <xf numFmtId="0" fontId="10" fillId="9" borderId="1" applyAlignment="1" pivotButton="0" quotePrefix="0" xfId="0">
      <alignment horizontal="general" vertical="bottom"/>
    </xf>
    <xf numFmtId="165" fontId="10" fillId="9" borderId="1" applyAlignment="1" pivotButton="0" quotePrefix="0" xfId="0">
      <alignment horizontal="general" vertical="bottom"/>
    </xf>
    <xf numFmtId="0" fontId="20" fillId="2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7" fontId="17" fillId="0" borderId="0" applyAlignment="1" pivotButton="0" quotePrefix="0" xfId="0">
      <alignment horizontal="general" vertical="bottom"/>
    </xf>
    <xf numFmtId="168" fontId="17" fillId="0" borderId="0" applyAlignment="1" pivotButton="0" quotePrefix="0" xfId="0">
      <alignment horizontal="general" vertical="bottom"/>
    </xf>
    <xf numFmtId="167" fontId="4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center"/>
    </xf>
    <xf numFmtId="167" fontId="22" fillId="0" borderId="0" applyAlignment="1" pivotButton="0" quotePrefix="0" xfId="0">
      <alignment horizontal="right" vertical="center"/>
    </xf>
    <xf numFmtId="0" fontId="16" fillId="5" borderId="1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5" fontId="17" fillId="2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bottom"/>
    </xf>
    <xf numFmtId="165" fontId="7" fillId="9" borderId="1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23" fillId="3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center" vertical="bottom"/>
    </xf>
    <xf numFmtId="0" fontId="10" fillId="5" borderId="5" applyAlignment="1" pivotButton="0" quotePrefix="0" xfId="0">
      <alignment horizontal="general" vertical="bottom"/>
    </xf>
    <xf numFmtId="165" fontId="24" fillId="5" borderId="5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165" fontId="10" fillId="5" borderId="5" applyAlignment="1" pivotButton="0" quotePrefix="0" xfId="0">
      <alignment horizontal="general" vertical="bottom"/>
    </xf>
    <xf numFmtId="165" fontId="25" fillId="2" borderId="0" applyAlignment="1" pivotButton="0" quotePrefix="0" xfId="0">
      <alignment horizontal="general" vertical="bottom"/>
    </xf>
    <xf numFmtId="169" fontId="7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0" fontId="23" fillId="3" borderId="6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171" fontId="2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right" vertical="bottom"/>
    </xf>
    <xf numFmtId="171" fontId="2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right" vertical="bottom"/>
    </xf>
    <xf numFmtId="0" fontId="28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general" vertical="bottom"/>
    </xf>
    <xf numFmtId="171" fontId="9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170" fontId="23" fillId="3" borderId="6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23" fillId="3" borderId="6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general" vertical="bottom"/>
    </xf>
    <xf numFmtId="0" fontId="30" fillId="0" borderId="6" applyAlignment="1" pivotButton="0" quotePrefix="0" xfId="0">
      <alignment horizontal="general" vertical="bottom"/>
    </xf>
    <xf numFmtId="167" fontId="30" fillId="0" borderId="6" applyAlignment="1" pivotButton="0" quotePrefix="0" xfId="0">
      <alignment horizontal="general" vertical="bottom"/>
    </xf>
    <xf numFmtId="167" fontId="29" fillId="0" borderId="6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167" fontId="9" fillId="0" borderId="6" applyAlignment="1" pivotButton="0" quotePrefix="0" xfId="0">
      <alignment horizontal="general" vertical="bottom"/>
    </xf>
    <xf numFmtId="0" fontId="26" fillId="0" borderId="6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3" borderId="7" applyAlignment="1" pivotButton="0" quotePrefix="0" xfId="0">
      <alignment horizontal="center" vertical="center"/>
    </xf>
    <xf numFmtId="0" fontId="0" fillId="0" borderId="21" pivotButton="0" quotePrefix="0" xfId="0"/>
    <xf numFmtId="0" fontId="23" fillId="3" borderId="8" applyAlignment="1" pivotButton="0" quotePrefix="0" xfId="0">
      <alignment horizontal="left" vertical="center"/>
    </xf>
    <xf numFmtId="0" fontId="23" fillId="4" borderId="8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72" fontId="30" fillId="0" borderId="0" applyAlignment="1" pivotButton="0" quotePrefix="0" xfId="0">
      <alignment horizontal="right" vertical="bottom"/>
    </xf>
    <xf numFmtId="172" fontId="22" fillId="0" borderId="0" applyAlignment="1" pivotButton="0" quotePrefix="0" xfId="0">
      <alignment horizontal="right" vertical="bottom"/>
    </xf>
    <xf numFmtId="0" fontId="4" fillId="10" borderId="0" applyAlignment="1" pivotButton="0" quotePrefix="0" xfId="0">
      <alignment horizontal="general" vertical="bottom"/>
    </xf>
    <xf numFmtId="172" fontId="29" fillId="10" borderId="0" applyAlignment="1" pivotButton="0" quotePrefix="0" xfId="0">
      <alignment horizontal="right" vertical="bottom"/>
    </xf>
    <xf numFmtId="172" fontId="4" fillId="10" borderId="0" applyAlignment="1" pivotButton="0" quotePrefix="0" xfId="0">
      <alignment horizontal="right" vertical="bottom"/>
    </xf>
    <xf numFmtId="166" fontId="30" fillId="0" borderId="0" applyAlignment="1" pivotButton="0" quotePrefix="0" xfId="0">
      <alignment horizontal="right" vertical="bottom"/>
    </xf>
    <xf numFmtId="166" fontId="22" fillId="0" borderId="0" applyAlignment="1" pivotButton="0" quotePrefix="0" xfId="0">
      <alignment horizontal="right" vertical="bottom"/>
    </xf>
    <xf numFmtId="172" fontId="26" fillId="0" borderId="0" applyAlignment="1" pivotButton="0" quotePrefix="0" xfId="0">
      <alignment horizontal="right" vertical="bottom"/>
    </xf>
    <xf numFmtId="0" fontId="9" fillId="10" borderId="0" applyAlignment="1" pivotButton="0" quotePrefix="0" xfId="0">
      <alignment horizontal="general" vertical="bottom"/>
    </xf>
    <xf numFmtId="172" fontId="9" fillId="10" borderId="0" applyAlignment="1" pivotButton="0" quotePrefix="0" xfId="0">
      <alignment horizontal="right" vertical="bottom"/>
    </xf>
    <xf numFmtId="0" fontId="23" fillId="3" borderId="9" applyAlignment="1" pivotButton="0" quotePrefix="0" xfId="0">
      <alignment horizontal="center" vertical="bottom"/>
    </xf>
    <xf numFmtId="0" fontId="23" fillId="11" borderId="9" applyAlignment="1" pivotButton="0" quotePrefix="0" xfId="0">
      <alignment horizontal="center" vertical="bottom"/>
    </xf>
    <xf numFmtId="0" fontId="23" fillId="3" borderId="6" applyAlignment="1" pivotButton="0" quotePrefix="0" xfId="0">
      <alignment horizontal="center" vertical="bottom"/>
    </xf>
    <xf numFmtId="0" fontId="23" fillId="11" borderId="6" applyAlignment="1" pivotButton="0" quotePrefix="0" xfId="0">
      <alignment horizontal="center" vertical="bottom"/>
    </xf>
    <xf numFmtId="0" fontId="17" fillId="0" borderId="6" applyAlignment="1" pivotButton="0" quotePrefix="0" xfId="0">
      <alignment horizontal="general" vertical="bottom"/>
    </xf>
    <xf numFmtId="171" fontId="32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general" vertical="bottom"/>
    </xf>
    <xf numFmtId="171" fontId="18" fillId="0" borderId="6" applyAlignment="1" pivotButton="0" quotePrefix="0" xfId="0">
      <alignment horizontal="general" vertical="bottom"/>
    </xf>
    <xf numFmtId="0" fontId="4" fillId="12" borderId="6" applyAlignment="1" pivotButton="0" quotePrefix="0" xfId="0">
      <alignment horizontal="general" vertical="bottom"/>
    </xf>
    <xf numFmtId="171" fontId="4" fillId="12" borderId="6" applyAlignment="1" pivotButton="0" quotePrefix="0" xfId="0">
      <alignment horizontal="right" vertical="bottom"/>
    </xf>
    <xf numFmtId="173" fontId="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167" fontId="27" fillId="0" borderId="6" applyAlignment="1" pivotButton="0" quotePrefix="0" xfId="0">
      <alignment horizontal="general" vertical="bottom"/>
    </xf>
    <xf numFmtId="174" fontId="27" fillId="0" borderId="6" applyAlignment="1" pivotButton="0" quotePrefix="0" xfId="0">
      <alignment horizontal="general" vertical="bottom"/>
    </xf>
    <xf numFmtId="0" fontId="28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general" vertical="top" wrapText="1"/>
    </xf>
    <xf numFmtId="0" fontId="26" fillId="0" borderId="6" applyAlignment="1" pivotButton="0" quotePrefix="0" xfId="0">
      <alignment horizontal="center" vertical="bottom"/>
    </xf>
    <xf numFmtId="165" fontId="17" fillId="0" borderId="0" applyAlignment="1" pivotButton="0" quotePrefix="0" xfId="0">
      <alignment horizontal="right" vertical="bottom"/>
    </xf>
    <xf numFmtId="165" fontId="27" fillId="13" borderId="0" applyAlignment="1" pivotButton="0" quotePrefix="0" xfId="0">
      <alignment horizontal="general" vertical="bottom"/>
    </xf>
    <xf numFmtId="165" fontId="27" fillId="13" borderId="0" applyAlignment="1" pivotButton="0" quotePrefix="0" xfId="0">
      <alignment horizontal="right" vertical="bottom"/>
    </xf>
    <xf numFmtId="165" fontId="0" fillId="13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165" fontId="17" fillId="13" borderId="0" applyAlignment="1" pivotButton="0" quotePrefix="0" xfId="0">
      <alignment horizontal="right" vertical="bottom"/>
    </xf>
    <xf numFmtId="165" fontId="4" fillId="0" borderId="0" applyAlignment="1" pivotButton="0" quotePrefix="0" xfId="0">
      <alignment horizontal="right" vertical="bottom"/>
    </xf>
    <xf numFmtId="166" fontId="27" fillId="13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23" fillId="3" borderId="10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left" vertical="center"/>
    </xf>
    <xf numFmtId="167" fontId="0" fillId="0" borderId="6" applyAlignment="1" pivotButton="0" quotePrefix="0" xfId="0">
      <alignment horizontal="right" vertical="center"/>
    </xf>
    <xf numFmtId="167" fontId="18" fillId="0" borderId="6" applyAlignment="1" pivotButton="0" quotePrefix="0" xfId="0">
      <alignment horizontal="right" vertical="center"/>
    </xf>
    <xf numFmtId="175" fontId="7" fillId="0" borderId="3" applyAlignment="1" pivotButton="0" quotePrefix="0" xfId="0">
      <alignment horizontal="left" vertical="center"/>
    </xf>
    <xf numFmtId="167" fontId="4" fillId="0" borderId="6" applyAlignment="1" pivotButton="0" quotePrefix="0" xfId="0">
      <alignment horizontal="right" vertical="center"/>
    </xf>
    <xf numFmtId="168" fontId="0" fillId="0" borderId="6" applyAlignment="1" pivotButton="0" quotePrefix="0" xfId="0">
      <alignment horizontal="right" vertical="center"/>
    </xf>
    <xf numFmtId="9" fontId="7" fillId="0" borderId="3" applyAlignment="1" pivotButton="0" quotePrefix="0" xfId="0">
      <alignment horizontal="left" vertical="center"/>
    </xf>
    <xf numFmtId="0" fontId="18" fillId="14" borderId="6" applyAlignment="1" pivotButton="0" quotePrefix="0" xfId="0">
      <alignment horizontal="left" vertical="center"/>
    </xf>
    <xf numFmtId="167" fontId="0" fillId="14" borderId="6" applyAlignment="1" pivotButton="0" quotePrefix="0" xfId="0">
      <alignment horizontal="right" vertical="center"/>
    </xf>
    <xf numFmtId="167" fontId="18" fillId="14" borderId="6" applyAlignment="1" pivotButton="0" quotePrefix="0" xfId="0">
      <alignment horizontal="right" vertical="center"/>
    </xf>
    <xf numFmtId="175" fontId="7" fillId="14" borderId="3" applyAlignment="1" pivotButton="0" quotePrefix="0" xfId="0">
      <alignment horizontal="left" vertical="center"/>
    </xf>
    <xf numFmtId="167" fontId="4" fillId="14" borderId="6" applyAlignment="1" pivotButton="0" quotePrefix="0" xfId="0">
      <alignment horizontal="right" vertical="center"/>
    </xf>
    <xf numFmtId="168" fontId="0" fillId="14" borderId="6" applyAlignment="1" pivotButton="0" quotePrefix="0" xfId="0">
      <alignment horizontal="right" vertical="center"/>
    </xf>
    <xf numFmtId="167" fontId="4" fillId="12" borderId="6" applyAlignment="1" pivotButton="0" quotePrefix="0" xfId="0">
      <alignment horizontal="right" vertical="bottom"/>
    </xf>
    <xf numFmtId="175" fontId="9" fillId="12" borderId="3" applyAlignment="1" pivotButton="0" quotePrefix="0" xfId="0">
      <alignment horizontal="right" vertical="center"/>
    </xf>
    <xf numFmtId="168" fontId="4" fillId="12" borderId="6" applyAlignment="1" pivotButton="0" quotePrefix="0" xfId="0">
      <alignment horizontal="right" vertical="bottom"/>
    </xf>
    <xf numFmtId="175" fontId="4" fillId="12" borderId="3" applyAlignment="1" pivotButton="0" quotePrefix="0" xfId="0">
      <alignment horizontal="right" vertical="center"/>
    </xf>
    <xf numFmtId="9" fontId="4" fillId="12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169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general" vertical="bottom"/>
    </xf>
    <xf numFmtId="176" fontId="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right" vertical="bottom"/>
    </xf>
    <xf numFmtId="0" fontId="23" fillId="3" borderId="6" applyAlignment="1" pivotButton="0" quotePrefix="0" xfId="0">
      <alignment horizontal="left" vertical="center" wrapText="1"/>
    </xf>
    <xf numFmtId="164" fontId="23" fillId="3" borderId="6" applyAlignment="1" pivotButton="0" quotePrefix="0" xfId="0">
      <alignment horizontal="center" vertical="bottom" textRotation="90"/>
    </xf>
    <xf numFmtId="177" fontId="26" fillId="0" borderId="0" applyAlignment="1" pivotButton="0" quotePrefix="0" xfId="0">
      <alignment horizontal="general" vertical="bottom"/>
    </xf>
    <xf numFmtId="178" fontId="30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79" fontId="0" fillId="0" borderId="0" applyAlignment="1" pivotButton="0" quotePrefix="0" xfId="0">
      <alignment horizontal="general" vertical="bottom"/>
    </xf>
    <xf numFmtId="180" fontId="4" fillId="0" borderId="0" applyAlignment="1" pivotButton="0" quotePrefix="0" xfId="0">
      <alignment horizontal="center" vertical="bottom"/>
    </xf>
    <xf numFmtId="181" fontId="4" fillId="0" borderId="0" applyAlignment="1" pivotButton="0" quotePrefix="0" xfId="0">
      <alignment horizontal="center" vertical="bottom"/>
    </xf>
    <xf numFmtId="0" fontId="9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180" fontId="9" fillId="15" borderId="0" applyAlignment="1" pivotButton="0" quotePrefix="0" xfId="0">
      <alignment horizontal="center" vertical="bottom"/>
    </xf>
    <xf numFmtId="181" fontId="9" fillId="15" borderId="0" applyAlignment="1" pivotButton="0" quotePrefix="0" xfId="0">
      <alignment horizontal="center" vertical="bottom"/>
    </xf>
    <xf numFmtId="177" fontId="34" fillId="16" borderId="6" applyAlignment="1" pivotButton="0" quotePrefix="0" xfId="0">
      <alignment horizontal="general" vertical="bottom"/>
    </xf>
    <xf numFmtId="180" fontId="26" fillId="0" borderId="0" applyAlignment="1" pivotButton="0" quotePrefix="0" xfId="0">
      <alignment horizontal="center" vertical="bottom"/>
    </xf>
    <xf numFmtId="182" fontId="4" fillId="0" borderId="0" applyAlignment="1" pivotButton="0" quotePrefix="0" xfId="0">
      <alignment horizontal="center" vertical="bottom"/>
    </xf>
    <xf numFmtId="0" fontId="23" fillId="3" borderId="6" applyAlignment="1" pivotButton="0" quotePrefix="0" xfId="0">
      <alignment horizontal="left" vertical="center"/>
    </xf>
    <xf numFmtId="0" fontId="23" fillId="3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left" vertical="center"/>
    </xf>
    <xf numFmtId="177" fontId="30" fillId="0" borderId="6" applyAlignment="1" pivotButton="0" quotePrefix="0" xfId="0">
      <alignment horizontal="right" vertical="center"/>
    </xf>
    <xf numFmtId="1" fontId="30" fillId="0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center" vertical="center"/>
    </xf>
    <xf numFmtId="10" fontId="30" fillId="0" borderId="6" applyAlignment="1" pivotButton="0" quotePrefix="0" xfId="0">
      <alignment horizontal="right" vertical="center"/>
    </xf>
    <xf numFmtId="0" fontId="30" fillId="14" borderId="6" applyAlignment="1" pivotButton="0" quotePrefix="0" xfId="0">
      <alignment horizontal="left" vertical="center"/>
    </xf>
    <xf numFmtId="177" fontId="30" fillId="14" borderId="6" applyAlignment="1" pivotButton="0" quotePrefix="0" xfId="0">
      <alignment horizontal="right" vertical="center"/>
    </xf>
    <xf numFmtId="1" fontId="30" fillId="14" borderId="6" applyAlignment="1" pivotButton="0" quotePrefix="0" xfId="0">
      <alignment horizontal="center" vertical="center"/>
    </xf>
    <xf numFmtId="0" fontId="30" fillId="14" borderId="6" applyAlignment="1" pivotButton="0" quotePrefix="0" xfId="0">
      <alignment horizontal="center" vertical="center"/>
    </xf>
    <xf numFmtId="10" fontId="30" fillId="14" borderId="6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right" vertical="center"/>
    </xf>
    <xf numFmtId="1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10" fontId="30" fillId="0" borderId="0" applyAlignment="1" pivotButton="0" quotePrefix="0" xfId="0">
      <alignment horizontal="right" vertical="center"/>
    </xf>
    <xf numFmtId="0" fontId="4" fillId="12" borderId="6" applyAlignment="1" pivotButton="0" quotePrefix="0" xfId="0">
      <alignment horizontal="left" vertical="center"/>
    </xf>
    <xf numFmtId="0" fontId="4" fillId="12" borderId="6" applyAlignment="1" pivotButton="0" quotePrefix="0" xfId="0">
      <alignment horizontal="center" vertical="center"/>
    </xf>
    <xf numFmtId="177" fontId="4" fillId="12" borderId="6" applyAlignment="1" pivotButton="0" quotePrefix="0" xfId="0">
      <alignment horizontal="center" vertical="center"/>
    </xf>
    <xf numFmtId="1" fontId="4" fillId="12" borderId="6" applyAlignment="1" pivotButton="0" quotePrefix="0" xfId="0">
      <alignment horizontal="center" vertical="center"/>
    </xf>
    <xf numFmtId="10" fontId="4" fillId="12" borderId="6" applyAlignment="1" pivotButton="0" quotePrefix="0" xfId="0">
      <alignment horizontal="center" vertical="center"/>
    </xf>
    <xf numFmtId="3" fontId="17" fillId="0" borderId="0" applyAlignment="1" pivotButton="0" quotePrefix="0" xfId="0">
      <alignment horizontal="general" vertical="bottom"/>
    </xf>
    <xf numFmtId="169" fontId="17" fillId="0" borderId="0" applyAlignment="1" pivotButton="0" quotePrefix="0" xfId="0">
      <alignment horizontal="general" vertical="bottom"/>
    </xf>
    <xf numFmtId="169" fontId="18" fillId="0" borderId="0" applyAlignment="1" pivotButton="0" quotePrefix="0" xfId="0">
      <alignment horizontal="general" vertical="bottom"/>
    </xf>
    <xf numFmtId="0" fontId="23" fillId="17" borderId="0" applyAlignment="1" pivotButton="0" quotePrefix="0" xfId="0">
      <alignment horizontal="general" vertical="bottom"/>
    </xf>
    <xf numFmtId="0" fontId="35" fillId="18" borderId="0" applyAlignment="1" pivotButton="0" quotePrefix="0" xfId="0">
      <alignment horizontal="general" vertical="bottom"/>
    </xf>
    <xf numFmtId="0" fontId="18" fillId="19" borderId="2" applyAlignment="1" pivotButton="0" quotePrefix="0" xfId="0">
      <alignment horizontal="general" vertical="bottom"/>
    </xf>
    <xf numFmtId="169" fontId="18" fillId="20" borderId="2" applyAlignment="1" pivotButton="0" quotePrefix="0" xfId="0">
      <alignment horizontal="general" vertical="bottom"/>
    </xf>
    <xf numFmtId="0" fontId="18" fillId="19" borderId="11" applyAlignment="1" pivotButton="0" quotePrefix="0" xfId="0">
      <alignment horizontal="general" vertical="bottom"/>
    </xf>
    <xf numFmtId="169" fontId="18" fillId="20" borderId="11" applyAlignment="1" pivotButton="0" quotePrefix="0" xfId="0">
      <alignment horizontal="general" vertical="bottom"/>
    </xf>
    <xf numFmtId="0" fontId="23" fillId="21" borderId="0" applyAlignment="1" pivotButton="0" quotePrefix="0" xfId="0">
      <alignment horizontal="general" vertical="bottom"/>
    </xf>
    <xf numFmtId="0" fontId="18" fillId="19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3" fontId="18" fillId="19" borderId="0" applyAlignment="1" pivotButton="0" quotePrefix="0" xfId="0">
      <alignment horizontal="general" vertical="bottom"/>
    </xf>
    <xf numFmtId="169" fontId="18" fillId="19" borderId="0" applyAlignment="1" pivotButton="0" quotePrefix="0" xfId="0">
      <alignment horizontal="general" vertical="bottom"/>
    </xf>
    <xf numFmtId="0" fontId="23" fillId="22" borderId="0" applyAlignment="1" pivotButton="0" quotePrefix="0" xfId="0">
      <alignment horizontal="general" vertical="bottom"/>
    </xf>
    <xf numFmtId="0" fontId="18" fillId="23" borderId="0" applyAlignment="1" pivotButton="0" quotePrefix="0" xfId="0">
      <alignment horizontal="general" vertical="bottom"/>
    </xf>
    <xf numFmtId="169" fontId="18" fillId="23" borderId="0" applyAlignment="1" pivotButton="0" quotePrefix="0" xfId="0">
      <alignment horizontal="general" vertical="bottom"/>
    </xf>
    <xf numFmtId="0" fontId="23" fillId="24" borderId="0" applyAlignment="1" pivotButton="0" quotePrefix="0" xfId="0">
      <alignment horizontal="general" vertical="bottom"/>
    </xf>
    <xf numFmtId="0" fontId="18" fillId="25" borderId="0" applyAlignment="1" pivotButton="0" quotePrefix="0" xfId="0">
      <alignment horizontal="general" vertical="bottom"/>
    </xf>
    <xf numFmtId="169" fontId="18" fillId="25" borderId="0" applyAlignment="1" pivotButton="0" quotePrefix="0" xfId="0">
      <alignment horizontal="general" vertical="bottom"/>
    </xf>
    <xf numFmtId="0" fontId="23" fillId="11" borderId="0" applyAlignment="1" pivotButton="0" quotePrefix="0" xfId="0">
      <alignment horizontal="general" vertical="bottom"/>
    </xf>
    <xf numFmtId="0" fontId="18" fillId="20" borderId="0" applyAlignment="1" pivotButton="0" quotePrefix="0" xfId="0">
      <alignment horizontal="general" vertical="bottom"/>
    </xf>
    <xf numFmtId="169" fontId="18" fillId="2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 wrapText="1"/>
    </xf>
    <xf numFmtId="0" fontId="23" fillId="26" borderId="0" applyAlignment="1" pivotButton="0" quotePrefix="0" xfId="0">
      <alignment horizontal="general" vertical="bottom"/>
    </xf>
    <xf numFmtId="174" fontId="17" fillId="0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9" fontId="37" fillId="2" borderId="0" applyAlignment="1" pivotButton="0" quotePrefix="0" xfId="0">
      <alignment horizontal="general" vertical="bottom"/>
    </xf>
    <xf numFmtId="0" fontId="4" fillId="5" borderId="1" applyAlignment="1" pivotButton="0" quotePrefix="0" xfId="0">
      <alignment horizontal="general" vertical="bottom"/>
    </xf>
    <xf numFmtId="169" fontId="4" fillId="5" borderId="1" applyAlignment="1" pivotButton="0" quotePrefix="0" xfId="0">
      <alignment horizontal="general" vertical="bottom"/>
    </xf>
    <xf numFmtId="169" fontId="4" fillId="2" borderId="0" applyAlignment="1" pivotButton="0" quotePrefix="0" xfId="0">
      <alignment horizontal="general" vertical="bottom"/>
    </xf>
    <xf numFmtId="0" fontId="38" fillId="2" borderId="0" applyAlignment="1" pivotButton="0" quotePrefix="0" xfId="0">
      <alignment horizontal="general" vertical="bottom"/>
    </xf>
    <xf numFmtId="169" fontId="38" fillId="2" borderId="0" applyAlignment="1" pivotButton="0" quotePrefix="0" xfId="0">
      <alignment horizontal="general" vertical="bottom"/>
    </xf>
    <xf numFmtId="164" fontId="22" fillId="2" borderId="0" applyAlignment="1" pivotButton="0" quotePrefix="0" xfId="0">
      <alignment horizontal="general" vertical="bottom"/>
    </xf>
    <xf numFmtId="0" fontId="39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10" fontId="37" fillId="2" borderId="0" applyAlignment="1" pivotButton="0" quotePrefix="0" xfId="0">
      <alignment horizontal="general" vertical="bottom"/>
    </xf>
    <xf numFmtId="10" fontId="27" fillId="27" borderId="0" applyAlignment="1" pivotButton="0" quotePrefix="0" xfId="0">
      <alignment horizontal="general" vertical="bottom"/>
    </xf>
    <xf numFmtId="10" fontId="22" fillId="2" borderId="0" applyAlignment="1" pivotButton="0" quotePrefix="0" xfId="0">
      <alignment horizontal="general" vertical="bottom"/>
    </xf>
    <xf numFmtId="169" fontId="27" fillId="27" borderId="0" applyAlignment="1" pivotButton="0" quotePrefix="0" xfId="0">
      <alignment horizontal="general" vertical="bottom"/>
    </xf>
    <xf numFmtId="169" fontId="22" fillId="2" borderId="0" applyAlignment="1" pivotButton="0" quotePrefix="0" xfId="0">
      <alignment horizontal="general" vertical="bottom"/>
    </xf>
    <xf numFmtId="3" fontId="27" fillId="2" borderId="0" applyAlignment="1" pivotButton="0" quotePrefix="0" xfId="0">
      <alignment horizontal="general" vertical="bottom"/>
    </xf>
    <xf numFmtId="3" fontId="27" fillId="27" borderId="0" applyAlignment="1" pivotButton="0" quotePrefix="0" xfId="0">
      <alignment horizontal="general" vertical="bottom"/>
    </xf>
    <xf numFmtId="3" fontId="22" fillId="2" borderId="0" applyAlignment="1" pivotButton="0" quotePrefix="0" xfId="0">
      <alignment horizontal="general" vertical="bottom"/>
    </xf>
    <xf numFmtId="169" fontId="27" fillId="2" borderId="0" applyAlignment="1" pivotButton="0" quotePrefix="0" xfId="0">
      <alignment horizontal="general" vertical="bottom"/>
    </xf>
    <xf numFmtId="0" fontId="3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169" fontId="9" fillId="6" borderId="1" applyAlignment="1" pivotButton="0" quotePrefix="0" xfId="0">
      <alignment horizontal="general" vertical="bottom"/>
    </xf>
    <xf numFmtId="0" fontId="4" fillId="9" borderId="1" applyAlignment="1" pivotButton="0" quotePrefix="0" xfId="0">
      <alignment horizontal="general" vertical="bottom"/>
    </xf>
    <xf numFmtId="169" fontId="4" fillId="9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0" fontId="5" fillId="2" borderId="0" applyAlignment="1" pivotButton="0" quotePrefix="0" xfId="0">
      <alignment horizontal="center" vertical="bottom"/>
    </xf>
    <xf numFmtId="10" fontId="6" fillId="2" borderId="0" applyAlignment="1" pivotButton="0" quotePrefix="0" xfId="0">
      <alignment horizontal="general" vertical="bottom"/>
    </xf>
    <xf numFmtId="169" fontId="4" fillId="27" borderId="0" applyAlignment="1" pivotButton="0" quotePrefix="0" xfId="0">
      <alignment horizontal="general" vertical="bottom"/>
    </xf>
    <xf numFmtId="169" fontId="27" fillId="9" borderId="1" applyAlignment="1" pivotButton="0" quotePrefix="0" xfId="0">
      <alignment horizontal="general" vertical="bottom"/>
    </xf>
    <xf numFmtId="169" fontId="22" fillId="9" borderId="1" applyAlignment="1" pivotButton="0" quotePrefix="0" xfId="0">
      <alignment horizontal="general" vertical="bottom"/>
    </xf>
    <xf numFmtId="10" fontId="27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general" vertical="bottom"/>
    </xf>
    <xf numFmtId="169" fontId="9" fillId="2" borderId="0" applyAlignment="1" pivotButton="0" quotePrefix="0" xfId="0">
      <alignment horizontal="general" vertical="bottom"/>
    </xf>
    <xf numFmtId="10" fontId="2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76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7" fillId="27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169" fontId="22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4" fontId="17" fillId="0" borderId="0" applyAlignment="1" pivotButton="0" quotePrefix="0" xfId="0">
      <alignment horizontal="general" vertical="bottom"/>
    </xf>
    <xf numFmtId="0" fontId="23" fillId="28" borderId="0" applyAlignment="1" pivotButton="0" quotePrefix="0" xfId="0">
      <alignment horizontal="general" vertical="bottom"/>
    </xf>
    <xf numFmtId="0" fontId="17" fillId="29" borderId="12" applyAlignment="1" pivotButton="0" quotePrefix="0" xfId="0">
      <alignment horizontal="general" vertical="bottom"/>
    </xf>
    <xf numFmtId="169" fontId="17" fillId="29" borderId="12" applyAlignment="1" pivotButton="0" quotePrefix="0" xfId="0">
      <alignment horizontal="right" vertical="bottom"/>
    </xf>
    <xf numFmtId="0" fontId="17" fillId="7" borderId="12" applyAlignment="1" pivotButton="0" quotePrefix="0" xfId="0">
      <alignment horizontal="general" vertical="bottom"/>
    </xf>
    <xf numFmtId="169" fontId="17" fillId="7" borderId="12" applyAlignment="1" pivotButton="0" quotePrefix="0" xfId="0">
      <alignment horizontal="right" vertical="bottom"/>
    </xf>
    <xf numFmtId="3" fontId="17" fillId="29" borderId="12" applyAlignment="1" pivotButton="0" quotePrefix="0" xfId="0">
      <alignment horizontal="right" vertical="bottom"/>
    </xf>
    <xf numFmtId="0" fontId="23" fillId="3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22" fillId="30" borderId="0" applyAlignment="1" pivotButton="0" quotePrefix="0" xfId="0">
      <alignment horizontal="right" vertical="bottom"/>
    </xf>
    <xf numFmtId="0" fontId="22" fillId="0" borderId="3" applyAlignment="1" pivotButton="0" quotePrefix="0" xfId="0">
      <alignment horizontal="left" vertical="center"/>
    </xf>
    <xf numFmtId="175" fontId="4" fillId="30" borderId="3" applyAlignment="1" pivotButton="0" quotePrefix="0" xfId="0">
      <alignment horizontal="right" vertical="center"/>
    </xf>
    <xf numFmtId="9" fontId="9" fillId="30" borderId="3" applyAlignment="1" pivotButton="0" quotePrefix="0" xfId="0">
      <alignment horizontal="center" vertical="center"/>
    </xf>
    <xf numFmtId="183" fontId="22" fillId="0" borderId="0" applyAlignment="1" pivotButton="0" quotePrefix="0" xfId="0">
      <alignment horizontal="general" vertical="bottom"/>
    </xf>
    <xf numFmtId="169" fontId="4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69" fontId="38" fillId="0" borderId="0" applyAlignment="1" pivotButton="0" quotePrefix="0" xfId="0">
      <alignment horizontal="general" vertical="bottom"/>
    </xf>
    <xf numFmtId="184" fontId="0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169" fontId="18" fillId="0" borderId="13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horizontal="center" vertical="bottom"/>
    </xf>
    <xf numFmtId="0" fontId="17" fillId="0" borderId="14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31" borderId="0" applyAlignment="1" pivotButton="0" quotePrefix="0" xfId="0">
      <alignment horizontal="general" vertical="bottom"/>
    </xf>
    <xf numFmtId="169" fontId="23" fillId="31" borderId="0" applyAlignment="1" pivotButton="0" quotePrefix="0" xfId="0">
      <alignment horizontal="general" vertical="bottom"/>
    </xf>
    <xf numFmtId="0" fontId="17" fillId="29" borderId="0" applyAlignment="1" pivotButton="0" quotePrefix="0" xfId="0">
      <alignment horizontal="general" vertical="bottom"/>
    </xf>
    <xf numFmtId="169" fontId="17" fillId="29" borderId="0" applyAlignment="1" pivotButton="0" quotePrefix="0" xfId="0">
      <alignment horizontal="general" vertical="bottom"/>
    </xf>
    <xf numFmtId="0" fontId="10" fillId="0" borderId="13" applyAlignment="1" pivotButton="0" quotePrefix="0" xfId="0">
      <alignment horizontal="general" vertical="bottom"/>
    </xf>
    <xf numFmtId="169" fontId="10" fillId="0" borderId="13" applyAlignment="1" pivotButton="0" quotePrefix="0" xfId="0">
      <alignment horizontal="general" vertical="bottom"/>
    </xf>
    <xf numFmtId="169" fontId="23" fillId="28" borderId="0" applyAlignment="1" pivotButton="0" quotePrefix="0" xfId="0">
      <alignment horizontal="general" vertical="bottom"/>
    </xf>
    <xf numFmtId="0" fontId="17" fillId="19" borderId="0" applyAlignment="1" pivotButton="0" quotePrefix="0" xfId="0">
      <alignment horizontal="general" vertical="bottom"/>
    </xf>
    <xf numFmtId="169" fontId="17" fillId="19" borderId="0" applyAlignment="1" pivotButton="0" quotePrefix="0" xfId="0">
      <alignment horizontal="general" vertical="bottom"/>
    </xf>
    <xf numFmtId="0" fontId="40" fillId="19" borderId="0" applyAlignment="1" pivotButton="0" quotePrefix="0" xfId="0">
      <alignment horizontal="general" vertical="bottom"/>
    </xf>
    <xf numFmtId="169" fontId="40" fillId="19" borderId="0" applyAlignment="1" pivotButton="0" quotePrefix="0" xfId="0">
      <alignment horizontal="general" vertical="bottom"/>
    </xf>
    <xf numFmtId="0" fontId="23" fillId="32" borderId="13" applyAlignment="1" pivotButton="0" quotePrefix="0" xfId="0">
      <alignment horizontal="general" vertical="bottom"/>
    </xf>
    <xf numFmtId="169" fontId="23" fillId="32" borderId="13" applyAlignment="1" pivotButton="0" quotePrefix="0" xfId="0">
      <alignment horizontal="general" vertical="bottom"/>
    </xf>
    <xf numFmtId="0" fontId="17" fillId="23" borderId="0" applyAlignment="1" pivotButton="0" quotePrefix="0" xfId="0">
      <alignment horizontal="general" vertical="bottom"/>
    </xf>
    <xf numFmtId="169" fontId="17" fillId="23" borderId="0" applyAlignment="1" pivotButton="0" quotePrefix="0" xfId="0">
      <alignment horizontal="general" vertical="bottom"/>
    </xf>
    <xf numFmtId="0" fontId="17" fillId="32" borderId="0" applyAlignment="1" pivotButton="0" quotePrefix="0" xfId="0">
      <alignment horizontal="general" vertical="bottom"/>
    </xf>
    <xf numFmtId="169" fontId="17" fillId="32" borderId="0" applyAlignment="1" pivotButton="0" quotePrefix="0" xfId="0">
      <alignment horizontal="general" vertical="bottom"/>
    </xf>
    <xf numFmtId="169" fontId="40" fillId="0" borderId="0" applyAlignment="1" pivotButton="0" quotePrefix="0" xfId="0">
      <alignment horizontal="general" vertical="bottom"/>
    </xf>
    <xf numFmtId="0" fontId="23" fillId="33" borderId="0" applyAlignment="1" pivotButton="0" quotePrefix="0" xfId="0">
      <alignment horizontal="general" vertical="bottom"/>
    </xf>
    <xf numFmtId="169" fontId="23" fillId="33" borderId="0" applyAlignment="1" pivotButton="0" quotePrefix="0" xfId="0">
      <alignment horizontal="general" vertical="bottom"/>
    </xf>
    <xf numFmtId="0" fontId="17" fillId="0" borderId="13" applyAlignment="1" pivotButton="0" quotePrefix="0" xfId="0">
      <alignment horizontal="general" vertical="bottom"/>
    </xf>
    <xf numFmtId="169" fontId="17" fillId="0" borderId="13" applyAlignment="1" pivotButton="0" quotePrefix="0" xfId="0">
      <alignment horizontal="general" vertical="bottom"/>
    </xf>
    <xf numFmtId="0" fontId="17" fillId="33" borderId="0" applyAlignment="1" pivotButton="0" quotePrefix="0" xfId="0">
      <alignment horizontal="general" vertical="bottom"/>
    </xf>
    <xf numFmtId="169" fontId="17" fillId="33" borderId="0" applyAlignment="1" pivotButton="0" quotePrefix="0" xfId="0">
      <alignment horizontal="general" vertical="bottom"/>
    </xf>
    <xf numFmtId="0" fontId="17" fillId="25" borderId="0" applyAlignment="1" pivotButton="0" quotePrefix="0" xfId="0">
      <alignment horizontal="general" vertical="bottom"/>
    </xf>
    <xf numFmtId="169" fontId="17" fillId="25" borderId="0" applyAlignment="1" pivotButton="0" quotePrefix="0" xfId="0">
      <alignment horizontal="general" vertical="bottom"/>
    </xf>
    <xf numFmtId="0" fontId="40" fillId="25" borderId="0" applyAlignment="1" pivotButton="0" quotePrefix="0" xfId="0">
      <alignment horizontal="general" vertical="bottom"/>
    </xf>
    <xf numFmtId="169" fontId="40" fillId="25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74" fontId="0" fillId="0" borderId="0" applyAlignment="1" pivotButton="0" quotePrefix="0" xfId="0">
      <alignment horizontal="general" vertical="bottom"/>
    </xf>
    <xf numFmtId="1" fontId="23" fillId="3" borderId="0" applyAlignment="1" pivotButton="0" quotePrefix="0" xfId="0">
      <alignment horizontal="center" vertical="center" wrapText="1"/>
    </xf>
    <xf numFmtId="165" fontId="23" fillId="3" borderId="0" applyAlignment="1" pivotButton="0" quotePrefix="0" xfId="0">
      <alignment horizontal="center" vertical="center" wrapText="1"/>
    </xf>
    <xf numFmtId="9" fontId="23" fillId="3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center" wrapText="1"/>
    </xf>
    <xf numFmtId="169" fontId="30" fillId="0" borderId="0" applyAlignment="1" pivotButton="0" quotePrefix="0" xfId="0">
      <alignment horizontal="general" vertical="bottom"/>
    </xf>
    <xf numFmtId="1" fontId="30" fillId="0" borderId="0" applyAlignment="1" pivotButton="0" quotePrefix="0" xfId="0">
      <alignment horizontal="center" vertical="bottom"/>
    </xf>
    <xf numFmtId="164" fontId="30" fillId="0" borderId="0" applyAlignment="1" pivotButton="0" quotePrefix="0" xfId="0">
      <alignment horizontal="center" vertical="bottom"/>
    </xf>
    <xf numFmtId="1" fontId="27" fillId="0" borderId="0" applyAlignment="1" pivotButton="0" quotePrefix="0" xfId="0">
      <alignment horizontal="center" vertical="bottom"/>
    </xf>
    <xf numFmtId="1" fontId="5" fillId="3" borderId="0" applyAlignment="1" pivotButton="0" quotePrefix="0" xfId="0">
      <alignment horizontal="center" vertical="bottom"/>
    </xf>
    <xf numFmtId="0" fontId="29" fillId="0" borderId="15" applyAlignment="1" pivotButton="0" quotePrefix="0" xfId="0">
      <alignment horizontal="general" vertical="bottom"/>
    </xf>
    <xf numFmtId="169" fontId="29" fillId="0" borderId="15" applyAlignment="1" pivotButton="0" quotePrefix="0" xfId="0">
      <alignment horizontal="general" vertical="bottom"/>
    </xf>
    <xf numFmtId="0" fontId="9" fillId="0" borderId="15" applyAlignment="1" pivotButton="0" quotePrefix="0" xfId="0">
      <alignment horizontal="general" vertical="bottom"/>
    </xf>
    <xf numFmtId="169" fontId="9" fillId="0" borderId="15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EAEDF2"/>
      <rgbColor rgb="FF0000FF"/>
      <rgbColor rgb="FFFFFF00"/>
      <rgbColor rgb="FFF2F2F2"/>
      <rgbColor rgb="FFE2E7F0"/>
      <rgbColor rgb="FF800000"/>
      <rgbColor rgb="FF008000"/>
      <rgbColor rgb="FF1E2C44"/>
      <rgbColor rgb="FF717F4B"/>
      <rgbColor rgb="FFF8FAFC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EDEFF3"/>
      <rgbColor rgb="FFB4C6E7"/>
      <rgbColor rgb="FF2C3A51"/>
      <rgbColor rgb="FFF5F5F5"/>
      <rgbColor rgb="FFF1E4DB"/>
      <rgbColor rgb="FFE3E8F0"/>
      <rgbColor rgb="FF800080"/>
      <rgbColor rgb="FF800000"/>
      <rgbColor rgb="FF548235"/>
      <rgbColor rgb="FF0000FF"/>
      <rgbColor rgb="FFE8ECF1"/>
      <rgbColor rgb="FFDCE6F1"/>
      <rgbColor rgb="FFD4EDDA"/>
      <rgbColor rgb="FFFDEBD0"/>
      <rgbColor rgb="FFD6DCE4"/>
      <rgbColor rgb="FFE0E0E0"/>
      <rgbColor rgb="FFD9DDE5"/>
      <rgbColor rgb="FFF8D7DA"/>
      <rgbColor rgb="FF2E75B6"/>
      <rgbColor rgb="FFD6E4F0"/>
      <rgbColor rgb="FF7B9464"/>
      <rgbColor rgb="FFFCE4D6"/>
      <rgbColor rgb="FFFBE9E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Unknown Author</author>
  </authors>
  <commentList>
    <comment ref="A118" authorId="0" shapeId="0">
      <text>
        <t>Bridge from entity ledger net income (Actuals tab, ties to standalone P&amp;Ls) to the Model consolidated net income. Model books interest, tax, D&amp;A and bonding on its own schedules. = Model consolidated NI minus (ledger GC NI + ledger Six Peak NI).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VX311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baseColWidth="8" defaultColWidth="8.71875" defaultRowHeight="15" zeroHeight="0" outlineLevelRow="1"/>
  <cols>
    <col width="83.56999999999999" customWidth="1" style="381" min="1" max="1"/>
    <col width="14" customWidth="1" style="381" min="2" max="98"/>
    <col width="13" customWidth="1" style="381" min="99" max="109"/>
    <col width="11.57" customWidth="1" style="381" min="16384" max="16384"/>
  </cols>
  <sheetData>
    <row r="1" ht="17.25" customFormat="1" customHeight="1" s="381">
      <c r="A1" s="382" t="inlineStr">
        <is>
          <t>Six Peak Capital - Financial Projections</t>
        </is>
      </c>
      <c r="H1" s="383" t="n"/>
      <c r="I1" s="383" t="n"/>
      <c r="J1" s="383" t="n"/>
      <c r="K1" s="383" t="n"/>
      <c r="L1" s="383" t="n"/>
      <c r="M1" s="383" t="n"/>
      <c r="N1" s="383" t="n"/>
      <c r="O1" s="383" t="n"/>
      <c r="P1" s="383" t="n"/>
      <c r="Q1" s="383" t="n"/>
      <c r="R1" s="383" t="n"/>
      <c r="S1" s="383" t="n"/>
      <c r="T1" s="383" t="n"/>
      <c r="U1" s="383" t="n"/>
      <c r="V1" s="383" t="n"/>
      <c r="W1" s="383" t="n"/>
      <c r="X1" s="383" t="n"/>
      <c r="Y1" s="383" t="n"/>
      <c r="Z1" s="383" t="n"/>
      <c r="AA1" s="383" t="n"/>
      <c r="AB1" s="383" t="n"/>
      <c r="AC1" s="383" t="n"/>
      <c r="AD1" s="383" t="n"/>
      <c r="AE1" s="383" t="n"/>
      <c r="AF1" s="383" t="n"/>
      <c r="AG1" s="383" t="n"/>
      <c r="AH1" s="383" t="n"/>
      <c r="AI1" s="383" t="n"/>
      <c r="AJ1" s="383" t="n"/>
      <c r="AK1" s="383" t="n"/>
      <c r="AL1" s="383" t="n"/>
      <c r="AM1" s="383" t="n"/>
      <c r="AN1" s="383" t="n"/>
      <c r="AO1" s="383" t="n"/>
      <c r="AP1" s="383" t="n"/>
      <c r="AQ1" s="383" t="n"/>
      <c r="AR1" s="383" t="n"/>
      <c r="AS1" s="383" t="n"/>
      <c r="AT1" s="383" t="n"/>
      <c r="AU1" s="383" t="n"/>
      <c r="AV1" s="383" t="n"/>
      <c r="AW1" s="383" t="n"/>
      <c r="AX1" s="383" t="n"/>
      <c r="AY1" s="383" t="n"/>
      <c r="AZ1" s="383" t="n"/>
      <c r="BA1" s="383" t="n"/>
      <c r="BB1" s="383" t="n"/>
      <c r="BC1" s="383" t="n"/>
      <c r="BD1" s="383" t="n"/>
      <c r="BE1" s="383" t="n"/>
      <c r="BF1" s="383" t="n"/>
      <c r="BG1" s="383" t="n"/>
      <c r="BH1" s="383" t="n"/>
      <c r="BI1" s="383" t="n"/>
      <c r="BJ1" s="383" t="n"/>
      <c r="BK1" s="383" t="n"/>
      <c r="BL1" s="383" t="n"/>
      <c r="BM1" s="383" t="n"/>
      <c r="BN1" s="383" t="n"/>
      <c r="BO1" s="383" t="n"/>
      <c r="BP1" s="383" t="n"/>
      <c r="BQ1" s="383" t="n"/>
      <c r="BR1" s="383" t="n"/>
      <c r="BS1" s="383" t="n"/>
      <c r="BT1" s="383" t="n"/>
      <c r="BU1" s="383" t="n"/>
      <c r="BV1" s="383" t="n"/>
      <c r="BW1" s="383" t="n"/>
      <c r="BX1" s="383" t="n"/>
      <c r="BY1" s="383" t="n"/>
      <c r="BZ1" s="383" t="n"/>
      <c r="CA1" s="383" t="n"/>
      <c r="CB1" s="383" t="n"/>
      <c r="CC1" s="383" t="n"/>
      <c r="CD1" s="383" t="n"/>
      <c r="CE1" s="383" t="n"/>
      <c r="CF1" s="383" t="n"/>
      <c r="CG1" s="383" t="n"/>
      <c r="CH1" s="383" t="n"/>
      <c r="CI1" s="383" t="n"/>
      <c r="CJ1" s="383" t="n"/>
      <c r="CK1" s="383" t="n"/>
      <c r="CL1" s="383" t="n"/>
      <c r="CM1" s="383" t="n"/>
      <c r="CN1" s="383" t="n"/>
      <c r="CO1" s="383" t="n"/>
      <c r="CP1" s="383" t="n"/>
      <c r="CQ1" s="383" t="n"/>
      <c r="CR1" s="383" t="n"/>
      <c r="CS1" s="383" t="n"/>
      <c r="CT1" s="383" t="n"/>
      <c r="CU1" s="383" t="n"/>
      <c r="CV1" s="383" t="n"/>
      <c r="CW1" s="383" t="n"/>
      <c r="CX1" s="383" t="n"/>
      <c r="CY1" s="383" t="n"/>
      <c r="CZ1" s="383" t="n"/>
      <c r="DA1" s="383" t="n"/>
      <c r="DB1" s="383" t="n"/>
      <c r="DC1" s="383" t="n"/>
      <c r="DD1" s="383" t="n"/>
      <c r="DE1" s="383" t="n"/>
    </row>
    <row r="2" ht="15" customFormat="1" customHeight="1" s="381">
      <c r="A2" s="384" t="n"/>
      <c r="B2" s="385" t="n">
        <v>46023</v>
      </c>
      <c r="C2" s="385" t="n">
        <v>46054</v>
      </c>
      <c r="D2" s="385" t="n">
        <v>46082</v>
      </c>
      <c r="E2" s="385" t="n">
        <v>46113</v>
      </c>
      <c r="F2" s="385" t="n">
        <v>46143</v>
      </c>
      <c r="G2" s="385" t="n">
        <v>46174</v>
      </c>
      <c r="H2" s="385" t="n">
        <v>46204</v>
      </c>
      <c r="I2" s="385" t="n">
        <v>46235</v>
      </c>
      <c r="J2" s="385" t="n">
        <v>46266</v>
      </c>
      <c r="K2" s="385" t="n">
        <v>46296</v>
      </c>
      <c r="L2" s="385" t="n">
        <v>46327</v>
      </c>
      <c r="M2" s="385" t="n">
        <v>46357</v>
      </c>
      <c r="N2" s="385" t="n">
        <v>46388</v>
      </c>
      <c r="O2" s="385" t="n">
        <v>46419</v>
      </c>
      <c r="P2" s="385" t="n">
        <v>46447</v>
      </c>
      <c r="Q2" s="385" t="n">
        <v>46478</v>
      </c>
      <c r="R2" s="385" t="n">
        <v>46508</v>
      </c>
      <c r="S2" s="385" t="n">
        <v>46539</v>
      </c>
      <c r="T2" s="385" t="n">
        <v>46569</v>
      </c>
      <c r="U2" s="385" t="n">
        <v>46600</v>
      </c>
      <c r="V2" s="385" t="n">
        <v>46631</v>
      </c>
      <c r="W2" s="385" t="n">
        <v>46661</v>
      </c>
      <c r="X2" s="385" t="n">
        <v>46692</v>
      </c>
      <c r="Y2" s="385" t="n">
        <v>46722</v>
      </c>
      <c r="Z2" s="385" t="n">
        <v>46753</v>
      </c>
      <c r="AA2" s="385" t="n">
        <v>46784</v>
      </c>
      <c r="AB2" s="385" t="n">
        <v>46813</v>
      </c>
      <c r="AC2" s="385" t="n">
        <v>46844</v>
      </c>
      <c r="AD2" s="385" t="n">
        <v>46874</v>
      </c>
      <c r="AE2" s="385" t="n">
        <v>46905</v>
      </c>
      <c r="AF2" s="385" t="n">
        <v>46935</v>
      </c>
      <c r="AG2" s="385" t="n">
        <v>46966</v>
      </c>
      <c r="AH2" s="385" t="n">
        <v>46997</v>
      </c>
      <c r="AI2" s="385" t="n">
        <v>47027</v>
      </c>
      <c r="AJ2" s="385" t="n">
        <v>47058</v>
      </c>
      <c r="AK2" s="385" t="n">
        <v>47088</v>
      </c>
      <c r="AL2" s="385" t="n">
        <v>47119</v>
      </c>
      <c r="AM2" s="385" t="n">
        <v>47150</v>
      </c>
      <c r="AN2" s="385" t="n">
        <v>47178</v>
      </c>
      <c r="AO2" s="385" t="n">
        <v>47209</v>
      </c>
      <c r="AP2" s="385" t="n">
        <v>47239</v>
      </c>
      <c r="AQ2" s="385" t="n">
        <v>47270</v>
      </c>
      <c r="AR2" s="385" t="n">
        <v>47300</v>
      </c>
      <c r="AS2" s="385" t="n">
        <v>47331</v>
      </c>
      <c r="AT2" s="385" t="n">
        <v>47362</v>
      </c>
      <c r="AU2" s="385" t="n">
        <v>47392</v>
      </c>
      <c r="AV2" s="385" t="n">
        <v>47423</v>
      </c>
      <c r="AW2" s="385" t="n">
        <v>47453</v>
      </c>
      <c r="AX2" s="385" t="n">
        <v>47484</v>
      </c>
      <c r="AY2" s="385" t="n">
        <v>47515</v>
      </c>
      <c r="AZ2" s="385" t="n">
        <v>47543</v>
      </c>
      <c r="BA2" s="385" t="n">
        <v>47574</v>
      </c>
      <c r="BB2" s="385" t="n">
        <v>47604</v>
      </c>
      <c r="BC2" s="385" t="n">
        <v>47635</v>
      </c>
      <c r="BD2" s="385" t="n">
        <v>47665</v>
      </c>
      <c r="BE2" s="385" t="n">
        <v>47696</v>
      </c>
      <c r="BF2" s="385" t="n">
        <v>47727</v>
      </c>
      <c r="BG2" s="385" t="n">
        <v>47757</v>
      </c>
      <c r="BH2" s="385" t="n">
        <v>47788</v>
      </c>
      <c r="BI2" s="385" t="n">
        <v>47818</v>
      </c>
      <c r="BJ2" s="385" t="n">
        <v>47849</v>
      </c>
      <c r="BK2" s="385" t="n">
        <v>47880</v>
      </c>
      <c r="BL2" s="385" t="n">
        <v>47908</v>
      </c>
      <c r="BM2" s="385" t="n">
        <v>47939</v>
      </c>
      <c r="BN2" s="385" t="n">
        <v>47969</v>
      </c>
      <c r="BO2" s="385" t="n">
        <v>48000</v>
      </c>
      <c r="BP2" s="385" t="n">
        <v>48030</v>
      </c>
      <c r="BQ2" s="385" t="n">
        <v>48061</v>
      </c>
      <c r="BR2" s="385" t="n">
        <v>48092</v>
      </c>
      <c r="BS2" s="385" t="n">
        <v>48122</v>
      </c>
      <c r="BT2" s="385" t="n">
        <v>48153</v>
      </c>
      <c r="BU2" s="385" t="n">
        <v>48183</v>
      </c>
      <c r="BV2" s="385" t="n">
        <v>48214</v>
      </c>
      <c r="BW2" s="385" t="n">
        <v>48245</v>
      </c>
      <c r="BX2" s="385" t="n">
        <v>48274</v>
      </c>
      <c r="BY2" s="385" t="n">
        <v>48305</v>
      </c>
      <c r="BZ2" s="385" t="n">
        <v>48335</v>
      </c>
      <c r="CA2" s="385" t="n">
        <v>48366</v>
      </c>
      <c r="CB2" s="385" t="n">
        <v>48396</v>
      </c>
      <c r="CC2" s="385" t="n">
        <v>48427</v>
      </c>
      <c r="CD2" s="385" t="n">
        <v>48458</v>
      </c>
      <c r="CE2" s="385" t="n">
        <v>48488</v>
      </c>
      <c r="CF2" s="385" t="n">
        <v>48519</v>
      </c>
      <c r="CG2" s="385" t="n">
        <v>48549</v>
      </c>
      <c r="CH2" s="385" t="n">
        <v>48580</v>
      </c>
      <c r="CI2" s="385" t="n">
        <v>48611</v>
      </c>
      <c r="CJ2" s="385" t="n">
        <v>48639</v>
      </c>
      <c r="CK2" s="385" t="n">
        <v>48670</v>
      </c>
      <c r="CL2" s="385" t="n">
        <v>48700</v>
      </c>
      <c r="CM2" s="385" t="n">
        <v>48731</v>
      </c>
      <c r="CN2" s="385" t="n">
        <v>48761</v>
      </c>
      <c r="CO2" s="385" t="n">
        <v>48792</v>
      </c>
      <c r="CP2" s="385" t="n">
        <v>48823</v>
      </c>
      <c r="CQ2" s="385" t="n">
        <v>48853</v>
      </c>
      <c r="CR2" s="385" t="n">
        <v>48884</v>
      </c>
      <c r="CS2" s="385" t="n">
        <v>48914</v>
      </c>
      <c r="CT2" s="385" t="n">
        <v>48945</v>
      </c>
      <c r="CU2" s="385" t="n">
        <v>48976</v>
      </c>
      <c r="CV2" s="385" t="n">
        <v>49004</v>
      </c>
      <c r="CW2" s="385" t="n">
        <v>49035</v>
      </c>
      <c r="CX2" s="385" t="n">
        <v>49065</v>
      </c>
      <c r="CY2" s="385" t="n">
        <v>49096</v>
      </c>
      <c r="CZ2" s="385" t="n">
        <v>49126</v>
      </c>
      <c r="DA2" s="385" t="n">
        <v>49157</v>
      </c>
      <c r="DB2" s="385" t="n">
        <v>49188</v>
      </c>
      <c r="DC2" s="385" t="n">
        <v>49218</v>
      </c>
      <c r="DD2" s="385" t="n">
        <v>49249</v>
      </c>
      <c r="DE2" s="385" t="n">
        <v>49279</v>
      </c>
    </row>
    <row r="3" ht="15" customFormat="1" customHeight="1" s="386">
      <c r="A3" s="387" t="inlineStr">
        <is>
          <t>Month #</t>
        </is>
      </c>
      <c r="B3" s="388" t="n">
        <v>-2</v>
      </c>
      <c r="C3" s="388" t="n">
        <v>-1</v>
      </c>
      <c r="D3" s="388" t="n">
        <v>0</v>
      </c>
      <c r="E3" s="388" t="n">
        <v>1</v>
      </c>
      <c r="F3" s="388" t="n">
        <v>2</v>
      </c>
      <c r="G3" s="388" t="n">
        <v>3</v>
      </c>
      <c r="H3" s="388" t="n">
        <v>4</v>
      </c>
      <c r="I3" s="388" t="n">
        <v>5</v>
      </c>
      <c r="J3" s="388" t="n">
        <v>6</v>
      </c>
      <c r="K3" s="388" t="n">
        <v>7</v>
      </c>
      <c r="L3" s="388" t="n">
        <v>8</v>
      </c>
      <c r="M3" s="388" t="n">
        <v>9</v>
      </c>
      <c r="N3" s="388" t="n">
        <v>10</v>
      </c>
      <c r="O3" s="388" t="n">
        <v>11</v>
      </c>
      <c r="P3" s="388" t="n">
        <v>12</v>
      </c>
      <c r="Q3" s="388" t="n">
        <v>13</v>
      </c>
      <c r="R3" s="388" t="n">
        <v>14</v>
      </c>
      <c r="S3" s="388" t="n">
        <v>15</v>
      </c>
      <c r="T3" s="388" t="n">
        <v>16</v>
      </c>
      <c r="U3" s="388" t="n">
        <v>17</v>
      </c>
      <c r="V3" s="388" t="n">
        <v>18</v>
      </c>
      <c r="W3" s="388" t="n">
        <v>19</v>
      </c>
      <c r="X3" s="388" t="n">
        <v>20</v>
      </c>
      <c r="Y3" s="388" t="n">
        <v>21</v>
      </c>
      <c r="Z3" s="388" t="n">
        <v>22</v>
      </c>
      <c r="AA3" s="388" t="n">
        <v>23</v>
      </c>
      <c r="AB3" s="388" t="n">
        <v>24</v>
      </c>
      <c r="AC3" s="388" t="n">
        <v>25</v>
      </c>
      <c r="AD3" s="388" t="n">
        <v>26</v>
      </c>
      <c r="AE3" s="388" t="n">
        <v>27</v>
      </c>
      <c r="AF3" s="388" t="n">
        <v>28</v>
      </c>
      <c r="AG3" s="388" t="n">
        <v>29</v>
      </c>
      <c r="AH3" s="388" t="n">
        <v>30</v>
      </c>
      <c r="AI3" s="388" t="n">
        <v>31</v>
      </c>
      <c r="AJ3" s="388" t="n">
        <v>32</v>
      </c>
      <c r="AK3" s="388" t="n">
        <v>33</v>
      </c>
      <c r="AL3" s="388" t="n">
        <v>34</v>
      </c>
      <c r="AM3" s="388" t="n">
        <v>35</v>
      </c>
      <c r="AN3" s="388" t="n">
        <v>36</v>
      </c>
      <c r="AO3" s="388" t="n">
        <v>37</v>
      </c>
      <c r="AP3" s="388" t="n">
        <v>38</v>
      </c>
      <c r="AQ3" s="388" t="n">
        <v>39</v>
      </c>
      <c r="AR3" s="388" t="n">
        <v>40</v>
      </c>
      <c r="AS3" s="388" t="n">
        <v>41</v>
      </c>
      <c r="AT3" s="388" t="n">
        <v>42</v>
      </c>
      <c r="AU3" s="388" t="n">
        <v>43</v>
      </c>
      <c r="AV3" s="388" t="n">
        <v>44</v>
      </c>
      <c r="AW3" s="388" t="n">
        <v>45</v>
      </c>
      <c r="AX3" s="388" t="n">
        <v>46</v>
      </c>
      <c r="AY3" s="388" t="n">
        <v>47</v>
      </c>
      <c r="AZ3" s="388" t="n">
        <v>48</v>
      </c>
      <c r="BA3" s="388" t="n">
        <v>49</v>
      </c>
      <c r="BB3" s="388" t="n">
        <v>50</v>
      </c>
      <c r="BC3" s="388" t="n">
        <v>51</v>
      </c>
      <c r="BD3" s="388" t="n">
        <v>52</v>
      </c>
      <c r="BE3" s="388" t="n">
        <v>53</v>
      </c>
      <c r="BF3" s="388" t="n">
        <v>54</v>
      </c>
      <c r="BG3" s="388" t="n">
        <v>55</v>
      </c>
      <c r="BH3" s="388" t="n">
        <v>56</v>
      </c>
      <c r="BI3" s="388" t="n">
        <v>57</v>
      </c>
      <c r="BJ3" s="388" t="n">
        <v>58</v>
      </c>
      <c r="BK3" s="388" t="n">
        <v>59</v>
      </c>
      <c r="BL3" s="388" t="n">
        <v>60</v>
      </c>
      <c r="BM3" s="388" t="n">
        <v>61</v>
      </c>
      <c r="BN3" s="388" t="n">
        <v>62</v>
      </c>
      <c r="BO3" s="388" t="n">
        <v>63</v>
      </c>
      <c r="BP3" s="388" t="n">
        <v>64</v>
      </c>
      <c r="BQ3" s="388" t="n">
        <v>65</v>
      </c>
      <c r="BR3" s="388" t="n">
        <v>66</v>
      </c>
      <c r="BS3" s="388" t="n">
        <v>67</v>
      </c>
      <c r="BT3" s="388" t="n">
        <v>68</v>
      </c>
      <c r="BU3" s="388" t="n">
        <v>69</v>
      </c>
      <c r="BV3" s="388" t="n">
        <v>70</v>
      </c>
      <c r="BW3" s="388" t="n">
        <v>71</v>
      </c>
      <c r="BX3" s="388" t="n">
        <v>72</v>
      </c>
      <c r="BY3" s="388" t="n">
        <v>73</v>
      </c>
      <c r="BZ3" s="388" t="n">
        <v>74</v>
      </c>
      <c r="CA3" s="388" t="n">
        <v>75</v>
      </c>
      <c r="CB3" s="388" t="n">
        <v>76</v>
      </c>
      <c r="CC3" s="388" t="n">
        <v>77</v>
      </c>
      <c r="CD3" s="388" t="n">
        <v>78</v>
      </c>
      <c r="CE3" s="388" t="n">
        <v>79</v>
      </c>
      <c r="CF3" s="388" t="n">
        <v>80</v>
      </c>
      <c r="CG3" s="388" t="n">
        <v>81</v>
      </c>
      <c r="CH3" s="388" t="n">
        <v>82</v>
      </c>
      <c r="CI3" s="388" t="n">
        <v>83</v>
      </c>
      <c r="CJ3" s="388" t="n">
        <v>84</v>
      </c>
      <c r="CK3" s="388" t="n">
        <v>85</v>
      </c>
      <c r="CL3" s="388" t="n">
        <v>86</v>
      </c>
      <c r="CM3" s="388" t="n">
        <v>87</v>
      </c>
      <c r="CN3" s="388" t="n">
        <v>88</v>
      </c>
      <c r="CO3" s="388" t="n">
        <v>89</v>
      </c>
      <c r="CP3" s="388" t="n">
        <v>90</v>
      </c>
      <c r="CQ3" s="388" t="n">
        <v>91</v>
      </c>
      <c r="CR3" s="388" t="n">
        <v>92</v>
      </c>
      <c r="CS3" s="388" t="n">
        <v>93</v>
      </c>
      <c r="CT3" s="388" t="n">
        <v>94</v>
      </c>
      <c r="CU3" s="388" t="n">
        <v>95</v>
      </c>
      <c r="CV3" s="388" t="n">
        <v>96</v>
      </c>
      <c r="CW3" s="388" t="n">
        <v>97</v>
      </c>
      <c r="CX3" s="388" t="n">
        <v>98</v>
      </c>
      <c r="CY3" s="388" t="n">
        <v>99</v>
      </c>
      <c r="CZ3" s="388" t="n">
        <v>100</v>
      </c>
      <c r="DA3" s="388" t="n">
        <v>101</v>
      </c>
      <c r="DB3" s="388" t="n">
        <v>102</v>
      </c>
      <c r="DC3" s="388" t="n">
        <v>103</v>
      </c>
      <c r="DD3" s="388" t="n">
        <v>104</v>
      </c>
      <c r="DE3" s="388" t="n">
        <v>105</v>
      </c>
      <c r="DF3" s="389" t="n"/>
      <c r="DG3" s="389" t="n"/>
      <c r="DH3" s="389" t="n"/>
      <c r="DI3" s="389" t="n"/>
      <c r="DJ3" s="389" t="n"/>
      <c r="DK3" s="389" t="n"/>
      <c r="DL3" s="389" t="n"/>
      <c r="DM3" s="389" t="n"/>
      <c r="DN3" s="389" t="n"/>
      <c r="DO3" s="389" t="n"/>
      <c r="DP3" s="389" t="n"/>
      <c r="DQ3" s="389" t="n"/>
      <c r="DR3" s="389" t="n"/>
      <c r="DS3" s="389" t="n"/>
      <c r="DT3" s="389" t="n"/>
      <c r="DU3" s="389" t="n"/>
      <c r="DV3" s="389" t="n"/>
      <c r="DW3" s="389" t="n"/>
      <c r="DX3" s="389" t="n"/>
      <c r="DY3" s="389" t="n"/>
      <c r="DZ3" s="389" t="n"/>
      <c r="EA3" s="389" t="n"/>
      <c r="EB3" s="389" t="n"/>
      <c r="EC3" s="389" t="n"/>
      <c r="ED3" s="389" t="n"/>
      <c r="EE3" s="389" t="n"/>
      <c r="EF3" s="389" t="n"/>
      <c r="EG3" s="389" t="n"/>
      <c r="EH3" s="389" t="n"/>
      <c r="EI3" s="389" t="n"/>
      <c r="EJ3" s="389" t="n"/>
      <c r="EK3" s="389" t="n"/>
      <c r="EL3" s="389" t="n"/>
      <c r="EM3" s="389" t="n"/>
      <c r="EN3" s="389" t="n"/>
      <c r="EO3" s="389" t="n"/>
      <c r="EP3" s="389" t="n"/>
      <c r="EQ3" s="389" t="n"/>
      <c r="ER3" s="389" t="n"/>
      <c r="ES3" s="389" t="n"/>
      <c r="ET3" s="389" t="n"/>
      <c r="EU3" s="389" t="n"/>
      <c r="EV3" s="389" t="n"/>
      <c r="EW3" s="389" t="n"/>
      <c r="EX3" s="389" t="n"/>
      <c r="EY3" s="389" t="n"/>
      <c r="EZ3" s="389" t="n"/>
      <c r="FA3" s="389" t="n"/>
      <c r="FB3" s="389" t="n"/>
      <c r="FC3" s="389" t="n"/>
      <c r="FD3" s="389" t="n"/>
      <c r="FE3" s="389" t="n"/>
      <c r="FF3" s="389" t="n"/>
      <c r="FG3" s="389" t="n"/>
      <c r="FH3" s="389" t="n"/>
      <c r="FI3" s="389" t="n"/>
      <c r="FJ3" s="389" t="n"/>
      <c r="FK3" s="389" t="n"/>
      <c r="FL3" s="389" t="n"/>
      <c r="FM3" s="389" t="n"/>
      <c r="FN3" s="389" t="n"/>
      <c r="FO3" s="389" t="n"/>
      <c r="FP3" s="389" t="n"/>
      <c r="FQ3" s="389" t="n"/>
      <c r="FR3" s="389" t="n"/>
      <c r="FS3" s="389" t="n"/>
      <c r="FT3" s="389" t="n"/>
      <c r="FU3" s="389" t="n"/>
      <c r="FV3" s="389" t="n"/>
      <c r="FW3" s="389" t="n"/>
      <c r="FX3" s="389" t="n"/>
      <c r="FY3" s="389" t="n"/>
      <c r="FZ3" s="389" t="n"/>
      <c r="GA3" s="389" t="n"/>
      <c r="GB3" s="389" t="n"/>
      <c r="GC3" s="389" t="n"/>
      <c r="GD3" s="389" t="n"/>
      <c r="GE3" s="389" t="n"/>
      <c r="GF3" s="389" t="n"/>
      <c r="GG3" s="389" t="n"/>
      <c r="GH3" s="389" t="n"/>
      <c r="GI3" s="389" t="n"/>
      <c r="GJ3" s="389" t="n"/>
      <c r="GK3" s="389" t="n"/>
      <c r="GL3" s="389" t="n"/>
      <c r="GM3" s="389" t="n"/>
      <c r="GN3" s="389" t="n"/>
      <c r="GO3" s="389" t="n"/>
      <c r="GP3" s="389" t="n"/>
      <c r="GQ3" s="389" t="n"/>
      <c r="GR3" s="389" t="n"/>
      <c r="GS3" s="389" t="n"/>
      <c r="GT3" s="389" t="n"/>
      <c r="GU3" s="389" t="n"/>
      <c r="GV3" s="389" t="n"/>
      <c r="GW3" s="389" t="n"/>
      <c r="GX3" s="389" t="n"/>
      <c r="GY3" s="389" t="n"/>
      <c r="GZ3" s="389" t="n"/>
      <c r="HA3" s="389" t="n"/>
      <c r="HB3" s="389" t="n"/>
      <c r="HC3" s="389" t="n"/>
      <c r="HD3" s="389" t="n"/>
      <c r="HE3" s="389" t="n"/>
      <c r="HF3" s="389" t="n"/>
      <c r="HG3" s="389" t="n"/>
      <c r="HH3" s="389" t="n"/>
      <c r="HI3" s="389" t="n"/>
      <c r="HJ3" s="389" t="n"/>
      <c r="HK3" s="389" t="n"/>
      <c r="HL3" s="389" t="n"/>
      <c r="HM3" s="389" t="n"/>
      <c r="HN3" s="389" t="n"/>
      <c r="HO3" s="389" t="n"/>
      <c r="HP3" s="389" t="n"/>
      <c r="HQ3" s="389" t="n"/>
      <c r="HR3" s="389" t="n"/>
      <c r="HS3" s="389" t="n"/>
      <c r="HT3" s="389" t="n"/>
      <c r="HU3" s="389" t="n"/>
      <c r="HV3" s="389" t="n"/>
      <c r="HW3" s="389" t="n"/>
      <c r="HX3" s="389" t="n"/>
      <c r="HY3" s="389" t="n"/>
      <c r="HZ3" s="389" t="n"/>
      <c r="IA3" s="389" t="n"/>
      <c r="IB3" s="389" t="n"/>
      <c r="IC3" s="389" t="n"/>
      <c r="ID3" s="389" t="n"/>
      <c r="IE3" s="389" t="n"/>
      <c r="IF3" s="389" t="n"/>
      <c r="IG3" s="389" t="n"/>
      <c r="IH3" s="389" t="n"/>
      <c r="II3" s="389" t="n"/>
      <c r="IJ3" s="389" t="n"/>
      <c r="IK3" s="389" t="n"/>
      <c r="IL3" s="389" t="n"/>
      <c r="IM3" s="389" t="n"/>
      <c r="IN3" s="389" t="n"/>
      <c r="IO3" s="389" t="n"/>
      <c r="IP3" s="389" t="n"/>
      <c r="IQ3" s="389" t="n"/>
      <c r="IR3" s="389" t="n"/>
      <c r="IS3" s="389" t="n"/>
      <c r="IT3" s="389" t="n"/>
      <c r="IU3" s="389" t="n"/>
      <c r="IV3" s="389" t="n"/>
      <c r="IW3" s="389" t="n"/>
      <c r="IX3" s="389" t="n"/>
      <c r="IY3" s="389" t="n"/>
      <c r="IZ3" s="389" t="n"/>
      <c r="JA3" s="389" t="n"/>
      <c r="JB3" s="389" t="n"/>
      <c r="JC3" s="389" t="n"/>
      <c r="JD3" s="389" t="n"/>
      <c r="JE3" s="389" t="n"/>
      <c r="JF3" s="389" t="n"/>
      <c r="JG3" s="389" t="n"/>
      <c r="JH3" s="389" t="n"/>
      <c r="JI3" s="389" t="n"/>
      <c r="JJ3" s="389" t="n"/>
      <c r="JK3" s="389" t="n"/>
      <c r="JL3" s="389" t="n"/>
      <c r="JM3" s="389" t="n"/>
      <c r="JN3" s="389" t="n"/>
      <c r="JO3" s="389" t="n"/>
      <c r="JP3" s="389" t="n"/>
      <c r="JQ3" s="389" t="n"/>
      <c r="JR3" s="389" t="n"/>
      <c r="JS3" s="389" t="n"/>
      <c r="JT3" s="389" t="n"/>
      <c r="JU3" s="389" t="n"/>
      <c r="JV3" s="389" t="n"/>
      <c r="JW3" s="389" t="n"/>
      <c r="JX3" s="389" t="n"/>
      <c r="JY3" s="389" t="n"/>
      <c r="JZ3" s="389" t="n"/>
      <c r="KA3" s="389" t="n"/>
      <c r="KB3" s="389" t="n"/>
      <c r="KC3" s="389" t="n"/>
      <c r="KD3" s="389" t="n"/>
      <c r="KE3" s="389" t="n"/>
      <c r="KF3" s="389" t="n"/>
      <c r="KG3" s="389" t="n"/>
      <c r="KH3" s="389" t="n"/>
      <c r="KI3" s="389" t="n"/>
      <c r="KJ3" s="389" t="n"/>
      <c r="KK3" s="389" t="n"/>
      <c r="KL3" s="389" t="n"/>
      <c r="KM3" s="389" t="n"/>
      <c r="KN3" s="389" t="n"/>
      <c r="KO3" s="389" t="n"/>
      <c r="KP3" s="389" t="n"/>
      <c r="KQ3" s="389" t="n"/>
      <c r="KR3" s="389" t="n"/>
      <c r="KS3" s="389" t="n"/>
      <c r="KT3" s="389" t="n"/>
      <c r="KU3" s="389" t="n"/>
      <c r="KV3" s="389" t="n"/>
      <c r="KW3" s="389" t="n"/>
      <c r="KX3" s="389" t="n"/>
      <c r="KY3" s="389" t="n"/>
      <c r="KZ3" s="389" t="n"/>
      <c r="LA3" s="389" t="n"/>
      <c r="LB3" s="389" t="n"/>
      <c r="LC3" s="389" t="n"/>
      <c r="LD3" s="389" t="n"/>
      <c r="LE3" s="389" t="n"/>
      <c r="LF3" s="389" t="n"/>
      <c r="LG3" s="389" t="n"/>
      <c r="LH3" s="389" t="n"/>
      <c r="LI3" s="389" t="n"/>
      <c r="LJ3" s="389" t="n"/>
      <c r="LK3" s="389" t="n"/>
      <c r="LL3" s="389" t="n"/>
      <c r="LM3" s="389" t="n"/>
      <c r="LN3" s="389" t="n"/>
      <c r="LO3" s="389" t="n"/>
      <c r="LP3" s="389" t="n"/>
      <c r="LQ3" s="389" t="n"/>
      <c r="LR3" s="389" t="n"/>
      <c r="LS3" s="389" t="n"/>
      <c r="LT3" s="389" t="n"/>
      <c r="LU3" s="389" t="n"/>
      <c r="LV3" s="389" t="n"/>
      <c r="LW3" s="389" t="n"/>
      <c r="LX3" s="389" t="n"/>
      <c r="LY3" s="389" t="n"/>
      <c r="LZ3" s="389" t="n"/>
      <c r="MA3" s="389" t="n"/>
      <c r="MB3" s="389" t="n"/>
      <c r="MC3" s="389" t="n"/>
      <c r="MD3" s="389" t="n"/>
      <c r="ME3" s="389" t="n"/>
      <c r="MF3" s="389" t="n"/>
      <c r="MG3" s="389" t="n"/>
      <c r="MH3" s="389" t="n"/>
      <c r="MI3" s="389" t="n"/>
      <c r="MJ3" s="389" t="n"/>
      <c r="MK3" s="389" t="n"/>
      <c r="ML3" s="389" t="n"/>
      <c r="MM3" s="389" t="n"/>
      <c r="MN3" s="389" t="n"/>
      <c r="MO3" s="389" t="n"/>
      <c r="MP3" s="389" t="n"/>
      <c r="MQ3" s="389" t="n"/>
      <c r="MR3" s="389" t="n"/>
      <c r="MS3" s="389" t="n"/>
      <c r="MT3" s="389" t="n"/>
      <c r="MU3" s="389" t="n"/>
      <c r="MV3" s="389" t="n"/>
      <c r="MW3" s="389" t="n"/>
      <c r="MX3" s="389" t="n"/>
      <c r="MY3" s="389" t="n"/>
      <c r="MZ3" s="389" t="n"/>
      <c r="NA3" s="389" t="n"/>
      <c r="NB3" s="389" t="n"/>
      <c r="NC3" s="389" t="n"/>
      <c r="ND3" s="389" t="n"/>
      <c r="NE3" s="389" t="n"/>
      <c r="NF3" s="389" t="n"/>
      <c r="NG3" s="389" t="n"/>
      <c r="NH3" s="389" t="n"/>
      <c r="NI3" s="389" t="n"/>
      <c r="NJ3" s="389" t="n"/>
      <c r="NK3" s="389" t="n"/>
      <c r="NL3" s="389" t="n"/>
      <c r="NM3" s="389" t="n"/>
      <c r="NN3" s="389" t="n"/>
      <c r="NO3" s="389" t="n"/>
      <c r="NP3" s="389" t="n"/>
      <c r="NQ3" s="389" t="n"/>
      <c r="NR3" s="389" t="n"/>
      <c r="NS3" s="389" t="n"/>
      <c r="NT3" s="389" t="n"/>
      <c r="NU3" s="389" t="n"/>
      <c r="NV3" s="389" t="n"/>
      <c r="NW3" s="389" t="n"/>
      <c r="NX3" s="389" t="n"/>
      <c r="NY3" s="389" t="n"/>
      <c r="NZ3" s="389" t="n"/>
      <c r="OA3" s="389" t="n"/>
      <c r="OB3" s="389" t="n"/>
      <c r="OC3" s="389" t="n"/>
      <c r="OD3" s="389" t="n"/>
      <c r="OE3" s="389" t="n"/>
      <c r="OF3" s="389" t="n"/>
      <c r="OG3" s="389" t="n"/>
      <c r="OH3" s="389" t="n"/>
      <c r="OI3" s="389" t="n"/>
      <c r="OJ3" s="389" t="n"/>
      <c r="OK3" s="389" t="n"/>
      <c r="OL3" s="389" t="n"/>
      <c r="OM3" s="389" t="n"/>
      <c r="ON3" s="389" t="n"/>
      <c r="OO3" s="389" t="n"/>
      <c r="OP3" s="389" t="n"/>
      <c r="OQ3" s="389" t="n"/>
      <c r="OR3" s="389" t="n"/>
      <c r="OS3" s="389" t="n"/>
      <c r="OT3" s="389" t="n"/>
      <c r="OU3" s="389" t="n"/>
      <c r="OV3" s="389" t="n"/>
      <c r="OW3" s="389" t="n"/>
      <c r="OX3" s="389" t="n"/>
      <c r="OY3" s="389" t="n"/>
      <c r="OZ3" s="389" t="n"/>
      <c r="PA3" s="389" t="n"/>
      <c r="PB3" s="389" t="n"/>
      <c r="PC3" s="389" t="n"/>
      <c r="PD3" s="389" t="n"/>
      <c r="PE3" s="389" t="n"/>
      <c r="PF3" s="389" t="n"/>
      <c r="PG3" s="389" t="n"/>
      <c r="PH3" s="389" t="n"/>
      <c r="PI3" s="389" t="n"/>
      <c r="PJ3" s="389" t="n"/>
      <c r="PK3" s="389" t="n"/>
      <c r="PL3" s="389" t="n"/>
      <c r="PM3" s="389" t="n"/>
      <c r="PN3" s="389" t="n"/>
      <c r="PO3" s="389" t="n"/>
      <c r="PP3" s="389" t="n"/>
      <c r="PQ3" s="389" t="n"/>
      <c r="PR3" s="389" t="n"/>
      <c r="PS3" s="389" t="n"/>
      <c r="PT3" s="389" t="n"/>
      <c r="PU3" s="389" t="n"/>
      <c r="PV3" s="389" t="n"/>
      <c r="PW3" s="389" t="n"/>
      <c r="PX3" s="389" t="n"/>
      <c r="PY3" s="389" t="n"/>
      <c r="PZ3" s="389" t="n"/>
      <c r="QA3" s="389" t="n"/>
      <c r="QB3" s="389" t="n"/>
      <c r="QC3" s="389" t="n"/>
      <c r="QD3" s="389" t="n"/>
      <c r="QE3" s="389" t="n"/>
      <c r="QF3" s="389" t="n"/>
      <c r="QG3" s="389" t="n"/>
      <c r="QH3" s="389" t="n"/>
      <c r="QI3" s="389" t="n"/>
      <c r="QJ3" s="389" t="n"/>
      <c r="QK3" s="389" t="n"/>
      <c r="QL3" s="389" t="n"/>
      <c r="QM3" s="389" t="n"/>
      <c r="QN3" s="389" t="n"/>
      <c r="QO3" s="389" t="n"/>
      <c r="QP3" s="389" t="n"/>
      <c r="QQ3" s="389" t="n"/>
      <c r="QR3" s="389" t="n"/>
      <c r="QS3" s="389" t="n"/>
      <c r="QT3" s="389" t="n"/>
      <c r="QU3" s="389" t="n"/>
      <c r="QV3" s="389" t="n"/>
      <c r="QW3" s="389" t="n"/>
      <c r="QX3" s="389" t="n"/>
      <c r="QY3" s="389" t="n"/>
      <c r="QZ3" s="389" t="n"/>
      <c r="RA3" s="389" t="n"/>
      <c r="RB3" s="389" t="n"/>
      <c r="RC3" s="389" t="n"/>
      <c r="RD3" s="389" t="n"/>
      <c r="RE3" s="389" t="n"/>
      <c r="RF3" s="389" t="n"/>
      <c r="RG3" s="389" t="n"/>
      <c r="RH3" s="389" t="n"/>
      <c r="RI3" s="389" t="n"/>
      <c r="RJ3" s="389" t="n"/>
      <c r="RK3" s="389" t="n"/>
      <c r="RL3" s="389" t="n"/>
      <c r="RM3" s="389" t="n"/>
      <c r="RN3" s="389" t="n"/>
      <c r="RO3" s="389" t="n"/>
      <c r="RP3" s="389" t="n"/>
      <c r="RQ3" s="389" t="n"/>
      <c r="RR3" s="389" t="n"/>
      <c r="RS3" s="389" t="n"/>
      <c r="RT3" s="389" t="n"/>
      <c r="RU3" s="389" t="n"/>
      <c r="RV3" s="389" t="n"/>
      <c r="RW3" s="389" t="n"/>
      <c r="RX3" s="389" t="n"/>
      <c r="RY3" s="389" t="n"/>
      <c r="RZ3" s="389" t="n"/>
      <c r="SA3" s="389" t="n"/>
      <c r="SB3" s="389" t="n"/>
      <c r="SC3" s="389" t="n"/>
      <c r="SD3" s="389" t="n"/>
      <c r="SE3" s="389" t="n"/>
      <c r="SF3" s="389" t="n"/>
      <c r="SG3" s="389" t="n"/>
      <c r="SH3" s="389" t="n"/>
      <c r="SI3" s="389" t="n"/>
      <c r="SJ3" s="389" t="n"/>
      <c r="SK3" s="389" t="n"/>
      <c r="SL3" s="389" t="n"/>
      <c r="SM3" s="389" t="n"/>
      <c r="SN3" s="389" t="n"/>
      <c r="SO3" s="389" t="n"/>
      <c r="SP3" s="389" t="n"/>
      <c r="SQ3" s="389" t="n"/>
      <c r="SR3" s="389" t="n"/>
      <c r="SS3" s="389" t="n"/>
      <c r="ST3" s="389" t="n"/>
      <c r="SU3" s="389" t="n"/>
      <c r="SV3" s="389" t="n"/>
      <c r="SW3" s="389" t="n"/>
      <c r="SX3" s="389" t="n"/>
      <c r="SY3" s="389" t="n"/>
      <c r="SZ3" s="389" t="n"/>
      <c r="TA3" s="389" t="n"/>
      <c r="TB3" s="389" t="n"/>
      <c r="TC3" s="389" t="n"/>
      <c r="TD3" s="389" t="n"/>
      <c r="TE3" s="389" t="n"/>
      <c r="TF3" s="389" t="n"/>
      <c r="TG3" s="389" t="n"/>
      <c r="TH3" s="389" t="n"/>
      <c r="TI3" s="389" t="n"/>
      <c r="TJ3" s="389" t="n"/>
      <c r="TK3" s="389" t="n"/>
      <c r="TL3" s="389" t="n"/>
      <c r="TM3" s="389" t="n"/>
      <c r="TN3" s="389" t="n"/>
      <c r="TO3" s="389" t="n"/>
      <c r="TP3" s="389" t="n"/>
      <c r="TQ3" s="389" t="n"/>
      <c r="TR3" s="389" t="n"/>
      <c r="TS3" s="389" t="n"/>
      <c r="TT3" s="389" t="n"/>
      <c r="TU3" s="389" t="n"/>
      <c r="TV3" s="389" t="n"/>
      <c r="TW3" s="389" t="n"/>
      <c r="TX3" s="389" t="n"/>
      <c r="TY3" s="389" t="n"/>
      <c r="TZ3" s="389" t="n"/>
      <c r="UA3" s="389" t="n"/>
      <c r="UB3" s="389" t="n"/>
      <c r="UC3" s="389" t="n"/>
      <c r="UD3" s="389" t="n"/>
      <c r="UE3" s="389" t="n"/>
      <c r="UF3" s="389" t="n"/>
      <c r="UG3" s="389" t="n"/>
      <c r="UH3" s="389" t="n"/>
      <c r="UI3" s="389" t="n"/>
      <c r="UJ3" s="389" t="n"/>
      <c r="UK3" s="389" t="n"/>
      <c r="UL3" s="389" t="n"/>
      <c r="UM3" s="389" t="n"/>
      <c r="UN3" s="389" t="n"/>
      <c r="UO3" s="389" t="n"/>
      <c r="UP3" s="389" t="n"/>
      <c r="UQ3" s="389" t="n"/>
      <c r="UR3" s="389" t="n"/>
      <c r="US3" s="389" t="n"/>
      <c r="UT3" s="389" t="n"/>
      <c r="UU3" s="389" t="n"/>
      <c r="UV3" s="389" t="n"/>
      <c r="UW3" s="389" t="n"/>
      <c r="UX3" s="389" t="n"/>
      <c r="UY3" s="389" t="n"/>
      <c r="UZ3" s="389" t="n"/>
      <c r="VA3" s="389" t="n"/>
      <c r="VB3" s="389" t="n"/>
      <c r="VC3" s="389" t="n"/>
      <c r="VD3" s="389" t="n"/>
      <c r="VE3" s="389" t="n"/>
      <c r="VF3" s="389" t="n"/>
      <c r="VG3" s="389" t="n"/>
      <c r="VH3" s="389" t="n"/>
      <c r="VI3" s="389" t="n"/>
      <c r="VJ3" s="389" t="n"/>
      <c r="VK3" s="389" t="n"/>
      <c r="VL3" s="389" t="n"/>
      <c r="VM3" s="389" t="n"/>
      <c r="VN3" s="389" t="n"/>
      <c r="VO3" s="389" t="n"/>
      <c r="VP3" s="389" t="n"/>
      <c r="VQ3" s="389" t="n"/>
      <c r="VR3" s="389" t="n"/>
      <c r="VS3" s="389" t="n"/>
      <c r="VT3" s="389" t="n"/>
      <c r="VU3" s="389" t="n"/>
      <c r="VV3" s="389" t="n"/>
      <c r="VW3" s="389" t="n"/>
      <c r="VX3" s="389" t="n"/>
    </row>
    <row r="4" ht="15" customFormat="1" customHeight="1" s="386">
      <c r="A4" s="387" t="n"/>
      <c r="B4" s="390" t="str">
        <f>IF(ISBLANK(Actuals!C14),"","Actuals")</f>
        <v>Actuals</v>
      </c>
      <c r="C4" s="390" t="str">
        <f>IF(ISBLANK(Actuals!D14),"","Actuals")</f>
        <v>Actuals</v>
      </c>
      <c r="D4" s="390" t="str">
        <f>IF(ISBLANK(Actuals!E14),"","Actuals")</f>
        <v>Actuals</v>
      </c>
      <c r="E4" s="390" t="str">
        <f>IF(ISBLANK(Actuals!F14),"","Actuals")</f>
        <v>Actuals</v>
      </c>
      <c r="F4" s="390" t="str">
        <f>IF(ISBLANK(Actuals!G14),"","Actuals")</f>
        <v>Actuals</v>
      </c>
      <c r="G4" s="390" t="str">
        <f>IF(ISBLANK(Actuals!H14),"","Actuals")</f>
        <v>Actuals</v>
      </c>
      <c r="H4" s="390">
        <f>IF(ISBLANK(Actuals!I14),"","Actuals")</f>
      </c>
      <c r="I4" s="390">
        <f>IF(ISBLANK(Actuals!J14),"","Actuals")</f>
      </c>
      <c r="J4" s="390">
        <f>IF(ISBLANK(Actuals!K14),"","Actuals")</f>
      </c>
      <c r="K4" s="390">
        <f>IF(ISBLANK(Actuals!L14),"","Actuals")</f>
      </c>
      <c r="L4" s="390">
        <f>IF(ISBLANK(Actuals!M14),"","Actuals")</f>
      </c>
      <c r="M4" s="390">
        <f>IF(ISBLANK(Actuals!N14),"","Actuals")</f>
      </c>
      <c r="N4" s="390">
        <f>IF(ISBLANK(Actuals!O14),"","Actuals")</f>
      </c>
      <c r="O4" s="390">
        <f>IF(ISBLANK(Actuals!P14),"","Actuals")</f>
      </c>
      <c r="P4" s="390">
        <f>IF(ISBLANK(Actuals!Q14),"","Actuals")</f>
      </c>
      <c r="Q4" s="390">
        <f>IF(ISBLANK(Actuals!R14),"","Actuals")</f>
      </c>
      <c r="R4" s="390">
        <f>IF(ISBLANK(Actuals!S14),"","Actuals")</f>
      </c>
      <c r="S4" s="390">
        <f>IF(ISBLANK(Actuals!T14),"","Actuals")</f>
      </c>
      <c r="T4" s="390">
        <f>IF(ISBLANK(Actuals!U14),"","Actuals")</f>
      </c>
      <c r="U4" s="390">
        <f>IF(ISBLANK(Actuals!V14),"","Actuals")</f>
      </c>
      <c r="V4" s="390">
        <f>IF(ISBLANK(Actuals!W14),"","Actuals")</f>
      </c>
      <c r="W4" s="390">
        <f>IF(ISBLANK(Actuals!X14),"","Actuals")</f>
      </c>
      <c r="X4" s="390">
        <f>IF(ISBLANK(Actuals!Y14),"","Actuals")</f>
      </c>
      <c r="Y4" s="390">
        <f>IF(ISBLANK(Actuals!Z14),"","Actuals")</f>
      </c>
      <c r="Z4" s="390">
        <f>IF(ISBLANK(Actuals!AA14),"","Actuals")</f>
      </c>
      <c r="AA4" s="390">
        <f>IF(ISBLANK(Actuals!AB14),"","Actuals")</f>
      </c>
      <c r="AB4" s="390">
        <f>IF(ISBLANK(Actuals!AC14),"","Actuals")</f>
      </c>
      <c r="AC4" s="390">
        <f>IF(ISBLANK(Actuals!AD14),"","Actuals")</f>
      </c>
      <c r="AD4" s="390">
        <f>IF(ISBLANK(Actuals!AE14),"","Actuals")</f>
      </c>
      <c r="AE4" s="390">
        <f>IF(ISBLANK(Actuals!AF14),"","Actuals")</f>
      </c>
      <c r="AF4" s="390">
        <f>IF(ISBLANK(Actuals!AG14),"","Actuals")</f>
      </c>
      <c r="AG4" s="390">
        <f>IF(ISBLANK(Actuals!AH14),"","Actuals")</f>
      </c>
      <c r="AH4" s="390">
        <f>IF(ISBLANK(Actuals!AI14),"","Actuals")</f>
      </c>
      <c r="AI4" s="390">
        <f>IF(ISBLANK(Actuals!AJ14),"","Actuals")</f>
      </c>
      <c r="AJ4" s="390">
        <f>IF(ISBLANK(Actuals!AK14),"","Actuals")</f>
      </c>
      <c r="AK4" s="390">
        <f>IF(ISBLANK(Actuals!AL14),"","Actuals")</f>
      </c>
      <c r="AL4" s="390">
        <f>IF(ISBLANK(Actuals!AM14),"","Actuals")</f>
      </c>
      <c r="AM4" s="390">
        <f>IF(ISBLANK(Actuals!AN14),"","Actuals")</f>
      </c>
      <c r="AN4" s="390">
        <f>IF(ISBLANK(Actuals!AO14),"","Actuals")</f>
      </c>
      <c r="AO4" s="390">
        <f>IF(ISBLANK(Actuals!AP14),"","Actuals")</f>
      </c>
      <c r="AP4" s="390">
        <f>IF(ISBLANK(Actuals!AQ14),"","Actuals")</f>
      </c>
      <c r="AQ4" s="390">
        <f>IF(ISBLANK(Actuals!AR14),"","Actuals")</f>
      </c>
      <c r="AR4" s="390">
        <f>IF(ISBLANK(Actuals!AS14),"","Actuals")</f>
      </c>
      <c r="AS4" s="390">
        <f>IF(ISBLANK(Actuals!AT14),"","Actuals")</f>
      </c>
      <c r="AT4" s="390">
        <f>IF(ISBLANK(Actuals!AU14),"","Actuals")</f>
      </c>
      <c r="AU4" s="390">
        <f>IF(ISBLANK(Actuals!AV14),"","Actuals")</f>
      </c>
      <c r="AV4" s="390">
        <f>IF(ISBLANK(Actuals!AW14),"","Actuals")</f>
      </c>
      <c r="AW4" s="390">
        <f>IF(ISBLANK(Actuals!AX14),"","Actuals")</f>
      </c>
      <c r="AX4" s="390">
        <f>IF(ISBLANK(Actuals!AY14),"","Actuals")</f>
      </c>
      <c r="AY4" s="390">
        <f>IF(ISBLANK(Actuals!AZ14),"","Actuals")</f>
      </c>
      <c r="AZ4" s="390">
        <f>IF(ISBLANK(Actuals!BA14),"","Actuals")</f>
      </c>
      <c r="BA4" s="390">
        <f>IF(ISBLANK(Actuals!BB14),"","Actuals")</f>
      </c>
      <c r="BB4" s="390">
        <f>IF(ISBLANK(Actuals!BC14),"","Actuals")</f>
      </c>
      <c r="BC4" s="390">
        <f>IF(ISBLANK(Actuals!BD14),"","Actuals")</f>
      </c>
      <c r="BD4" s="390">
        <f>IF(ISBLANK(Actuals!BE14),"","Actuals")</f>
      </c>
      <c r="BE4" s="390">
        <f>IF(ISBLANK(Actuals!BF14),"","Actuals")</f>
      </c>
      <c r="BF4" s="390">
        <f>IF(ISBLANK(Actuals!BG14),"","Actuals")</f>
      </c>
      <c r="BG4" s="390">
        <f>IF(ISBLANK(Actuals!BH14),"","Actuals")</f>
      </c>
      <c r="BH4" s="390">
        <f>IF(ISBLANK(Actuals!BI14),"","Actuals")</f>
      </c>
      <c r="BI4" s="390">
        <f>IF(ISBLANK(Actuals!BJ14),"","Actuals")</f>
      </c>
      <c r="BJ4" s="390">
        <f>IF(ISBLANK(Actuals!BK14),"","Actuals")</f>
      </c>
      <c r="BK4" s="390">
        <f>IF(ISBLANK(Actuals!BL14),"","Actuals")</f>
      </c>
      <c r="BL4" s="390">
        <f>IF(ISBLANK(Actuals!BM14),"","Actuals")</f>
      </c>
      <c r="BM4" s="390">
        <f>IF(ISBLANK(Actuals!BN14),"","Actuals")</f>
      </c>
      <c r="BN4" s="390">
        <f>IF(ISBLANK(Actuals!BO14),"","Actuals")</f>
      </c>
      <c r="BO4" s="390">
        <f>IF(ISBLANK(Actuals!BP14),"","Actuals")</f>
      </c>
      <c r="BP4" s="390">
        <f>IF(ISBLANK(Actuals!BQ14),"","Actuals")</f>
      </c>
      <c r="BQ4" s="390">
        <f>IF(ISBLANK(Actuals!BR14),"","Actuals")</f>
      </c>
      <c r="BR4" s="390">
        <f>IF(ISBLANK(Actuals!BS14),"","Actuals")</f>
      </c>
      <c r="BS4" s="390">
        <f>IF(ISBLANK(Actuals!BT14),"","Actuals")</f>
      </c>
      <c r="BT4" s="390">
        <f>IF(ISBLANK(Actuals!BU14),"","Actuals")</f>
      </c>
      <c r="BU4" s="390">
        <f>IF(ISBLANK(Actuals!BV14),"","Actuals")</f>
      </c>
      <c r="BV4" s="390">
        <f>IF(ISBLANK(Actuals!BW14),"","Actuals")</f>
      </c>
      <c r="BW4" s="390">
        <f>IF(ISBLANK(Actuals!BX14),"","Actuals")</f>
      </c>
      <c r="BX4" s="390">
        <f>IF(ISBLANK(Actuals!BY14),"","Actuals")</f>
      </c>
      <c r="BY4" s="390">
        <f>IF(ISBLANK(Actuals!BZ14),"","Actuals")</f>
      </c>
      <c r="BZ4" s="390">
        <f>IF(ISBLANK(Actuals!CA14),"","Actuals")</f>
      </c>
      <c r="CA4" s="390">
        <f>IF(ISBLANK(Actuals!CB14),"","Actuals")</f>
      </c>
      <c r="CB4" s="390">
        <f>IF(ISBLANK(Actuals!CC14),"","Actuals")</f>
      </c>
      <c r="CC4" s="390">
        <f>IF(ISBLANK(Actuals!CD14),"","Actuals")</f>
      </c>
      <c r="CD4" s="390">
        <f>IF(ISBLANK(Actuals!CE14),"","Actuals")</f>
      </c>
      <c r="CE4" s="390">
        <f>IF(ISBLANK(Actuals!CF14),"","Actuals")</f>
      </c>
      <c r="CF4" s="390">
        <f>IF(ISBLANK(Actuals!CG14),"","Actuals")</f>
      </c>
      <c r="CG4" s="390">
        <f>IF(ISBLANK(Actuals!CH14),"","Actuals")</f>
      </c>
      <c r="CH4" s="390">
        <f>IF(ISBLANK(Actuals!CI14),"","Actuals")</f>
      </c>
      <c r="CI4" s="390">
        <f>IF(ISBLANK(Actuals!CJ14),"","Actuals")</f>
      </c>
      <c r="CJ4" s="390">
        <f>IF(ISBLANK(Actuals!CK14),"","Actuals")</f>
      </c>
      <c r="CK4" s="390">
        <f>IF(ISBLANK(Actuals!CL14),"","Actuals")</f>
      </c>
      <c r="CL4" s="390">
        <f>IF(ISBLANK(Actuals!CM14),"","Actuals")</f>
      </c>
      <c r="CM4" s="390">
        <f>IF(ISBLANK(Actuals!CN14),"","Actuals")</f>
      </c>
      <c r="CN4" s="390">
        <f>IF(ISBLANK(Actuals!CO14),"","Actuals")</f>
      </c>
      <c r="CO4" s="390">
        <f>IF(ISBLANK(Actuals!CP14),"","Actuals")</f>
      </c>
      <c r="CP4" s="390">
        <f>IF(ISBLANK(Actuals!CQ14),"","Actuals")</f>
      </c>
      <c r="CQ4" s="390">
        <f>IF(ISBLANK(Actuals!CR14),"","Actuals")</f>
      </c>
      <c r="CR4" s="390">
        <f>IF(ISBLANK(Actuals!CS14),"","Actuals")</f>
      </c>
      <c r="CS4" s="390">
        <f>IF(ISBLANK(Actuals!CT14),"","Actuals")</f>
      </c>
      <c r="CT4" s="390">
        <f>IF(ISBLANK(Actuals!CU14),"","Actuals")</f>
      </c>
      <c r="CU4" s="390">
        <f>IF(ISBLANK(Actuals!CV14),"","Actuals")</f>
      </c>
      <c r="CV4" s="390">
        <f>IF(ISBLANK(Actuals!CW14),"","Actuals")</f>
      </c>
      <c r="CW4" s="390">
        <f>IF(ISBLANK(Actuals!CX14),"","Actuals")</f>
      </c>
      <c r="CX4" s="390">
        <f>IF(ISBLANK(Actuals!CY14),"","Actuals")</f>
      </c>
      <c r="CY4" s="390">
        <f>IF(ISBLANK(Actuals!CZ14),"","Actuals")</f>
      </c>
      <c r="CZ4" s="390">
        <f>IF(ISBLANK(Actuals!DA14),"","Actuals")</f>
      </c>
      <c r="DA4" s="390">
        <f>IF(ISBLANK(Actuals!DB14),"","Actuals")</f>
      </c>
      <c r="DB4" s="390">
        <f>IF(ISBLANK(Actuals!DC14),"","Actuals")</f>
      </c>
      <c r="DC4" s="390">
        <f>IF(ISBLANK(Actuals!DD14),"","Actuals")</f>
      </c>
      <c r="DD4" s="390">
        <f>IF(ISBLANK(Actuals!DE14),"","Actuals")</f>
      </c>
      <c r="DE4" s="390">
        <f>IF(ISBLANK(Actuals!DF14),"","Actuals")</f>
      </c>
      <c r="DF4" s="389" t="n"/>
      <c r="DG4" s="389" t="n"/>
      <c r="DH4" s="389" t="n"/>
      <c r="DI4" s="389" t="n"/>
      <c r="DJ4" s="389" t="n"/>
      <c r="DK4" s="389" t="n"/>
      <c r="DL4" s="389" t="n"/>
      <c r="DM4" s="389" t="n"/>
      <c r="DN4" s="389" t="n"/>
      <c r="DO4" s="389" t="n"/>
      <c r="DP4" s="389" t="n"/>
      <c r="DQ4" s="389" t="n"/>
      <c r="DR4" s="389" t="n"/>
      <c r="DS4" s="389" t="n"/>
      <c r="DT4" s="389" t="n"/>
      <c r="DU4" s="389" t="n"/>
      <c r="DV4" s="389" t="n"/>
      <c r="DW4" s="389" t="n"/>
      <c r="DX4" s="389" t="n"/>
      <c r="DY4" s="389" t="n"/>
      <c r="DZ4" s="389" t="n"/>
      <c r="EA4" s="389" t="n"/>
      <c r="EB4" s="389" t="n"/>
      <c r="EC4" s="389" t="n"/>
      <c r="ED4" s="389" t="n"/>
      <c r="EE4" s="389" t="n"/>
      <c r="EF4" s="389" t="n"/>
      <c r="EG4" s="389" t="n"/>
      <c r="EH4" s="389" t="n"/>
      <c r="EI4" s="389" t="n"/>
      <c r="EJ4" s="389" t="n"/>
      <c r="EK4" s="389" t="n"/>
      <c r="EL4" s="389" t="n"/>
      <c r="EM4" s="389" t="n"/>
      <c r="EN4" s="389" t="n"/>
      <c r="EO4" s="389" t="n"/>
      <c r="EP4" s="389" t="n"/>
      <c r="EQ4" s="389" t="n"/>
      <c r="ER4" s="389" t="n"/>
      <c r="ES4" s="389" t="n"/>
      <c r="ET4" s="389" t="n"/>
      <c r="EU4" s="389" t="n"/>
      <c r="EV4" s="389" t="n"/>
      <c r="EW4" s="389" t="n"/>
      <c r="EX4" s="389" t="n"/>
      <c r="EY4" s="389" t="n"/>
      <c r="EZ4" s="389" t="n"/>
      <c r="FA4" s="389" t="n"/>
      <c r="FB4" s="389" t="n"/>
      <c r="FC4" s="389" t="n"/>
      <c r="FD4" s="389" t="n"/>
      <c r="FE4" s="389" t="n"/>
      <c r="FF4" s="389" t="n"/>
      <c r="FG4" s="389" t="n"/>
      <c r="FH4" s="389" t="n"/>
      <c r="FI4" s="389" t="n"/>
      <c r="FJ4" s="389" t="n"/>
      <c r="FK4" s="389" t="n"/>
      <c r="FL4" s="389" t="n"/>
      <c r="FM4" s="389" t="n"/>
      <c r="FN4" s="389" t="n"/>
      <c r="FO4" s="389" t="n"/>
      <c r="FP4" s="389" t="n"/>
      <c r="FQ4" s="389" t="n"/>
      <c r="FR4" s="389" t="n"/>
      <c r="FS4" s="389" t="n"/>
      <c r="FT4" s="389" t="n"/>
      <c r="FU4" s="389" t="n"/>
      <c r="FV4" s="389" t="n"/>
      <c r="FW4" s="389" t="n"/>
      <c r="FX4" s="389" t="n"/>
      <c r="FY4" s="389" t="n"/>
      <c r="FZ4" s="389" t="n"/>
      <c r="GA4" s="389" t="n"/>
      <c r="GB4" s="389" t="n"/>
      <c r="GC4" s="389" t="n"/>
      <c r="GD4" s="389" t="n"/>
      <c r="GE4" s="389" t="n"/>
      <c r="GF4" s="389" t="n"/>
      <c r="GG4" s="389" t="n"/>
      <c r="GH4" s="389" t="n"/>
      <c r="GI4" s="389" t="n"/>
      <c r="GJ4" s="389" t="n"/>
      <c r="GK4" s="389" t="n"/>
      <c r="GL4" s="389" t="n"/>
      <c r="GM4" s="389" t="n"/>
      <c r="GN4" s="389" t="n"/>
      <c r="GO4" s="389" t="n"/>
      <c r="GP4" s="389" t="n"/>
      <c r="GQ4" s="389" t="n"/>
      <c r="GR4" s="389" t="n"/>
      <c r="GS4" s="389" t="n"/>
      <c r="GT4" s="389" t="n"/>
      <c r="GU4" s="389" t="n"/>
      <c r="GV4" s="389" t="n"/>
      <c r="GW4" s="389" t="n"/>
      <c r="GX4" s="389" t="n"/>
      <c r="GY4" s="389" t="n"/>
      <c r="GZ4" s="389" t="n"/>
      <c r="HA4" s="389" t="n"/>
      <c r="HB4" s="389" t="n"/>
      <c r="HC4" s="389" t="n"/>
      <c r="HD4" s="389" t="n"/>
      <c r="HE4" s="389" t="n"/>
      <c r="HF4" s="389" t="n"/>
      <c r="HG4" s="389" t="n"/>
      <c r="HH4" s="389" t="n"/>
      <c r="HI4" s="389" t="n"/>
      <c r="HJ4" s="389" t="n"/>
      <c r="HK4" s="389" t="n"/>
      <c r="HL4" s="389" t="n"/>
      <c r="HM4" s="389" t="n"/>
      <c r="HN4" s="389" t="n"/>
      <c r="HO4" s="389" t="n"/>
      <c r="HP4" s="389" t="n"/>
      <c r="HQ4" s="389" t="n"/>
      <c r="HR4" s="389" t="n"/>
      <c r="HS4" s="389" t="n"/>
      <c r="HT4" s="389" t="n"/>
      <c r="HU4" s="389" t="n"/>
      <c r="HV4" s="389" t="n"/>
      <c r="HW4" s="389" t="n"/>
      <c r="HX4" s="389" t="n"/>
      <c r="HY4" s="389" t="n"/>
      <c r="HZ4" s="389" t="n"/>
      <c r="IA4" s="389" t="n"/>
      <c r="IB4" s="389" t="n"/>
      <c r="IC4" s="389" t="n"/>
      <c r="ID4" s="389" t="n"/>
      <c r="IE4" s="389" t="n"/>
      <c r="IF4" s="389" t="n"/>
      <c r="IG4" s="389" t="n"/>
      <c r="IH4" s="389" t="n"/>
      <c r="II4" s="389" t="n"/>
      <c r="IJ4" s="389" t="n"/>
      <c r="IK4" s="389" t="n"/>
      <c r="IL4" s="389" t="n"/>
      <c r="IM4" s="389" t="n"/>
      <c r="IN4" s="389" t="n"/>
      <c r="IO4" s="389" t="n"/>
      <c r="IP4" s="389" t="n"/>
      <c r="IQ4" s="389" t="n"/>
      <c r="IR4" s="389" t="n"/>
      <c r="IS4" s="389" t="n"/>
      <c r="IT4" s="389" t="n"/>
      <c r="IU4" s="389" t="n"/>
      <c r="IV4" s="389" t="n"/>
      <c r="IW4" s="389" t="n"/>
      <c r="IX4" s="389" t="n"/>
      <c r="IY4" s="389" t="n"/>
      <c r="IZ4" s="389" t="n"/>
      <c r="JA4" s="389" t="n"/>
      <c r="JB4" s="389" t="n"/>
      <c r="JC4" s="389" t="n"/>
      <c r="JD4" s="389" t="n"/>
      <c r="JE4" s="389" t="n"/>
      <c r="JF4" s="389" t="n"/>
      <c r="JG4" s="389" t="n"/>
      <c r="JH4" s="389" t="n"/>
      <c r="JI4" s="389" t="n"/>
      <c r="JJ4" s="389" t="n"/>
      <c r="JK4" s="389" t="n"/>
      <c r="JL4" s="389" t="n"/>
      <c r="JM4" s="389" t="n"/>
      <c r="JN4" s="389" t="n"/>
      <c r="JO4" s="389" t="n"/>
      <c r="JP4" s="389" t="n"/>
      <c r="JQ4" s="389" t="n"/>
      <c r="JR4" s="389" t="n"/>
      <c r="JS4" s="389" t="n"/>
      <c r="JT4" s="389" t="n"/>
      <c r="JU4" s="389" t="n"/>
      <c r="JV4" s="389" t="n"/>
      <c r="JW4" s="389" t="n"/>
      <c r="JX4" s="389" t="n"/>
      <c r="JY4" s="389" t="n"/>
      <c r="JZ4" s="389" t="n"/>
      <c r="KA4" s="389" t="n"/>
      <c r="KB4" s="389" t="n"/>
      <c r="KC4" s="389" t="n"/>
      <c r="KD4" s="389" t="n"/>
      <c r="KE4" s="389" t="n"/>
      <c r="KF4" s="389" t="n"/>
      <c r="KG4" s="389" t="n"/>
      <c r="KH4" s="389" t="n"/>
      <c r="KI4" s="389" t="n"/>
      <c r="KJ4" s="389" t="n"/>
      <c r="KK4" s="389" t="n"/>
      <c r="KL4" s="389" t="n"/>
      <c r="KM4" s="389" t="n"/>
      <c r="KN4" s="389" t="n"/>
      <c r="KO4" s="389" t="n"/>
      <c r="KP4" s="389" t="n"/>
      <c r="KQ4" s="389" t="n"/>
      <c r="KR4" s="389" t="n"/>
      <c r="KS4" s="389" t="n"/>
      <c r="KT4" s="389" t="n"/>
      <c r="KU4" s="389" t="n"/>
      <c r="KV4" s="389" t="n"/>
      <c r="KW4" s="389" t="n"/>
      <c r="KX4" s="389" t="n"/>
      <c r="KY4" s="389" t="n"/>
      <c r="KZ4" s="389" t="n"/>
      <c r="LA4" s="389" t="n"/>
      <c r="LB4" s="389" t="n"/>
      <c r="LC4" s="389" t="n"/>
      <c r="LD4" s="389" t="n"/>
      <c r="LE4" s="389" t="n"/>
      <c r="LF4" s="389" t="n"/>
      <c r="LG4" s="389" t="n"/>
      <c r="LH4" s="389" t="n"/>
      <c r="LI4" s="389" t="n"/>
      <c r="LJ4" s="389" t="n"/>
      <c r="LK4" s="389" t="n"/>
      <c r="LL4" s="389" t="n"/>
      <c r="LM4" s="389" t="n"/>
      <c r="LN4" s="389" t="n"/>
      <c r="LO4" s="389" t="n"/>
      <c r="LP4" s="389" t="n"/>
      <c r="LQ4" s="389" t="n"/>
      <c r="LR4" s="389" t="n"/>
      <c r="LS4" s="389" t="n"/>
      <c r="LT4" s="389" t="n"/>
      <c r="LU4" s="389" t="n"/>
      <c r="LV4" s="389" t="n"/>
      <c r="LW4" s="389" t="n"/>
      <c r="LX4" s="389" t="n"/>
      <c r="LY4" s="389" t="n"/>
      <c r="LZ4" s="389" t="n"/>
      <c r="MA4" s="389" t="n"/>
      <c r="MB4" s="389" t="n"/>
      <c r="MC4" s="389" t="n"/>
      <c r="MD4" s="389" t="n"/>
      <c r="ME4" s="389" t="n"/>
      <c r="MF4" s="389" t="n"/>
      <c r="MG4" s="389" t="n"/>
      <c r="MH4" s="389" t="n"/>
      <c r="MI4" s="389" t="n"/>
      <c r="MJ4" s="389" t="n"/>
      <c r="MK4" s="389" t="n"/>
      <c r="ML4" s="389" t="n"/>
      <c r="MM4" s="389" t="n"/>
      <c r="MN4" s="389" t="n"/>
      <c r="MO4" s="389" t="n"/>
      <c r="MP4" s="389" t="n"/>
      <c r="MQ4" s="389" t="n"/>
      <c r="MR4" s="389" t="n"/>
      <c r="MS4" s="389" t="n"/>
      <c r="MT4" s="389" t="n"/>
      <c r="MU4" s="389" t="n"/>
      <c r="MV4" s="389" t="n"/>
      <c r="MW4" s="389" t="n"/>
      <c r="MX4" s="389" t="n"/>
      <c r="MY4" s="389" t="n"/>
      <c r="MZ4" s="389" t="n"/>
      <c r="NA4" s="389" t="n"/>
      <c r="NB4" s="389" t="n"/>
      <c r="NC4" s="389" t="n"/>
      <c r="ND4" s="389" t="n"/>
      <c r="NE4" s="389" t="n"/>
      <c r="NF4" s="389" t="n"/>
      <c r="NG4" s="389" t="n"/>
      <c r="NH4" s="389" t="n"/>
      <c r="NI4" s="389" t="n"/>
      <c r="NJ4" s="389" t="n"/>
      <c r="NK4" s="389" t="n"/>
      <c r="NL4" s="389" t="n"/>
      <c r="NM4" s="389" t="n"/>
      <c r="NN4" s="389" t="n"/>
      <c r="NO4" s="389" t="n"/>
      <c r="NP4" s="389" t="n"/>
      <c r="NQ4" s="389" t="n"/>
      <c r="NR4" s="389" t="n"/>
      <c r="NS4" s="389" t="n"/>
      <c r="NT4" s="389" t="n"/>
      <c r="NU4" s="389" t="n"/>
      <c r="NV4" s="389" t="n"/>
      <c r="NW4" s="389" t="n"/>
      <c r="NX4" s="389" t="n"/>
      <c r="NY4" s="389" t="n"/>
      <c r="NZ4" s="389" t="n"/>
      <c r="OA4" s="389" t="n"/>
      <c r="OB4" s="389" t="n"/>
      <c r="OC4" s="389" t="n"/>
      <c r="OD4" s="389" t="n"/>
      <c r="OE4" s="389" t="n"/>
      <c r="OF4" s="389" t="n"/>
      <c r="OG4" s="389" t="n"/>
      <c r="OH4" s="389" t="n"/>
      <c r="OI4" s="389" t="n"/>
      <c r="OJ4" s="389" t="n"/>
      <c r="OK4" s="389" t="n"/>
      <c r="OL4" s="389" t="n"/>
      <c r="OM4" s="389" t="n"/>
      <c r="ON4" s="389" t="n"/>
      <c r="OO4" s="389" t="n"/>
      <c r="OP4" s="389" t="n"/>
      <c r="OQ4" s="389" t="n"/>
      <c r="OR4" s="389" t="n"/>
      <c r="OS4" s="389" t="n"/>
      <c r="OT4" s="389" t="n"/>
      <c r="OU4" s="389" t="n"/>
      <c r="OV4" s="389" t="n"/>
      <c r="OW4" s="389" t="n"/>
      <c r="OX4" s="389" t="n"/>
      <c r="OY4" s="389" t="n"/>
      <c r="OZ4" s="389" t="n"/>
      <c r="PA4" s="389" t="n"/>
      <c r="PB4" s="389" t="n"/>
      <c r="PC4" s="389" t="n"/>
      <c r="PD4" s="389" t="n"/>
      <c r="PE4" s="389" t="n"/>
      <c r="PF4" s="389" t="n"/>
      <c r="PG4" s="389" t="n"/>
      <c r="PH4" s="389" t="n"/>
      <c r="PI4" s="389" t="n"/>
      <c r="PJ4" s="389" t="n"/>
      <c r="PK4" s="389" t="n"/>
      <c r="PL4" s="389" t="n"/>
      <c r="PM4" s="389" t="n"/>
      <c r="PN4" s="389" t="n"/>
      <c r="PO4" s="389" t="n"/>
      <c r="PP4" s="389" t="n"/>
      <c r="PQ4" s="389" t="n"/>
      <c r="PR4" s="389" t="n"/>
      <c r="PS4" s="389" t="n"/>
      <c r="PT4" s="389" t="n"/>
      <c r="PU4" s="389" t="n"/>
      <c r="PV4" s="389" t="n"/>
      <c r="PW4" s="389" t="n"/>
      <c r="PX4" s="389" t="n"/>
      <c r="PY4" s="389" t="n"/>
      <c r="PZ4" s="389" t="n"/>
      <c r="QA4" s="389" t="n"/>
      <c r="QB4" s="389" t="n"/>
      <c r="QC4" s="389" t="n"/>
      <c r="QD4" s="389" t="n"/>
      <c r="QE4" s="389" t="n"/>
      <c r="QF4" s="389" t="n"/>
      <c r="QG4" s="389" t="n"/>
      <c r="QH4" s="389" t="n"/>
      <c r="QI4" s="389" t="n"/>
      <c r="QJ4" s="389" t="n"/>
      <c r="QK4" s="389" t="n"/>
      <c r="QL4" s="389" t="n"/>
      <c r="QM4" s="389" t="n"/>
      <c r="QN4" s="389" t="n"/>
      <c r="QO4" s="389" t="n"/>
      <c r="QP4" s="389" t="n"/>
      <c r="QQ4" s="389" t="n"/>
      <c r="QR4" s="389" t="n"/>
      <c r="QS4" s="389" t="n"/>
      <c r="QT4" s="389" t="n"/>
      <c r="QU4" s="389" t="n"/>
      <c r="QV4" s="389" t="n"/>
      <c r="QW4" s="389" t="n"/>
      <c r="QX4" s="389" t="n"/>
      <c r="QY4" s="389" t="n"/>
      <c r="QZ4" s="389" t="n"/>
      <c r="RA4" s="389" t="n"/>
      <c r="RB4" s="389" t="n"/>
      <c r="RC4" s="389" t="n"/>
      <c r="RD4" s="389" t="n"/>
      <c r="RE4" s="389" t="n"/>
      <c r="RF4" s="389" t="n"/>
      <c r="RG4" s="389" t="n"/>
      <c r="RH4" s="389" t="n"/>
      <c r="RI4" s="389" t="n"/>
      <c r="RJ4" s="389" t="n"/>
      <c r="RK4" s="389" t="n"/>
      <c r="RL4" s="389" t="n"/>
      <c r="RM4" s="389" t="n"/>
      <c r="RN4" s="389" t="n"/>
      <c r="RO4" s="389" t="n"/>
      <c r="RP4" s="389" t="n"/>
      <c r="RQ4" s="389" t="n"/>
      <c r="RR4" s="389" t="n"/>
      <c r="RS4" s="389" t="n"/>
      <c r="RT4" s="389" t="n"/>
      <c r="RU4" s="389" t="n"/>
      <c r="RV4" s="389" t="n"/>
      <c r="RW4" s="389" t="n"/>
      <c r="RX4" s="389" t="n"/>
      <c r="RY4" s="389" t="n"/>
      <c r="RZ4" s="389" t="n"/>
      <c r="SA4" s="389" t="n"/>
      <c r="SB4" s="389" t="n"/>
      <c r="SC4" s="389" t="n"/>
      <c r="SD4" s="389" t="n"/>
      <c r="SE4" s="389" t="n"/>
      <c r="SF4" s="389" t="n"/>
      <c r="SG4" s="389" t="n"/>
      <c r="SH4" s="389" t="n"/>
      <c r="SI4" s="389" t="n"/>
      <c r="SJ4" s="389" t="n"/>
      <c r="SK4" s="389" t="n"/>
      <c r="SL4" s="389" t="n"/>
      <c r="SM4" s="389" t="n"/>
      <c r="SN4" s="389" t="n"/>
      <c r="SO4" s="389" t="n"/>
      <c r="SP4" s="389" t="n"/>
      <c r="SQ4" s="389" t="n"/>
      <c r="SR4" s="389" t="n"/>
      <c r="SS4" s="389" t="n"/>
      <c r="ST4" s="389" t="n"/>
      <c r="SU4" s="389" t="n"/>
      <c r="SV4" s="389" t="n"/>
      <c r="SW4" s="389" t="n"/>
      <c r="SX4" s="389" t="n"/>
      <c r="SY4" s="389" t="n"/>
      <c r="SZ4" s="389" t="n"/>
      <c r="TA4" s="389" t="n"/>
      <c r="TB4" s="389" t="n"/>
      <c r="TC4" s="389" t="n"/>
      <c r="TD4" s="389" t="n"/>
      <c r="TE4" s="389" t="n"/>
      <c r="TF4" s="389" t="n"/>
      <c r="TG4" s="389" t="n"/>
      <c r="TH4" s="389" t="n"/>
      <c r="TI4" s="389" t="n"/>
      <c r="TJ4" s="389" t="n"/>
      <c r="TK4" s="389" t="n"/>
      <c r="TL4" s="389" t="n"/>
      <c r="TM4" s="389" t="n"/>
      <c r="TN4" s="389" t="n"/>
      <c r="TO4" s="389" t="n"/>
      <c r="TP4" s="389" t="n"/>
      <c r="TQ4" s="389" t="n"/>
      <c r="TR4" s="389" t="n"/>
      <c r="TS4" s="389" t="n"/>
      <c r="TT4" s="389" t="n"/>
      <c r="TU4" s="389" t="n"/>
      <c r="TV4" s="389" t="n"/>
      <c r="TW4" s="389" t="n"/>
      <c r="TX4" s="389" t="n"/>
      <c r="TY4" s="389" t="n"/>
      <c r="TZ4" s="389" t="n"/>
      <c r="UA4" s="389" t="n"/>
      <c r="UB4" s="389" t="n"/>
      <c r="UC4" s="389" t="n"/>
      <c r="UD4" s="389" t="n"/>
      <c r="UE4" s="389" t="n"/>
      <c r="UF4" s="389" t="n"/>
      <c r="UG4" s="389" t="n"/>
      <c r="UH4" s="389" t="n"/>
      <c r="UI4" s="389" t="n"/>
      <c r="UJ4" s="389" t="n"/>
      <c r="UK4" s="389" t="n"/>
      <c r="UL4" s="389" t="n"/>
      <c r="UM4" s="389" t="n"/>
      <c r="UN4" s="389" t="n"/>
      <c r="UO4" s="389" t="n"/>
      <c r="UP4" s="389" t="n"/>
      <c r="UQ4" s="389" t="n"/>
      <c r="UR4" s="389" t="n"/>
      <c r="US4" s="389" t="n"/>
      <c r="UT4" s="389" t="n"/>
      <c r="UU4" s="389" t="n"/>
      <c r="UV4" s="389" t="n"/>
      <c r="UW4" s="389" t="n"/>
      <c r="UX4" s="389" t="n"/>
      <c r="UY4" s="389" t="n"/>
      <c r="UZ4" s="389" t="n"/>
      <c r="VA4" s="389" t="n"/>
      <c r="VB4" s="389" t="n"/>
      <c r="VC4" s="389" t="n"/>
      <c r="VD4" s="389" t="n"/>
      <c r="VE4" s="389" t="n"/>
      <c r="VF4" s="389" t="n"/>
      <c r="VG4" s="389" t="n"/>
      <c r="VH4" s="389" t="n"/>
      <c r="VI4" s="389" t="n"/>
      <c r="VJ4" s="389" t="n"/>
      <c r="VK4" s="389" t="n"/>
      <c r="VL4" s="389" t="n"/>
      <c r="VM4" s="389" t="n"/>
      <c r="VN4" s="389" t="n"/>
      <c r="VO4" s="389" t="n"/>
      <c r="VP4" s="389" t="n"/>
      <c r="VQ4" s="389" t="n"/>
      <c r="VR4" s="389" t="n"/>
      <c r="VS4" s="389" t="n"/>
      <c r="VT4" s="389" t="n"/>
      <c r="VU4" s="389" t="n"/>
      <c r="VV4" s="389" t="n"/>
      <c r="VW4" s="389" t="n"/>
      <c r="VX4" s="389" t="n"/>
    </row>
    <row r="5" ht="15" customFormat="1" customHeight="1" s="381">
      <c r="A5" s="391" t="inlineStr">
        <is>
          <t>YTD Actuals Snapshot:</t>
        </is>
      </c>
      <c r="B5" s="392" t="n"/>
      <c r="C5" s="393" t="n"/>
      <c r="D5" s="393" t="n"/>
      <c r="E5" s="394" t="n"/>
      <c r="F5" s="392" t="n"/>
      <c r="G5" s="393" t="n"/>
      <c r="H5" s="393" t="n"/>
      <c r="I5" s="393" t="n"/>
      <c r="J5" s="393" t="n"/>
      <c r="K5" s="393" t="n"/>
      <c r="L5" s="393" t="n"/>
      <c r="M5" s="393" t="n"/>
      <c r="N5" s="393" t="n"/>
      <c r="O5" s="393" t="n"/>
      <c r="P5" s="393" t="n"/>
      <c r="Q5" s="393" t="n"/>
      <c r="R5" s="393" t="n"/>
      <c r="S5" s="393" t="n"/>
      <c r="T5" s="393" t="n"/>
      <c r="U5" s="393" t="n"/>
      <c r="V5" s="393" t="n"/>
      <c r="W5" s="393" t="n"/>
      <c r="X5" s="393" t="n"/>
      <c r="Y5" s="393" t="n"/>
      <c r="Z5" s="393" t="n"/>
      <c r="AA5" s="393" t="n"/>
      <c r="AB5" s="393" t="n"/>
      <c r="AC5" s="393" t="n"/>
      <c r="AD5" s="393" t="n"/>
      <c r="AE5" s="393" t="n"/>
      <c r="AF5" s="393" t="n"/>
      <c r="AG5" s="393" t="n"/>
      <c r="AH5" s="393" t="n"/>
      <c r="AI5" s="393" t="n"/>
      <c r="AJ5" s="393" t="n"/>
      <c r="AK5" s="393" t="n"/>
      <c r="AL5" s="393" t="n"/>
      <c r="AM5" s="393" t="n"/>
      <c r="AN5" s="393" t="n"/>
      <c r="AO5" s="393" t="n"/>
      <c r="AP5" s="393" t="n"/>
      <c r="AQ5" s="393" t="n"/>
      <c r="AR5" s="393" t="n"/>
      <c r="AS5" s="393" t="n"/>
      <c r="AT5" s="393" t="n"/>
      <c r="AU5" s="393" t="n"/>
      <c r="AV5" s="393" t="n"/>
      <c r="AW5" s="393" t="n"/>
      <c r="AX5" s="393" t="n"/>
      <c r="AY5" s="393" t="n"/>
      <c r="AZ5" s="393" t="n"/>
      <c r="BA5" s="393" t="n"/>
      <c r="BB5" s="393" t="n"/>
      <c r="BC5" s="393" t="n"/>
      <c r="BD5" s="393" t="n"/>
      <c r="BE5" s="393" t="n"/>
      <c r="BF5" s="393" t="n"/>
      <c r="BG5" s="393" t="n"/>
      <c r="BH5" s="393" t="n"/>
      <c r="BI5" s="393" t="n"/>
      <c r="BJ5" s="393" t="n"/>
      <c r="BK5" s="393" t="n"/>
      <c r="BL5" s="393" t="n"/>
      <c r="BM5" s="393" t="n"/>
      <c r="BN5" s="393" t="n"/>
      <c r="BO5" s="393" t="n"/>
      <c r="BP5" s="393" t="n"/>
      <c r="BQ5" s="393" t="n"/>
      <c r="BR5" s="393" t="n"/>
      <c r="BS5" s="393" t="n"/>
      <c r="BT5" s="393" t="n"/>
      <c r="BU5" s="393" t="n"/>
      <c r="BV5" s="393" t="n"/>
      <c r="BW5" s="393" t="n"/>
      <c r="BX5" s="393" t="n"/>
      <c r="BY5" s="393" t="n"/>
      <c r="BZ5" s="393" t="n"/>
      <c r="CA5" s="393" t="n"/>
      <c r="CB5" s="393" t="n"/>
      <c r="CC5" s="393" t="n"/>
      <c r="CD5" s="393" t="n"/>
      <c r="CE5" s="393" t="n"/>
      <c r="CF5" s="393" t="n"/>
      <c r="CG5" s="393" t="n"/>
      <c r="CH5" s="393" t="n"/>
      <c r="CI5" s="393" t="n"/>
      <c r="CJ5" s="393" t="n"/>
      <c r="CK5" s="393" t="n"/>
      <c r="CL5" s="393" t="n"/>
      <c r="CM5" s="393" t="n"/>
      <c r="CN5" s="393" t="n"/>
      <c r="CO5" s="393" t="n"/>
      <c r="CP5" s="393" t="n"/>
      <c r="CQ5" s="393" t="n"/>
      <c r="CR5" s="393" t="n"/>
      <c r="CS5" s="393" t="n"/>
      <c r="CT5" s="393" t="n"/>
      <c r="CU5" s="393" t="n"/>
      <c r="CV5" s="393" t="n"/>
      <c r="CW5" s="393" t="n"/>
      <c r="CX5" s="393" t="n"/>
      <c r="CY5" s="393" t="n"/>
      <c r="CZ5" s="393" t="n"/>
      <c r="DA5" s="393" t="n"/>
      <c r="DB5" s="393" t="n"/>
      <c r="DC5" s="393" t="n"/>
      <c r="DD5" s="393" t="n"/>
      <c r="DE5" s="393" t="n"/>
    </row>
    <row r="6" ht="42" customFormat="1" customHeight="1" s="395">
      <c r="A6" s="396" t="n"/>
      <c r="B6" s="397" t="n"/>
      <c r="C6" s="397" t="n"/>
      <c r="D6" s="397" t="n"/>
      <c r="E6" s="397" t="str">
        <f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397">
        <f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</c>
      <c r="G6" s="397">
        <f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</c>
      <c r="H6" s="397">
        <f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</c>
      <c r="I6" s="397" t="str">
        <f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Lexington, Denny</v>
      </c>
      <c r="J6" s="397" t="str">
        <f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</c>
      <c r="K6" s="397">
        <f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</c>
      <c r="L6" s="397" t="str">
        <f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397" t="str">
        <f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</c>
      <c r="N6" s="397" t="str">
        <f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397">
        <f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</c>
      <c r="P6" s="397">
        <f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</c>
      <c r="Q6" s="397" t="str">
        <f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</c>
      <c r="R6" s="397" t="str">
        <f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397" t="str">
        <f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397" t="str">
        <f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397">
        <f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</c>
      <c r="V6" s="397">
        <f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</c>
      <c r="W6" s="397">
        <f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</c>
      <c r="X6" s="397" t="str">
        <f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397">
        <f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</c>
      <c r="Z6" s="397">
        <f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</c>
      <c r="AA6" s="397">
        <f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</c>
      <c r="AB6" s="397" t="str">
        <f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>BD-08</v>
      </c>
      <c r="AC6" s="397">
        <f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</c>
      <c r="AD6" s="397">
        <f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</c>
      <c r="AE6" s="397" t="str">
        <f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397">
        <f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</c>
      <c r="AG6" s="397" t="str">
        <f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>BD-09</v>
      </c>
      <c r="AH6" s="397" t="str">
        <f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>BD-10</v>
      </c>
      <c r="AI6" s="397" t="str">
        <f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BD-11</v>
      </c>
      <c r="AJ6" s="397" t="str">
        <f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>BD-12</v>
      </c>
      <c r="AK6" s="397" t="str">
        <f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>BD-13</v>
      </c>
      <c r="AL6" s="397" t="str">
        <f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BD-14</v>
      </c>
      <c r="AM6" s="397" t="str">
        <f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>BD-15</v>
      </c>
      <c r="AN6" s="397" t="str">
        <f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>BD-16</v>
      </c>
      <c r="AO6" s="397" t="str">
        <f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BD-17</v>
      </c>
      <c r="AP6" s="397" t="str">
        <f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>BD-18</v>
      </c>
      <c r="AQ6" s="397" t="str">
        <f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>BD-19</v>
      </c>
      <c r="AR6" s="397">
        <f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</c>
      <c r="AS6" s="397">
        <f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</c>
      <c r="AT6" s="397">
        <f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</c>
      <c r="AU6" s="397" t="str">
        <f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>BD-20</v>
      </c>
      <c r="AV6" s="397" t="str">
        <f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>BD-21</v>
      </c>
      <c r="AW6" s="397">
        <f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</c>
      <c r="AX6" s="397">
        <f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</c>
      <c r="AY6" s="397">
        <f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</c>
      <c r="AZ6" s="397" t="str">
        <f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BD-22</v>
      </c>
      <c r="BA6" s="397" t="str">
        <f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>BD-23</v>
      </c>
      <c r="BB6" s="397" t="str">
        <f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>BD-24</v>
      </c>
      <c r="BC6" s="397" t="str">
        <f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>BD-25</v>
      </c>
      <c r="BD6" s="397" t="str">
        <f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BD-26</v>
      </c>
      <c r="BE6" s="397" t="str">
        <f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>BD-27</v>
      </c>
      <c r="BF6" s="397" t="str">
        <f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BD-28</v>
      </c>
      <c r="BG6" s="397" t="str">
        <f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>BD-29</v>
      </c>
      <c r="BH6" s="397" t="str">
        <f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BD-30</v>
      </c>
      <c r="BI6" s="397">
        <f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</c>
      <c r="BJ6" s="397">
        <f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</c>
      <c r="BK6" s="397">
        <f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</c>
      <c r="BL6" s="397">
        <f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</c>
      <c r="BM6" s="397">
        <f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</c>
      <c r="BN6" s="397">
        <f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</c>
      <c r="BO6" s="397">
        <f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</c>
      <c r="BP6" s="397">
        <f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</c>
      <c r="BQ6" s="397">
        <f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</c>
      <c r="BR6" s="397">
        <f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</c>
      <c r="BS6" s="397">
        <f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</c>
      <c r="BT6" s="397">
        <f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</c>
      <c r="BU6" s="397">
        <f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</c>
      <c r="BV6" s="397">
        <f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</c>
      <c r="BW6" s="397">
        <f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</c>
      <c r="BX6" s="397">
        <f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</c>
      <c r="BY6" s="397">
        <f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</c>
      <c r="BZ6" s="397">
        <f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</c>
      <c r="CA6" s="397">
        <f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</c>
      <c r="CB6" s="397">
        <f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</c>
      <c r="CC6" s="397">
        <f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</c>
      <c r="CD6" s="397">
        <f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</c>
      <c r="CE6" s="397">
        <f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</c>
      <c r="CF6" s="397">
        <f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</c>
      <c r="CG6" s="397">
        <f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</c>
      <c r="CH6" s="397">
        <f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</c>
      <c r="CI6" s="397">
        <f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</c>
      <c r="CJ6" s="397">
        <f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</c>
      <c r="CK6" s="397">
        <f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</c>
      <c r="CL6" s="397">
        <f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</c>
      <c r="CM6" s="397">
        <f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</c>
      <c r="CN6" s="397">
        <f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</c>
      <c r="CO6" s="397">
        <f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</c>
      <c r="CP6" s="397">
        <f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</c>
      <c r="CQ6" s="397">
        <f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</c>
      <c r="CR6" s="397">
        <f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</c>
      <c r="CS6" s="397">
        <f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</c>
      <c r="CT6" s="397">
        <f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</c>
      <c r="CU6" s="397">
        <f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</c>
      <c r="CV6" s="397">
        <f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</c>
      <c r="CW6" s="397">
        <f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</c>
      <c r="CX6" s="397">
        <f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</c>
      <c r="CY6" s="397">
        <f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</c>
      <c r="CZ6" s="397">
        <f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</c>
      <c r="DA6" s="397">
        <f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</c>
      <c r="DB6" s="397">
        <f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</c>
      <c r="DC6" s="397">
        <f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</c>
      <c r="DD6" s="397">
        <f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</c>
      <c r="DE6" s="397">
        <f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</c>
    </row>
    <row r="7" ht="9.75" customFormat="1" customHeight="1" s="398">
      <c r="A7" s="399" t="n"/>
      <c r="B7" s="400" t="n"/>
      <c r="C7" s="401" t="n"/>
      <c r="D7" s="401" t="n"/>
      <c r="E7" s="402" t="n"/>
      <c r="F7" s="400" t="n"/>
      <c r="G7" s="401" t="n"/>
      <c r="H7" s="401" t="n"/>
      <c r="I7" s="401" t="n"/>
      <c r="J7" s="401" t="n"/>
      <c r="K7" s="401" t="n"/>
      <c r="L7" s="401" t="n"/>
      <c r="M7" s="401" t="n"/>
      <c r="N7" s="401" t="n"/>
      <c r="O7" s="401" t="n"/>
      <c r="P7" s="401" t="n"/>
      <c r="Q7" s="401" t="n"/>
      <c r="R7" s="401" t="n"/>
      <c r="S7" s="401" t="n"/>
      <c r="T7" s="401" t="n"/>
      <c r="U7" s="401" t="n"/>
      <c r="V7" s="401" t="n"/>
      <c r="W7" s="401" t="n"/>
      <c r="X7" s="401" t="n"/>
      <c r="Y7" s="401" t="n"/>
      <c r="Z7" s="401" t="n"/>
      <c r="AA7" s="401" t="n"/>
      <c r="AB7" s="401" t="n"/>
      <c r="AC7" s="401" t="n"/>
      <c r="AD7" s="401" t="n"/>
      <c r="AE7" s="401" t="n"/>
      <c r="AF7" s="401" t="n"/>
      <c r="AG7" s="401" t="n"/>
      <c r="AH7" s="401" t="n"/>
      <c r="AI7" s="401" t="n"/>
      <c r="AJ7" s="401" t="n"/>
      <c r="AK7" s="401" t="n"/>
      <c r="AL7" s="401" t="n"/>
      <c r="AM7" s="401" t="n"/>
      <c r="AN7" s="401" t="n"/>
      <c r="AO7" s="401" t="n"/>
      <c r="AP7" s="401" t="n"/>
      <c r="AQ7" s="401" t="n"/>
      <c r="AR7" s="401" t="n"/>
      <c r="AS7" s="401" t="n"/>
      <c r="AT7" s="401" t="n"/>
      <c r="AU7" s="401" t="n"/>
      <c r="AV7" s="401" t="n"/>
      <c r="AW7" s="401" t="n"/>
      <c r="AX7" s="401" t="n"/>
      <c r="AY7" s="401" t="n"/>
      <c r="AZ7" s="401" t="n"/>
      <c r="BA7" s="401" t="n"/>
      <c r="BB7" s="401" t="n"/>
      <c r="BC7" s="401" t="n"/>
      <c r="BD7" s="401" t="n"/>
      <c r="BE7" s="401" t="n"/>
      <c r="BF7" s="401" t="n"/>
      <c r="BG7" s="401" t="n"/>
      <c r="BH7" s="401" t="n"/>
      <c r="BI7" s="401" t="n"/>
      <c r="BJ7" s="401" t="n"/>
      <c r="BK7" s="401" t="n"/>
      <c r="BL7" s="401" t="n"/>
      <c r="BM7" s="401" t="n"/>
      <c r="BN7" s="401" t="n"/>
      <c r="BO7" s="401" t="n"/>
      <c r="BP7" s="401" t="n"/>
      <c r="BQ7" s="401" t="n"/>
      <c r="BR7" s="401" t="n"/>
      <c r="BS7" s="401" t="n"/>
      <c r="BT7" s="401" t="n"/>
      <c r="BU7" s="401" t="n"/>
      <c r="BV7" s="401" t="n"/>
      <c r="BW7" s="401" t="n"/>
      <c r="BX7" s="401" t="n"/>
      <c r="BY7" s="401" t="n"/>
      <c r="BZ7" s="401" t="n"/>
      <c r="CA7" s="401" t="n"/>
      <c r="CB7" s="401" t="n"/>
      <c r="CC7" s="401" t="n"/>
      <c r="CD7" s="401" t="n"/>
      <c r="CE7" s="401" t="n"/>
      <c r="CF7" s="401" t="n"/>
      <c r="CG7" s="401" t="n"/>
      <c r="CH7" s="401" t="n"/>
      <c r="CI7" s="401" t="n"/>
      <c r="CJ7" s="401" t="n"/>
      <c r="CK7" s="401" t="n"/>
      <c r="CL7" s="401" t="n"/>
      <c r="CM7" s="401" t="n"/>
      <c r="CN7" s="401" t="n"/>
      <c r="CO7" s="401" t="n"/>
      <c r="CP7" s="401" t="n"/>
      <c r="CQ7" s="401" t="n"/>
      <c r="CR7" s="401" t="n"/>
      <c r="CS7" s="401" t="n"/>
      <c r="CT7" s="401" t="n"/>
      <c r="CU7" s="401" t="n"/>
      <c r="CV7" s="401" t="n"/>
      <c r="CW7" s="401" t="n"/>
      <c r="CX7" s="401" t="n"/>
      <c r="CY7" s="401" t="n"/>
      <c r="CZ7" s="401" t="n"/>
      <c r="DA7" s="401" t="n"/>
      <c r="DB7" s="401" t="n"/>
      <c r="DC7" s="401" t="n"/>
      <c r="DD7" s="401" t="n"/>
      <c r="DE7" s="401" t="n"/>
    </row>
    <row r="8" ht="15" customFormat="1" customHeight="1" s="403">
      <c r="A8" s="403" t="inlineStr">
        <is>
          <t>GC Revenue</t>
        </is>
      </c>
      <c r="B8" s="404" t="n"/>
      <c r="C8" s="405" t="n"/>
      <c r="D8" s="405" t="n"/>
      <c r="E8" s="406" t="n"/>
      <c r="F8" s="404" t="n"/>
      <c r="G8" s="405" t="n"/>
      <c r="H8" s="405" t="n"/>
      <c r="I8" s="405" t="n"/>
      <c r="J8" s="405" t="n"/>
      <c r="K8" s="405" t="n"/>
      <c r="L8" s="405" t="n"/>
      <c r="M8" s="405" t="n"/>
      <c r="N8" s="405" t="n"/>
      <c r="O8" s="405" t="n"/>
      <c r="P8" s="405" t="n"/>
      <c r="Q8" s="405" t="n"/>
      <c r="R8" s="405" t="n"/>
      <c r="S8" s="405" t="n"/>
      <c r="T8" s="405" t="n"/>
      <c r="U8" s="405" t="n"/>
      <c r="V8" s="405" t="n"/>
      <c r="W8" s="405" t="n"/>
      <c r="X8" s="405" t="n"/>
      <c r="Y8" s="405" t="n"/>
      <c r="Z8" s="405" t="n"/>
      <c r="AA8" s="405" t="n"/>
      <c r="AB8" s="405" t="n"/>
      <c r="AC8" s="405" t="n"/>
      <c r="AD8" s="405" t="n"/>
      <c r="AE8" s="405" t="n"/>
      <c r="AF8" s="405" t="n"/>
      <c r="AG8" s="405" t="n"/>
      <c r="AH8" s="405" t="n"/>
      <c r="AI8" s="405" t="n"/>
      <c r="AJ8" s="405" t="n"/>
      <c r="AK8" s="405" t="n"/>
      <c r="AL8" s="405" t="n"/>
      <c r="AM8" s="405" t="n"/>
      <c r="AN8" s="405" t="n"/>
      <c r="AO8" s="405" t="n"/>
      <c r="AP8" s="405" t="n"/>
      <c r="AQ8" s="405" t="n"/>
      <c r="AR8" s="405" t="n"/>
      <c r="AS8" s="405" t="n"/>
      <c r="AT8" s="405" t="n"/>
      <c r="AU8" s="405" t="n"/>
      <c r="AV8" s="405" t="n"/>
      <c r="AW8" s="405" t="n"/>
      <c r="AX8" s="405" t="n"/>
      <c r="AY8" s="405" t="n"/>
      <c r="AZ8" s="405" t="n"/>
      <c r="BA8" s="405" t="n"/>
      <c r="BB8" s="405" t="n"/>
      <c r="BC8" s="405" t="n"/>
      <c r="BD8" s="405" t="n"/>
      <c r="BE8" s="405" t="n"/>
      <c r="BF8" s="405" t="n"/>
      <c r="BG8" s="405" t="n"/>
      <c r="BH8" s="405" t="n"/>
      <c r="BI8" s="405" t="n"/>
      <c r="BJ8" s="405" t="n"/>
      <c r="BK8" s="405" t="n"/>
      <c r="BL8" s="405" t="n"/>
      <c r="BM8" s="405" t="n"/>
      <c r="BN8" s="405" t="n"/>
      <c r="BO8" s="405" t="n"/>
      <c r="BP8" s="405" t="n"/>
      <c r="BQ8" s="405" t="n"/>
      <c r="BR8" s="405" t="n"/>
      <c r="BS8" s="405" t="n"/>
      <c r="BT8" s="405" t="n"/>
      <c r="BU8" s="405" t="n"/>
      <c r="BV8" s="405" t="n"/>
      <c r="BW8" s="405" t="n"/>
      <c r="BX8" s="405" t="n"/>
      <c r="BY8" s="405" t="n"/>
      <c r="BZ8" s="405" t="n"/>
      <c r="CA8" s="405" t="n"/>
      <c r="CB8" s="405" t="n"/>
      <c r="CC8" s="405" t="n"/>
      <c r="CD8" s="405" t="n"/>
      <c r="CE8" s="405" t="n"/>
      <c r="CF8" s="405" t="n"/>
      <c r="CG8" s="405" t="n"/>
      <c r="CH8" s="405" t="n"/>
      <c r="CI8" s="405" t="n"/>
      <c r="CJ8" s="405" t="n"/>
      <c r="CK8" s="405" t="n"/>
      <c r="CL8" s="405" t="n"/>
      <c r="CM8" s="405" t="n"/>
      <c r="CN8" s="405" t="n"/>
      <c r="CO8" s="405" t="n"/>
      <c r="CP8" s="405" t="n"/>
      <c r="CQ8" s="405" t="n"/>
      <c r="CR8" s="405" t="n"/>
      <c r="CS8" s="405" t="n"/>
      <c r="CT8" s="405" t="n"/>
      <c r="CU8" s="405" t="n"/>
      <c r="CV8" s="405" t="n"/>
      <c r="CW8" s="405" t="n"/>
      <c r="CX8" s="405" t="n"/>
      <c r="CY8" s="405" t="n"/>
      <c r="CZ8" s="405" t="n"/>
      <c r="DA8" s="405" t="n"/>
      <c r="DB8" s="405" t="n"/>
      <c r="DC8" s="405" t="n"/>
      <c r="DD8" s="405" t="n"/>
      <c r="DE8" s="405" t="n"/>
    </row>
    <row r="9" ht="15" customFormat="1" customHeight="1" s="381">
      <c r="A9" s="398" t="n"/>
      <c r="B9" s="400" t="n"/>
      <c r="C9" s="393" t="n"/>
      <c r="D9" s="393" t="n"/>
      <c r="E9" s="393" t="n"/>
      <c r="F9" s="393" t="n"/>
      <c r="G9" s="393" t="n"/>
      <c r="H9" s="393" t="n"/>
      <c r="I9" s="393" t="n"/>
      <c r="J9" s="393" t="n"/>
      <c r="K9" s="393" t="n"/>
      <c r="L9" s="393" t="n"/>
      <c r="M9" s="393" t="n"/>
      <c r="N9" s="393" t="n"/>
      <c r="O9" s="393" t="n"/>
      <c r="P9" s="393" t="n"/>
      <c r="Q9" s="393" t="n"/>
      <c r="R9" s="393" t="n"/>
      <c r="S9" s="393" t="n"/>
      <c r="T9" s="393" t="n"/>
      <c r="U9" s="393" t="n"/>
      <c r="V9" s="393" t="n"/>
      <c r="W9" s="393" t="n"/>
      <c r="X9" s="393" t="n"/>
      <c r="Y9" s="393" t="n"/>
      <c r="Z9" s="393" t="n"/>
      <c r="AA9" s="393" t="n"/>
      <c r="AB9" s="393" t="n"/>
      <c r="AC9" s="393" t="n"/>
      <c r="AD9" s="393" t="n"/>
      <c r="AE9" s="393" t="n"/>
      <c r="AF9" s="393" t="n"/>
      <c r="AG9" s="393" t="n"/>
      <c r="AH9" s="393" t="n"/>
      <c r="AI9" s="393" t="n"/>
      <c r="AJ9" s="393" t="n"/>
      <c r="AK9" s="393" t="n"/>
      <c r="AL9" s="393" t="n"/>
      <c r="AM9" s="393" t="n"/>
      <c r="AN9" s="393" t="n"/>
      <c r="AO9" s="393" t="n"/>
      <c r="AP9" s="393" t="n"/>
      <c r="AQ9" s="393" t="n"/>
      <c r="AR9" s="393" t="n"/>
      <c r="AS9" s="393" t="n"/>
      <c r="AT9" s="393" t="n"/>
      <c r="AU9" s="393" t="n"/>
      <c r="AV9" s="393" t="n"/>
      <c r="AW9" s="393" t="n"/>
      <c r="AX9" s="393" t="n"/>
      <c r="AY9" s="393" t="n"/>
      <c r="AZ9" s="393" t="n"/>
      <c r="BA9" s="393" t="n"/>
      <c r="BB9" s="393" t="n"/>
      <c r="BC9" s="393" t="n"/>
      <c r="BD9" s="393" t="n"/>
      <c r="BE9" s="393" t="n"/>
      <c r="BF9" s="393" t="n"/>
      <c r="BG9" s="393" t="n"/>
      <c r="BH9" s="393" t="n"/>
      <c r="BI9" s="393" t="n"/>
      <c r="BJ9" s="393" t="n"/>
      <c r="BK9" s="393" t="n"/>
      <c r="BL9" s="393" t="n"/>
      <c r="BM9" s="393" t="n"/>
      <c r="BN9" s="393" t="n"/>
      <c r="BO9" s="393" t="n"/>
      <c r="BP9" s="393" t="n"/>
      <c r="BQ9" s="393" t="n"/>
      <c r="BR9" s="393" t="n"/>
      <c r="BS9" s="393" t="n"/>
      <c r="BT9" s="393" t="n"/>
      <c r="BU9" s="393" t="n"/>
      <c r="BV9" s="393" t="n"/>
      <c r="BW9" s="393" t="n"/>
      <c r="BX9" s="393" t="n"/>
      <c r="BY9" s="393" t="n"/>
      <c r="BZ9" s="393" t="n"/>
      <c r="CA9" s="393" t="n"/>
      <c r="CB9" s="393" t="n"/>
      <c r="CC9" s="393" t="n"/>
      <c r="CD9" s="393" t="n"/>
      <c r="CE9" s="393" t="n"/>
      <c r="CF9" s="393" t="n"/>
      <c r="CG9" s="393" t="n"/>
      <c r="CH9" s="393" t="n"/>
      <c r="CI9" s="393" t="n"/>
      <c r="CJ9" s="393" t="n"/>
      <c r="CK9" s="393" t="n"/>
      <c r="CL9" s="393" t="n"/>
      <c r="CM9" s="393" t="n"/>
      <c r="CN9" s="393" t="n"/>
      <c r="CO9" s="393" t="n"/>
      <c r="CP9" s="393" t="n"/>
      <c r="CQ9" s="393" t="n"/>
      <c r="CR9" s="393" t="n"/>
      <c r="CS9" s="393" t="n"/>
      <c r="CT9" s="393" t="n"/>
      <c r="CU9" s="393" t="n"/>
      <c r="CV9" s="393" t="n"/>
      <c r="CW9" s="393" t="n"/>
      <c r="CX9" s="393" t="n"/>
      <c r="CY9" s="393" t="n"/>
      <c r="CZ9" s="393" t="n"/>
      <c r="DA9" s="393" t="n"/>
      <c r="DB9" s="393" t="n"/>
      <c r="DC9" s="393" t="n"/>
      <c r="DD9" s="393" t="n"/>
      <c r="DE9" s="393" t="n"/>
    </row>
    <row r="10" ht="15" customFormat="1" customHeight="1" s="381">
      <c r="A10" s="398" t="inlineStr">
        <is>
          <t>Other GC Income</t>
        </is>
      </c>
      <c r="B10" s="393">
        <f>IF(ISBLANK(Actuals!C8),0,Actuals!C8)</f>
        <v>116367.35</v>
      </c>
      <c r="C10" s="393">
        <f>IF(ISBLANK(Actuals!D8),0,Actuals!D8)</f>
        <v>138804.22</v>
      </c>
      <c r="D10" s="393">
        <f>IF(ISBLANK(Actuals!E8),0,Actuals!E8)</f>
        <v>219366.88</v>
      </c>
      <c r="E10" s="393">
        <f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393">
        <f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393">
        <f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393">
        <f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301539.495727581</v>
      </c>
      <c r="I10" s="393">
        <f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468561.516996006</v>
      </c>
      <c r="J10" s="393">
        <f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461763.036408973</v>
      </c>
      <c r="K10" s="393">
        <f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450399.824712214</v>
      </c>
      <c r="L10" s="393">
        <f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492733.233367192</v>
      </c>
      <c r="M10" s="393">
        <f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441516.941490613</v>
      </c>
      <c r="N10" s="393">
        <f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536401.563672123</v>
      </c>
      <c r="O10" s="393">
        <f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517595.542421293</v>
      </c>
      <c r="P10" s="393">
        <f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497237.954693078</v>
      </c>
      <c r="Q10" s="393">
        <f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476318.317754593</v>
      </c>
      <c r="R10" s="393">
        <f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607023.785990632</v>
      </c>
      <c r="S10" s="393">
        <f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626441.948571674</v>
      </c>
      <c r="T10" s="393">
        <f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632044.216770355</v>
      </c>
      <c r="U10" s="393">
        <f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599097.526731739</v>
      </c>
      <c r="V10" s="393">
        <f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597867.170884373</v>
      </c>
      <c r="W10" s="393">
        <f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596724.135337438</v>
      </c>
      <c r="X10" s="393">
        <f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660019.982643098</v>
      </c>
      <c r="Y10" s="393">
        <f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660019.982643098</v>
      </c>
      <c r="Z10" s="393">
        <f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660019.982643098</v>
      </c>
      <c r="AA10" s="393">
        <f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704715.323811086</v>
      </c>
      <c r="AB10" s="393">
        <f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677240.141475111</v>
      </c>
      <c r="AC10" s="393">
        <f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677240.141475111</v>
      </c>
      <c r="AD10" s="393">
        <f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677240.141475111</v>
      </c>
      <c r="AE10" s="393">
        <f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767331.551909044</v>
      </c>
      <c r="AF10" s="393">
        <f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878476.137333857</v>
      </c>
      <c r="AG10" s="393">
        <f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718102.466484231</v>
      </c>
      <c r="AH10" s="393">
        <f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780017.966484231</v>
      </c>
      <c r="AI10" s="393">
        <f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904755.013832981</v>
      </c>
      <c r="AJ10" s="393">
        <f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877990.597846054</v>
      </c>
      <c r="AK10" s="393">
        <f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863149.297707304</v>
      </c>
      <c r="AL10" s="393">
        <f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1096845.1380756</v>
      </c>
      <c r="AM10" s="393">
        <f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710902.533253623</v>
      </c>
      <c r="AN10" s="393">
        <f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762498.783253623</v>
      </c>
      <c r="AO10" s="393">
        <f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814095.033253623</v>
      </c>
      <c r="AP10" s="393">
        <f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876010.533253623</v>
      </c>
      <c r="AQ10" s="393">
        <f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927606.783253623</v>
      </c>
      <c r="AR10" s="393">
        <f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927606.783253623</v>
      </c>
      <c r="AS10" s="393">
        <f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927606.783253623</v>
      </c>
      <c r="AT10" s="393">
        <f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989522.283253623</v>
      </c>
      <c r="AU10" s="393">
        <f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1169397.47597368</v>
      </c>
      <c r="AV10" s="393">
        <f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812438.910433933</v>
      </c>
      <c r="AW10" s="393">
        <f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812438.910433933</v>
      </c>
      <c r="AX10" s="393">
        <f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812438.910433933</v>
      </c>
      <c r="AY10" s="393">
        <f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874354.410433933</v>
      </c>
      <c r="AZ10" s="393">
        <f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864035.160433933</v>
      </c>
      <c r="BA10" s="393">
        <f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853715.910433933</v>
      </c>
      <c r="BB10" s="393">
        <f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853715.910433933</v>
      </c>
      <c r="BC10" s="393">
        <f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853715.910433933</v>
      </c>
      <c r="BD10" s="393">
        <f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864035.160433933</v>
      </c>
      <c r="BE10" s="393">
        <f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874354.410433933</v>
      </c>
      <c r="BF10" s="393">
        <f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853715.910433933</v>
      </c>
      <c r="BG10" s="393">
        <f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864035.160433933</v>
      </c>
      <c r="BH10" s="393">
        <f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1016604.00585593</v>
      </c>
      <c r="BI10" s="393">
        <f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712028.25</v>
      </c>
      <c r="BJ10" s="393">
        <f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608835.75</v>
      </c>
      <c r="BK10" s="393">
        <f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608835.75</v>
      </c>
      <c r="BL10" s="393">
        <f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608835.75</v>
      </c>
      <c r="BM10" s="393">
        <f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670751.25</v>
      </c>
      <c r="BN10" s="393">
        <f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598516.5</v>
      </c>
      <c r="BO10" s="393">
        <f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495324</v>
      </c>
      <c r="BP10" s="393">
        <f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495324</v>
      </c>
      <c r="BQ10" s="393">
        <f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495324</v>
      </c>
      <c r="BR10" s="393">
        <f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546920.25</v>
      </c>
      <c r="BS10" s="393">
        <f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505643.25</v>
      </c>
      <c r="BT10" s="393">
        <f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433408.5</v>
      </c>
      <c r="BU10" s="393">
        <f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381812.25</v>
      </c>
      <c r="BV10" s="393">
        <f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340535.25</v>
      </c>
      <c r="BW10" s="393">
        <f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268300.5</v>
      </c>
      <c r="BX10" s="393">
        <f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216704.25</v>
      </c>
      <c r="BY10" s="393">
        <f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175427.25</v>
      </c>
      <c r="BZ10" s="393">
        <f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103192.5</v>
      </c>
      <c r="CA10" s="393">
        <f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0</v>
      </c>
      <c r="CB10" s="393">
        <f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0</v>
      </c>
      <c r="CC10" s="393">
        <f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0</v>
      </c>
      <c r="CD10" s="393">
        <f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0</v>
      </c>
      <c r="CE10" s="393">
        <f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0</v>
      </c>
      <c r="CF10" s="393">
        <f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0</v>
      </c>
      <c r="CG10" s="393">
        <f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0</v>
      </c>
      <c r="CH10" s="393">
        <f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0</v>
      </c>
      <c r="CI10" s="393">
        <f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0</v>
      </c>
      <c r="CJ10" s="393">
        <f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0</v>
      </c>
      <c r="CK10" s="393">
        <f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0</v>
      </c>
      <c r="CL10" s="393">
        <f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0</v>
      </c>
      <c r="CM10" s="393">
        <f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0</v>
      </c>
      <c r="CN10" s="393">
        <f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0</v>
      </c>
      <c r="CO10" s="393">
        <f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0</v>
      </c>
      <c r="CP10" s="393">
        <f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0</v>
      </c>
      <c r="CQ10" s="393">
        <f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0</v>
      </c>
      <c r="CR10" s="393">
        <f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0</v>
      </c>
      <c r="CS10" s="393">
        <f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0</v>
      </c>
      <c r="CT10" s="393">
        <f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0</v>
      </c>
      <c r="CU10" s="393">
        <f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0</v>
      </c>
      <c r="CV10" s="393">
        <f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0</v>
      </c>
      <c r="CW10" s="393">
        <f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0</v>
      </c>
      <c r="CX10" s="393">
        <f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0</v>
      </c>
      <c r="CY10" s="393">
        <f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0</v>
      </c>
      <c r="CZ10" s="393">
        <f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0</v>
      </c>
      <c r="DA10" s="393">
        <f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393">
        <f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393">
        <f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393">
        <f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393">
        <f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ht="15" customFormat="1" customHeight="1" s="381">
      <c r="A11" s="398" t="inlineStr">
        <is>
          <t>GC Fee Income</t>
        </is>
      </c>
      <c r="B11" s="393">
        <f>IF(ISBLANK(Actuals!C10),0,Actuals!C10)</f>
        <v>95370.25</v>
      </c>
      <c r="C11" s="393">
        <f>IF(ISBLANK(Actuals!D10),0,Actuals!D10)</f>
        <v>173282.89</v>
      </c>
      <c r="D11" s="393">
        <f>IF(ISBLANK(Actuals!E10),0,Actuals!E10)</f>
        <v>50438.85</v>
      </c>
      <c r="E11" s="393">
        <f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393">
        <f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393">
        <f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393">
        <f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247907.207280058</v>
      </c>
      <c r="I11" s="393">
        <f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374130.527491506</v>
      </c>
      <c r="J11" s="393">
        <f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369623.466156532</v>
      </c>
      <c r="K11" s="393">
        <f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361283.620939191</v>
      </c>
      <c r="L11" s="393">
        <f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392785.316192045</v>
      </c>
      <c r="M11" s="393">
        <f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351569.401631984</v>
      </c>
      <c r="N11" s="393">
        <f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421828.916831564</v>
      </c>
      <c r="O11" s="393">
        <f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406499.456247369</v>
      </c>
      <c r="P11" s="393">
        <f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389746.577274676</v>
      </c>
      <c r="Q11" s="393">
        <f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372386.291045264</v>
      </c>
      <c r="R11" s="393">
        <f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468636.784281342</v>
      </c>
      <c r="S11" s="393">
        <f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481392.990727559</v>
      </c>
      <c r="T11" s="393">
        <f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481092.004867851</v>
      </c>
      <c r="U11" s="393">
        <f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453173.010821479</v>
      </c>
      <c r="V11" s="393">
        <f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451594.517182082</v>
      </c>
      <c r="W11" s="393">
        <f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450128.051732835</v>
      </c>
      <c r="X11" s="393">
        <f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495012.588479589</v>
      </c>
      <c r="Y11" s="393">
        <f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495012.588479589</v>
      </c>
      <c r="Z11" s="393">
        <f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495012.588479589</v>
      </c>
      <c r="AA11" s="393">
        <f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528533.931933379</v>
      </c>
      <c r="AB11" s="393">
        <f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507927.645025798</v>
      </c>
      <c r="AC11" s="393">
        <f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507927.645025798</v>
      </c>
      <c r="AD11" s="393">
        <f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507927.645025798</v>
      </c>
      <c r="AE11" s="393">
        <f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575495.875460412</v>
      </c>
      <c r="AF11" s="393">
        <f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658853.910631262</v>
      </c>
      <c r="AG11" s="393">
        <f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538574.240289562</v>
      </c>
      <c r="AH11" s="393">
        <f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585010.640289562</v>
      </c>
      <c r="AI11" s="393">
        <f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678562.972508562</v>
      </c>
      <c r="AJ11" s="393">
        <f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658489.757779853</v>
      </c>
      <c r="AK11" s="393">
        <f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647358.836608854</v>
      </c>
      <c r="AL11" s="393">
        <f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822629.867637894</v>
      </c>
      <c r="AM11" s="393">
        <f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533174.316531055</v>
      </c>
      <c r="AN11" s="393">
        <f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571871.316531055</v>
      </c>
      <c r="AO11" s="393">
        <f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610568.316531055</v>
      </c>
      <c r="AP11" s="393">
        <f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657004.716531055</v>
      </c>
      <c r="AQ11" s="393">
        <f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695701.716531055</v>
      </c>
      <c r="AR11" s="393">
        <f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695701.716531055</v>
      </c>
      <c r="AS11" s="393">
        <f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695701.716531055</v>
      </c>
      <c r="AT11" s="393">
        <f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742138.116531055</v>
      </c>
      <c r="AU11" s="393">
        <f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877043.857407339</v>
      </c>
      <c r="AV11" s="393">
        <f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609326.230434613</v>
      </c>
      <c r="AW11" s="393">
        <f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609326.230434613</v>
      </c>
      <c r="AX11" s="393">
        <f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609326.230434613</v>
      </c>
      <c r="AY11" s="393">
        <f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655762.630434613</v>
      </c>
      <c r="AZ11" s="393">
        <f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648023.230434613</v>
      </c>
      <c r="BA11" s="393">
        <f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640283.830434613</v>
      </c>
      <c r="BB11" s="393">
        <f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640283.830434613</v>
      </c>
      <c r="BC11" s="393">
        <f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640283.830434613</v>
      </c>
      <c r="BD11" s="393">
        <f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648023.230434613</v>
      </c>
      <c r="BE11" s="393">
        <f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655762.630434613</v>
      </c>
      <c r="BF11" s="393">
        <f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640283.830434613</v>
      </c>
      <c r="BG11" s="393">
        <f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648023.230434613</v>
      </c>
      <c r="BH11" s="393">
        <f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762449.310068213</v>
      </c>
      <c r="BI11" s="393">
        <f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534018.6</v>
      </c>
      <c r="BJ11" s="393">
        <f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456624.6</v>
      </c>
      <c r="BK11" s="393">
        <f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456624.6</v>
      </c>
      <c r="BL11" s="393">
        <f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456624.6</v>
      </c>
      <c r="BM11" s="393">
        <f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503061</v>
      </c>
      <c r="BN11" s="393">
        <f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448885.2</v>
      </c>
      <c r="BO11" s="393">
        <f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371491.2</v>
      </c>
      <c r="BP11" s="393">
        <f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371491.2</v>
      </c>
      <c r="BQ11" s="393">
        <f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371491.2</v>
      </c>
      <c r="BR11" s="393">
        <f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410188.2</v>
      </c>
      <c r="BS11" s="393">
        <f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379230.6</v>
      </c>
      <c r="BT11" s="393">
        <f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325054.8</v>
      </c>
      <c r="BU11" s="393">
        <f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286357.8</v>
      </c>
      <c r="BV11" s="393">
        <f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255400.2</v>
      </c>
      <c r="BW11" s="393">
        <f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201224.4</v>
      </c>
      <c r="BX11" s="393">
        <f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162527.4</v>
      </c>
      <c r="BY11" s="393">
        <f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131569.8</v>
      </c>
      <c r="BZ11" s="393">
        <f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77394</v>
      </c>
      <c r="CA11" s="393">
        <f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0</v>
      </c>
      <c r="CB11" s="393">
        <f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0</v>
      </c>
      <c r="CC11" s="393">
        <f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0</v>
      </c>
      <c r="CD11" s="393">
        <f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0</v>
      </c>
      <c r="CE11" s="393">
        <f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0</v>
      </c>
      <c r="CF11" s="393">
        <f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0</v>
      </c>
      <c r="CG11" s="393">
        <f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0</v>
      </c>
      <c r="CH11" s="393">
        <f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0</v>
      </c>
      <c r="CI11" s="393">
        <f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0</v>
      </c>
      <c r="CJ11" s="393">
        <f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0</v>
      </c>
      <c r="CK11" s="393">
        <f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0</v>
      </c>
      <c r="CL11" s="393">
        <f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0</v>
      </c>
      <c r="CM11" s="393">
        <f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0</v>
      </c>
      <c r="CN11" s="393">
        <f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0</v>
      </c>
      <c r="CO11" s="393">
        <f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0</v>
      </c>
      <c r="CP11" s="393">
        <f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0</v>
      </c>
      <c r="CQ11" s="393">
        <f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0</v>
      </c>
      <c r="CR11" s="393">
        <f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0</v>
      </c>
      <c r="CS11" s="393">
        <f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0</v>
      </c>
      <c r="CT11" s="393">
        <f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0</v>
      </c>
      <c r="CU11" s="393">
        <f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0</v>
      </c>
      <c r="CV11" s="393">
        <f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0</v>
      </c>
      <c r="CW11" s="393">
        <f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0</v>
      </c>
      <c r="CX11" s="393">
        <f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0</v>
      </c>
      <c r="CY11" s="393">
        <f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0</v>
      </c>
      <c r="CZ11" s="393">
        <f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0</v>
      </c>
      <c r="DA11" s="393">
        <f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393">
        <f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393">
        <f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393">
        <f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393">
        <f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ht="15" customFormat="1" customHeight="1" s="381">
      <c r="A12" s="407" t="inlineStr">
        <is>
          <t>Trades and Site Cost Billing</t>
        </is>
      </c>
      <c r="B12" s="400" t="n"/>
      <c r="C12" s="400" t="n"/>
      <c r="D12" s="400" t="n"/>
      <c r="E12" s="400" t="n"/>
      <c r="F12" s="400" t="n"/>
      <c r="G12" s="400" t="n"/>
      <c r="H12" s="400" t="n"/>
      <c r="I12" s="400" t="n"/>
      <c r="J12" s="400" t="n"/>
      <c r="K12" s="400" t="n"/>
      <c r="L12" s="400" t="n"/>
      <c r="M12" s="400" t="n"/>
      <c r="N12" s="400" t="n"/>
      <c r="O12" s="400" t="n"/>
      <c r="P12" s="400" t="n"/>
      <c r="Q12" s="400" t="n"/>
      <c r="R12" s="400" t="n"/>
      <c r="S12" s="400" t="n"/>
      <c r="T12" s="400" t="n"/>
      <c r="U12" s="400" t="n"/>
      <c r="V12" s="400" t="n"/>
      <c r="W12" s="400" t="n"/>
      <c r="X12" s="400" t="n"/>
      <c r="Y12" s="400" t="n"/>
      <c r="Z12" s="400" t="n"/>
      <c r="AA12" s="400" t="n"/>
      <c r="AB12" s="400" t="n"/>
      <c r="AC12" s="400" t="n"/>
      <c r="AD12" s="400" t="n"/>
      <c r="AE12" s="400" t="n"/>
      <c r="AF12" s="400" t="n"/>
      <c r="AG12" s="400" t="n"/>
      <c r="AH12" s="400" t="n"/>
      <c r="AI12" s="400" t="n"/>
      <c r="AJ12" s="400" t="n"/>
      <c r="AK12" s="400" t="n"/>
      <c r="AL12" s="400" t="n"/>
      <c r="AM12" s="400" t="n"/>
      <c r="AN12" s="400" t="n"/>
      <c r="AO12" s="400" t="n"/>
      <c r="AP12" s="400" t="n"/>
      <c r="AQ12" s="400" t="n"/>
      <c r="AR12" s="400" t="n"/>
      <c r="AS12" s="400" t="n"/>
      <c r="AT12" s="400" t="n"/>
      <c r="AU12" s="400" t="n"/>
      <c r="AV12" s="400" t="n"/>
      <c r="AW12" s="400" t="n"/>
      <c r="AX12" s="400" t="n"/>
      <c r="AY12" s="400" t="n"/>
      <c r="AZ12" s="400" t="n"/>
      <c r="BA12" s="400" t="n"/>
      <c r="BB12" s="400" t="n"/>
      <c r="BC12" s="400" t="n"/>
      <c r="BD12" s="400" t="n"/>
      <c r="BE12" s="400" t="n"/>
      <c r="BF12" s="400" t="n"/>
      <c r="BG12" s="400" t="n"/>
      <c r="BH12" s="400" t="n"/>
      <c r="BI12" s="400" t="n"/>
      <c r="BJ12" s="400" t="n"/>
      <c r="BK12" s="400" t="n"/>
      <c r="BL12" s="400" t="n"/>
      <c r="BM12" s="400" t="n"/>
      <c r="BN12" s="400" t="n"/>
      <c r="BO12" s="400" t="n"/>
      <c r="BP12" s="400" t="n"/>
      <c r="BQ12" s="400" t="n"/>
      <c r="BR12" s="400" t="n"/>
      <c r="BS12" s="400" t="n"/>
      <c r="BT12" s="400" t="n"/>
      <c r="BU12" s="400" t="n"/>
      <c r="BV12" s="400" t="n"/>
      <c r="BW12" s="400" t="n"/>
      <c r="BX12" s="400" t="n"/>
      <c r="BY12" s="400" t="n"/>
      <c r="BZ12" s="400" t="n"/>
      <c r="CA12" s="400" t="n"/>
      <c r="CB12" s="400" t="n"/>
      <c r="CC12" s="400" t="n"/>
      <c r="CD12" s="400" t="n"/>
      <c r="CE12" s="400" t="n"/>
      <c r="CF12" s="400" t="n"/>
      <c r="CG12" s="400" t="n"/>
      <c r="CH12" s="400" t="n"/>
      <c r="CI12" s="400" t="n"/>
      <c r="CJ12" s="400" t="n"/>
      <c r="CK12" s="400" t="n"/>
      <c r="CL12" s="400" t="n"/>
      <c r="CM12" s="400" t="n"/>
      <c r="CN12" s="400" t="n"/>
      <c r="CO12" s="400" t="n"/>
      <c r="CP12" s="400" t="n"/>
      <c r="CQ12" s="400" t="n"/>
      <c r="CR12" s="400" t="n"/>
      <c r="CS12" s="400" t="n"/>
      <c r="CT12" s="400" t="n"/>
      <c r="CU12" s="400" t="n"/>
      <c r="CV12" s="400" t="n"/>
      <c r="CW12" s="400" t="n"/>
      <c r="CX12" s="400" t="n"/>
      <c r="CY12" s="400" t="n"/>
      <c r="CZ12" s="400" t="n"/>
      <c r="DA12" s="400" t="n"/>
      <c r="DB12" s="400" t="n"/>
      <c r="DC12" s="400" t="n"/>
      <c r="DD12" s="400" t="n"/>
      <c r="DE12" s="400" t="n"/>
    </row>
    <row r="13" hidden="1" outlineLevel="1" ht="15" customFormat="1" customHeight="1" s="381">
      <c r="A13" s="408" t="inlineStr">
        <is>
          <t>Crenshaw</t>
        </is>
      </c>
      <c r="B13" s="400" t="n">
        <v>392800.48</v>
      </c>
      <c r="C13" s="400" t="n">
        <v>636911.23</v>
      </c>
      <c r="D13" s="400" t="n">
        <v>648749.35</v>
      </c>
      <c r="E13" s="400" t="n">
        <v>704050.62</v>
      </c>
      <c r="F13" s="400" t="n">
        <v>711605.75</v>
      </c>
      <c r="G13" s="400" t="n">
        <v>887472.42</v>
      </c>
      <c r="H13" s="400">
        <f>4190687.77*Curves!E$6/SUM(Curves!$E$6:$I$6)</f>
        <v>1086093.90164913</v>
      </c>
      <c r="I13" s="400">
        <f>4190687.77*Curves!F$6/SUM(Curves!$E$6:$I$6)</f>
        <v>958645.451788609</v>
      </c>
      <c r="J13" s="400">
        <f>4190687.77*Curves!G$6/SUM(Curves!$E$6:$I$6)</f>
        <v>833012.67377813</v>
      </c>
      <c r="K13" s="400">
        <f>4190687.77*Curves!H$6/SUM(Curves!$E$6:$I$6)</f>
        <v>712680.486168552</v>
      </c>
      <c r="L13" s="400">
        <f>4190687.77*Curves!I$6/SUM(Curves!$E$6:$I$6)</f>
        <v>600255.256615582</v>
      </c>
      <c r="M13" s="400">
        <f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400">
        <f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400">
        <f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400">
        <f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400">
        <f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400">
        <f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400">
        <f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400">
        <f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400">
        <f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400">
        <f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400">
        <f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400">
        <f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400">
        <f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400">
        <f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400">
        <f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400">
        <f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400">
        <f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400">
        <f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400">
        <f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400">
        <f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400">
        <f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400">
        <f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400">
        <f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400">
        <f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400">
        <f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400">
        <f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400">
        <f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400">
        <f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400">
        <f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400">
        <f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400">
        <f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400">
        <f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400">
        <f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400">
        <f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400">
        <f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400">
        <f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400">
        <f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400">
        <f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400">
        <f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400">
        <f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400">
        <f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400">
        <f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400">
        <f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400">
        <f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400">
        <f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400">
        <f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400">
        <f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400">
        <f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400">
        <f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400">
        <f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400">
        <f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400">
        <f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400">
        <f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400">
        <f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400">
        <f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400">
        <f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400">
        <f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400">
        <f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400">
        <f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400">
        <f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400">
        <f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400">
        <f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400">
        <f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400">
        <f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400">
        <f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400">
        <f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400">
        <f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400">
        <f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400">
        <f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400">
        <f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400">
        <f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400">
        <f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400">
        <f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400">
        <f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400">
        <f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400">
        <f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400">
        <f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400">
        <f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400">
        <f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400">
        <f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400">
        <f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400">
        <f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400">
        <f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400">
        <f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400">
        <f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400">
        <f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400">
        <f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400">
        <f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400">
        <f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400">
        <f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400">
        <f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400">
        <f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400">
        <f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400">
        <f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400">
        <f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400">
        <f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400">
        <f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hidden="1" outlineLevel="1" ht="15" customFormat="1" customHeight="1" s="381">
      <c r="A14" s="408" t="inlineStr">
        <is>
          <t>Ramsgate</t>
        </is>
      </c>
      <c r="B14" s="400" t="n">
        <v>607376.6</v>
      </c>
      <c r="C14" s="400" t="n">
        <v>1291217.23</v>
      </c>
      <c r="D14" s="400" t="n">
        <v>951766.47</v>
      </c>
      <c r="E14" s="400" t="n">
        <v>1237428.59</v>
      </c>
      <c r="F14" s="400" t="n">
        <v>1120082.41</v>
      </c>
      <c r="G14" s="400" t="n">
        <v>1858219.93</v>
      </c>
      <c r="H14" s="400">
        <f>13856788.17*Curves!E$7/SUM(Curves!$E$7:$Q$7)</f>
        <v>1427146.58724838</v>
      </c>
      <c r="I14" s="400">
        <f>13856788.17*Curves!F$7/SUM(Curves!$E$7:$Q$7)</f>
        <v>1427146.58724838</v>
      </c>
      <c r="J14" s="400">
        <f>13856788.17*Curves!G$7/SUM(Curves!$E$7:$Q$7)</f>
        <v>1405046.68451424</v>
      </c>
      <c r="K14" s="400">
        <f>13856788.17*Curves!H$7/SUM(Curves!$E$7:$Q$7)</f>
        <v>1361866.10965576</v>
      </c>
      <c r="L14" s="400">
        <f>13856788.17*Curves!I$7/SUM(Curves!$E$7:$Q$7)</f>
        <v>1299593.60532618</v>
      </c>
      <c r="M14" s="400">
        <f>13856788.17*Curves!J$7/SUM(Curves!$E$7:$Q$7)</f>
        <v>1220938.83339053</v>
      </c>
      <c r="N14" s="400">
        <f>13856788.17*Curves!K$7/SUM(Curves!$E$7:$Q$7)</f>
        <v>1129307.51564248</v>
      </c>
      <c r="O14" s="400">
        <f>13856788.17*Curves!L$7/SUM(Curves!$E$7:$Q$7)</f>
        <v>1028378.82599054</v>
      </c>
      <c r="P14" s="400">
        <f>13856788.17*Curves!M$7/SUM(Curves!$E$7:$Q$7)</f>
        <v>921956.234759019</v>
      </c>
      <c r="Q14" s="400">
        <f>13856788.17*Curves!N$7/SUM(Curves!$E$7:$Q$7)</f>
        <v>813768.634422749</v>
      </c>
      <c r="R14" s="400">
        <f>13856788.17*Curves!O$7/SUM(Curves!$E$7:$Q$7)</f>
        <v>707122.30964274</v>
      </c>
      <c r="S14" s="400">
        <f>13856788.17*Curves!P$7/SUM(Curves!$E$7:$Q$7)</f>
        <v>604975.515115688</v>
      </c>
      <c r="T14" s="400">
        <f>13856788.17*Curves!Q$7/SUM(Curves!$E$7:$Q$7)</f>
        <v>509540.72704332</v>
      </c>
      <c r="U14" s="400">
        <f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400">
        <f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400">
        <f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400">
        <f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400">
        <f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400">
        <f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400">
        <f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400">
        <f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400">
        <f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400">
        <f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400">
        <f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400">
        <f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400">
        <f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400">
        <f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400">
        <f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400">
        <f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400">
        <f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400">
        <f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400">
        <f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400">
        <f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400">
        <f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400">
        <f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400">
        <f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400">
        <f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400">
        <f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400">
        <f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400">
        <f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400">
        <f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400">
        <f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400">
        <f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400">
        <f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400">
        <f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400">
        <f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400">
        <f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400">
        <f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400">
        <f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400">
        <f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400">
        <f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400">
        <f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400">
        <f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400">
        <f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400">
        <f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400">
        <f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400">
        <f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400">
        <f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400">
        <f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400">
        <f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400">
        <f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400">
        <f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400">
        <f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400">
        <f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400">
        <f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400">
        <f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400">
        <f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400">
        <f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400">
        <f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400">
        <f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400">
        <f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400">
        <f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400">
        <f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400">
        <f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400">
        <f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400">
        <f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400">
        <f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400">
        <f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400">
        <f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400">
        <f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400">
        <f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400">
        <f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400">
        <f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400">
        <f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400">
        <f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400">
        <f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400">
        <f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400">
        <f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400">
        <f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400">
        <f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400">
        <f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400">
        <f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400">
        <f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400">
        <f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400">
        <f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400">
        <f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400">
        <f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400">
        <f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400">
        <f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400">
        <f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400">
        <f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400">
        <f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hidden="1" outlineLevel="1" ht="15" customFormat="1" customHeight="1" s="381">
      <c r="A15" s="408" t="inlineStr">
        <is>
          <t>Califa</t>
        </is>
      </c>
      <c r="B15" s="400" t="n">
        <v>144989.08</v>
      </c>
      <c r="C15" s="400" t="n">
        <v>518671.92</v>
      </c>
      <c r="D15" s="400" t="n">
        <v>287093.58</v>
      </c>
      <c r="E15" s="400" t="n">
        <v>571051.61</v>
      </c>
      <c r="F15" s="400" t="n">
        <v>1099379.66</v>
      </c>
      <c r="G15" s="400" t="n">
        <v>1315355.15</v>
      </c>
      <c r="H15" s="400">
        <f>7241491.08*Curves!E$8/SUM(Curves!$E$8:$P$8)</f>
        <v>739002.083128165</v>
      </c>
      <c r="I15" s="400">
        <f>7241491.08*Curves!F$8/SUM(Curves!$E$8:$P$8)</f>
        <v>767106.063714829</v>
      </c>
      <c r="J15" s="400">
        <f>7241491.08*Curves!G$8/SUM(Curves!$E$8:$P$8)</f>
        <v>776709.326487593</v>
      </c>
      <c r="K15" s="400">
        <f>7241491.08*Curves!H$8/SUM(Curves!$E$8:$P$8)</f>
        <v>767106.063714829</v>
      </c>
      <c r="L15" s="400">
        <f>7241491.08*Curves!I$8/SUM(Curves!$E$8:$P$8)</f>
        <v>739002.083128165</v>
      </c>
      <c r="M15" s="400">
        <f>7241491.08*Curves!J$8/SUM(Curves!$E$8:$P$8)</f>
        <v>694439.949526708</v>
      </c>
      <c r="N15" s="400">
        <f>7241491.08*Curves!K$8/SUM(Curves!$E$8:$P$8)</f>
        <v>636531.633363548</v>
      </c>
      <c r="O15" s="400">
        <f>7241491.08*Curves!L$8/SUM(Curves!$E$8:$P$8)</f>
        <v>569116.300936482</v>
      </c>
      <c r="P15" s="400">
        <f>7241491.08*Curves!M$8/SUM(Curves!$E$8:$P$8)</f>
        <v>496332.552126424</v>
      </c>
      <c r="Q15" s="400">
        <f>7241491.08*Curves!N$8/SUM(Curves!$E$8:$P$8)</f>
        <v>422222.740305427</v>
      </c>
      <c r="R15" s="400">
        <f>7241491.08*Curves!O$8/SUM(Curves!$E$8:$P$8)</f>
        <v>350347.986301253</v>
      </c>
      <c r="S15" s="400">
        <f>7241491.08*Curves!P$8/SUM(Curves!$E$8:$P$8)</f>
        <v>283574.297266578</v>
      </c>
      <c r="T15" s="400">
        <f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400">
        <f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400">
        <f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400">
        <f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400">
        <f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400">
        <f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400">
        <f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400">
        <f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400">
        <f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400">
        <f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400">
        <f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400">
        <f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400">
        <f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400">
        <f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400">
        <f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400">
        <f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400">
        <f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400">
        <f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400">
        <f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400">
        <f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400">
        <f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400">
        <f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400">
        <f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400">
        <f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400">
        <f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400">
        <f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400">
        <f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400">
        <f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400">
        <f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400">
        <f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400">
        <f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400">
        <f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400">
        <f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400">
        <f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400">
        <f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400">
        <f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400">
        <f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400">
        <f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400">
        <f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400">
        <f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400">
        <f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400">
        <f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400">
        <f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400">
        <f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400">
        <f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400">
        <f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400">
        <f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400">
        <f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400">
        <f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400">
        <f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400">
        <f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400">
        <f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400">
        <f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400">
        <f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400">
        <f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400">
        <f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400">
        <f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400">
        <f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400">
        <f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400">
        <f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400">
        <f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400">
        <f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400">
        <f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400">
        <f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400">
        <f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400">
        <f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400">
        <f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400">
        <f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400">
        <f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400">
        <f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400">
        <f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400">
        <f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400">
        <f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400">
        <f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400">
        <f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400">
        <f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400">
        <f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400">
        <f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400">
        <f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400">
        <f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400">
        <f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400">
        <f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400">
        <f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400">
        <f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400">
        <f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400">
        <f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400">
        <f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400">
        <f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400">
        <f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400">
        <f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hidden="1" outlineLevel="1" ht="15" customFormat="1" customHeight="1" s="381">
      <c r="A16" s="408" t="inlineStr">
        <is>
          <t>Whipple</t>
        </is>
      </c>
      <c r="B16" s="400" t="n">
        <v>96887.03</v>
      </c>
      <c r="C16" s="400" t="n">
        <v>107170.8</v>
      </c>
      <c r="D16" s="400" t="n">
        <v>229126.73</v>
      </c>
      <c r="E16" s="400" t="n">
        <v>577813.6</v>
      </c>
      <c r="F16" s="400" t="n">
        <v>785971.45</v>
      </c>
      <c r="G16" s="400" t="n">
        <v>1198349.29</v>
      </c>
      <c r="H16" s="400">
        <f>9874176.97*Curves!E$9/SUM(Curves!$E$9:$P$9)</f>
        <v>1007670.55698785</v>
      </c>
      <c r="I16" s="400">
        <f>9874176.97*Curves!F$9/SUM(Curves!$E$9:$P$9)</f>
        <v>1045991.9019717</v>
      </c>
      <c r="J16" s="400">
        <f>9874176.97*Curves!G$9/SUM(Curves!$E$9:$P$9)</f>
        <v>1059086.48636877</v>
      </c>
      <c r="K16" s="400">
        <f>9874176.97*Curves!H$9/SUM(Curves!$E$9:$P$9)</f>
        <v>1045991.9019717</v>
      </c>
      <c r="L16" s="400">
        <f>9874176.97*Curves!I$9/SUM(Curves!$E$9:$P$9)</f>
        <v>1007670.55698785</v>
      </c>
      <c r="M16" s="400">
        <f>9874176.97*Curves!J$9/SUM(Curves!$E$9:$P$9)</f>
        <v>946907.602441538</v>
      </c>
      <c r="N16" s="400">
        <f>9874176.97*Curves!K$9/SUM(Curves!$E$9:$P$9)</f>
        <v>867946.383610657</v>
      </c>
      <c r="O16" s="400">
        <f>9874176.97*Curves!L$9/SUM(Curves!$E$9:$P$9)</f>
        <v>776021.817865527</v>
      </c>
      <c r="P16" s="400">
        <f>9874176.97*Curves!M$9/SUM(Curves!$E$9:$P$9)</f>
        <v>676777.116967471</v>
      </c>
      <c r="Q16" s="400">
        <f>9874176.97*Curves!N$9/SUM(Curves!$E$9:$P$9)</f>
        <v>575724.255194986</v>
      </c>
      <c r="R16" s="400">
        <f>9874176.97*Curves!O$9/SUM(Curves!$E$9:$P$9)</f>
        <v>477719.019412465</v>
      </c>
      <c r="S16" s="400">
        <f>9874176.97*Curves!P$9/SUM(Curves!$E$9:$P$9)</f>
        <v>386669.370219479</v>
      </c>
      <c r="T16" s="400">
        <f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400">
        <f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400">
        <f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400">
        <f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400">
        <f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400">
        <f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400">
        <f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400">
        <f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400">
        <f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400">
        <f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400">
        <f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400">
        <f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400">
        <f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400">
        <f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400">
        <f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400">
        <f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400">
        <f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400">
        <f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400">
        <f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400">
        <f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400">
        <f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400">
        <f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400">
        <f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400">
        <f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400">
        <f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400">
        <f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400">
        <f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400">
        <f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400">
        <f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400">
        <f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400">
        <f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400">
        <f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400">
        <f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400">
        <f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400">
        <f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400">
        <f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400">
        <f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400">
        <f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400">
        <f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400">
        <f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400">
        <f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400">
        <f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400">
        <f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400">
        <f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400">
        <f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400">
        <f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400">
        <f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400">
        <f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400">
        <f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400">
        <f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400">
        <f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400">
        <f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400">
        <f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400">
        <f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400">
        <f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400">
        <f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400">
        <f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400">
        <f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400">
        <f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400">
        <f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400">
        <f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400">
        <f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400">
        <f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400">
        <f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400">
        <f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400">
        <f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400">
        <f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400">
        <f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400">
        <f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400">
        <f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400">
        <f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400">
        <f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400">
        <f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400">
        <f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400">
        <f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400">
        <f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400">
        <f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400">
        <f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400">
        <f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400">
        <f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400">
        <f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400">
        <f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400">
        <f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400">
        <f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400">
        <f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400">
        <f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400">
        <f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400">
        <f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400">
        <f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400">
        <f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hidden="1" outlineLevel="1" ht="15" customFormat="1" customHeight="1" s="381">
      <c r="A17" s="408" t="inlineStr">
        <is>
          <t>Nelrose</t>
        </is>
      </c>
      <c r="B17" s="400" t="n">
        <v>0</v>
      </c>
      <c r="C17" s="400" t="n">
        <v>156463.3</v>
      </c>
      <c r="D17" s="400" t="n">
        <v>285674.3</v>
      </c>
      <c r="E17" s="400" t="n">
        <v>222415.49</v>
      </c>
      <c r="F17" s="400" t="n">
        <v>222238.96</v>
      </c>
      <c r="G17" s="400" t="n">
        <v>325125.94</v>
      </c>
      <c r="H17" s="400">
        <f>2401345.01*Curves!E$4/SUM(Curves!$E$4:$T$4)</f>
        <v>123664.312063512</v>
      </c>
      <c r="I17" s="400">
        <f>2401345.01*Curves!F$4/SUM(Curves!$E$4:$T$4)</f>
        <v>141798.83132371</v>
      </c>
      <c r="J17" s="400">
        <f>2401345.01*Curves!G$4/SUM(Curves!$E$4:$T$4)</f>
        <v>158595.776580289</v>
      </c>
      <c r="K17" s="400">
        <f>2401345.01*Curves!H$4/SUM(Curves!$E$4:$T$4)</f>
        <v>173023.990185045</v>
      </c>
      <c r="L17" s="400">
        <f>2401345.01*Curves!I$4/SUM(Curves!$E$4:$T$4)</f>
        <v>184126.920211087</v>
      </c>
      <c r="M17" s="400">
        <f>2401345.01*Curves!J$4/SUM(Curves!$E$4:$T$4)</f>
        <v>191129.200054725</v>
      </c>
      <c r="N17" s="400">
        <f>2401345.01*Curves!K$4/SUM(Curves!$E$4:$T$4)</f>
        <v>193521.912116972</v>
      </c>
      <c r="O17" s="400">
        <f>2401345.01*Curves!L$4/SUM(Curves!$E$4:$T$4)</f>
        <v>191129.200054725</v>
      </c>
      <c r="P17" s="400">
        <f>2401345.01*Curves!M$4/SUM(Curves!$E$4:$T$4)</f>
        <v>184126.920211087</v>
      </c>
      <c r="Q17" s="400">
        <f>2401345.01*Curves!N$4/SUM(Curves!$E$4:$T$4)</f>
        <v>173023.990185045</v>
      </c>
      <c r="R17" s="400">
        <f>2401345.01*Curves!O$4/SUM(Curves!$E$4:$T$4)</f>
        <v>158595.776580289</v>
      </c>
      <c r="S17" s="400">
        <f>2401345.01*Curves!P$4/SUM(Curves!$E$4:$T$4)</f>
        <v>141798.83132371</v>
      </c>
      <c r="T17" s="400">
        <f>2401345.01*Curves!Q$4/SUM(Curves!$E$4:$T$4)</f>
        <v>123664.312063512</v>
      </c>
      <c r="U17" s="400">
        <f>2401345.01*Curves!R$4/SUM(Curves!$E$4:$T$4)</f>
        <v>105199.396037482</v>
      </c>
      <c r="V17" s="400">
        <f>2401345.01*Curves!S$4/SUM(Curves!$E$4:$T$4)</f>
        <v>87291.3584312836</v>
      </c>
      <c r="W17" s="400">
        <f>2401345.01*Curves!T$4/SUM(Curves!$E$4:$T$4)</f>
        <v>70654.2825775265</v>
      </c>
      <c r="X17" s="400">
        <f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400">
        <f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400">
        <f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400">
        <f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400">
        <f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400">
        <f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400">
        <f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400">
        <f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400">
        <f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400">
        <f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400">
        <f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400">
        <f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400">
        <f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400">
        <f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400">
        <f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400">
        <f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400">
        <f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400">
        <f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400">
        <f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400">
        <f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400">
        <f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400">
        <f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400">
        <f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400">
        <f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400">
        <f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400">
        <f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400">
        <f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400">
        <f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400">
        <f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400">
        <f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400">
        <f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400">
        <f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400">
        <f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400">
        <f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400">
        <f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400">
        <f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400">
        <f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400">
        <f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400">
        <f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400">
        <f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400">
        <f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400">
        <f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400">
        <f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400">
        <f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400">
        <f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400">
        <f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400">
        <f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400">
        <f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400">
        <f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400">
        <f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400">
        <f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400">
        <f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400">
        <f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400">
        <f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400">
        <f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400">
        <f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400">
        <f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400">
        <f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400">
        <f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400">
        <f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400">
        <f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400">
        <f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400">
        <f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400">
        <f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400">
        <f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400">
        <f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400">
        <f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400">
        <f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400">
        <f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400">
        <f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400">
        <f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400">
        <f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400">
        <f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400">
        <f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400">
        <f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400">
        <f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400">
        <f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400">
        <f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400">
        <f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400">
        <f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400">
        <f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400">
        <f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400">
        <f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400">
        <f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400">
        <f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400">
        <f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hidden="1" outlineLevel="1" ht="15" customFormat="1" customHeight="1" s="381">
      <c r="A18" s="408" t="inlineStr">
        <is>
          <t>Francis</t>
        </is>
      </c>
      <c r="B18" s="400" t="n">
        <v>0</v>
      </c>
      <c r="C18" s="400" t="n">
        <v>0</v>
      </c>
      <c r="D18" s="400" t="n">
        <v>0</v>
      </c>
      <c r="E18" s="400" t="n">
        <v>0</v>
      </c>
      <c r="F18" s="400">
        <f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400">
        <f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400">
        <f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400">
        <f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400">
        <f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400">
        <f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400">
        <f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400">
        <f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400">
        <f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400">
        <f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400">
        <f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400">
        <f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400">
        <f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400">
        <f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400">
        <f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400">
        <f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400">
        <f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400">
        <f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400">
        <f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400">
        <f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400">
        <f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400">
        <f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400">
        <f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400">
        <f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400">
        <f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400">
        <f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400">
        <f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400">
        <f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400">
        <f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400">
        <f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400">
        <f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400">
        <f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400">
        <f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400">
        <f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400">
        <f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400">
        <f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400">
        <f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400">
        <f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400">
        <f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400">
        <f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400">
        <f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400">
        <f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400">
        <f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400">
        <f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400">
        <f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400">
        <f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400">
        <f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400">
        <f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400">
        <f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400">
        <f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400">
        <f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400">
        <f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400">
        <f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400">
        <f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400">
        <f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400">
        <f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400">
        <f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400">
        <f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400">
        <f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400">
        <f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400">
        <f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400">
        <f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400">
        <f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400">
        <f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400">
        <f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400">
        <f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400">
        <f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400">
        <f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400">
        <f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400">
        <f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400">
        <f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400">
        <f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400">
        <f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400">
        <f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400">
        <f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400">
        <f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400">
        <f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400">
        <f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400">
        <f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400">
        <f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400">
        <f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400">
        <f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400">
        <f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400">
        <f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400">
        <f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400">
        <f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400">
        <f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400">
        <f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400">
        <f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400">
        <f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400">
        <f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400">
        <f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400">
        <f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400">
        <f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400">
        <f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400">
        <f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400">
        <f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400">
        <f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400">
        <f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400">
        <f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400">
        <f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400">
        <f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400">
        <f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400">
        <f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hidden="1" outlineLevel="1" ht="15" customFormat="1" customHeight="1" s="381">
      <c r="A19" s="408" t="inlineStr">
        <is>
          <t>Lexington</t>
        </is>
      </c>
      <c r="B19" s="400" t="n">
        <v>0</v>
      </c>
      <c r="C19" s="400" t="n">
        <v>0</v>
      </c>
      <c r="D19" s="400" t="n">
        <v>0</v>
      </c>
      <c r="E19" s="400" t="n">
        <v>0</v>
      </c>
      <c r="F19" s="400">
        <f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400">
        <f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400">
        <f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400">
        <f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266339.274896073</v>
      </c>
      <c r="J19" s="400">
        <f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347472.412552273</v>
      </c>
      <c r="K19" s="400">
        <f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434803.581384323</v>
      </c>
      <c r="L19" s="400">
        <f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524850.449410823</v>
      </c>
      <c r="M19" s="400">
        <f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613286.089207123</v>
      </c>
      <c r="N19" s="400">
        <f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695198.853426323</v>
      </c>
      <c r="O19" s="400">
        <f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765560.150737073</v>
      </c>
      <c r="P19" s="400">
        <f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819705.215537423</v>
      </c>
      <c r="Q19" s="400">
        <f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853852.858996823</v>
      </c>
      <c r="R19" s="400">
        <f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865521.269889723</v>
      </c>
      <c r="S19" s="400">
        <f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853852.858996823</v>
      </c>
      <c r="T19" s="400">
        <f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819705.215537423</v>
      </c>
      <c r="U19" s="400">
        <f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765560.150737073</v>
      </c>
      <c r="V19" s="400">
        <f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695198.853426323</v>
      </c>
      <c r="W19" s="400">
        <f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613286.089207123</v>
      </c>
      <c r="X19" s="400">
        <f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524850.449410823</v>
      </c>
      <c r="Y19" s="400">
        <f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434803.581384323</v>
      </c>
      <c r="Z19" s="400">
        <f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347472.412552273</v>
      </c>
      <c r="AA19" s="400">
        <f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188122.590274295</v>
      </c>
      <c r="AB19" s="400">
        <f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0</v>
      </c>
      <c r="AC19" s="400">
        <f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400">
        <f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400">
        <f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400">
        <f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400">
        <f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400">
        <f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400">
        <f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400">
        <f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400">
        <f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400">
        <f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400">
        <f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400">
        <f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400">
        <f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400">
        <f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400">
        <f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400">
        <f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400">
        <f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400">
        <f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400">
        <f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400">
        <f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400">
        <f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400">
        <f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400">
        <f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400">
        <f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400">
        <f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400">
        <f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400">
        <f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400">
        <f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400">
        <f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400">
        <f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400">
        <f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400">
        <f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400">
        <f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400">
        <f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400">
        <f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400">
        <f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400">
        <f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400">
        <f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400">
        <f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400">
        <f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400">
        <f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400">
        <f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400">
        <f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400">
        <f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400">
        <f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400">
        <f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400">
        <f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400">
        <f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400">
        <f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400">
        <f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400">
        <f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400">
        <f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400">
        <f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400">
        <f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400">
        <f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400">
        <f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400">
        <f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400">
        <f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400">
        <f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400">
        <f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400">
        <f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400">
        <f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400">
        <f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400">
        <f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400">
        <f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400">
        <f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400">
        <f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400">
        <f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400">
        <f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400">
        <f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400">
        <f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400">
        <f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400">
        <f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400">
        <f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400">
        <f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400">
        <f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400">
        <f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400">
        <f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400">
        <f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400">
        <f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400">
        <f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hidden="1" outlineLevel="1" ht="15" customFormat="1" customHeight="1" s="381">
      <c r="A20" s="408" t="inlineStr">
        <is>
          <t>Denny</t>
        </is>
      </c>
      <c r="B20" s="400" t="n">
        <v>0</v>
      </c>
      <c r="C20" s="400" t="n">
        <v>0</v>
      </c>
      <c r="D20" s="400" t="n">
        <v>0</v>
      </c>
      <c r="E20" s="400" t="n">
        <v>0</v>
      </c>
      <c r="F20" s="400">
        <f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400">
        <f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400">
        <f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400">
        <f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400">
        <f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400">
        <f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400">
        <f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400">
        <f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400">
        <f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400">
        <f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400">
        <f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400">
        <f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400">
        <f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400">
        <f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400">
        <f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400">
        <f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400">
        <f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400">
        <f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400">
        <f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400">
        <f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400">
        <f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400">
        <f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400">
        <f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400">
        <f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400">
        <f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400">
        <f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400">
        <f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400">
        <f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400">
        <f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400">
        <f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400">
        <f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400">
        <f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400">
        <f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400">
        <f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400">
        <f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400">
        <f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400">
        <f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400">
        <f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400">
        <f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400">
        <f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400">
        <f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400">
        <f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400">
        <f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400">
        <f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400">
        <f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400">
        <f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400">
        <f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400">
        <f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400">
        <f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400">
        <f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400">
        <f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400">
        <f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400">
        <f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400">
        <f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400">
        <f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400">
        <f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400">
        <f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400">
        <f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400">
        <f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400">
        <f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400">
        <f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400">
        <f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400">
        <f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400">
        <f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400">
        <f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400">
        <f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400">
        <f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400">
        <f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400">
        <f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400">
        <f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400">
        <f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400">
        <f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400">
        <f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400">
        <f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400">
        <f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400">
        <f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400">
        <f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400">
        <f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400">
        <f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400">
        <f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400">
        <f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400">
        <f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400">
        <f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400">
        <f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400">
        <f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400">
        <f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400">
        <f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400">
        <f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400">
        <f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400">
        <f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400">
        <f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400">
        <f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400">
        <f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400">
        <f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400">
        <f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400">
        <f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400">
        <f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400">
        <f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400">
        <f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400">
        <f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400">
        <f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400">
        <f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400">
        <f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400">
        <f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hidden="1" outlineLevel="1" ht="15" customFormat="1" customHeight="1" s="381">
      <c r="A21" s="408" t="inlineStr">
        <is>
          <t>Acama</t>
        </is>
      </c>
      <c r="B21" s="400" t="n">
        <v>0</v>
      </c>
      <c r="C21" s="400" t="n">
        <v>0</v>
      </c>
      <c r="D21" s="400" t="n">
        <v>0</v>
      </c>
      <c r="E21" s="400" t="n">
        <v>0</v>
      </c>
      <c r="F21" s="400">
        <f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400">
        <f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400">
        <f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400">
        <f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400">
        <f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400">
        <f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400">
        <f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400">
        <f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400">
        <f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400">
        <f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400">
        <f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400">
        <f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400">
        <f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400">
        <f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400">
        <f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400">
        <f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400">
        <f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400">
        <f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400">
        <f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400">
        <f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400">
        <f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400">
        <f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400">
        <f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400">
        <f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400">
        <f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400">
        <f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400">
        <f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400">
        <f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400">
        <f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400">
        <f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400">
        <f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400">
        <f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400">
        <f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400">
        <f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400">
        <f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400">
        <f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400">
        <f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400">
        <f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400">
        <f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400">
        <f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400">
        <f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400">
        <f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400">
        <f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400">
        <f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400">
        <f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400">
        <f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400">
        <f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400">
        <f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400">
        <f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400">
        <f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400">
        <f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400">
        <f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400">
        <f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400">
        <f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400">
        <f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400">
        <f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400">
        <f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400">
        <f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400">
        <f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400">
        <f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400">
        <f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400">
        <f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400">
        <f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400">
        <f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400">
        <f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400">
        <f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400">
        <f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400">
        <f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400">
        <f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400">
        <f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400">
        <f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400">
        <f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400">
        <f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400">
        <f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400">
        <f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400">
        <f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400">
        <f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400">
        <f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400">
        <f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400">
        <f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400">
        <f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400">
        <f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400">
        <f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400">
        <f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400">
        <f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400">
        <f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400">
        <f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400">
        <f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400">
        <f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400">
        <f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400">
        <f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400">
        <f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400">
        <f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400">
        <f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400">
        <f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400">
        <f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400">
        <f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400">
        <f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400">
        <f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400">
        <f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400">
        <f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400">
        <f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400">
        <f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400">
        <f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hidden="1" outlineLevel="1" ht="15" customFormat="1" customHeight="1" s="381">
      <c r="A22" s="408" t="inlineStr">
        <is>
          <t>Klump</t>
        </is>
      </c>
      <c r="B22" s="400" t="n">
        <v>0</v>
      </c>
      <c r="C22" s="400" t="n">
        <v>0</v>
      </c>
      <c r="D22" s="400" t="n">
        <v>0</v>
      </c>
      <c r="E22" s="400" t="n">
        <v>0</v>
      </c>
      <c r="F22" s="400">
        <f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400">
        <f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400">
        <f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400">
        <f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400">
        <f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400">
        <f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400">
        <f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400">
        <f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400">
        <f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400">
        <f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400">
        <f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400">
        <f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400">
        <f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400">
        <f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400">
        <f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400">
        <f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400">
        <f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400">
        <f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400">
        <f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400">
        <f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400">
        <f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400">
        <f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400">
        <f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400">
        <f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400">
        <f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400">
        <f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400">
        <f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400">
        <f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400">
        <f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400">
        <f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400">
        <f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400">
        <f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400">
        <f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400">
        <f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400">
        <f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400">
        <f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400">
        <f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400">
        <f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400">
        <f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400">
        <f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400">
        <f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400">
        <f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400">
        <f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400">
        <f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400">
        <f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400">
        <f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400">
        <f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400">
        <f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400">
        <f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400">
        <f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400">
        <f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400">
        <f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400">
        <f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400">
        <f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400">
        <f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400">
        <f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400">
        <f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400">
        <f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400">
        <f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400">
        <f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400">
        <f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400">
        <f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400">
        <f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400">
        <f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400">
        <f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400">
        <f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400">
        <f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400">
        <f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400">
        <f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400">
        <f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400">
        <f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400">
        <f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400">
        <f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400">
        <f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400">
        <f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400">
        <f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400">
        <f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400">
        <f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400">
        <f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400">
        <f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400">
        <f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400">
        <f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400">
        <f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400">
        <f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400">
        <f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400">
        <f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400">
        <f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400">
        <f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400">
        <f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400">
        <f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400">
        <f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400">
        <f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400">
        <f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400">
        <f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400">
        <f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400">
        <f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400">
        <f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400">
        <f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400">
        <f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400">
        <f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400">
        <f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400">
        <f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400">
        <f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400">
        <f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hidden="1" outlineLevel="1" ht="15" customFormat="1" customHeight="1" s="381">
      <c r="A23" s="408" t="inlineStr">
        <is>
          <t>Scott</t>
        </is>
      </c>
      <c r="B23" s="400" t="n">
        <v>0</v>
      </c>
      <c r="C23" s="400" t="n">
        <v>0</v>
      </c>
      <c r="D23" s="400" t="n">
        <v>0</v>
      </c>
      <c r="E23" s="400" t="n">
        <v>0</v>
      </c>
      <c r="F23" s="400">
        <f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400">
        <f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400">
        <f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400">
        <f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400">
        <f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400">
        <f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400">
        <f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400">
        <f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400">
        <f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400">
        <f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400">
        <f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400">
        <f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400">
        <f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400">
        <f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400">
        <f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400">
        <f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400">
        <f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400">
        <f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400">
        <f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400">
        <f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400">
        <f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400">
        <f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400">
        <f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400">
        <f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400">
        <f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400">
        <f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400">
        <f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400">
        <f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400">
        <f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400">
        <f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400">
        <f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400">
        <f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400">
        <f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400">
        <f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400">
        <f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400">
        <f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400">
        <f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400">
        <f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400">
        <f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400">
        <f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400">
        <f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400">
        <f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400">
        <f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400">
        <f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400">
        <f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400">
        <f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400">
        <f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400">
        <f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400">
        <f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400">
        <f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400">
        <f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400">
        <f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400">
        <f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400">
        <f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400">
        <f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400">
        <f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400">
        <f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400">
        <f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400">
        <f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400">
        <f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400">
        <f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400">
        <f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400">
        <f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400">
        <f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400">
        <f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400">
        <f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400">
        <f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400">
        <f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400">
        <f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400">
        <f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400">
        <f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400">
        <f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400">
        <f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400">
        <f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400">
        <f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400">
        <f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400">
        <f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400">
        <f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400">
        <f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400">
        <f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400">
        <f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400">
        <f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400">
        <f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400">
        <f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400">
        <f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400">
        <f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400">
        <f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400">
        <f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400">
        <f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400">
        <f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400">
        <f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400">
        <f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400">
        <f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400">
        <f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400">
        <f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400">
        <f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400">
        <f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400">
        <f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400">
        <f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400">
        <f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400">
        <f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400">
        <f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400">
        <f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400">
        <f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hidden="1" outlineLevel="1" ht="15" customFormat="1" customHeight="1" s="381">
      <c r="A24" s="408" t="inlineStr">
        <is>
          <t>Reseda</t>
        </is>
      </c>
      <c r="B24" s="400" t="n">
        <v>0</v>
      </c>
      <c r="C24" s="400" t="n">
        <v>0</v>
      </c>
      <c r="D24" s="400" t="n">
        <v>0</v>
      </c>
      <c r="E24" s="400" t="n">
        <v>0</v>
      </c>
      <c r="F24" s="400">
        <f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400">
        <f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400">
        <f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400">
        <f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400">
        <f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400">
        <f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400">
        <f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400">
        <f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400">
        <f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400">
        <f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400">
        <f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400">
        <f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400">
        <f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400">
        <f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400">
        <f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400">
        <f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400">
        <f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400">
        <f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400">
        <f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400">
        <f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400">
        <f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400">
        <f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400">
        <f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400">
        <f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400">
        <f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400">
        <f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400">
        <f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400">
        <f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400">
        <f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400">
        <f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400">
        <f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400">
        <f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400">
        <f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400">
        <f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400">
        <f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400">
        <f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400">
        <f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400">
        <f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400">
        <f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400">
        <f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400">
        <f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400">
        <f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400">
        <f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400">
        <f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400">
        <f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400">
        <f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400">
        <f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400">
        <f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400">
        <f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400">
        <f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400">
        <f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400">
        <f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400">
        <f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400">
        <f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400">
        <f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400">
        <f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400">
        <f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400">
        <f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400">
        <f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400">
        <f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400">
        <f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400">
        <f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400">
        <f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400">
        <f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400">
        <f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400">
        <f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400">
        <f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400">
        <f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400">
        <f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400">
        <f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400">
        <f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400">
        <f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400">
        <f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400">
        <f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400">
        <f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400">
        <f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400">
        <f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400">
        <f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400">
        <f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400">
        <f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400">
        <f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400">
        <f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400">
        <f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400">
        <f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400">
        <f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400">
        <f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400">
        <f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400">
        <f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400">
        <f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400">
        <f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400">
        <f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400">
        <f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400">
        <f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400">
        <f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400">
        <f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400">
        <f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400">
        <f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400">
        <f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400">
        <f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400">
        <f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400">
        <f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400">
        <f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400">
        <f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400">
        <f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hidden="1" outlineLevel="1" ht="15" customFormat="1" customHeight="1" s="381">
      <c r="A25" s="408" t="inlineStr">
        <is>
          <t>3rd St</t>
        </is>
      </c>
      <c r="B25" s="400" t="n">
        <v>0</v>
      </c>
      <c r="C25" s="400" t="n">
        <v>0</v>
      </c>
      <c r="D25" s="400" t="n">
        <v>0</v>
      </c>
      <c r="E25" s="400" t="n">
        <v>0</v>
      </c>
      <c r="F25" s="400">
        <f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400">
        <f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400">
        <f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400">
        <f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400">
        <f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400">
        <f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400">
        <f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400">
        <f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400">
        <f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400">
        <f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400">
        <f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400">
        <f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400">
        <f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400">
        <f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400">
        <f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400">
        <f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400">
        <f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400">
        <f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400">
        <f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400">
        <f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400">
        <f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400">
        <f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400">
        <f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400">
        <f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400">
        <f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400">
        <f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400">
        <f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400">
        <f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400">
        <f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400">
        <f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400">
        <f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400">
        <f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400">
        <f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400">
        <f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400">
        <f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400">
        <f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400">
        <f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400">
        <f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400">
        <f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400">
        <f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400">
        <f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400">
        <f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400">
        <f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400">
        <f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400">
        <f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400">
        <f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400">
        <f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400">
        <f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400">
        <f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400">
        <f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400">
        <f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400">
        <f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400">
        <f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400">
        <f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400">
        <f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400">
        <f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400">
        <f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400">
        <f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400">
        <f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400">
        <f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400">
        <f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400">
        <f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400">
        <f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400">
        <f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400">
        <f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400">
        <f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400">
        <f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400">
        <f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400">
        <f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400">
        <f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400">
        <f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400">
        <f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400">
        <f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400">
        <f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400">
        <f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400">
        <f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400">
        <f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400">
        <f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400">
        <f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400">
        <f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400">
        <f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400">
        <f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400">
        <f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400">
        <f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400">
        <f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400">
        <f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400">
        <f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400">
        <f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400">
        <f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400">
        <f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400">
        <f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400">
        <f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400">
        <f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400">
        <f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400">
        <f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400">
        <f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400">
        <f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400">
        <f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400">
        <f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400">
        <f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400">
        <f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400">
        <f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400">
        <f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400">
        <f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hidden="1" outlineLevel="1" ht="15" customFormat="1" customHeight="1" s="381">
      <c r="A26" s="408" t="inlineStr">
        <is>
          <t>Dickens</t>
        </is>
      </c>
      <c r="B26" s="400" t="n">
        <v>0</v>
      </c>
      <c r="C26" s="400" t="n">
        <v>0</v>
      </c>
      <c r="D26" s="400" t="n">
        <v>0</v>
      </c>
      <c r="E26" s="400" t="n">
        <v>0</v>
      </c>
      <c r="F26" s="400">
        <f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400">
        <f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400">
        <f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400">
        <f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400">
        <f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400">
        <f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400">
        <f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400">
        <f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400">
        <f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400">
        <f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400">
        <f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400">
        <f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400">
        <f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400">
        <f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400">
        <f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400">
        <f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400">
        <f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400">
        <f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400">
        <f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400">
        <f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400">
        <f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400">
        <f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400">
        <f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400">
        <f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400">
        <f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400">
        <f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400">
        <f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400">
        <f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400">
        <f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400">
        <f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400">
        <f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400">
        <f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400">
        <f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400">
        <f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400">
        <f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400">
        <f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400">
        <f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400">
        <f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400">
        <f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400">
        <f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400">
        <f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400">
        <f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400">
        <f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400">
        <f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400">
        <f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400">
        <f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400">
        <f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400">
        <f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400">
        <f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400">
        <f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400">
        <f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400">
        <f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400">
        <f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400">
        <f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400">
        <f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400">
        <f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400">
        <f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400">
        <f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400">
        <f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400">
        <f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400">
        <f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400">
        <f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400">
        <f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400">
        <f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400">
        <f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400">
        <f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400">
        <f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400">
        <f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400">
        <f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400">
        <f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400">
        <f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400">
        <f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400">
        <f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400">
        <f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400">
        <f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400">
        <f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400">
        <f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400">
        <f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400">
        <f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400">
        <f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400">
        <f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400">
        <f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400">
        <f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400">
        <f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400">
        <f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400">
        <f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400">
        <f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400">
        <f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400">
        <f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400">
        <f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400">
        <f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400">
        <f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400">
        <f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400">
        <f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400">
        <f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400">
        <f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400">
        <f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400">
        <f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400">
        <f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400">
        <f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400">
        <f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400">
        <f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400">
        <f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400">
        <f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hidden="1" outlineLevel="1" ht="15" customFormat="1" customHeight="1" s="381">
      <c r="A27" s="408" t="inlineStr">
        <is>
          <t>Riverton</t>
        </is>
      </c>
      <c r="B27" s="400" t="n">
        <v>0</v>
      </c>
      <c r="C27" s="400" t="n">
        <v>0</v>
      </c>
      <c r="D27" s="400" t="n">
        <v>0</v>
      </c>
      <c r="E27" s="400" t="n">
        <v>0</v>
      </c>
      <c r="F27" s="400">
        <f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400">
        <f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400">
        <f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400">
        <f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400">
        <f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400">
        <f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400">
        <f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400">
        <f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400">
        <f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400">
        <f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400">
        <f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400">
        <f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400">
        <f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400">
        <f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400">
        <f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400">
        <f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400">
        <f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400">
        <f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400">
        <f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400">
        <f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400">
        <f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400">
        <f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400">
        <f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400">
        <f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400">
        <f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400">
        <f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400">
        <f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400">
        <f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400">
        <f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400">
        <f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400">
        <f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400">
        <f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400">
        <f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400">
        <f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400">
        <f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400">
        <f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400">
        <f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400">
        <f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400">
        <f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400">
        <f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400">
        <f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400">
        <f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400">
        <f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400">
        <f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400">
        <f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400">
        <f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400">
        <f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400">
        <f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400">
        <f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400">
        <f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400">
        <f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400">
        <f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400">
        <f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400">
        <f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400">
        <f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400">
        <f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400">
        <f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400">
        <f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400">
        <f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400">
        <f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400">
        <f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400">
        <f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400">
        <f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400">
        <f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400">
        <f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400">
        <f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400">
        <f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400">
        <f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400">
        <f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400">
        <f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400">
        <f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400">
        <f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400">
        <f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400">
        <f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400">
        <f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400">
        <f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400">
        <f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400">
        <f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400">
        <f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400">
        <f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400">
        <f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400">
        <f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400">
        <f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400">
        <f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400">
        <f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400">
        <f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400">
        <f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400">
        <f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400">
        <f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400">
        <f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400">
        <f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400">
        <f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400">
        <f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400">
        <f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400">
        <f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400">
        <f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400">
        <f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400">
        <f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400">
        <f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400">
        <f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400">
        <f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400">
        <f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400">
        <f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400">
        <f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hidden="1" outlineLevel="1" ht="15" customFormat="1" customHeight="1" s="381">
      <c r="A28" s="408" t="inlineStr">
        <is>
          <t>Moorpark</t>
        </is>
      </c>
      <c r="B28" s="400" t="n">
        <v>0</v>
      </c>
      <c r="C28" s="400" t="n">
        <v>0</v>
      </c>
      <c r="D28" s="400" t="n">
        <v>0</v>
      </c>
      <c r="E28" s="400" t="n">
        <v>0</v>
      </c>
      <c r="F28" s="400">
        <f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400">
        <f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400">
        <f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400">
        <f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400">
        <f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400">
        <f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400">
        <f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400">
        <f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400">
        <f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400">
        <f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400">
        <f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400">
        <f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400">
        <f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400">
        <f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400">
        <f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400">
        <f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400">
        <f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400">
        <f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400">
        <f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400">
        <f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400">
        <f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400">
        <f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400">
        <f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400">
        <f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400">
        <f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400">
        <f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400">
        <f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400">
        <f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400">
        <f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400">
        <f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400">
        <f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400">
        <f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400">
        <f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400">
        <f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400">
        <f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400">
        <f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400">
        <f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400">
        <f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400">
        <f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400">
        <f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400">
        <f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400">
        <f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400">
        <f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400">
        <f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400">
        <f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400">
        <f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400">
        <f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400">
        <f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400">
        <f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400">
        <f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400">
        <f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400">
        <f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400">
        <f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400">
        <f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400">
        <f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400">
        <f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400">
        <f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400">
        <f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400">
        <f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400">
        <f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400">
        <f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400">
        <f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400">
        <f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400">
        <f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400">
        <f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400">
        <f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400">
        <f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400">
        <f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400">
        <f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400">
        <f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400">
        <f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400">
        <f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400">
        <f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400">
        <f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400">
        <f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400">
        <f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400">
        <f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400">
        <f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400">
        <f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400">
        <f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400">
        <f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400">
        <f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400">
        <f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400">
        <f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400">
        <f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400">
        <f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400">
        <f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400">
        <f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400">
        <f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400">
        <f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400">
        <f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400">
        <f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400">
        <f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400">
        <f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400">
        <f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400">
        <f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400">
        <f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400">
        <f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400">
        <f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400">
        <f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400">
        <f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400">
        <f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400">
        <f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400">
        <f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hidden="1" outlineLevel="1" ht="15" customFormat="1" customHeight="1" s="381">
      <c r="A29" s="408" t="inlineStr">
        <is>
          <t>Beverly (BD-04)</t>
        </is>
      </c>
      <c r="B29" s="400" t="n">
        <v>0</v>
      </c>
      <c r="C29" s="400" t="n">
        <v>0</v>
      </c>
      <c r="D29" s="400" t="n">
        <v>0</v>
      </c>
      <c r="E29" s="400" t="n">
        <v>0</v>
      </c>
      <c r="F29" s="400">
        <f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400">
        <f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400">
        <f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400">
        <f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400">
        <f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400">
        <f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400">
        <f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400">
        <f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400">
        <f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400">
        <f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400">
        <f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400">
        <f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400">
        <f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400">
        <f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400">
        <f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400">
        <f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400">
        <f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400">
        <f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400">
        <f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400">
        <f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400">
        <f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400">
        <f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400">
        <f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400">
        <f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400">
        <f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400">
        <f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400">
        <f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400">
        <f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400">
        <f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400">
        <f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400">
        <f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400">
        <f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400">
        <f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400">
        <f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400">
        <f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400">
        <f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400">
        <f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400">
        <f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400">
        <f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400">
        <f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400">
        <f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400">
        <f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400">
        <f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400">
        <f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400">
        <f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400">
        <f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400">
        <f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400">
        <f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400">
        <f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400">
        <f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400">
        <f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400">
        <f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400">
        <f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400">
        <f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400">
        <f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400">
        <f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400">
        <f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400">
        <f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400">
        <f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400">
        <f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400">
        <f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400">
        <f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400">
        <f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400">
        <f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400">
        <f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400">
        <f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400">
        <f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400">
        <f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400">
        <f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400">
        <f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400">
        <f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400">
        <f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400">
        <f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400">
        <f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400">
        <f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400">
        <f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400">
        <f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400">
        <f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400">
        <f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400">
        <f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400">
        <f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400">
        <f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400">
        <f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400">
        <f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400">
        <f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400">
        <f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400">
        <f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400">
        <f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400">
        <f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400">
        <f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400">
        <f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400">
        <f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400">
        <f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400">
        <f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400">
        <f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400">
        <f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400">
        <f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400">
        <f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400">
        <f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400">
        <f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400">
        <f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400">
        <f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400">
        <f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400">
        <f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hidden="1" outlineLevel="1" ht="15" customFormat="1" customHeight="1" s="381">
      <c r="A30" s="408" t="inlineStr">
        <is>
          <t>Troost</t>
        </is>
      </c>
      <c r="B30" s="400" t="n">
        <v>0</v>
      </c>
      <c r="C30" s="400" t="n">
        <v>0</v>
      </c>
      <c r="D30" s="400" t="n">
        <v>0</v>
      </c>
      <c r="E30" s="400" t="n">
        <v>0</v>
      </c>
      <c r="F30" s="400">
        <f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400">
        <f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400">
        <f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400">
        <f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400">
        <f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400">
        <f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400">
        <f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400">
        <f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400">
        <f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400">
        <f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400">
        <f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400">
        <f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400">
        <f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400">
        <f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400">
        <f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400">
        <f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400">
        <f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400">
        <f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400">
        <f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400">
        <f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400">
        <f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400">
        <f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400">
        <f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400">
        <f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400">
        <f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400">
        <f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400">
        <f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400">
        <f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400">
        <f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400">
        <f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400">
        <f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400">
        <f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400">
        <f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400">
        <f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400">
        <f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400">
        <f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400">
        <f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400">
        <f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400">
        <f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400">
        <f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400">
        <f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400">
        <f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400">
        <f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400">
        <f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400">
        <f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400">
        <f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400">
        <f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400">
        <f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400">
        <f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400">
        <f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400">
        <f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400">
        <f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400">
        <f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400">
        <f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400">
        <f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400">
        <f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400">
        <f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400">
        <f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400">
        <f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400">
        <f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400">
        <f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400">
        <f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400">
        <f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400">
        <f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400">
        <f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400">
        <f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400">
        <f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400">
        <f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400">
        <f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400">
        <f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400">
        <f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400">
        <f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400">
        <f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400">
        <f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400">
        <f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400">
        <f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400">
        <f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400">
        <f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400">
        <f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400">
        <f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400">
        <f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400">
        <f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400">
        <f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400">
        <f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400">
        <f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400">
        <f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400">
        <f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400">
        <f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400">
        <f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400">
        <f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400">
        <f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400">
        <f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400">
        <f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400">
        <f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400">
        <f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400">
        <f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400">
        <f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400">
        <f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400">
        <f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400">
        <f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400">
        <f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400">
        <f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400">
        <f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400">
        <f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hidden="1" outlineLevel="1" ht="15" customFormat="1" customHeight="1" s="381">
      <c r="A31" s="408" t="inlineStr">
        <is>
          <t>BD-06</t>
        </is>
      </c>
      <c r="B31" s="400" t="n">
        <v>0</v>
      </c>
      <c r="C31" s="400" t="n">
        <v>0</v>
      </c>
      <c r="D31" s="400" t="n">
        <v>0</v>
      </c>
      <c r="E31" s="400" t="n">
        <v>0</v>
      </c>
      <c r="F31" s="400">
        <f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400">
        <f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400">
        <f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400">
        <f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400">
        <f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400">
        <f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400">
        <f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400">
        <f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400">
        <f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400">
        <f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400">
        <f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400">
        <f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400">
        <f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400">
        <f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400">
        <f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400">
        <f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400">
        <f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400">
        <f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400">
        <f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400">
        <f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400">
        <f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400">
        <f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400">
        <f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400">
        <f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400">
        <f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400">
        <f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400">
        <f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400">
        <f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400">
        <f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400">
        <f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400">
        <f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400">
        <f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400">
        <f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400">
        <f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400">
        <f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400">
        <f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400">
        <f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400">
        <f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400">
        <f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400">
        <f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400">
        <f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400">
        <f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400">
        <f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400">
        <f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400">
        <f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400">
        <f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400">
        <f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400">
        <f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400">
        <f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400">
        <f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400">
        <f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400">
        <f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400">
        <f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400">
        <f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400">
        <f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400">
        <f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400">
        <f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400">
        <f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400">
        <f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400">
        <f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400">
        <f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400">
        <f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400">
        <f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400">
        <f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400">
        <f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400">
        <f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400">
        <f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400">
        <f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400">
        <f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400">
        <f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400">
        <f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400">
        <f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400">
        <f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400">
        <f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400">
        <f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400">
        <f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400">
        <f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400">
        <f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400">
        <f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400">
        <f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400">
        <f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400">
        <f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400">
        <f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400">
        <f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400">
        <f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400">
        <f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400">
        <f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400">
        <f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400">
        <f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400">
        <f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400">
        <f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400">
        <f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400">
        <f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400">
        <f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400">
        <f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400">
        <f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400">
        <f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400">
        <f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400">
        <f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400">
        <f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400">
        <f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400">
        <f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400">
        <f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400">
        <f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hidden="1" outlineLevel="1" ht="15" customFormat="1" customHeight="1" s="381">
      <c r="A32" s="408" t="inlineStr">
        <is>
          <t>BD-07</t>
        </is>
      </c>
      <c r="B32" s="400" t="n">
        <v>0</v>
      </c>
      <c r="C32" s="400" t="n">
        <v>0</v>
      </c>
      <c r="D32" s="400" t="n">
        <v>0</v>
      </c>
      <c r="E32" s="400" t="n">
        <v>0</v>
      </c>
      <c r="F32" s="400">
        <f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400">
        <f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400">
        <f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400">
        <f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400">
        <f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400">
        <f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400">
        <f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400">
        <f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400">
        <f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400">
        <f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400">
        <f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400">
        <f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400">
        <f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400">
        <f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400">
        <f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400">
        <f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400">
        <f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400">
        <f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400">
        <f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400">
        <f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400">
        <f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400">
        <f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400">
        <f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400">
        <f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400">
        <f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400">
        <f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400">
        <f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400">
        <f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400">
        <f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400">
        <f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400">
        <f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400">
        <f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400">
        <f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400">
        <f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400">
        <f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400">
        <f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400">
        <f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400">
        <f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400">
        <f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400">
        <f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400">
        <f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400">
        <f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400">
        <f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400">
        <f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400">
        <f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400">
        <f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400">
        <f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400">
        <f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400">
        <f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400">
        <f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400">
        <f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400">
        <f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400">
        <f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400">
        <f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400">
        <f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400">
        <f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400">
        <f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400">
        <f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400">
        <f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400">
        <f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400">
        <f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400">
        <f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400">
        <f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400">
        <f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400">
        <f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400">
        <f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400">
        <f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400">
        <f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400">
        <f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400">
        <f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400">
        <f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400">
        <f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400">
        <f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400">
        <f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400">
        <f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400">
        <f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400">
        <f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400">
        <f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400">
        <f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400">
        <f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400">
        <f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400">
        <f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400">
        <f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400">
        <f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400">
        <f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400">
        <f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400">
        <f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400">
        <f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400">
        <f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400">
        <f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400">
        <f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400">
        <f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400">
        <f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400">
        <f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400">
        <f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400">
        <f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400">
        <f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400">
        <f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400">
        <f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400">
        <f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400">
        <f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400">
        <f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400">
        <f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400">
        <f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hidden="1" outlineLevel="1" ht="15" customFormat="1" customHeight="1" s="381">
      <c r="A33" s="408" t="inlineStr">
        <is>
          <t>BD-08</t>
        </is>
      </c>
      <c r="B33" s="400" t="n">
        <v>0</v>
      </c>
      <c r="C33" s="400" t="n">
        <v>0</v>
      </c>
      <c r="D33" s="400" t="n">
        <v>0</v>
      </c>
      <c r="E33" s="400" t="n">
        <v>0</v>
      </c>
      <c r="F33" s="400">
        <f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400">
        <f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400">
        <f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400">
        <f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400">
        <f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400">
        <f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400">
        <f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400">
        <f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400">
        <f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400">
        <f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400">
        <f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400">
        <f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400">
        <f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400">
        <f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400">
        <f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400">
        <f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400">
        <f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400">
        <f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400">
        <f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400">
        <f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400">
        <f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400">
        <f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400">
        <f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368954.1</v>
      </c>
      <c r="AC33" s="400">
        <f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481346.1</v>
      </c>
      <c r="AD33" s="400">
        <f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602324.1</v>
      </c>
      <c r="AE33" s="400">
        <f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727064.1</v>
      </c>
      <c r="AF33" s="400">
        <f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849572.1</v>
      </c>
      <c r="AG33" s="400">
        <f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963044.1</v>
      </c>
      <c r="AH33" s="400">
        <f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1060514.1</v>
      </c>
      <c r="AI33" s="400">
        <f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1135520.1</v>
      </c>
      <c r="AJ33" s="400">
        <f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1182824.1</v>
      </c>
      <c r="AK33" s="400">
        <f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1198988.1</v>
      </c>
      <c r="AL33" s="400">
        <f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1182824.1</v>
      </c>
      <c r="AM33" s="400">
        <f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1135520.1</v>
      </c>
      <c r="AN33" s="400">
        <f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1060514.1</v>
      </c>
      <c r="AO33" s="400">
        <f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963044.1</v>
      </c>
      <c r="AP33" s="400">
        <f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849572.1</v>
      </c>
      <c r="AQ33" s="400">
        <f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727064.1</v>
      </c>
      <c r="AR33" s="400">
        <f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602324.1</v>
      </c>
      <c r="AS33" s="400">
        <f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481346.1</v>
      </c>
      <c r="AT33" s="400">
        <f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260602.2</v>
      </c>
      <c r="AU33" s="400">
        <f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400">
        <f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400">
        <f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400">
        <f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400">
        <f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400">
        <f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400">
        <f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400">
        <f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400">
        <f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400">
        <f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400">
        <f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400">
        <f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400">
        <f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400">
        <f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400">
        <f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400">
        <f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400">
        <f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400">
        <f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400">
        <f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400">
        <f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400">
        <f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400">
        <f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400">
        <f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400">
        <f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400">
        <f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400">
        <f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400">
        <f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400">
        <f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400">
        <f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400">
        <f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400">
        <f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400">
        <f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400">
        <f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400">
        <f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400">
        <f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400">
        <f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400">
        <f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400">
        <f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400">
        <f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400">
        <f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400">
        <f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400">
        <f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400">
        <f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400">
        <f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400">
        <f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400">
        <f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400">
        <f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400">
        <f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400">
        <f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400">
        <f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400">
        <f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400">
        <f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400">
        <f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400">
        <f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400">
        <f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400">
        <f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400">
        <f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400">
        <f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400">
        <f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400">
        <f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400">
        <f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400">
        <f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400">
        <f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hidden="1" outlineLevel="1" ht="15" customFormat="1" customHeight="1" s="381">
      <c r="A34" s="408" t="inlineStr">
        <is>
          <t>BD-09</t>
        </is>
      </c>
      <c r="B34" s="400" t="n">
        <v>0</v>
      </c>
      <c r="C34" s="400" t="n">
        <v>0</v>
      </c>
      <c r="D34" s="400" t="n">
        <v>0</v>
      </c>
      <c r="E34" s="400" t="n">
        <v>0</v>
      </c>
      <c r="F34" s="400">
        <f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400">
        <f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400">
        <f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400">
        <f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400">
        <f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400">
        <f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400">
        <f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400">
        <f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400">
        <f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400">
        <f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400">
        <f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400">
        <f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400">
        <f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400">
        <f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400">
        <f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400">
        <f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400">
        <f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400">
        <f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400">
        <f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400">
        <f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400">
        <f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400">
        <f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400">
        <f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400">
        <f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400">
        <f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400">
        <f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400">
        <f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400">
        <f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368954.1</v>
      </c>
      <c r="AH34" s="400">
        <f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481346.1</v>
      </c>
      <c r="AI34" s="400">
        <f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602324.1</v>
      </c>
      <c r="AJ34" s="400">
        <f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727064.1</v>
      </c>
      <c r="AK34" s="400">
        <f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849572.1</v>
      </c>
      <c r="AL34" s="400">
        <f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963044.1</v>
      </c>
      <c r="AM34" s="400">
        <f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1060514.1</v>
      </c>
      <c r="AN34" s="400">
        <f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1135520.1</v>
      </c>
      <c r="AO34" s="400">
        <f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1182824.1</v>
      </c>
      <c r="AP34" s="400">
        <f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1198988.1</v>
      </c>
      <c r="AQ34" s="400">
        <f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1182824.1</v>
      </c>
      <c r="AR34" s="400">
        <f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1135520.1</v>
      </c>
      <c r="AS34" s="400">
        <f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1060514.1</v>
      </c>
      <c r="AT34" s="400">
        <f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963044.1</v>
      </c>
      <c r="AU34" s="400">
        <f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849572.1</v>
      </c>
      <c r="AV34" s="400">
        <f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727064.1</v>
      </c>
      <c r="AW34" s="400">
        <f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602324.1</v>
      </c>
      <c r="AX34" s="400">
        <f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481346.1</v>
      </c>
      <c r="AY34" s="400">
        <f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260602.2</v>
      </c>
      <c r="AZ34" s="400">
        <f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400">
        <f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400">
        <f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400">
        <f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400">
        <f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400">
        <f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400">
        <f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400">
        <f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400">
        <f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400">
        <f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400">
        <f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400">
        <f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400">
        <f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400">
        <f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400">
        <f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400">
        <f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400">
        <f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400">
        <f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400">
        <f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400">
        <f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400">
        <f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400">
        <f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400">
        <f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400">
        <f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400">
        <f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400">
        <f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400">
        <f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400">
        <f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400">
        <f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400">
        <f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400">
        <f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400">
        <f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400">
        <f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400">
        <f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400">
        <f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400">
        <f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400">
        <f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400">
        <f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400">
        <f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400">
        <f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400">
        <f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400">
        <f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400">
        <f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400">
        <f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400">
        <f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400">
        <f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400">
        <f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400">
        <f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400">
        <f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400">
        <f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400">
        <f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400">
        <f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400">
        <f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400">
        <f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400">
        <f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400">
        <f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400">
        <f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400">
        <f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hidden="1" outlineLevel="1" ht="15" customFormat="1" customHeight="1" s="381">
      <c r="A35" s="408" t="inlineStr">
        <is>
          <t>BD-10</t>
        </is>
      </c>
      <c r="B35" s="400" t="n">
        <v>0</v>
      </c>
      <c r="C35" s="400" t="n">
        <v>0</v>
      </c>
      <c r="D35" s="400" t="n">
        <v>0</v>
      </c>
      <c r="E35" s="400" t="n">
        <v>0</v>
      </c>
      <c r="F35" s="400">
        <f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400">
        <f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400">
        <f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400">
        <f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400">
        <f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400">
        <f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400">
        <f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400">
        <f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400">
        <f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400">
        <f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400">
        <f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400">
        <f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400">
        <f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400">
        <f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400">
        <f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400">
        <f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400">
        <f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400">
        <f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400">
        <f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400">
        <f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400">
        <f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400">
        <f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400">
        <f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400">
        <f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400">
        <f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400">
        <f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400">
        <f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400">
        <f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400">
        <f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368954.1</v>
      </c>
      <c r="AI35" s="400">
        <f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481346.1</v>
      </c>
      <c r="AJ35" s="400">
        <f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602324.1</v>
      </c>
      <c r="AK35" s="400">
        <f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727064.1</v>
      </c>
      <c r="AL35" s="400">
        <f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849572.1</v>
      </c>
      <c r="AM35" s="400">
        <f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963044.1</v>
      </c>
      <c r="AN35" s="400">
        <f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1060514.1</v>
      </c>
      <c r="AO35" s="400">
        <f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1135520.1</v>
      </c>
      <c r="AP35" s="400">
        <f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1182824.1</v>
      </c>
      <c r="AQ35" s="400">
        <f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1198988.1</v>
      </c>
      <c r="AR35" s="400">
        <f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1182824.1</v>
      </c>
      <c r="AS35" s="400">
        <f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1135520.1</v>
      </c>
      <c r="AT35" s="400">
        <f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1060514.1</v>
      </c>
      <c r="AU35" s="400">
        <f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963044.1</v>
      </c>
      <c r="AV35" s="400">
        <f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849572.1</v>
      </c>
      <c r="AW35" s="400">
        <f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727064.1</v>
      </c>
      <c r="AX35" s="400">
        <f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602324.1</v>
      </c>
      <c r="AY35" s="400">
        <f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481346.1</v>
      </c>
      <c r="AZ35" s="400">
        <f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260602.2</v>
      </c>
      <c r="BA35" s="400">
        <f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400">
        <f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400">
        <f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400">
        <f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400">
        <f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400">
        <f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400">
        <f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400">
        <f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400">
        <f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400">
        <f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400">
        <f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400">
        <f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400">
        <f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400">
        <f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400">
        <f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400">
        <f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400">
        <f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400">
        <f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400">
        <f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400">
        <f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400">
        <f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400">
        <f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400">
        <f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400">
        <f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400">
        <f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400">
        <f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400">
        <f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400">
        <f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400">
        <f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400">
        <f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400">
        <f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400">
        <f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400">
        <f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400">
        <f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400">
        <f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400">
        <f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400">
        <f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400">
        <f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400">
        <f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400">
        <f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400">
        <f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400">
        <f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400">
        <f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400">
        <f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400">
        <f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400">
        <f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400">
        <f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400">
        <f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400">
        <f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400">
        <f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400">
        <f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400">
        <f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400">
        <f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400">
        <f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400">
        <f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400">
        <f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400">
        <f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hidden="1" outlineLevel="1" ht="15" customFormat="1" customHeight="1" s="381">
      <c r="A36" s="408" t="inlineStr">
        <is>
          <t>BD-11</t>
        </is>
      </c>
      <c r="B36" s="400" t="n">
        <v>0</v>
      </c>
      <c r="C36" s="400" t="n">
        <v>0</v>
      </c>
      <c r="D36" s="400" t="n">
        <v>0</v>
      </c>
      <c r="E36" s="400" t="n">
        <v>0</v>
      </c>
      <c r="F36" s="400">
        <f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400">
        <f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400">
        <f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400">
        <f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400">
        <f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400">
        <f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400">
        <f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400">
        <f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400">
        <f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400">
        <f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400">
        <f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400">
        <f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400">
        <f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400">
        <f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400">
        <f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400">
        <f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400">
        <f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400">
        <f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400">
        <f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400">
        <f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400">
        <f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400">
        <f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400">
        <f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400">
        <f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400">
        <f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400">
        <f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400">
        <f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400">
        <f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400">
        <f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400">
        <f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307461.75</v>
      </c>
      <c r="AJ36" s="400">
        <f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401121.75</v>
      </c>
      <c r="AK36" s="400">
        <f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501936.75</v>
      </c>
      <c r="AL36" s="400">
        <f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605886.75</v>
      </c>
      <c r="AM36" s="400">
        <f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707976.75</v>
      </c>
      <c r="AN36" s="400">
        <f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802536.75</v>
      </c>
      <c r="AO36" s="400">
        <f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883761.75</v>
      </c>
      <c r="AP36" s="400">
        <f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946266.75</v>
      </c>
      <c r="AQ36" s="400">
        <f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985686.75</v>
      </c>
      <c r="AR36" s="400">
        <f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999156.75</v>
      </c>
      <c r="AS36" s="400">
        <f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985686.75</v>
      </c>
      <c r="AT36" s="400">
        <f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946266.75</v>
      </c>
      <c r="AU36" s="400">
        <f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883761.75</v>
      </c>
      <c r="AV36" s="400">
        <f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802536.75</v>
      </c>
      <c r="AW36" s="400">
        <f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707976.75</v>
      </c>
      <c r="AX36" s="400">
        <f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605886.75</v>
      </c>
      <c r="AY36" s="400">
        <f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501936.75</v>
      </c>
      <c r="AZ36" s="400">
        <f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401121.75</v>
      </c>
      <c r="BA36" s="400">
        <f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217168.5</v>
      </c>
      <c r="BB36" s="400">
        <f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400">
        <f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400">
        <f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400">
        <f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400">
        <f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400">
        <f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400">
        <f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400">
        <f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400">
        <f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400">
        <f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400">
        <f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400">
        <f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400">
        <f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400">
        <f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400">
        <f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400">
        <f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400">
        <f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400">
        <f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400">
        <f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400">
        <f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400">
        <f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400">
        <f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400">
        <f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400">
        <f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400">
        <f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400">
        <f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400">
        <f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400">
        <f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400">
        <f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400">
        <f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400">
        <f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400">
        <f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400">
        <f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400">
        <f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400">
        <f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400">
        <f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400">
        <f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400">
        <f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400">
        <f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400">
        <f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400">
        <f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400">
        <f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400">
        <f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400">
        <f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400">
        <f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400">
        <f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400">
        <f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400">
        <f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400">
        <f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400">
        <f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400">
        <f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400">
        <f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400">
        <f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400">
        <f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400">
        <f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400">
        <f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hidden="1" outlineLevel="1" ht="15" customFormat="1" customHeight="1" s="381">
      <c r="A37" s="408" t="inlineStr">
        <is>
          <t>BD-12</t>
        </is>
      </c>
      <c r="B37" s="400" t="n">
        <v>0</v>
      </c>
      <c r="C37" s="400" t="n">
        <v>0</v>
      </c>
      <c r="D37" s="400" t="n">
        <v>0</v>
      </c>
      <c r="E37" s="400" t="n">
        <v>0</v>
      </c>
      <c r="F37" s="400">
        <f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400">
        <f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400">
        <f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400">
        <f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400">
        <f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400">
        <f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400">
        <f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400">
        <f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400">
        <f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400">
        <f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400">
        <f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400">
        <f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400">
        <f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400">
        <f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400">
        <f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400">
        <f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400">
        <f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400">
        <f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400">
        <f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400">
        <f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400">
        <f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400">
        <f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400">
        <f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400">
        <f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400">
        <f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400">
        <f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400">
        <f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400">
        <f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400">
        <f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400">
        <f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400">
        <f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307461.75</v>
      </c>
      <c r="AK37" s="400">
        <f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401121.75</v>
      </c>
      <c r="AL37" s="400">
        <f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501936.75</v>
      </c>
      <c r="AM37" s="400">
        <f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605886.75</v>
      </c>
      <c r="AN37" s="400">
        <f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707976.75</v>
      </c>
      <c r="AO37" s="400">
        <f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802536.75</v>
      </c>
      <c r="AP37" s="400">
        <f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883761.75</v>
      </c>
      <c r="AQ37" s="400">
        <f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946266.75</v>
      </c>
      <c r="AR37" s="400">
        <f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985686.75</v>
      </c>
      <c r="AS37" s="400">
        <f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999156.75</v>
      </c>
      <c r="AT37" s="400">
        <f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985686.75</v>
      </c>
      <c r="AU37" s="400">
        <f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946266.75</v>
      </c>
      <c r="AV37" s="400">
        <f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883761.75</v>
      </c>
      <c r="AW37" s="400">
        <f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802536.75</v>
      </c>
      <c r="AX37" s="400">
        <f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707976.75</v>
      </c>
      <c r="AY37" s="400">
        <f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605886.75</v>
      </c>
      <c r="AZ37" s="400">
        <f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501936.75</v>
      </c>
      <c r="BA37" s="400">
        <f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401121.75</v>
      </c>
      <c r="BB37" s="400">
        <f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217168.5</v>
      </c>
      <c r="BC37" s="400">
        <f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400">
        <f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400">
        <f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400">
        <f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400">
        <f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400">
        <f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400">
        <f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400">
        <f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400">
        <f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400">
        <f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400">
        <f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400">
        <f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400">
        <f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400">
        <f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400">
        <f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400">
        <f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400">
        <f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400">
        <f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400">
        <f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400">
        <f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400">
        <f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400">
        <f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400">
        <f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400">
        <f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400">
        <f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400">
        <f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400">
        <f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400">
        <f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400">
        <f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400">
        <f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400">
        <f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400">
        <f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400">
        <f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400">
        <f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400">
        <f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400">
        <f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400">
        <f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400">
        <f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400">
        <f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400">
        <f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400">
        <f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400">
        <f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400">
        <f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400">
        <f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400">
        <f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400">
        <f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400">
        <f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400">
        <f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400">
        <f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400">
        <f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400">
        <f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400">
        <f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400">
        <f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400">
        <f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400">
        <f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hidden="1" outlineLevel="1" ht="15" customFormat="1" customHeight="1" s="381">
      <c r="A38" s="408" t="inlineStr">
        <is>
          <t>BD-13</t>
        </is>
      </c>
      <c r="B38" s="400" t="n">
        <v>0</v>
      </c>
      <c r="C38" s="400" t="n">
        <v>0</v>
      </c>
      <c r="D38" s="400" t="n">
        <v>0</v>
      </c>
      <c r="E38" s="400" t="n">
        <v>0</v>
      </c>
      <c r="F38" s="400">
        <f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400">
        <f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400">
        <f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400">
        <f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400">
        <f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400">
        <f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400">
        <f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400">
        <f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400">
        <f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400">
        <f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400">
        <f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400">
        <f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400">
        <f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400">
        <f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400">
        <f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400">
        <f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400">
        <f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400">
        <f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400">
        <f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400">
        <f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400">
        <f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400">
        <f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400">
        <f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400">
        <f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400">
        <f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400">
        <f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400">
        <f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400">
        <f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400">
        <f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400">
        <f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400">
        <f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400">
        <f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307461.75</v>
      </c>
      <c r="AL38" s="400">
        <f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401121.75</v>
      </c>
      <c r="AM38" s="400">
        <f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501936.75</v>
      </c>
      <c r="AN38" s="400">
        <f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605886.75</v>
      </c>
      <c r="AO38" s="400">
        <f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707976.75</v>
      </c>
      <c r="AP38" s="400">
        <f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802536.75</v>
      </c>
      <c r="AQ38" s="400">
        <f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883761.75</v>
      </c>
      <c r="AR38" s="400">
        <f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946266.75</v>
      </c>
      <c r="AS38" s="400">
        <f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985686.75</v>
      </c>
      <c r="AT38" s="400">
        <f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999156.75</v>
      </c>
      <c r="AU38" s="400">
        <f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985686.75</v>
      </c>
      <c r="AV38" s="400">
        <f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946266.75</v>
      </c>
      <c r="AW38" s="400">
        <f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883761.75</v>
      </c>
      <c r="AX38" s="400">
        <f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802536.75</v>
      </c>
      <c r="AY38" s="400">
        <f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707976.75</v>
      </c>
      <c r="AZ38" s="400">
        <f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605886.75</v>
      </c>
      <c r="BA38" s="400">
        <f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501936.75</v>
      </c>
      <c r="BB38" s="400">
        <f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401121.75</v>
      </c>
      <c r="BC38" s="400">
        <f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217168.5</v>
      </c>
      <c r="BD38" s="400">
        <f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400">
        <f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400">
        <f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400">
        <f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400">
        <f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400">
        <f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400">
        <f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400">
        <f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400">
        <f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400">
        <f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400">
        <f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400">
        <f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400">
        <f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400">
        <f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400">
        <f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400">
        <f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400">
        <f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400">
        <f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400">
        <f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400">
        <f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400">
        <f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400">
        <f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400">
        <f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400">
        <f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400">
        <f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400">
        <f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400">
        <f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400">
        <f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400">
        <f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400">
        <f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400">
        <f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400">
        <f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400">
        <f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400">
        <f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400">
        <f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400">
        <f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400">
        <f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400">
        <f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400">
        <f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400">
        <f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400">
        <f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400">
        <f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400">
        <f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400">
        <f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400">
        <f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400">
        <f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400">
        <f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400">
        <f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400">
        <f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400">
        <f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400">
        <f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400">
        <f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400">
        <f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400">
        <f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hidden="1" outlineLevel="1" ht="15" customFormat="1" customHeight="1" s="381">
      <c r="A39" s="408" t="inlineStr">
        <is>
          <t>BD-14</t>
        </is>
      </c>
      <c r="B39" s="400" t="n">
        <v>0</v>
      </c>
      <c r="C39" s="400" t="n">
        <v>0</v>
      </c>
      <c r="D39" s="400" t="n">
        <v>0</v>
      </c>
      <c r="E39" s="400" t="n">
        <v>0</v>
      </c>
      <c r="F39" s="400">
        <f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400">
        <f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400">
        <f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400">
        <f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400">
        <f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400">
        <f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400">
        <f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400">
        <f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400">
        <f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400">
        <f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400">
        <f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400">
        <f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400">
        <f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400">
        <f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400">
        <f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400">
        <f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400">
        <f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400">
        <f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400">
        <f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400">
        <f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400">
        <f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400">
        <f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400">
        <f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400">
        <f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400">
        <f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400">
        <f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400">
        <f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400">
        <f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400">
        <f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400">
        <f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400">
        <f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400">
        <f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400">
        <f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307461.75</v>
      </c>
      <c r="AM39" s="400">
        <f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401121.75</v>
      </c>
      <c r="AN39" s="400">
        <f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501936.75</v>
      </c>
      <c r="AO39" s="400">
        <f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605886.75</v>
      </c>
      <c r="AP39" s="400">
        <f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707976.75</v>
      </c>
      <c r="AQ39" s="400">
        <f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802536.75</v>
      </c>
      <c r="AR39" s="400">
        <f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883761.75</v>
      </c>
      <c r="AS39" s="400">
        <f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946266.75</v>
      </c>
      <c r="AT39" s="400">
        <f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985686.75</v>
      </c>
      <c r="AU39" s="400">
        <f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999156.75</v>
      </c>
      <c r="AV39" s="400">
        <f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985686.75</v>
      </c>
      <c r="AW39" s="400">
        <f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946266.75</v>
      </c>
      <c r="AX39" s="400">
        <f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883761.75</v>
      </c>
      <c r="AY39" s="400">
        <f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802536.75</v>
      </c>
      <c r="AZ39" s="400">
        <f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707976.75</v>
      </c>
      <c r="BA39" s="400">
        <f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605886.75</v>
      </c>
      <c r="BB39" s="400">
        <f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501936.75</v>
      </c>
      <c r="BC39" s="400">
        <f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401121.75</v>
      </c>
      <c r="BD39" s="400">
        <f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217168.5</v>
      </c>
      <c r="BE39" s="400">
        <f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400">
        <f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400">
        <f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400">
        <f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400">
        <f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400">
        <f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400">
        <f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400">
        <f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400">
        <f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400">
        <f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400">
        <f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400">
        <f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400">
        <f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400">
        <f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400">
        <f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400">
        <f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400">
        <f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400">
        <f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400">
        <f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400">
        <f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400">
        <f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400">
        <f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400">
        <f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400">
        <f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400">
        <f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400">
        <f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400">
        <f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400">
        <f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400">
        <f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400">
        <f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400">
        <f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400">
        <f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400">
        <f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400">
        <f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400">
        <f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400">
        <f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400">
        <f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400">
        <f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400">
        <f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400">
        <f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400">
        <f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400">
        <f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400">
        <f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400">
        <f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400">
        <f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400">
        <f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400">
        <f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400">
        <f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400">
        <f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400">
        <f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400">
        <f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400">
        <f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400">
        <f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hidden="1" outlineLevel="1" ht="15" customFormat="1" customHeight="1" s="381">
      <c r="A40" s="408" t="inlineStr">
        <is>
          <t>BD-15</t>
        </is>
      </c>
      <c r="B40" s="400" t="n">
        <v>0</v>
      </c>
      <c r="C40" s="400" t="n">
        <v>0</v>
      </c>
      <c r="D40" s="400" t="n">
        <v>0</v>
      </c>
      <c r="E40" s="400" t="n">
        <v>0</v>
      </c>
      <c r="F40" s="400">
        <f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400">
        <f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400">
        <f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400">
        <f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400">
        <f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400">
        <f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400">
        <f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400">
        <f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400">
        <f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400">
        <f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400">
        <f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400">
        <f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400">
        <f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400">
        <f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400">
        <f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400">
        <f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400">
        <f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400">
        <f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400">
        <f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400">
        <f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400">
        <f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400">
        <f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400">
        <f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400">
        <f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400">
        <f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400">
        <f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400">
        <f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400">
        <f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400">
        <f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400">
        <f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400">
        <f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400">
        <f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400">
        <f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400">
        <f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368954.1</v>
      </c>
      <c r="AN40" s="400">
        <f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481346.1</v>
      </c>
      <c r="AO40" s="400">
        <f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602324.1</v>
      </c>
      <c r="AP40" s="400">
        <f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727064.1</v>
      </c>
      <c r="AQ40" s="400">
        <f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849572.1</v>
      </c>
      <c r="AR40" s="400">
        <f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963044.1</v>
      </c>
      <c r="AS40" s="400">
        <f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1060514.1</v>
      </c>
      <c r="AT40" s="400">
        <f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1135520.1</v>
      </c>
      <c r="AU40" s="400">
        <f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1182824.1</v>
      </c>
      <c r="AV40" s="400">
        <f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1198988.1</v>
      </c>
      <c r="AW40" s="400">
        <f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1182824.1</v>
      </c>
      <c r="AX40" s="400">
        <f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1135520.1</v>
      </c>
      <c r="AY40" s="400">
        <f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1060514.1</v>
      </c>
      <c r="AZ40" s="400">
        <f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963044.1</v>
      </c>
      <c r="BA40" s="400">
        <f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849572.1</v>
      </c>
      <c r="BB40" s="400">
        <f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727064.1</v>
      </c>
      <c r="BC40" s="400">
        <f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602324.1</v>
      </c>
      <c r="BD40" s="400">
        <f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481346.1</v>
      </c>
      <c r="BE40" s="400">
        <f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260602.2</v>
      </c>
      <c r="BF40" s="400">
        <f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400">
        <f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400">
        <f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400">
        <f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400">
        <f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400">
        <f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400">
        <f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400">
        <f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400">
        <f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400">
        <f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400">
        <f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400">
        <f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400">
        <f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400">
        <f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400">
        <f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400">
        <f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400">
        <f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400">
        <f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400">
        <f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400">
        <f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400">
        <f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400">
        <f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400">
        <f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400">
        <f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400">
        <f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400">
        <f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400">
        <f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400">
        <f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400">
        <f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400">
        <f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400">
        <f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400">
        <f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400">
        <f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400">
        <f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400">
        <f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400">
        <f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400">
        <f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400">
        <f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400">
        <f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400">
        <f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400">
        <f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400">
        <f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400">
        <f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400">
        <f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400">
        <f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400">
        <f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400">
        <f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400">
        <f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400">
        <f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400">
        <f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400">
        <f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400">
        <f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hidden="1" outlineLevel="1" ht="15" customFormat="1" customHeight="1" s="381">
      <c r="A41" s="408" t="inlineStr">
        <is>
          <t>BD-16</t>
        </is>
      </c>
      <c r="B41" s="400" t="n">
        <v>0</v>
      </c>
      <c r="C41" s="400" t="n">
        <v>0</v>
      </c>
      <c r="D41" s="400" t="n">
        <v>0</v>
      </c>
      <c r="E41" s="400" t="n">
        <v>0</v>
      </c>
      <c r="F41" s="400">
        <f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400">
        <f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400">
        <f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400">
        <f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400">
        <f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400">
        <f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400">
        <f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400">
        <f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400">
        <f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400">
        <f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400">
        <f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400">
        <f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400">
        <f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400">
        <f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400">
        <f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400">
        <f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400">
        <f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400">
        <f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400">
        <f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400">
        <f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400">
        <f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400">
        <f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400">
        <f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400">
        <f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400">
        <f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400">
        <f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400">
        <f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400">
        <f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400">
        <f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400">
        <f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400">
        <f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400">
        <f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400">
        <f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400">
        <f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400">
        <f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307461.75</v>
      </c>
      <c r="AO41" s="400">
        <f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401121.75</v>
      </c>
      <c r="AP41" s="400">
        <f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501936.75</v>
      </c>
      <c r="AQ41" s="400">
        <f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605886.75</v>
      </c>
      <c r="AR41" s="400">
        <f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707976.75</v>
      </c>
      <c r="AS41" s="400">
        <f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802536.75</v>
      </c>
      <c r="AT41" s="400">
        <f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883761.75</v>
      </c>
      <c r="AU41" s="400">
        <f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946266.75</v>
      </c>
      <c r="AV41" s="400">
        <f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985686.75</v>
      </c>
      <c r="AW41" s="400">
        <f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999156.75</v>
      </c>
      <c r="AX41" s="400">
        <f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985686.75</v>
      </c>
      <c r="AY41" s="400">
        <f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946266.75</v>
      </c>
      <c r="AZ41" s="400">
        <f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883761.75</v>
      </c>
      <c r="BA41" s="400">
        <f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802536.75</v>
      </c>
      <c r="BB41" s="400">
        <f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707976.75</v>
      </c>
      <c r="BC41" s="400">
        <f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605886.75</v>
      </c>
      <c r="BD41" s="400">
        <f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501936.75</v>
      </c>
      <c r="BE41" s="400">
        <f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401121.75</v>
      </c>
      <c r="BF41" s="400">
        <f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217168.5</v>
      </c>
      <c r="BG41" s="400">
        <f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400">
        <f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400">
        <f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400">
        <f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400">
        <f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400">
        <f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400">
        <f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400">
        <f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400">
        <f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400">
        <f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400">
        <f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400">
        <f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400">
        <f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400">
        <f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400">
        <f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400">
        <f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400">
        <f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400">
        <f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400">
        <f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400">
        <f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400">
        <f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400">
        <f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400">
        <f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400">
        <f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400">
        <f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400">
        <f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400">
        <f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400">
        <f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400">
        <f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400">
        <f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400">
        <f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400">
        <f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400">
        <f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400">
        <f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400">
        <f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400">
        <f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400">
        <f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400">
        <f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400">
        <f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400">
        <f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400">
        <f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400">
        <f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400">
        <f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400">
        <f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400">
        <f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400">
        <f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400">
        <f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400">
        <f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400">
        <f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400">
        <f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400">
        <f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hidden="1" outlineLevel="1" ht="15" customFormat="1" customHeight="1" s="381">
      <c r="A42" s="408" t="inlineStr">
        <is>
          <t>BD-17</t>
        </is>
      </c>
      <c r="B42" s="400" t="n">
        <v>0</v>
      </c>
      <c r="C42" s="400" t="n">
        <v>0</v>
      </c>
      <c r="D42" s="400" t="n">
        <v>0</v>
      </c>
      <c r="E42" s="400" t="n">
        <v>0</v>
      </c>
      <c r="F42" s="400">
        <f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400">
        <f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400">
        <f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400">
        <f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400">
        <f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400">
        <f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400">
        <f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400">
        <f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400">
        <f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400">
        <f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400">
        <f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400">
        <f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400">
        <f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400">
        <f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400">
        <f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400">
        <f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400">
        <f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400">
        <f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400">
        <f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400">
        <f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400">
        <f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400">
        <f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400">
        <f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400">
        <f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400">
        <f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400">
        <f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400">
        <f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400">
        <f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400">
        <f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400">
        <f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400">
        <f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400">
        <f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400">
        <f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400">
        <f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400">
        <f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400">
        <f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307461.75</v>
      </c>
      <c r="AP42" s="400">
        <f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401121.75</v>
      </c>
      <c r="AQ42" s="400">
        <f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501936.75</v>
      </c>
      <c r="AR42" s="400">
        <f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605886.75</v>
      </c>
      <c r="AS42" s="400">
        <f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707976.75</v>
      </c>
      <c r="AT42" s="400">
        <f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802536.75</v>
      </c>
      <c r="AU42" s="400">
        <f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883761.75</v>
      </c>
      <c r="AV42" s="400">
        <f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946266.75</v>
      </c>
      <c r="AW42" s="400">
        <f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985686.75</v>
      </c>
      <c r="AX42" s="400">
        <f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999156.75</v>
      </c>
      <c r="AY42" s="400">
        <f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985686.75</v>
      </c>
      <c r="AZ42" s="400">
        <f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946266.75</v>
      </c>
      <c r="BA42" s="400">
        <f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883761.75</v>
      </c>
      <c r="BB42" s="400">
        <f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802536.75</v>
      </c>
      <c r="BC42" s="400">
        <f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707976.75</v>
      </c>
      <c r="BD42" s="400">
        <f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605886.75</v>
      </c>
      <c r="BE42" s="400">
        <f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501936.75</v>
      </c>
      <c r="BF42" s="400">
        <f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401121.75</v>
      </c>
      <c r="BG42" s="400">
        <f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217168.5</v>
      </c>
      <c r="BH42" s="400">
        <f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400">
        <f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400">
        <f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400">
        <f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400">
        <f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400">
        <f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400">
        <f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400">
        <f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400">
        <f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400">
        <f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400">
        <f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400">
        <f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400">
        <f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400">
        <f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400">
        <f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400">
        <f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400">
        <f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400">
        <f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400">
        <f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400">
        <f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400">
        <f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400">
        <f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400">
        <f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400">
        <f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400">
        <f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400">
        <f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400">
        <f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400">
        <f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400">
        <f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400">
        <f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400">
        <f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400">
        <f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400">
        <f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400">
        <f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400">
        <f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400">
        <f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400">
        <f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400">
        <f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400">
        <f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400">
        <f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400">
        <f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400">
        <f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400">
        <f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400">
        <f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400">
        <f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400">
        <f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400">
        <f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400">
        <f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400">
        <f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400">
        <f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hidden="1" outlineLevel="1" ht="15" customFormat="1" customHeight="1" s="381">
      <c r="A43" s="408" t="inlineStr">
        <is>
          <t>BD-18</t>
        </is>
      </c>
      <c r="B43" s="400" t="n">
        <v>0</v>
      </c>
      <c r="C43" s="400" t="n">
        <v>0</v>
      </c>
      <c r="D43" s="400" t="n">
        <v>0</v>
      </c>
      <c r="E43" s="400" t="n">
        <v>0</v>
      </c>
      <c r="F43" s="400">
        <f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400">
        <f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400">
        <f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400">
        <f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400">
        <f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400">
        <f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400">
        <f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400">
        <f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400">
        <f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400">
        <f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400">
        <f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400">
        <f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400">
        <f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400">
        <f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400">
        <f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400">
        <f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400">
        <f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400">
        <f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400">
        <f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400">
        <f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400">
        <f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400">
        <f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400">
        <f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400">
        <f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400">
        <f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400">
        <f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400">
        <f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400">
        <f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400">
        <f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400">
        <f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400">
        <f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400">
        <f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400">
        <f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400">
        <f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400">
        <f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400">
        <f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400">
        <f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368954.1</v>
      </c>
      <c r="AQ43" s="400">
        <f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481346.1</v>
      </c>
      <c r="AR43" s="400">
        <f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602324.1</v>
      </c>
      <c r="AS43" s="400">
        <f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727064.1</v>
      </c>
      <c r="AT43" s="400">
        <f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849572.1</v>
      </c>
      <c r="AU43" s="400">
        <f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963044.1</v>
      </c>
      <c r="AV43" s="400">
        <f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1060514.1</v>
      </c>
      <c r="AW43" s="400">
        <f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1135520.1</v>
      </c>
      <c r="AX43" s="400">
        <f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1182824.1</v>
      </c>
      <c r="AY43" s="400">
        <f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1198988.1</v>
      </c>
      <c r="AZ43" s="400">
        <f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1182824.1</v>
      </c>
      <c r="BA43" s="400">
        <f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1135520.1</v>
      </c>
      <c r="BB43" s="400">
        <f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1060514.1</v>
      </c>
      <c r="BC43" s="400">
        <f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963044.1</v>
      </c>
      <c r="BD43" s="400">
        <f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849572.1</v>
      </c>
      <c r="BE43" s="400">
        <f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727064.1</v>
      </c>
      <c r="BF43" s="400">
        <f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602324.1</v>
      </c>
      <c r="BG43" s="400">
        <f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481346.1</v>
      </c>
      <c r="BH43" s="400">
        <f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260602.2</v>
      </c>
      <c r="BI43" s="400">
        <f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400">
        <f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400">
        <f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400">
        <f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400">
        <f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400">
        <f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400">
        <f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400">
        <f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400">
        <f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400">
        <f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400">
        <f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400">
        <f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400">
        <f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400">
        <f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400">
        <f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400">
        <f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400">
        <f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400">
        <f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400">
        <f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400">
        <f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400">
        <f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400">
        <f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400">
        <f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400">
        <f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400">
        <f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400">
        <f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400">
        <f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400">
        <f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400">
        <f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400">
        <f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400">
        <f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400">
        <f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400">
        <f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400">
        <f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400">
        <f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400">
        <f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400">
        <f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400">
        <f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400">
        <f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400">
        <f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400">
        <f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400">
        <f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400">
        <f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400">
        <f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400">
        <f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400">
        <f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400">
        <f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400">
        <f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400">
        <f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hidden="1" outlineLevel="1" ht="15" customFormat="1" customHeight="1" s="381">
      <c r="A44" s="408" t="inlineStr">
        <is>
          <t>BD-19</t>
        </is>
      </c>
      <c r="B44" s="400" t="n">
        <v>0</v>
      </c>
      <c r="C44" s="400" t="n">
        <v>0</v>
      </c>
      <c r="D44" s="400" t="n">
        <v>0</v>
      </c>
      <c r="E44" s="400" t="n">
        <v>0</v>
      </c>
      <c r="F44" s="400">
        <f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400">
        <f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400">
        <f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400">
        <f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400">
        <f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400">
        <f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400">
        <f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400">
        <f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400">
        <f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400">
        <f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400">
        <f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400">
        <f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400">
        <f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400">
        <f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400">
        <f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400">
        <f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400">
        <f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400">
        <f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400">
        <f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400">
        <f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400">
        <f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400">
        <f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400">
        <f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400">
        <f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400">
        <f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400">
        <f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400">
        <f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400">
        <f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400">
        <f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400">
        <f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400">
        <f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400">
        <f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400">
        <f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400">
        <f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400">
        <f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400">
        <f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400">
        <f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400">
        <f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307461.75</v>
      </c>
      <c r="AR44" s="400">
        <f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401121.75</v>
      </c>
      <c r="AS44" s="400">
        <f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501936.75</v>
      </c>
      <c r="AT44" s="400">
        <f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605886.75</v>
      </c>
      <c r="AU44" s="400">
        <f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707976.75</v>
      </c>
      <c r="AV44" s="400">
        <f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802536.75</v>
      </c>
      <c r="AW44" s="400">
        <f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883761.75</v>
      </c>
      <c r="AX44" s="400">
        <f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946266.75</v>
      </c>
      <c r="AY44" s="400">
        <f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985686.75</v>
      </c>
      <c r="AZ44" s="400">
        <f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999156.75</v>
      </c>
      <c r="BA44" s="400">
        <f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985686.75</v>
      </c>
      <c r="BB44" s="400">
        <f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946266.75</v>
      </c>
      <c r="BC44" s="400">
        <f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883761.75</v>
      </c>
      <c r="BD44" s="400">
        <f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802536.75</v>
      </c>
      <c r="BE44" s="400">
        <f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707976.75</v>
      </c>
      <c r="BF44" s="400">
        <f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605886.75</v>
      </c>
      <c r="BG44" s="400">
        <f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501936.75</v>
      </c>
      <c r="BH44" s="400">
        <f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401121.75</v>
      </c>
      <c r="BI44" s="400">
        <f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217168.5</v>
      </c>
      <c r="BJ44" s="400">
        <f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400">
        <f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400">
        <f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400">
        <f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400">
        <f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400">
        <f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400">
        <f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400">
        <f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400">
        <f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400">
        <f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400">
        <f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400">
        <f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400">
        <f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400">
        <f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400">
        <f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400">
        <f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400">
        <f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400">
        <f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400">
        <f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400">
        <f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400">
        <f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400">
        <f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400">
        <f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400">
        <f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400">
        <f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400">
        <f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400">
        <f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400">
        <f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400">
        <f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400">
        <f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400">
        <f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400">
        <f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400">
        <f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400">
        <f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400">
        <f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400">
        <f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400">
        <f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400">
        <f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400">
        <f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400">
        <f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400">
        <f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400">
        <f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400">
        <f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400">
        <f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400">
        <f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400">
        <f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400">
        <f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400">
        <f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hidden="1" outlineLevel="1" ht="15" customFormat="1" customHeight="1" s="381">
      <c r="A45" s="408" t="inlineStr">
        <is>
          <t>BD-20</t>
        </is>
      </c>
      <c r="B45" s="400" t="n">
        <v>0</v>
      </c>
      <c r="C45" s="400" t="n">
        <v>0</v>
      </c>
      <c r="D45" s="400" t="n">
        <v>0</v>
      </c>
      <c r="E45" s="400" t="n">
        <v>0</v>
      </c>
      <c r="F45" s="400">
        <f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400">
        <f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400">
        <f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400">
        <f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400">
        <f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400">
        <f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400">
        <f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400">
        <f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400">
        <f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400">
        <f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400">
        <f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400">
        <f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400">
        <f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400">
        <f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400">
        <f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400">
        <f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400">
        <f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400">
        <f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400">
        <f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400">
        <f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400">
        <f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400">
        <f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400">
        <f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400">
        <f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400">
        <f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400">
        <f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400">
        <f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400">
        <f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400">
        <f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400">
        <f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400">
        <f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400">
        <f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400">
        <f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400">
        <f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400">
        <f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400">
        <f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400">
        <f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400">
        <f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400">
        <f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400">
        <f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400">
        <f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400">
        <f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368954.1</v>
      </c>
      <c r="AV45" s="400">
        <f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481346.1</v>
      </c>
      <c r="AW45" s="400">
        <f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602324.1</v>
      </c>
      <c r="AX45" s="400">
        <f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727064.1</v>
      </c>
      <c r="AY45" s="400">
        <f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849572.1</v>
      </c>
      <c r="AZ45" s="400">
        <f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963044.1</v>
      </c>
      <c r="BA45" s="400">
        <f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1060514.1</v>
      </c>
      <c r="BB45" s="400">
        <f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1135520.1</v>
      </c>
      <c r="BC45" s="400">
        <f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1182824.1</v>
      </c>
      <c r="BD45" s="400">
        <f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1198988.1</v>
      </c>
      <c r="BE45" s="400">
        <f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1182824.1</v>
      </c>
      <c r="BF45" s="400">
        <f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1135520.1</v>
      </c>
      <c r="BG45" s="400">
        <f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1060514.1</v>
      </c>
      <c r="BH45" s="400">
        <f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963044.1</v>
      </c>
      <c r="BI45" s="400">
        <f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849572.1</v>
      </c>
      <c r="BJ45" s="400">
        <f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727064.1</v>
      </c>
      <c r="BK45" s="400">
        <f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602324.1</v>
      </c>
      <c r="BL45" s="400">
        <f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481346.1</v>
      </c>
      <c r="BM45" s="400">
        <f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260602.2</v>
      </c>
      <c r="BN45" s="400">
        <f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400">
        <f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400">
        <f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400">
        <f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400">
        <f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400">
        <f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400">
        <f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400">
        <f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400">
        <f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400">
        <f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400">
        <f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400">
        <f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400">
        <f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400">
        <f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400">
        <f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400">
        <f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400">
        <f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400">
        <f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400">
        <f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400">
        <f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400">
        <f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400">
        <f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400">
        <f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400">
        <f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400">
        <f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400">
        <f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400">
        <f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400">
        <f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400">
        <f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400">
        <f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400">
        <f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400">
        <f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400">
        <f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400">
        <f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400">
        <f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400">
        <f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400">
        <f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400">
        <f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400">
        <f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400">
        <f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400">
        <f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400">
        <f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400">
        <f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400">
        <f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hidden="1" outlineLevel="1" ht="15" customFormat="1" customHeight="1" s="381">
      <c r="A46" s="408" t="inlineStr">
        <is>
          <t>BD-21</t>
        </is>
      </c>
      <c r="B46" s="400" t="n">
        <v>0</v>
      </c>
      <c r="C46" s="400" t="n">
        <v>0</v>
      </c>
      <c r="D46" s="400" t="n">
        <v>0</v>
      </c>
      <c r="E46" s="400" t="n">
        <v>0</v>
      </c>
      <c r="F46" s="400">
        <f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400">
        <f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400">
        <f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400">
        <f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400">
        <f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400">
        <f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400">
        <f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400">
        <f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400">
        <f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400">
        <f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400">
        <f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400">
        <f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400">
        <f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400">
        <f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400">
        <f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400">
        <f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400">
        <f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400">
        <f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400">
        <f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400">
        <f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400">
        <f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400">
        <f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400">
        <f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400">
        <f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400">
        <f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400">
        <f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400">
        <f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400">
        <f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400">
        <f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400">
        <f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400">
        <f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400">
        <f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400">
        <f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400">
        <f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400">
        <f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400">
        <f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400">
        <f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400">
        <f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400">
        <f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400">
        <f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400">
        <f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400">
        <f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400">
        <f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307461.75</v>
      </c>
      <c r="AW46" s="400">
        <f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401121.75</v>
      </c>
      <c r="AX46" s="400">
        <f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501936.75</v>
      </c>
      <c r="AY46" s="400">
        <f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605886.75</v>
      </c>
      <c r="AZ46" s="400">
        <f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707976.75</v>
      </c>
      <c r="BA46" s="400">
        <f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802536.75</v>
      </c>
      <c r="BB46" s="400">
        <f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883761.75</v>
      </c>
      <c r="BC46" s="400">
        <f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946266.75</v>
      </c>
      <c r="BD46" s="400">
        <f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985686.75</v>
      </c>
      <c r="BE46" s="400">
        <f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999156.75</v>
      </c>
      <c r="BF46" s="400">
        <f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985686.75</v>
      </c>
      <c r="BG46" s="400">
        <f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946266.75</v>
      </c>
      <c r="BH46" s="400">
        <f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883761.75</v>
      </c>
      <c r="BI46" s="400">
        <f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802536.75</v>
      </c>
      <c r="BJ46" s="400">
        <f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707976.75</v>
      </c>
      <c r="BK46" s="400">
        <f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605886.75</v>
      </c>
      <c r="BL46" s="400">
        <f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501936.75</v>
      </c>
      <c r="BM46" s="400">
        <f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401121.75</v>
      </c>
      <c r="BN46" s="400">
        <f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217168.5</v>
      </c>
      <c r="BO46" s="400">
        <f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400">
        <f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400">
        <f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400">
        <f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400">
        <f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400">
        <f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400">
        <f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400">
        <f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400">
        <f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400">
        <f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400">
        <f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400">
        <f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400">
        <f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400">
        <f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400">
        <f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400">
        <f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400">
        <f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400">
        <f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400">
        <f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400">
        <f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400">
        <f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400">
        <f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400">
        <f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400">
        <f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400">
        <f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400">
        <f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400">
        <f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400">
        <f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400">
        <f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400">
        <f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400">
        <f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400">
        <f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400">
        <f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400">
        <f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400">
        <f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400">
        <f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400">
        <f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400">
        <f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400">
        <f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400">
        <f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400">
        <f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400">
        <f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400">
        <f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hidden="1" outlineLevel="1" ht="15" customFormat="1" customHeight="1" s="381">
      <c r="A47" s="408" t="inlineStr">
        <is>
          <t>BD-22</t>
        </is>
      </c>
      <c r="B47" s="400" t="n">
        <v>0</v>
      </c>
      <c r="C47" s="400" t="n">
        <v>0</v>
      </c>
      <c r="D47" s="400" t="n">
        <v>0</v>
      </c>
      <c r="E47" s="400" t="n">
        <v>0</v>
      </c>
      <c r="F47" s="400">
        <f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400">
        <f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400">
        <f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400">
        <f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400">
        <f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400">
        <f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400">
        <f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400">
        <f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400">
        <f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400">
        <f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400">
        <f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400">
        <f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400">
        <f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400">
        <f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400">
        <f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400">
        <f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400">
        <f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400">
        <f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400">
        <f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400">
        <f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400">
        <f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400">
        <f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400">
        <f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400">
        <f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400">
        <f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400">
        <f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400">
        <f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400">
        <f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400">
        <f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400">
        <f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400">
        <f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400">
        <f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400">
        <f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400">
        <f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400">
        <f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400">
        <f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400">
        <f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400">
        <f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400">
        <f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400">
        <f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400">
        <f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400">
        <f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400">
        <f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400">
        <f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400">
        <f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400">
        <f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400">
        <f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307461.75</v>
      </c>
      <c r="BA47" s="400">
        <f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401121.75</v>
      </c>
      <c r="BB47" s="400">
        <f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501936.75</v>
      </c>
      <c r="BC47" s="400">
        <f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605886.75</v>
      </c>
      <c r="BD47" s="400">
        <f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707976.75</v>
      </c>
      <c r="BE47" s="400">
        <f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802536.75</v>
      </c>
      <c r="BF47" s="400">
        <f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883761.75</v>
      </c>
      <c r="BG47" s="400">
        <f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946266.75</v>
      </c>
      <c r="BH47" s="400">
        <f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985686.75</v>
      </c>
      <c r="BI47" s="400">
        <f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999156.75</v>
      </c>
      <c r="BJ47" s="400">
        <f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985686.75</v>
      </c>
      <c r="BK47" s="400">
        <f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946266.75</v>
      </c>
      <c r="BL47" s="400">
        <f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883761.75</v>
      </c>
      <c r="BM47" s="400">
        <f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802536.75</v>
      </c>
      <c r="BN47" s="400">
        <f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707976.75</v>
      </c>
      <c r="BO47" s="400">
        <f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605886.75</v>
      </c>
      <c r="BP47" s="400">
        <f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501936.75</v>
      </c>
      <c r="BQ47" s="400">
        <f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401121.75</v>
      </c>
      <c r="BR47" s="400">
        <f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217168.5</v>
      </c>
      <c r="BS47" s="400">
        <f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400">
        <f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400">
        <f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400">
        <f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400">
        <f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400">
        <f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400">
        <f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400">
        <f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400">
        <f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400">
        <f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400">
        <f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400">
        <f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400">
        <f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400">
        <f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400">
        <f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400">
        <f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400">
        <f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400">
        <f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400">
        <f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400">
        <f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400">
        <f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400">
        <f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400">
        <f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400">
        <f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400">
        <f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400">
        <f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400">
        <f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400">
        <f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400">
        <f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400">
        <f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400">
        <f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400">
        <f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400">
        <f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400">
        <f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400">
        <f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400">
        <f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400">
        <f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400">
        <f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400">
        <f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hidden="1" outlineLevel="1" ht="15" customFormat="1" customHeight="1" s="381">
      <c r="A48" s="408" t="inlineStr">
        <is>
          <t>BD-23</t>
        </is>
      </c>
      <c r="B48" s="400" t="n">
        <v>0</v>
      </c>
      <c r="C48" s="400" t="n">
        <v>0</v>
      </c>
      <c r="D48" s="400" t="n">
        <v>0</v>
      </c>
      <c r="E48" s="400" t="n">
        <v>0</v>
      </c>
      <c r="F48" s="400">
        <f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400">
        <f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400">
        <f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400">
        <f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400">
        <f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400">
        <f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400">
        <f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400">
        <f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400">
        <f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400">
        <f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400">
        <f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400">
        <f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400">
        <f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400">
        <f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400">
        <f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400">
        <f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400">
        <f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400">
        <f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400">
        <f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400">
        <f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400">
        <f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400">
        <f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400">
        <f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400">
        <f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400">
        <f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400">
        <f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400">
        <f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400">
        <f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400">
        <f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400">
        <f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400">
        <f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400">
        <f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400">
        <f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400">
        <f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400">
        <f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400">
        <f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400">
        <f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400">
        <f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400">
        <f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400">
        <f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400">
        <f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400">
        <f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400">
        <f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400">
        <f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400">
        <f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400">
        <f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400">
        <f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400">
        <f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368954.1</v>
      </c>
      <c r="BB48" s="400">
        <f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481346.1</v>
      </c>
      <c r="BC48" s="400">
        <f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602324.1</v>
      </c>
      <c r="BD48" s="400">
        <f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727064.1</v>
      </c>
      <c r="BE48" s="400">
        <f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849572.1</v>
      </c>
      <c r="BF48" s="400">
        <f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963044.1</v>
      </c>
      <c r="BG48" s="400">
        <f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1060514.1</v>
      </c>
      <c r="BH48" s="400">
        <f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1135520.1</v>
      </c>
      <c r="BI48" s="400">
        <f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1182824.1</v>
      </c>
      <c r="BJ48" s="400">
        <f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1198988.1</v>
      </c>
      <c r="BK48" s="400">
        <f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1182824.1</v>
      </c>
      <c r="BL48" s="400">
        <f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1135520.1</v>
      </c>
      <c r="BM48" s="400">
        <f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1060514.1</v>
      </c>
      <c r="BN48" s="400">
        <f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963044.1</v>
      </c>
      <c r="BO48" s="400">
        <f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849572.1</v>
      </c>
      <c r="BP48" s="400">
        <f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727064.1</v>
      </c>
      <c r="BQ48" s="400">
        <f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602324.1</v>
      </c>
      <c r="BR48" s="400">
        <f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481346.1</v>
      </c>
      <c r="BS48" s="400">
        <f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260602.2</v>
      </c>
      <c r="BT48" s="400">
        <f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400">
        <f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400">
        <f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400">
        <f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400">
        <f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400">
        <f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400">
        <f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400">
        <f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400">
        <f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400">
        <f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400">
        <f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400">
        <f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400">
        <f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400">
        <f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400">
        <f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400">
        <f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400">
        <f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400">
        <f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400">
        <f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400">
        <f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400">
        <f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400">
        <f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400">
        <f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400">
        <f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400">
        <f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400">
        <f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400">
        <f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400">
        <f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400">
        <f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400">
        <f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400">
        <f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400">
        <f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400">
        <f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400">
        <f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400">
        <f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400">
        <f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400">
        <f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400">
        <f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hidden="1" outlineLevel="1" ht="15" customFormat="1" customHeight="1" s="381">
      <c r="A49" s="408" t="inlineStr">
        <is>
          <t>BD-24</t>
        </is>
      </c>
      <c r="B49" s="400" t="n">
        <v>0</v>
      </c>
      <c r="C49" s="400" t="n">
        <v>0</v>
      </c>
      <c r="D49" s="400" t="n">
        <v>0</v>
      </c>
      <c r="E49" s="400" t="n">
        <v>0</v>
      </c>
      <c r="F49" s="400">
        <f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400">
        <f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400">
        <f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400">
        <f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400">
        <f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400">
        <f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400">
        <f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400">
        <f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400">
        <f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400">
        <f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400">
        <f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400">
        <f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400">
        <f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400">
        <f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400">
        <f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400">
        <f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400">
        <f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400">
        <f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400">
        <f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400">
        <f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400">
        <f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400">
        <f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400">
        <f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400">
        <f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400">
        <f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400">
        <f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400">
        <f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400">
        <f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400">
        <f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400">
        <f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400">
        <f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400">
        <f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400">
        <f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400">
        <f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400">
        <f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400">
        <f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400">
        <f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400">
        <f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400">
        <f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400">
        <f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400">
        <f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400">
        <f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400">
        <f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400">
        <f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400">
        <f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400">
        <f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400">
        <f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400">
        <f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400">
        <f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307461.75</v>
      </c>
      <c r="BC49" s="400">
        <f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401121.75</v>
      </c>
      <c r="BD49" s="400">
        <f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501936.75</v>
      </c>
      <c r="BE49" s="400">
        <f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605886.75</v>
      </c>
      <c r="BF49" s="400">
        <f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707976.75</v>
      </c>
      <c r="BG49" s="400">
        <f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802536.75</v>
      </c>
      <c r="BH49" s="400">
        <f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883761.75</v>
      </c>
      <c r="BI49" s="400">
        <f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946266.75</v>
      </c>
      <c r="BJ49" s="400">
        <f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985686.75</v>
      </c>
      <c r="BK49" s="400">
        <f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999156.75</v>
      </c>
      <c r="BL49" s="400">
        <f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985686.75</v>
      </c>
      <c r="BM49" s="400">
        <f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946266.75</v>
      </c>
      <c r="BN49" s="400">
        <f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883761.75</v>
      </c>
      <c r="BO49" s="400">
        <f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802536.75</v>
      </c>
      <c r="BP49" s="400">
        <f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707976.75</v>
      </c>
      <c r="BQ49" s="400">
        <f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605886.75</v>
      </c>
      <c r="BR49" s="400">
        <f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501936.75</v>
      </c>
      <c r="BS49" s="400">
        <f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401121.75</v>
      </c>
      <c r="BT49" s="400">
        <f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217168.5</v>
      </c>
      <c r="BU49" s="400">
        <f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400">
        <f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400">
        <f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400">
        <f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400">
        <f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400">
        <f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400">
        <f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400">
        <f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400">
        <f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400">
        <f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400">
        <f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400">
        <f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400">
        <f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400">
        <f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400">
        <f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400">
        <f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400">
        <f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400">
        <f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400">
        <f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400">
        <f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400">
        <f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400">
        <f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400">
        <f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400">
        <f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400">
        <f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400">
        <f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400">
        <f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400">
        <f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400">
        <f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400">
        <f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400">
        <f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400">
        <f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400">
        <f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400">
        <f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400">
        <f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400">
        <f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400">
        <f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hidden="1" outlineLevel="1" ht="15" customFormat="1" customHeight="1" s="381">
      <c r="A50" s="408" t="inlineStr">
        <is>
          <t>BD-25</t>
        </is>
      </c>
      <c r="B50" s="400" t="n">
        <v>0</v>
      </c>
      <c r="C50" s="400" t="n">
        <v>0</v>
      </c>
      <c r="D50" s="400" t="n">
        <v>0</v>
      </c>
      <c r="E50" s="400" t="n">
        <v>0</v>
      </c>
      <c r="F50" s="400">
        <f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400">
        <f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400">
        <f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400">
        <f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400">
        <f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400">
        <f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400">
        <f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400">
        <f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400">
        <f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400">
        <f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400">
        <f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400">
        <f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400">
        <f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400">
        <f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400">
        <f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400">
        <f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400">
        <f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400">
        <f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400">
        <f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400">
        <f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400">
        <f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400">
        <f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400">
        <f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400">
        <f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400">
        <f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400">
        <f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400">
        <f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400">
        <f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400">
        <f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400">
        <f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400">
        <f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400">
        <f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400">
        <f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400">
        <f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400">
        <f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400">
        <f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400">
        <f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400">
        <f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400">
        <f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400">
        <f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400">
        <f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400">
        <f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400">
        <f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400">
        <f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400">
        <f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400">
        <f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400">
        <f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400">
        <f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400">
        <f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400">
        <f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307461.75</v>
      </c>
      <c r="BD50" s="400">
        <f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401121.75</v>
      </c>
      <c r="BE50" s="400">
        <f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501936.75</v>
      </c>
      <c r="BF50" s="400">
        <f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605886.75</v>
      </c>
      <c r="BG50" s="400">
        <f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707976.75</v>
      </c>
      <c r="BH50" s="400">
        <f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802536.75</v>
      </c>
      <c r="BI50" s="400">
        <f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883761.75</v>
      </c>
      <c r="BJ50" s="400">
        <f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946266.75</v>
      </c>
      <c r="BK50" s="400">
        <f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985686.75</v>
      </c>
      <c r="BL50" s="400">
        <f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999156.75</v>
      </c>
      <c r="BM50" s="400">
        <f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985686.75</v>
      </c>
      <c r="BN50" s="400">
        <f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946266.75</v>
      </c>
      <c r="BO50" s="400">
        <f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883761.75</v>
      </c>
      <c r="BP50" s="400">
        <f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802536.75</v>
      </c>
      <c r="BQ50" s="400">
        <f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707976.75</v>
      </c>
      <c r="BR50" s="400">
        <f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605886.75</v>
      </c>
      <c r="BS50" s="400">
        <f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501936.75</v>
      </c>
      <c r="BT50" s="400">
        <f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401121.75</v>
      </c>
      <c r="BU50" s="400">
        <f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217168.5</v>
      </c>
      <c r="BV50" s="400">
        <f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400">
        <f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400">
        <f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400">
        <f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400">
        <f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400">
        <f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400">
        <f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400">
        <f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400">
        <f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400">
        <f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400">
        <f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400">
        <f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400">
        <f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400">
        <f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400">
        <f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400">
        <f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400">
        <f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400">
        <f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400">
        <f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400">
        <f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400">
        <f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400">
        <f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400">
        <f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400">
        <f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400">
        <f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400">
        <f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400">
        <f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400">
        <f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400">
        <f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400">
        <f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400">
        <f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400">
        <f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400">
        <f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400">
        <f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400">
        <f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400">
        <f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hidden="1" outlineLevel="1" ht="15" customFormat="1" customHeight="1" s="381">
      <c r="A51" s="408" t="inlineStr">
        <is>
          <t>BD-26</t>
        </is>
      </c>
      <c r="B51" s="400" t="n">
        <v>0</v>
      </c>
      <c r="C51" s="400" t="n">
        <v>0</v>
      </c>
      <c r="D51" s="400" t="n">
        <v>0</v>
      </c>
      <c r="E51" s="400" t="n">
        <v>0</v>
      </c>
      <c r="F51" s="400">
        <f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400">
        <f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400">
        <f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400">
        <f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400">
        <f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400">
        <f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400">
        <f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400">
        <f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400">
        <f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400">
        <f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400">
        <f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400">
        <f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400">
        <f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400">
        <f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400">
        <f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400">
        <f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400">
        <f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400">
        <f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400">
        <f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400">
        <f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400">
        <f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400">
        <f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400">
        <f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400">
        <f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400">
        <f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400">
        <f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400">
        <f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400">
        <f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400">
        <f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400">
        <f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400">
        <f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400">
        <f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400">
        <f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400">
        <f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400">
        <f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400">
        <f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400">
        <f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400">
        <f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400">
        <f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400">
        <f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400">
        <f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400">
        <f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400">
        <f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400">
        <f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400">
        <f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400">
        <f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400">
        <f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400">
        <f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400">
        <f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400">
        <f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400">
        <f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368954.1</v>
      </c>
      <c r="BE51" s="400">
        <f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481346.1</v>
      </c>
      <c r="BF51" s="400">
        <f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602324.1</v>
      </c>
      <c r="BG51" s="400">
        <f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727064.1</v>
      </c>
      <c r="BH51" s="400">
        <f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849572.1</v>
      </c>
      <c r="BI51" s="400">
        <f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963044.1</v>
      </c>
      <c r="BJ51" s="400">
        <f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1060514.1</v>
      </c>
      <c r="BK51" s="400">
        <f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1135520.1</v>
      </c>
      <c r="BL51" s="400">
        <f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1182824.1</v>
      </c>
      <c r="BM51" s="400">
        <f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1198988.1</v>
      </c>
      <c r="BN51" s="400">
        <f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1182824.1</v>
      </c>
      <c r="BO51" s="400">
        <f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1135520.1</v>
      </c>
      <c r="BP51" s="400">
        <f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1060514.1</v>
      </c>
      <c r="BQ51" s="400">
        <f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963044.1</v>
      </c>
      <c r="BR51" s="400">
        <f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849572.1</v>
      </c>
      <c r="BS51" s="400">
        <f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727064.1</v>
      </c>
      <c r="BT51" s="400">
        <f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602324.1</v>
      </c>
      <c r="BU51" s="400">
        <f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481346.1</v>
      </c>
      <c r="BV51" s="400">
        <f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260602.2</v>
      </c>
      <c r="BW51" s="400">
        <f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400">
        <f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400">
        <f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400">
        <f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400">
        <f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400">
        <f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400">
        <f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400">
        <f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400">
        <f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400">
        <f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400">
        <f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400">
        <f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400">
        <f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400">
        <f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400">
        <f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400">
        <f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400">
        <f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400">
        <f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400">
        <f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400">
        <f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400">
        <f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400">
        <f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400">
        <f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400">
        <f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400">
        <f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400">
        <f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400">
        <f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400">
        <f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400">
        <f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400">
        <f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400">
        <f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400">
        <f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400">
        <f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400">
        <f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400">
        <f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hidden="1" outlineLevel="1" ht="15" customFormat="1" customHeight="1" s="381">
      <c r="A52" s="408" t="inlineStr">
        <is>
          <t>BD-27</t>
        </is>
      </c>
      <c r="B52" s="400" t="n">
        <v>0</v>
      </c>
      <c r="C52" s="400" t="n">
        <v>0</v>
      </c>
      <c r="D52" s="400" t="n">
        <v>0</v>
      </c>
      <c r="E52" s="400" t="n">
        <v>0</v>
      </c>
      <c r="F52" s="400">
        <f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400">
        <f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400">
        <f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400">
        <f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400">
        <f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400">
        <f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400">
        <f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400">
        <f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400">
        <f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400">
        <f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400">
        <f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400">
        <f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400">
        <f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400">
        <f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400">
        <f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400">
        <f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400">
        <f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400">
        <f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400">
        <f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400">
        <f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400">
        <f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400">
        <f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400">
        <f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400">
        <f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400">
        <f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400">
        <f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400">
        <f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400">
        <f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400">
        <f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400">
        <f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400">
        <f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400">
        <f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400">
        <f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400">
        <f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400">
        <f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400">
        <f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400">
        <f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400">
        <f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400">
        <f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400">
        <f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400">
        <f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400">
        <f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400">
        <f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400">
        <f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400">
        <f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400">
        <f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400">
        <f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400">
        <f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400">
        <f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400">
        <f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400">
        <f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400">
        <f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307461.75</v>
      </c>
      <c r="BF52" s="400">
        <f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401121.75</v>
      </c>
      <c r="BG52" s="400">
        <f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501936.75</v>
      </c>
      <c r="BH52" s="400">
        <f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605886.75</v>
      </c>
      <c r="BI52" s="400">
        <f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707976.75</v>
      </c>
      <c r="BJ52" s="400">
        <f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802536.75</v>
      </c>
      <c r="BK52" s="400">
        <f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883761.75</v>
      </c>
      <c r="BL52" s="400">
        <f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946266.75</v>
      </c>
      <c r="BM52" s="400">
        <f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985686.75</v>
      </c>
      <c r="BN52" s="400">
        <f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999156.75</v>
      </c>
      <c r="BO52" s="400">
        <f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985686.75</v>
      </c>
      <c r="BP52" s="400">
        <f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946266.75</v>
      </c>
      <c r="BQ52" s="400">
        <f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883761.75</v>
      </c>
      <c r="BR52" s="400">
        <f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802536.75</v>
      </c>
      <c r="BS52" s="400">
        <f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707976.75</v>
      </c>
      <c r="BT52" s="400">
        <f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605886.75</v>
      </c>
      <c r="BU52" s="400">
        <f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501936.75</v>
      </c>
      <c r="BV52" s="400">
        <f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401121.75</v>
      </c>
      <c r="BW52" s="400">
        <f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217168.5</v>
      </c>
      <c r="BX52" s="400">
        <f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400">
        <f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400">
        <f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400">
        <f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400">
        <f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400">
        <f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400">
        <f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400">
        <f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400">
        <f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400">
        <f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400">
        <f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400">
        <f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400">
        <f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400">
        <f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400">
        <f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400">
        <f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400">
        <f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400">
        <f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400">
        <f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400">
        <f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400">
        <f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400">
        <f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400">
        <f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400">
        <f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400">
        <f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400">
        <f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400">
        <f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400">
        <f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400">
        <f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400">
        <f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400">
        <f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400">
        <f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400">
        <f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400">
        <f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hidden="1" outlineLevel="1" ht="15" customFormat="1" customHeight="1" s="381">
      <c r="A53" s="408" t="inlineStr">
        <is>
          <t>BD-28</t>
        </is>
      </c>
      <c r="B53" s="400" t="n">
        <v>0</v>
      </c>
      <c r="C53" s="400" t="n">
        <v>0</v>
      </c>
      <c r="D53" s="400" t="n">
        <v>0</v>
      </c>
      <c r="E53" s="400" t="n">
        <v>0</v>
      </c>
      <c r="F53" s="400">
        <f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400">
        <f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400">
        <f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400">
        <f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400">
        <f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400">
        <f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400">
        <f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400">
        <f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400">
        <f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400">
        <f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400">
        <f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400">
        <f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400">
        <f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400">
        <f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400">
        <f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400">
        <f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400">
        <f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400">
        <f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400">
        <f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400">
        <f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400">
        <f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400">
        <f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400">
        <f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400">
        <f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400">
        <f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400">
        <f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400">
        <f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400">
        <f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400">
        <f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400">
        <f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400">
        <f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400">
        <f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400">
        <f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400">
        <f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400">
        <f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400">
        <f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400">
        <f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400">
        <f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400">
        <f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400">
        <f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400">
        <f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400">
        <f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400">
        <f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400">
        <f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400">
        <f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400">
        <f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400">
        <f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400">
        <f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400">
        <f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400">
        <f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400">
        <f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400">
        <f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400">
        <f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307461.75</v>
      </c>
      <c r="BG53" s="400">
        <f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401121.75</v>
      </c>
      <c r="BH53" s="400">
        <f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501936.75</v>
      </c>
      <c r="BI53" s="400">
        <f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605886.75</v>
      </c>
      <c r="BJ53" s="400">
        <f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707976.75</v>
      </c>
      <c r="BK53" s="400">
        <f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802536.75</v>
      </c>
      <c r="BL53" s="400">
        <f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883761.75</v>
      </c>
      <c r="BM53" s="400">
        <f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946266.75</v>
      </c>
      <c r="BN53" s="400">
        <f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985686.75</v>
      </c>
      <c r="BO53" s="400">
        <f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999156.75</v>
      </c>
      <c r="BP53" s="400">
        <f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985686.75</v>
      </c>
      <c r="BQ53" s="400">
        <f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946266.75</v>
      </c>
      <c r="BR53" s="400">
        <f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883761.75</v>
      </c>
      <c r="BS53" s="400">
        <f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802536.75</v>
      </c>
      <c r="BT53" s="400">
        <f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707976.75</v>
      </c>
      <c r="BU53" s="400">
        <f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605886.75</v>
      </c>
      <c r="BV53" s="400">
        <f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501936.75</v>
      </c>
      <c r="BW53" s="400">
        <f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401121.75</v>
      </c>
      <c r="BX53" s="400">
        <f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217168.5</v>
      </c>
      <c r="BY53" s="400">
        <f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400">
        <f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400">
        <f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400">
        <f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400">
        <f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400">
        <f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400">
        <f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400">
        <f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400">
        <f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400">
        <f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400">
        <f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400">
        <f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400">
        <f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400">
        <f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400">
        <f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400">
        <f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400">
        <f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400">
        <f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400">
        <f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400">
        <f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400">
        <f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400">
        <f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400">
        <f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400">
        <f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400">
        <f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400">
        <f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400">
        <f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400">
        <f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400">
        <f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400">
        <f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400">
        <f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400">
        <f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400">
        <f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hidden="1" outlineLevel="1" ht="15" customFormat="1" customHeight="1" s="381">
      <c r="A54" s="408" t="inlineStr">
        <is>
          <t>BD-29</t>
        </is>
      </c>
      <c r="B54" s="400" t="n">
        <v>0</v>
      </c>
      <c r="C54" s="400" t="n">
        <v>0</v>
      </c>
      <c r="D54" s="400" t="n">
        <v>0</v>
      </c>
      <c r="E54" s="400" t="n">
        <v>0</v>
      </c>
      <c r="F54" s="400">
        <f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400">
        <f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400">
        <f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400">
        <f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400">
        <f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400">
        <f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400">
        <f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400">
        <f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400">
        <f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400">
        <f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400">
        <f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400">
        <f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400">
        <f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400">
        <f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400">
        <f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400">
        <f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400">
        <f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400">
        <f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400">
        <f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400">
        <f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400">
        <f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400">
        <f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400">
        <f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400">
        <f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400">
        <f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400">
        <f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400">
        <f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400">
        <f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400">
        <f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400">
        <f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400">
        <f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400">
        <f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400">
        <f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400">
        <f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400">
        <f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400">
        <f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400">
        <f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400">
        <f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400">
        <f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400">
        <f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400">
        <f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400">
        <f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400">
        <f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400">
        <f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400">
        <f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400">
        <f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400">
        <f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400">
        <f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400">
        <f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400">
        <f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400">
        <f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400">
        <f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400">
        <f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400">
        <f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368954.1</v>
      </c>
      <c r="BH54" s="400">
        <f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481346.1</v>
      </c>
      <c r="BI54" s="400">
        <f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602324.1</v>
      </c>
      <c r="BJ54" s="400">
        <f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727064.1</v>
      </c>
      <c r="BK54" s="400">
        <f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849572.1</v>
      </c>
      <c r="BL54" s="400">
        <f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963044.1</v>
      </c>
      <c r="BM54" s="400">
        <f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1060514.1</v>
      </c>
      <c r="BN54" s="400">
        <f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1135520.1</v>
      </c>
      <c r="BO54" s="400">
        <f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1182824.1</v>
      </c>
      <c r="BP54" s="400">
        <f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1198988.1</v>
      </c>
      <c r="BQ54" s="400">
        <f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1182824.1</v>
      </c>
      <c r="BR54" s="400">
        <f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1135520.1</v>
      </c>
      <c r="BS54" s="400">
        <f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1060514.1</v>
      </c>
      <c r="BT54" s="400">
        <f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963044.1</v>
      </c>
      <c r="BU54" s="400">
        <f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849572.1</v>
      </c>
      <c r="BV54" s="400">
        <f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727064.1</v>
      </c>
      <c r="BW54" s="400">
        <f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602324.1</v>
      </c>
      <c r="BX54" s="400">
        <f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481346.1</v>
      </c>
      <c r="BY54" s="400">
        <f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260602.2</v>
      </c>
      <c r="BZ54" s="400">
        <f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400">
        <f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400">
        <f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400">
        <f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400">
        <f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400">
        <f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400">
        <f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400">
        <f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400">
        <f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400">
        <f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400">
        <f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400">
        <f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400">
        <f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400">
        <f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400">
        <f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400">
        <f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400">
        <f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400">
        <f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400">
        <f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400">
        <f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400">
        <f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400">
        <f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400">
        <f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400">
        <f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400">
        <f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400">
        <f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400">
        <f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400">
        <f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400">
        <f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400">
        <f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400">
        <f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400">
        <f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hidden="1" outlineLevel="1" ht="15" customFormat="1" customHeight="1" s="381">
      <c r="A55" s="408" t="inlineStr">
        <is>
          <t>BD-30</t>
        </is>
      </c>
      <c r="B55" s="400" t="n">
        <v>0</v>
      </c>
      <c r="C55" s="400" t="n">
        <v>0</v>
      </c>
      <c r="D55" s="400" t="n">
        <v>0</v>
      </c>
      <c r="E55" s="400" t="n">
        <v>0</v>
      </c>
      <c r="F55" s="400">
        <f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400">
        <f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400">
        <f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400">
        <f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400">
        <f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400">
        <f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400">
        <f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400">
        <f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400">
        <f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400">
        <f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400">
        <f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400">
        <f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400">
        <f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400">
        <f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400">
        <f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400">
        <f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400">
        <f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400">
        <f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400">
        <f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400">
        <f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400">
        <f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400">
        <f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400">
        <f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400">
        <f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400">
        <f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400">
        <f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400">
        <f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400">
        <f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400">
        <f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400">
        <f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400">
        <f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400">
        <f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400">
        <f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400">
        <f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400">
        <f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400">
        <f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400">
        <f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400">
        <f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400">
        <f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400">
        <f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400">
        <f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400">
        <f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400">
        <f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400">
        <f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400">
        <f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400">
        <f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400">
        <f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400">
        <f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400">
        <f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400">
        <f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400">
        <f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400">
        <f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400">
        <f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400">
        <f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400">
        <f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307461.75</v>
      </c>
      <c r="BI55" s="400">
        <f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401121.75</v>
      </c>
      <c r="BJ55" s="400">
        <f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501936.75</v>
      </c>
      <c r="BK55" s="400">
        <f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605886.75</v>
      </c>
      <c r="BL55" s="400">
        <f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707976.75</v>
      </c>
      <c r="BM55" s="400">
        <f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802536.75</v>
      </c>
      <c r="BN55" s="400">
        <f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883761.75</v>
      </c>
      <c r="BO55" s="400">
        <f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946266.75</v>
      </c>
      <c r="BP55" s="400">
        <f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985686.75</v>
      </c>
      <c r="BQ55" s="400">
        <f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999156.75</v>
      </c>
      <c r="BR55" s="400">
        <f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985686.75</v>
      </c>
      <c r="BS55" s="400">
        <f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946266.75</v>
      </c>
      <c r="BT55" s="400">
        <f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883761.75</v>
      </c>
      <c r="BU55" s="400">
        <f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802536.75</v>
      </c>
      <c r="BV55" s="400">
        <f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707976.75</v>
      </c>
      <c r="BW55" s="400">
        <f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605886.75</v>
      </c>
      <c r="BX55" s="400">
        <f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501936.75</v>
      </c>
      <c r="BY55" s="400">
        <f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401121.75</v>
      </c>
      <c r="BZ55" s="400">
        <f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217168.5</v>
      </c>
      <c r="CA55" s="400">
        <f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400">
        <f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400">
        <f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400">
        <f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400">
        <f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400">
        <f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400">
        <f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400">
        <f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400">
        <f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400">
        <f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400">
        <f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400">
        <f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400">
        <f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400">
        <f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400">
        <f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400">
        <f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400">
        <f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400">
        <f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400">
        <f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400">
        <f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400">
        <f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400">
        <f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400">
        <f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400">
        <f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400">
        <f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400">
        <f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400">
        <f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400">
        <f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400">
        <f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400">
        <f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400">
        <f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hidden="1" outlineLevel="1" ht="15" customFormat="1" customHeight="1" s="381">
      <c r="A56" s="408" t="inlineStr">
        <is>
          <t>Other (non-project)</t>
        </is>
      </c>
      <c r="B56" s="400" t="n">
        <v>0</v>
      </c>
      <c r="C56" s="400" t="n">
        <v>0</v>
      </c>
      <c r="D56" s="400" t="n">
        <v>0</v>
      </c>
      <c r="E56" s="400" t="n">
        <v>0</v>
      </c>
      <c r="F56" s="400" t="n">
        <v>0</v>
      </c>
      <c r="G56" s="400" t="n">
        <v>0</v>
      </c>
      <c r="H56" s="400" t="n">
        <v>0</v>
      </c>
      <c r="I56" s="400" t="n">
        <v>0</v>
      </c>
      <c r="J56" s="400" t="n">
        <v>0</v>
      </c>
      <c r="K56" s="400" t="n">
        <v>0</v>
      </c>
      <c r="L56" s="400" t="n">
        <v>0</v>
      </c>
      <c r="M56" s="400" t="n">
        <v>0</v>
      </c>
      <c r="N56" s="400" t="n">
        <v>0</v>
      </c>
      <c r="O56" s="400" t="n">
        <v>0</v>
      </c>
      <c r="P56" s="400" t="n">
        <v>0</v>
      </c>
      <c r="Q56" s="400" t="n">
        <v>0</v>
      </c>
      <c r="R56" s="400" t="n">
        <v>0</v>
      </c>
      <c r="S56" s="400" t="n">
        <v>0</v>
      </c>
      <c r="T56" s="400" t="n">
        <v>0</v>
      </c>
      <c r="U56" s="400" t="n">
        <v>0</v>
      </c>
      <c r="V56" s="400" t="n">
        <v>0</v>
      </c>
      <c r="W56" s="400" t="n">
        <v>0</v>
      </c>
      <c r="X56" s="400" t="n">
        <v>0</v>
      </c>
      <c r="Y56" s="400" t="n">
        <v>0</v>
      </c>
      <c r="Z56" s="400" t="n">
        <v>0</v>
      </c>
      <c r="AA56" s="400" t="n">
        <v>0</v>
      </c>
      <c r="AB56" s="400" t="n">
        <v>0</v>
      </c>
      <c r="AC56" s="400" t="n">
        <v>0</v>
      </c>
      <c r="AD56" s="400" t="n">
        <v>0</v>
      </c>
      <c r="AE56" s="400" t="n">
        <v>0</v>
      </c>
      <c r="AF56" s="400" t="n">
        <v>0</v>
      </c>
      <c r="AG56" s="400" t="n">
        <v>0</v>
      </c>
      <c r="AH56" s="400" t="n">
        <v>0</v>
      </c>
      <c r="AI56" s="400" t="n">
        <v>0</v>
      </c>
      <c r="AJ56" s="400" t="n">
        <v>0</v>
      </c>
      <c r="AK56" s="400" t="n">
        <v>0</v>
      </c>
      <c r="AL56" s="400" t="n">
        <v>0</v>
      </c>
      <c r="AM56" s="400" t="n">
        <v>0</v>
      </c>
      <c r="AN56" s="400" t="n">
        <v>0</v>
      </c>
      <c r="AO56" s="400" t="n">
        <v>0</v>
      </c>
      <c r="AP56" s="400" t="n">
        <v>0</v>
      </c>
      <c r="AQ56" s="400" t="n">
        <v>0</v>
      </c>
      <c r="AR56" s="400" t="n">
        <v>0</v>
      </c>
      <c r="AS56" s="400" t="n">
        <v>0</v>
      </c>
      <c r="AT56" s="400" t="n">
        <v>0</v>
      </c>
      <c r="AU56" s="400" t="n">
        <v>0</v>
      </c>
      <c r="AV56" s="400" t="n">
        <v>0</v>
      </c>
      <c r="AW56" s="400" t="n">
        <v>0</v>
      </c>
      <c r="AX56" s="400" t="n">
        <v>0</v>
      </c>
      <c r="AY56" s="400" t="n">
        <v>0</v>
      </c>
      <c r="AZ56" s="400" t="n">
        <v>0</v>
      </c>
      <c r="BA56" s="400" t="n">
        <v>0</v>
      </c>
      <c r="BB56" s="400" t="n">
        <v>0</v>
      </c>
      <c r="BC56" s="400" t="n">
        <v>0</v>
      </c>
      <c r="BD56" s="400" t="n">
        <v>0</v>
      </c>
      <c r="BE56" s="400" t="n">
        <v>0</v>
      </c>
      <c r="BF56" s="400" t="n">
        <v>0</v>
      </c>
      <c r="BG56" s="400" t="n">
        <v>0</v>
      </c>
      <c r="BH56" s="400" t="n">
        <v>0</v>
      </c>
      <c r="BI56" s="400" t="n">
        <v>0</v>
      </c>
      <c r="BJ56" s="400" t="n">
        <v>0</v>
      </c>
      <c r="BK56" s="400" t="n">
        <v>0</v>
      </c>
      <c r="BL56" s="400" t="n">
        <v>0</v>
      </c>
      <c r="BM56" s="400" t="n">
        <v>0</v>
      </c>
      <c r="BN56" s="400" t="n">
        <v>0</v>
      </c>
      <c r="BO56" s="400" t="n">
        <v>0</v>
      </c>
      <c r="BP56" s="400" t="n">
        <v>0</v>
      </c>
      <c r="BQ56" s="400" t="n">
        <v>0</v>
      </c>
      <c r="BR56" s="400" t="n">
        <v>0</v>
      </c>
      <c r="BS56" s="400" t="n">
        <v>0</v>
      </c>
      <c r="BT56" s="400" t="n">
        <v>0</v>
      </c>
      <c r="BU56" s="400" t="n">
        <v>0</v>
      </c>
      <c r="BV56" s="400" t="n">
        <v>0</v>
      </c>
      <c r="BW56" s="400" t="n">
        <v>0</v>
      </c>
      <c r="BX56" s="400" t="n">
        <v>0</v>
      </c>
      <c r="BY56" s="400" t="n">
        <v>0</v>
      </c>
      <c r="BZ56" s="400" t="n">
        <v>0</v>
      </c>
      <c r="CA56" s="400" t="n">
        <v>0</v>
      </c>
      <c r="CB56" s="400" t="n">
        <v>0</v>
      </c>
      <c r="CC56" s="400" t="n">
        <v>0</v>
      </c>
      <c r="CD56" s="400" t="n">
        <v>0</v>
      </c>
      <c r="CE56" s="400" t="n">
        <v>0</v>
      </c>
      <c r="CF56" s="400" t="n">
        <v>0</v>
      </c>
      <c r="CG56" s="400" t="n">
        <v>0</v>
      </c>
      <c r="CH56" s="400" t="n">
        <v>0</v>
      </c>
      <c r="CI56" s="400" t="n">
        <v>0</v>
      </c>
      <c r="CJ56" s="400" t="n">
        <v>0</v>
      </c>
      <c r="CK56" s="400" t="n">
        <v>0</v>
      </c>
      <c r="CL56" s="400" t="n">
        <v>0</v>
      </c>
      <c r="CM56" s="400" t="n">
        <v>0</v>
      </c>
      <c r="CN56" s="400" t="n">
        <v>0</v>
      </c>
      <c r="CO56" s="400" t="n">
        <v>0</v>
      </c>
      <c r="CP56" s="400" t="n">
        <v>0</v>
      </c>
      <c r="CQ56" s="400" t="n">
        <v>0</v>
      </c>
      <c r="CR56" s="400" t="n">
        <v>0</v>
      </c>
      <c r="CS56" s="400" t="n">
        <v>0</v>
      </c>
      <c r="CT56" s="400" t="n">
        <v>0</v>
      </c>
      <c r="CU56" s="400" t="n">
        <v>0</v>
      </c>
      <c r="CV56" s="400" t="n">
        <v>0</v>
      </c>
      <c r="CW56" s="400" t="n">
        <v>0</v>
      </c>
      <c r="CX56" s="400" t="n">
        <v>0</v>
      </c>
      <c r="CY56" s="400" t="n">
        <v>0</v>
      </c>
      <c r="CZ56" s="400" t="n">
        <v>0</v>
      </c>
      <c r="DA56" s="400" t="n">
        <v>0</v>
      </c>
      <c r="DB56" s="400" t="n">
        <v>0</v>
      </c>
      <c r="DC56" s="400" t="n">
        <v>0</v>
      </c>
      <c r="DD56" s="400" t="n">
        <v>0</v>
      </c>
      <c r="DE56" s="400" t="n">
        <v>0</v>
      </c>
    </row>
    <row r="57" ht="15" customFormat="1" customHeight="1" s="381">
      <c r="A57" s="409" t="inlineStr">
        <is>
          <t>Total Trades and Site Cost Billing</t>
        </is>
      </c>
      <c r="B57" s="410">
        <f>SUM(B13:B56)</f>
        <v>1242053.19</v>
      </c>
      <c r="C57" s="410">
        <f>SUM(C13:C56)</f>
        <v>2710434.48</v>
      </c>
      <c r="D57" s="410">
        <f>SUM(D13:D56)</f>
        <v>2402410.43</v>
      </c>
      <c r="E57" s="410">
        <f>SUM(E13:E56)</f>
        <v>3312759.91</v>
      </c>
      <c r="F57" s="410">
        <f>SUM(F13:F56)</f>
        <v>3939278.23</v>
      </c>
      <c r="G57" s="410">
        <f>SUM(G13:G56)</f>
        <v>5584522.73</v>
      </c>
      <c r="H57" s="410">
        <f>SUM(H13:H56)</f>
        <v>4383577.44107703</v>
      </c>
      <c r="I57" s="410">
        <f>SUM(I13:I56)</f>
        <v>5309098.69845507</v>
      </c>
      <c r="J57" s="410">
        <f>SUM(J13:J56)</f>
        <v>5420081.44990167</v>
      </c>
      <c r="K57" s="410">
        <f>SUM(K13:K56)</f>
        <v>5482401.75473078</v>
      </c>
      <c r="L57" s="410">
        <f>SUM(L13:L56)</f>
        <v>5830390.18617292</v>
      </c>
      <c r="M57" s="410">
        <f>SUM(M13:M56)</f>
        <v>5381021.16566845</v>
      </c>
      <c r="N57" s="410">
        <f>SUM(N13:N56)</f>
        <v>6145790.4415153</v>
      </c>
      <c r="O57" s="410">
        <f>SUM(O13:O56)</f>
        <v>6404092.02458487</v>
      </c>
      <c r="P57" s="410">
        <f>SUM(P13:P56)</f>
        <v>6635031.6958087</v>
      </c>
      <c r="Q57" s="410">
        <f>SUM(Q13:Q56)</f>
        <v>6833476.3696034</v>
      </c>
      <c r="R57" s="410">
        <f>SUM(R13:R56)</f>
        <v>7862213.71969128</v>
      </c>
      <c r="S57" s="410">
        <f>SUM(S13:S56)</f>
        <v>8408675.48308993</v>
      </c>
      <c r="T57" s="410">
        <f>SUM(T13:T56)</f>
        <v>8597781.03567401</v>
      </c>
      <c r="U57" s="410">
        <f>SUM(U13:U56)</f>
        <v>8697785.51728996</v>
      </c>
      <c r="V57" s="410">
        <f>SUM(V13:V56)</f>
        <v>9214435.72533801</v>
      </c>
      <c r="W57" s="410">
        <f>SUM(W13:W56)</f>
        <v>9617504.71368416</v>
      </c>
      <c r="X57" s="410">
        <f>SUM(X13:X56)</f>
        <v>10378453.0999168</v>
      </c>
      <c r="Y57" s="410">
        <f>SUM(Y13:Y56)</f>
        <v>10676973.7524712</v>
      </c>
      <c r="Z57" s="410">
        <f>SUM(Z13:Z56)</f>
        <v>10836062.1466371</v>
      </c>
      <c r="AA57" s="410">
        <f>SUM(AA13:AA56)</f>
        <v>10771208.0348708</v>
      </c>
      <c r="AB57" s="410">
        <f>SUM(AB13:AB56)</f>
        <v>10891134.6973212</v>
      </c>
      <c r="AC57" s="410">
        <f>SUM(AC13:AC56)</f>
        <v>10790115.9622285</v>
      </c>
      <c r="AD57" s="410">
        <f>SUM(AD13:AD56)</f>
        <v>10554322.7945673</v>
      </c>
      <c r="AE57" s="410">
        <f>SUM(AE13:AE56)</f>
        <v>10701718.4708512</v>
      </c>
      <c r="AF57" s="410">
        <f>SUM(AF13:AF56)</f>
        <v>10134612.1009868</v>
      </c>
      <c r="AG57" s="410">
        <f>SUM(AG13:AG56)</f>
        <v>9753644.82167201</v>
      </c>
      <c r="AH57" s="410">
        <f>SUM(AH13:AH56)</f>
        <v>9854294.86036177</v>
      </c>
      <c r="AI57" s="410">
        <f>SUM(AI13:AI56)</f>
        <v>9803530.60738018</v>
      </c>
      <c r="AJ57" s="410">
        <f>SUM(AJ13:AJ56)</f>
        <v>9697357.93622615</v>
      </c>
      <c r="AK57" s="410">
        <f>SUM(AK13:AK56)</f>
        <v>9733253.661039</v>
      </c>
      <c r="AL57" s="410">
        <f>SUM(AL13:AL56)</f>
        <v>9547830.67652574</v>
      </c>
      <c r="AM57" s="410">
        <f>SUM(AM13:AM56)</f>
        <v>9685273.23623228</v>
      </c>
      <c r="AN57" s="410">
        <f>SUM(AN13:AN56)</f>
        <v>10411882.7727189</v>
      </c>
      <c r="AO57" s="410">
        <f>SUM(AO13:AO56)</f>
        <v>11135409.1180547</v>
      </c>
      <c r="AP57" s="410">
        <f>SUM(AP13:AP56)</f>
        <v>11902936.2473552</v>
      </c>
      <c r="AQ57" s="410">
        <f>SUM(AQ13:AQ56)</f>
        <v>12069943.4395813</v>
      </c>
      <c r="AR57" s="410">
        <f>SUM(AR13:AR56)</f>
        <v>12524697.7896413</v>
      </c>
      <c r="AS57" s="410">
        <f>SUM(AS13:AS56)</f>
        <v>12800322.3122453</v>
      </c>
      <c r="AT57" s="410">
        <f>SUM(AT13:AT56)</f>
        <v>12768061.0801153</v>
      </c>
      <c r="AU57" s="410">
        <f>SUM(AU13:AU56)</f>
        <v>12418700.296605</v>
      </c>
      <c r="AV57" s="410">
        <f>SUM(AV13:AV56)</f>
        <v>12664983.0565475</v>
      </c>
      <c r="AW57" s="410">
        <f>SUM(AW13:AW56)</f>
        <v>12493114.6515715</v>
      </c>
      <c r="AX57" s="410">
        <f>SUM(AX13:AX56)</f>
        <v>12124939.1956995</v>
      </c>
      <c r="AY57" s="410">
        <f>SUM(AY13:AY56)</f>
        <v>11471712.4566355</v>
      </c>
      <c r="AZ57" s="410">
        <f>SUM(AZ13:AZ56)</f>
        <v>10814646.3891395</v>
      </c>
      <c r="BA57" s="410">
        <f>SUM(BA13:BA56)</f>
        <v>10295814.4303955</v>
      </c>
      <c r="BB57" s="410">
        <f>SUM(BB13:BB56)</f>
        <v>9843691.56295545</v>
      </c>
      <c r="BC57" s="410">
        <f>SUM(BC13:BC56)</f>
        <v>9482151.13326745</v>
      </c>
      <c r="BD57" s="410">
        <f>SUM(BD13:BD56)</f>
        <v>9289860.76925145</v>
      </c>
      <c r="BE57" s="410">
        <f>SUM(BE13:BE56)</f>
        <v>9154886.62566745</v>
      </c>
      <c r="BF57" s="410">
        <f>SUM(BF13:BF56)</f>
        <v>9133670.38411545</v>
      </c>
      <c r="BG57" s="410">
        <f>SUM(BG13:BG56)</f>
        <v>9331748.68450745</v>
      </c>
      <c r="BH57" s="410">
        <f>SUM(BH13:BH56)</f>
        <v>9321493.61390785</v>
      </c>
      <c r="BI57" s="410">
        <f>SUM(BI13:BI56)</f>
        <v>9161640.15</v>
      </c>
      <c r="BJ57" s="410">
        <f>SUM(BJ13:BJ56)</f>
        <v>9351697.65</v>
      </c>
      <c r="BK57" s="410">
        <f>SUM(BK13:BK56)</f>
        <v>9599422.65</v>
      </c>
      <c r="BL57" s="410">
        <f>SUM(BL13:BL56)</f>
        <v>9671281.65</v>
      </c>
      <c r="BM57" s="410">
        <f>SUM(BM13:BM56)</f>
        <v>9450720.75</v>
      </c>
      <c r="BN57" s="410">
        <f>SUM(BN13:BN56)</f>
        <v>8905167.3</v>
      </c>
      <c r="BO57" s="410">
        <f>SUM(BO13:BO56)</f>
        <v>8391211.8</v>
      </c>
      <c r="BP57" s="410">
        <f>SUM(BP13:BP56)</f>
        <v>7916656.8</v>
      </c>
      <c r="BQ57" s="410">
        <f>SUM(BQ13:BQ56)</f>
        <v>7292362.8</v>
      </c>
      <c r="BR57" s="410">
        <f>SUM(BR13:BR56)</f>
        <v>6463415.55</v>
      </c>
      <c r="BS57" s="410">
        <f>SUM(BS13:BS56)</f>
        <v>5408019.15</v>
      </c>
      <c r="BT57" s="410">
        <f>SUM(BT13:BT56)</f>
        <v>4381283.7</v>
      </c>
      <c r="BU57" s="410">
        <f>SUM(BU13:BU56)</f>
        <v>3458446.95</v>
      </c>
      <c r="BV57" s="410">
        <f>SUM(BV13:BV56)</f>
        <v>2598701.55</v>
      </c>
      <c r="BW57" s="410">
        <f>SUM(BW13:BW56)</f>
        <v>1826501.1</v>
      </c>
      <c r="BX57" s="410">
        <f>SUM(BX13:BX56)</f>
        <v>1200451.35</v>
      </c>
      <c r="BY57" s="410">
        <f>SUM(BY13:BY56)</f>
        <v>661723.95</v>
      </c>
      <c r="BZ57" s="410">
        <f>SUM(BZ13:BZ56)</f>
        <v>217168.5</v>
      </c>
      <c r="CA57" s="410">
        <f>SUM(CA13:CA56)</f>
        <v>0</v>
      </c>
      <c r="CB57" s="410">
        <f>SUM(CB13:CB56)</f>
        <v>0</v>
      </c>
      <c r="CC57" s="410">
        <f>SUM(CC13:CC56)</f>
        <v>0</v>
      </c>
      <c r="CD57" s="410">
        <f>SUM(CD13:CD56)</f>
        <v>0</v>
      </c>
      <c r="CE57" s="410">
        <f>SUM(CE13:CE56)</f>
        <v>0</v>
      </c>
      <c r="CF57" s="410">
        <f>SUM(CF13:CF56)</f>
        <v>0</v>
      </c>
      <c r="CG57" s="410">
        <f>SUM(CG13:CG56)</f>
        <v>0</v>
      </c>
      <c r="CH57" s="410">
        <f>SUM(CH13:CH56)</f>
        <v>0</v>
      </c>
      <c r="CI57" s="410">
        <f>SUM(CI13:CI56)</f>
        <v>0</v>
      </c>
      <c r="CJ57" s="410">
        <f>SUM(CJ13:CJ56)</f>
        <v>0</v>
      </c>
      <c r="CK57" s="410">
        <f>SUM(CK13:CK56)</f>
        <v>0</v>
      </c>
      <c r="CL57" s="410">
        <f>SUM(CL13:CL56)</f>
        <v>0</v>
      </c>
      <c r="CM57" s="410">
        <f>SUM(CM13:CM56)</f>
        <v>0</v>
      </c>
      <c r="CN57" s="410">
        <f>SUM(CN13:CN56)</f>
        <v>0</v>
      </c>
      <c r="CO57" s="410">
        <f>SUM(CO13:CO56)</f>
        <v>0</v>
      </c>
      <c r="CP57" s="410">
        <f>SUM(CP13:CP56)</f>
        <v>0</v>
      </c>
      <c r="CQ57" s="410">
        <f>SUM(CQ13:CQ56)</f>
        <v>0</v>
      </c>
      <c r="CR57" s="410">
        <f>SUM(CR13:CR56)</f>
        <v>0</v>
      </c>
      <c r="CS57" s="410">
        <f>SUM(CS13:CS56)</f>
        <v>0</v>
      </c>
      <c r="CT57" s="410">
        <f>SUM(CT13:CT56)</f>
        <v>0</v>
      </c>
      <c r="CU57" s="410">
        <f>SUM(CU13:CU56)</f>
        <v>0</v>
      </c>
      <c r="CV57" s="410">
        <f>SUM(CV13:CV56)</f>
        <v>0</v>
      </c>
      <c r="CW57" s="410">
        <f>SUM(CW13:CW56)</f>
        <v>0</v>
      </c>
      <c r="CX57" s="410">
        <f>SUM(CX13:CX56)</f>
        <v>0</v>
      </c>
      <c r="CY57" s="410">
        <f>SUM(CY13:CY56)</f>
        <v>0</v>
      </c>
      <c r="CZ57" s="410">
        <f>SUM(CZ13:CZ56)</f>
        <v>0</v>
      </c>
      <c r="DA57" s="410">
        <f>SUM(DA13:DA56)</f>
        <v>0</v>
      </c>
      <c r="DB57" s="410">
        <f>SUM(DB13:DB56)</f>
        <v>0</v>
      </c>
      <c r="DC57" s="410">
        <f>SUM(DC13:DC56)</f>
        <v>0</v>
      </c>
      <c r="DD57" s="410">
        <f>SUM(DD13:DD56)</f>
        <v>0</v>
      </c>
      <c r="DE57" s="410">
        <f>SUM(DE13:DE56)</f>
        <v>0</v>
      </c>
    </row>
    <row r="58" ht="15" customFormat="1" customHeight="1" s="381">
      <c r="A58" s="409" t="inlineStr">
        <is>
          <t>Total Revenues</t>
        </is>
      </c>
      <c r="B58" s="410">
        <f>B10+B11+B57</f>
        <v>1453790.79</v>
      </c>
      <c r="C58" s="410">
        <f>C10+C11+C57</f>
        <v>3022521.59</v>
      </c>
      <c r="D58" s="410">
        <f>D10+D11+D57</f>
        <v>2672216.16</v>
      </c>
      <c r="E58" s="410">
        <f>E10+E11+E57</f>
        <v>3692357.9</v>
      </c>
      <c r="F58" s="410">
        <f>F10+F11+F57</f>
        <v>4416061.63</v>
      </c>
      <c r="G58" s="410">
        <f>G10+G11+G57</f>
        <v>6252262.98</v>
      </c>
      <c r="H58" s="410">
        <f>H10+H11+H57</f>
        <v>4933024.14408467</v>
      </c>
      <c r="I58" s="410">
        <f>I10+I11+I57</f>
        <v>6151790.74294258</v>
      </c>
      <c r="J58" s="410">
        <f>J10+J11+J57</f>
        <v>6251467.95246717</v>
      </c>
      <c r="K58" s="410">
        <f>K10+K11+K57</f>
        <v>6294085.20038219</v>
      </c>
      <c r="L58" s="410">
        <f>L10+L11+L57</f>
        <v>6715908.73573216</v>
      </c>
      <c r="M58" s="410">
        <f>M10+M11+M57</f>
        <v>6174107.50879105</v>
      </c>
      <c r="N58" s="410">
        <f>N10+N11+N57</f>
        <v>7104020.92201899</v>
      </c>
      <c r="O58" s="410">
        <f>O10+O11+O57</f>
        <v>7328187.02325353</v>
      </c>
      <c r="P58" s="410">
        <f>P10+P11+P57</f>
        <v>7522016.22777645</v>
      </c>
      <c r="Q58" s="410">
        <f>Q10+Q11+Q57</f>
        <v>7682180.97840326</v>
      </c>
      <c r="R58" s="410">
        <f>R10+R11+R57</f>
        <v>8937874.28996325</v>
      </c>
      <c r="S58" s="410">
        <f>S10+S11+S57</f>
        <v>9516510.42238917</v>
      </c>
      <c r="T58" s="410">
        <f>T10+T11+T57</f>
        <v>9710917.25731222</v>
      </c>
      <c r="U58" s="410">
        <f>U10+U11+U57</f>
        <v>9750056.05484318</v>
      </c>
      <c r="V58" s="410">
        <f>V10+V11+V57</f>
        <v>10263897.4134045</v>
      </c>
      <c r="W58" s="410">
        <f>W10+W11+W57</f>
        <v>10664356.9007544</v>
      </c>
      <c r="X58" s="410">
        <f>X10+X11+X57</f>
        <v>11533485.6710395</v>
      </c>
      <c r="Y58" s="410">
        <f>Y10+Y11+Y57</f>
        <v>11832006.3235939</v>
      </c>
      <c r="Z58" s="410">
        <f>Z10+Z11+Z57</f>
        <v>11991094.7177598</v>
      </c>
      <c r="AA58" s="410">
        <f>AA10+AA11+AA57</f>
        <v>12004457.2906153</v>
      </c>
      <c r="AB58" s="410">
        <f>AB10+AB11+AB57</f>
        <v>12076302.4838221</v>
      </c>
      <c r="AC58" s="410">
        <f>AC10+AC11+AC57</f>
        <v>11975283.7487294</v>
      </c>
      <c r="AD58" s="410">
        <f>AD10+AD11+AD57</f>
        <v>11739490.5810682</v>
      </c>
      <c r="AE58" s="410">
        <f>AE10+AE11+AE57</f>
        <v>12044545.8982207</v>
      </c>
      <c r="AF58" s="410">
        <f>AF10+AF11+AF57</f>
        <v>11671942.1489519</v>
      </c>
      <c r="AG58" s="410">
        <f>AG10+AG11+AG57</f>
        <v>11010321.5284458</v>
      </c>
      <c r="AH58" s="410">
        <f>AH10+AH11+AH57</f>
        <v>11219323.4671356</v>
      </c>
      <c r="AI58" s="410">
        <f>AI10+AI11+AI57</f>
        <v>11386848.5937217</v>
      </c>
      <c r="AJ58" s="410">
        <f>AJ10+AJ11+AJ57</f>
        <v>11233838.2918521</v>
      </c>
      <c r="AK58" s="410">
        <f>AK10+AK11+AK57</f>
        <v>11243761.7953552</v>
      </c>
      <c r="AL58" s="410">
        <f>AL10+AL11+AL57</f>
        <v>11467305.6822392</v>
      </c>
      <c r="AM58" s="410">
        <f>AM10+AM11+AM57</f>
        <v>10929350.086017</v>
      </c>
      <c r="AN58" s="410">
        <f>AN10+AN11+AN57</f>
        <v>11746252.8725036</v>
      </c>
      <c r="AO58" s="410">
        <f>AO10+AO11+AO57</f>
        <v>12560072.4678394</v>
      </c>
      <c r="AP58" s="410">
        <f>AP10+AP11+AP57</f>
        <v>13435951.4971399</v>
      </c>
      <c r="AQ58" s="410">
        <f>AQ10+AQ11+AQ57</f>
        <v>13693251.939366</v>
      </c>
      <c r="AR58" s="410">
        <f>AR10+AR11+AR57</f>
        <v>14148006.289426</v>
      </c>
      <c r="AS58" s="410">
        <f>AS10+AS11+AS57</f>
        <v>14423630.81203</v>
      </c>
      <c r="AT58" s="410">
        <f>AT10+AT11+AT57</f>
        <v>14499721.4799</v>
      </c>
      <c r="AU58" s="410">
        <f>AU10+AU11+AU57</f>
        <v>14465141.629986</v>
      </c>
      <c r="AV58" s="410">
        <f>AV10+AV11+AV57</f>
        <v>14086748.197416</v>
      </c>
      <c r="AW58" s="410">
        <f>AW10+AW11+AW57</f>
        <v>13914879.79244</v>
      </c>
      <c r="AX58" s="410">
        <f>AX10+AX11+AX57</f>
        <v>13546704.336568</v>
      </c>
      <c r="AY58" s="410">
        <f>AY10+AY11+AY57</f>
        <v>13001829.497504</v>
      </c>
      <c r="AZ58" s="410">
        <f>AZ10+AZ11+AZ57</f>
        <v>12326704.780008</v>
      </c>
      <c r="BA58" s="410">
        <f>BA10+BA11+BA57</f>
        <v>11789814.171264</v>
      </c>
      <c r="BB58" s="410">
        <f>BB10+BB11+BB57</f>
        <v>11337691.303824</v>
      </c>
      <c r="BC58" s="410">
        <f>BC10+BC11+BC57</f>
        <v>10976150.874136</v>
      </c>
      <c r="BD58" s="410">
        <f>BD10+BD11+BD57</f>
        <v>10801919.16012</v>
      </c>
      <c r="BE58" s="410">
        <f>BE10+BE11+BE57</f>
        <v>10685003.666536</v>
      </c>
      <c r="BF58" s="410">
        <f>BF10+BF11+BF57</f>
        <v>10627670.124984</v>
      </c>
      <c r="BG58" s="410">
        <f>BG10+BG11+BG57</f>
        <v>10843807.075376</v>
      </c>
      <c r="BH58" s="410">
        <f>BH10+BH11+BH57</f>
        <v>11100546.929832</v>
      </c>
      <c r="BI58" s="410">
        <f>BI10+BI11+BI57</f>
        <v>10407687</v>
      </c>
      <c r="BJ58" s="410">
        <f>BJ10+BJ11+BJ57</f>
        <v>10417158</v>
      </c>
      <c r="BK58" s="410">
        <f>BK10+BK11+BK57</f>
        <v>10664883</v>
      </c>
      <c r="BL58" s="410">
        <f>BL10+BL11+BL57</f>
        <v>10736742</v>
      </c>
      <c r="BM58" s="410">
        <f>BM10+BM11+BM57</f>
        <v>10624533</v>
      </c>
      <c r="BN58" s="410">
        <f>BN10+BN11+BN57</f>
        <v>9952569</v>
      </c>
      <c r="BO58" s="410">
        <f>BO10+BO11+BO57</f>
        <v>9258027</v>
      </c>
      <c r="BP58" s="410">
        <f>BP10+BP11+BP57</f>
        <v>8783472</v>
      </c>
      <c r="BQ58" s="410">
        <f>BQ10+BQ11+BQ57</f>
        <v>8159178</v>
      </c>
      <c r="BR58" s="410">
        <f>BR10+BR11+BR57</f>
        <v>7420524</v>
      </c>
      <c r="BS58" s="410">
        <f>BS10+BS11+BS57</f>
        <v>6292893</v>
      </c>
      <c r="BT58" s="410">
        <f>BT10+BT11+BT57</f>
        <v>5139747</v>
      </c>
      <c r="BU58" s="410">
        <f>BU10+BU11+BU57</f>
        <v>4126617</v>
      </c>
      <c r="BV58" s="410">
        <f>BV10+BV11+BV57</f>
        <v>3194637</v>
      </c>
      <c r="BW58" s="410">
        <f>BW10+BW11+BW57</f>
        <v>2296026</v>
      </c>
      <c r="BX58" s="410">
        <f>BX10+BX11+BX57</f>
        <v>1579683</v>
      </c>
      <c r="BY58" s="410">
        <f>BY10+BY11+BY57</f>
        <v>968721</v>
      </c>
      <c r="BZ58" s="410">
        <f>BZ10+BZ11+BZ57</f>
        <v>397755</v>
      </c>
      <c r="CA58" s="410">
        <f>CA10+CA11+CA57</f>
        <v>0</v>
      </c>
      <c r="CB58" s="410">
        <f>CB10+CB11+CB57</f>
        <v>0</v>
      </c>
      <c r="CC58" s="410">
        <f>CC10+CC11+CC57</f>
        <v>0</v>
      </c>
      <c r="CD58" s="410">
        <f>CD10+CD11+CD57</f>
        <v>0</v>
      </c>
      <c r="CE58" s="410">
        <f>CE10+CE11+CE57</f>
        <v>0</v>
      </c>
      <c r="CF58" s="410">
        <f>CF10+CF11+CF57</f>
        <v>0</v>
      </c>
      <c r="CG58" s="410">
        <f>CG10+CG11+CG57</f>
        <v>0</v>
      </c>
      <c r="CH58" s="410">
        <f>CH10+CH11+CH57</f>
        <v>0</v>
      </c>
      <c r="CI58" s="410">
        <f>CI10+CI11+CI57</f>
        <v>0</v>
      </c>
      <c r="CJ58" s="410">
        <f>CJ10+CJ11+CJ57</f>
        <v>0</v>
      </c>
      <c r="CK58" s="410">
        <f>CK10+CK11+CK57</f>
        <v>0</v>
      </c>
      <c r="CL58" s="410">
        <f>CL10+CL11+CL57</f>
        <v>0</v>
      </c>
      <c r="CM58" s="410">
        <f>CM10+CM11+CM57</f>
        <v>0</v>
      </c>
      <c r="CN58" s="410">
        <f>CN10+CN11+CN57</f>
        <v>0</v>
      </c>
      <c r="CO58" s="410">
        <f>CO10+CO11+CO57</f>
        <v>0</v>
      </c>
      <c r="CP58" s="410">
        <f>CP10+CP11+CP57</f>
        <v>0</v>
      </c>
      <c r="CQ58" s="410">
        <f>CQ10+CQ11+CQ57</f>
        <v>0</v>
      </c>
      <c r="CR58" s="410">
        <f>CR10+CR11+CR57</f>
        <v>0</v>
      </c>
      <c r="CS58" s="410">
        <f>CS10+CS11+CS57</f>
        <v>0</v>
      </c>
      <c r="CT58" s="410">
        <f>CT10+CT11+CT57</f>
        <v>0</v>
      </c>
      <c r="CU58" s="410">
        <f>CU10+CU11+CU57</f>
        <v>0</v>
      </c>
      <c r="CV58" s="410">
        <f>CV10+CV11+CV57</f>
        <v>0</v>
      </c>
      <c r="CW58" s="410">
        <f>CW10+CW11+CW57</f>
        <v>0</v>
      </c>
      <c r="CX58" s="410">
        <f>CX10+CX11+CX57</f>
        <v>0</v>
      </c>
      <c r="CY58" s="410">
        <f>CY10+CY11+CY57</f>
        <v>0</v>
      </c>
      <c r="CZ58" s="410">
        <f>CZ10+CZ11+CZ57</f>
        <v>0</v>
      </c>
      <c r="DA58" s="410">
        <f>DA10+DA11+DA57</f>
        <v>0</v>
      </c>
      <c r="DB58" s="410">
        <f>DB10+DB11+DB57</f>
        <v>0</v>
      </c>
      <c r="DC58" s="410">
        <f>DC10+DC11+DC57</f>
        <v>0</v>
      </c>
      <c r="DD58" s="410">
        <f>DD10+DD11+DD57</f>
        <v>0</v>
      </c>
      <c r="DE58" s="410">
        <f>DE10+DE11+DE57</f>
        <v>0</v>
      </c>
    </row>
    <row r="59" ht="15" customFormat="1" customHeight="1" s="381">
      <c r="A59" s="407" t="inlineStr">
        <is>
          <t>COGS - Trade and Site Costs</t>
        </is>
      </c>
      <c r="B59" s="400" t="n"/>
      <c r="C59" s="400" t="n"/>
      <c r="D59" s="400" t="n"/>
      <c r="E59" s="400" t="n"/>
      <c r="F59" s="400" t="n"/>
      <c r="G59" s="400" t="n"/>
      <c r="H59" s="400" t="n"/>
      <c r="I59" s="400" t="n"/>
      <c r="J59" s="400" t="n"/>
      <c r="K59" s="400" t="n"/>
      <c r="L59" s="400" t="n"/>
      <c r="M59" s="400" t="n"/>
      <c r="N59" s="400" t="n"/>
      <c r="O59" s="400" t="n"/>
      <c r="P59" s="400" t="n"/>
      <c r="Q59" s="400" t="n"/>
      <c r="R59" s="400" t="n"/>
      <c r="S59" s="400" t="n"/>
      <c r="T59" s="400" t="n"/>
      <c r="U59" s="400" t="n"/>
      <c r="V59" s="400" t="n"/>
      <c r="W59" s="400" t="n"/>
      <c r="X59" s="400" t="n"/>
      <c r="Y59" s="400" t="n"/>
      <c r="Z59" s="400" t="n"/>
      <c r="AA59" s="400" t="n"/>
      <c r="AB59" s="400" t="n"/>
      <c r="AC59" s="400" t="n"/>
      <c r="AD59" s="400" t="n"/>
      <c r="AE59" s="400" t="n"/>
      <c r="AF59" s="400" t="n"/>
      <c r="AG59" s="400" t="n"/>
      <c r="AH59" s="400" t="n"/>
      <c r="AI59" s="400" t="n"/>
      <c r="AJ59" s="400" t="n"/>
      <c r="AK59" s="400" t="n"/>
      <c r="AL59" s="400" t="n"/>
      <c r="AM59" s="400" t="n"/>
      <c r="AN59" s="400" t="n"/>
      <c r="AO59" s="400" t="n"/>
      <c r="AP59" s="400" t="n"/>
      <c r="AQ59" s="400" t="n"/>
      <c r="AR59" s="400" t="n"/>
      <c r="AS59" s="400" t="n"/>
      <c r="AT59" s="400" t="n"/>
      <c r="AU59" s="400" t="n"/>
      <c r="AV59" s="400" t="n"/>
      <c r="AW59" s="400" t="n"/>
      <c r="AX59" s="400" t="n"/>
      <c r="AY59" s="400" t="n"/>
      <c r="AZ59" s="400" t="n"/>
      <c r="BA59" s="400" t="n"/>
      <c r="BB59" s="400" t="n"/>
      <c r="BC59" s="400" t="n"/>
      <c r="BD59" s="400" t="n"/>
      <c r="BE59" s="400" t="n"/>
      <c r="BF59" s="400" t="n"/>
      <c r="BG59" s="400" t="n"/>
      <c r="BH59" s="400" t="n"/>
      <c r="BI59" s="400" t="n"/>
      <c r="BJ59" s="400" t="n"/>
      <c r="BK59" s="400" t="n"/>
      <c r="BL59" s="400" t="n"/>
      <c r="BM59" s="400" t="n"/>
      <c r="BN59" s="400" t="n"/>
      <c r="BO59" s="400" t="n"/>
      <c r="BP59" s="400" t="n"/>
      <c r="BQ59" s="400" t="n"/>
      <c r="BR59" s="400" t="n"/>
      <c r="BS59" s="400" t="n"/>
      <c r="BT59" s="400" t="n"/>
      <c r="BU59" s="400" t="n"/>
      <c r="BV59" s="400" t="n"/>
      <c r="BW59" s="400" t="n"/>
      <c r="BX59" s="400" t="n"/>
      <c r="BY59" s="400" t="n"/>
      <c r="BZ59" s="400" t="n"/>
      <c r="CA59" s="400" t="n"/>
      <c r="CB59" s="400" t="n"/>
      <c r="CC59" s="400" t="n"/>
      <c r="CD59" s="400" t="n"/>
      <c r="CE59" s="400" t="n"/>
      <c r="CF59" s="400" t="n"/>
      <c r="CG59" s="400" t="n"/>
      <c r="CH59" s="400" t="n"/>
      <c r="CI59" s="400" t="n"/>
      <c r="CJ59" s="400" t="n"/>
      <c r="CK59" s="400" t="n"/>
      <c r="CL59" s="400" t="n"/>
      <c r="CM59" s="400" t="n"/>
      <c r="CN59" s="400" t="n"/>
      <c r="CO59" s="400" t="n"/>
      <c r="CP59" s="400" t="n"/>
      <c r="CQ59" s="400" t="n"/>
      <c r="CR59" s="400" t="n"/>
      <c r="CS59" s="400" t="n"/>
      <c r="CT59" s="400" t="n"/>
      <c r="CU59" s="400" t="n"/>
      <c r="CV59" s="400" t="n"/>
      <c r="CW59" s="400" t="n"/>
      <c r="CX59" s="400" t="n"/>
      <c r="CY59" s="400" t="n"/>
      <c r="CZ59" s="400" t="n"/>
      <c r="DA59" s="400" t="n"/>
      <c r="DB59" s="400" t="n"/>
      <c r="DC59" s="400" t="n"/>
      <c r="DD59" s="400" t="n"/>
      <c r="DE59" s="400" t="n"/>
    </row>
    <row r="60" hidden="1" outlineLevel="1" ht="15" customFormat="1" customHeight="1" s="381">
      <c r="A60" s="408" t="inlineStr">
        <is>
          <t>Crenshaw</t>
        </is>
      </c>
      <c r="B60" s="400" t="n">
        <v>-392121.92</v>
      </c>
      <c r="C60" s="400" t="n">
        <v>-637382.47</v>
      </c>
      <c r="D60" s="400" t="n">
        <v>-648049.66</v>
      </c>
      <c r="E60" s="400" t="n">
        <v>-703827.85</v>
      </c>
      <c r="F60" s="400" t="n">
        <v>-721750.22</v>
      </c>
      <c r="G60" s="400" t="n">
        <v>-887674.09</v>
      </c>
      <c r="H60" s="400">
        <f>-4180193.67*Curves!E$6/SUM(Curves!$E$6:$I$6)</f>
        <v>-1083374.16239895</v>
      </c>
      <c r="I60" s="400">
        <f>-4180193.67*Curves!F$6/SUM(Curves!$E$6:$I$6)</f>
        <v>-956244.862246331</v>
      </c>
      <c r="J60" s="400">
        <f>-4180193.67*Curves!G$6/SUM(Curves!$E$6:$I$6)</f>
        <v>-830926.687233755</v>
      </c>
      <c r="K60" s="400">
        <f>-4180193.67*Curves!H$6/SUM(Curves!$E$6:$I$6)</f>
        <v>-710895.829162263</v>
      </c>
      <c r="L60" s="400">
        <f>-4180193.67*Curves!I$6/SUM(Curves!$E$6:$I$6)</f>
        <v>-598752.128958699</v>
      </c>
      <c r="M60" s="400">
        <f>-M13</f>
        <v>0</v>
      </c>
      <c r="N60" s="400">
        <f>-N13</f>
        <v>0</v>
      </c>
      <c r="O60" s="400">
        <f>-O13</f>
        <v>0</v>
      </c>
      <c r="P60" s="400">
        <f>-P13</f>
        <v>0</v>
      </c>
      <c r="Q60" s="400">
        <f>-Q13</f>
        <v>0</v>
      </c>
      <c r="R60" s="400">
        <f>-R13</f>
        <v>0</v>
      </c>
      <c r="S60" s="400">
        <f>-S13</f>
        <v>0</v>
      </c>
      <c r="T60" s="400">
        <f>-T13</f>
        <v>0</v>
      </c>
      <c r="U60" s="400">
        <f>-U13</f>
        <v>0</v>
      </c>
      <c r="V60" s="400">
        <f>-V13</f>
        <v>0</v>
      </c>
      <c r="W60" s="400">
        <f>-W13</f>
        <v>0</v>
      </c>
      <c r="X60" s="400">
        <f>-X13</f>
        <v>0</v>
      </c>
      <c r="Y60" s="400">
        <f>-Y13</f>
        <v>0</v>
      </c>
      <c r="Z60" s="400">
        <f>-Z13</f>
        <v>0</v>
      </c>
      <c r="AA60" s="400">
        <f>-AA13</f>
        <v>0</v>
      </c>
      <c r="AB60" s="400">
        <f>-AB13</f>
        <v>0</v>
      </c>
      <c r="AC60" s="400">
        <f>-AC13</f>
        <v>0</v>
      </c>
      <c r="AD60" s="400">
        <f>-AD13</f>
        <v>0</v>
      </c>
      <c r="AE60" s="400">
        <f>-AE13</f>
        <v>0</v>
      </c>
      <c r="AF60" s="400">
        <f>-AF13</f>
        <v>0</v>
      </c>
      <c r="AG60" s="400">
        <f>-AG13</f>
        <v>0</v>
      </c>
      <c r="AH60" s="400">
        <f>-AH13</f>
        <v>0</v>
      </c>
      <c r="AI60" s="400">
        <f>-AI13</f>
        <v>0</v>
      </c>
      <c r="AJ60" s="400">
        <f>-AJ13</f>
        <v>0</v>
      </c>
      <c r="AK60" s="400">
        <f>-AK13</f>
        <v>0</v>
      </c>
      <c r="AL60" s="400">
        <f>-AL13</f>
        <v>0</v>
      </c>
      <c r="AM60" s="400">
        <f>-AM13</f>
        <v>0</v>
      </c>
      <c r="AN60" s="400">
        <f>-AN13</f>
        <v>0</v>
      </c>
      <c r="AO60" s="400">
        <f>-AO13</f>
        <v>0</v>
      </c>
      <c r="AP60" s="400">
        <f>-AP13</f>
        <v>0</v>
      </c>
      <c r="AQ60" s="400">
        <f>-AQ13</f>
        <v>0</v>
      </c>
      <c r="AR60" s="400">
        <f>-AR13</f>
        <v>0</v>
      </c>
      <c r="AS60" s="400">
        <f>-AS13</f>
        <v>0</v>
      </c>
      <c r="AT60" s="400">
        <f>-AT13</f>
        <v>0</v>
      </c>
      <c r="AU60" s="400">
        <f>-AU13</f>
        <v>0</v>
      </c>
      <c r="AV60" s="400">
        <f>-AV13</f>
        <v>0</v>
      </c>
      <c r="AW60" s="400">
        <f>-AW13</f>
        <v>0</v>
      </c>
      <c r="AX60" s="400">
        <f>-AX13</f>
        <v>0</v>
      </c>
      <c r="AY60" s="400">
        <f>-AY13</f>
        <v>0</v>
      </c>
      <c r="AZ60" s="400">
        <f>-AZ13</f>
        <v>0</v>
      </c>
      <c r="BA60" s="400">
        <f>-BA13</f>
        <v>0</v>
      </c>
      <c r="BB60" s="400">
        <f>-BB13</f>
        <v>0</v>
      </c>
      <c r="BC60" s="400">
        <f>-BC13</f>
        <v>0</v>
      </c>
      <c r="BD60" s="400">
        <f>-BD13</f>
        <v>0</v>
      </c>
      <c r="BE60" s="400">
        <f>-BE13</f>
        <v>0</v>
      </c>
      <c r="BF60" s="400">
        <f>-BF13</f>
        <v>0</v>
      </c>
      <c r="BG60" s="400">
        <f>-BG13</f>
        <v>0</v>
      </c>
      <c r="BH60" s="400">
        <f>-BH13</f>
        <v>0</v>
      </c>
      <c r="BI60" s="400">
        <f>-BI13</f>
        <v>0</v>
      </c>
      <c r="BJ60" s="400">
        <f>-BJ13</f>
        <v>0</v>
      </c>
      <c r="BK60" s="400">
        <f>-BK13</f>
        <v>0</v>
      </c>
      <c r="BL60" s="400">
        <f>-BL13</f>
        <v>0</v>
      </c>
      <c r="BM60" s="400">
        <f>-BM13</f>
        <v>0</v>
      </c>
      <c r="BN60" s="400">
        <f>-BN13</f>
        <v>0</v>
      </c>
      <c r="BO60" s="400">
        <f>-BO13</f>
        <v>0</v>
      </c>
      <c r="BP60" s="400">
        <f>-BP13</f>
        <v>0</v>
      </c>
      <c r="BQ60" s="400">
        <f>-BQ13</f>
        <v>0</v>
      </c>
      <c r="BR60" s="400">
        <f>-BR13</f>
        <v>0</v>
      </c>
      <c r="BS60" s="400">
        <f>-BS13</f>
        <v>0</v>
      </c>
      <c r="BT60" s="400">
        <f>-BT13</f>
        <v>0</v>
      </c>
      <c r="BU60" s="400">
        <f>-BU13</f>
        <v>0</v>
      </c>
      <c r="BV60" s="400">
        <f>-BV13</f>
        <v>0</v>
      </c>
      <c r="BW60" s="400">
        <f>-BW13</f>
        <v>0</v>
      </c>
      <c r="BX60" s="400">
        <f>-BX13</f>
        <v>0</v>
      </c>
      <c r="BY60" s="400">
        <f>-BY13</f>
        <v>0</v>
      </c>
      <c r="BZ60" s="400">
        <f>-BZ13</f>
        <v>0</v>
      </c>
      <c r="CA60" s="400">
        <f>-CA13</f>
        <v>0</v>
      </c>
      <c r="CB60" s="400">
        <f>-CB13</f>
        <v>0</v>
      </c>
      <c r="CC60" s="400">
        <f>-CC13</f>
        <v>0</v>
      </c>
      <c r="CD60" s="400">
        <f>-CD13</f>
        <v>0</v>
      </c>
      <c r="CE60" s="400">
        <f>-CE13</f>
        <v>0</v>
      </c>
      <c r="CF60" s="400">
        <f>-CF13</f>
        <v>0</v>
      </c>
      <c r="CG60" s="400">
        <f>-CG13</f>
        <v>0</v>
      </c>
      <c r="CH60" s="400">
        <f>-CH13</f>
        <v>0</v>
      </c>
      <c r="CI60" s="400">
        <f>-CI13</f>
        <v>0</v>
      </c>
      <c r="CJ60" s="400">
        <f>-CJ13</f>
        <v>0</v>
      </c>
      <c r="CK60" s="400">
        <f>-CK13</f>
        <v>0</v>
      </c>
      <c r="CL60" s="400">
        <f>-CL13</f>
        <v>0</v>
      </c>
      <c r="CM60" s="400">
        <f>-CM13</f>
        <v>0</v>
      </c>
      <c r="CN60" s="400">
        <f>-CN13</f>
        <v>0</v>
      </c>
      <c r="CO60" s="400">
        <f>-CO13</f>
        <v>0</v>
      </c>
      <c r="CP60" s="400">
        <f>-CP13</f>
        <v>0</v>
      </c>
      <c r="CQ60" s="400">
        <f>-CQ13</f>
        <v>0</v>
      </c>
      <c r="CR60" s="400">
        <f>-CR13</f>
        <v>0</v>
      </c>
      <c r="CS60" s="400">
        <f>-CS13</f>
        <v>0</v>
      </c>
      <c r="CT60" s="400">
        <f>-CT13</f>
        <v>0</v>
      </c>
      <c r="CU60" s="400">
        <f>-CU13</f>
        <v>0</v>
      </c>
      <c r="CV60" s="400">
        <f>-CV13</f>
        <v>0</v>
      </c>
      <c r="CW60" s="400">
        <f>-CW13</f>
        <v>0</v>
      </c>
      <c r="CX60" s="400">
        <f>-CX13</f>
        <v>0</v>
      </c>
      <c r="CY60" s="400">
        <f>-CY13</f>
        <v>0</v>
      </c>
      <c r="CZ60" s="400">
        <f>-CZ13</f>
        <v>0</v>
      </c>
      <c r="DA60" s="400">
        <f>-DA13</f>
        <v>0</v>
      </c>
      <c r="DB60" s="400">
        <f>-DB13</f>
        <v>0</v>
      </c>
      <c r="DC60" s="400">
        <f>-DC13</f>
        <v>0</v>
      </c>
      <c r="DD60" s="400">
        <f>-DD13</f>
        <v>0</v>
      </c>
      <c r="DE60" s="400">
        <f>-DE13</f>
        <v>0</v>
      </c>
    </row>
    <row r="61" hidden="1" outlineLevel="1" ht="15" customFormat="1" customHeight="1" s="381">
      <c r="A61" s="408" t="inlineStr">
        <is>
          <t>Ramsgate</t>
        </is>
      </c>
      <c r="B61" s="400" t="n">
        <v>-595869.4</v>
      </c>
      <c r="C61" s="400" t="n">
        <v>-1621243.4</v>
      </c>
      <c r="D61" s="400" t="n">
        <v>-632087.3</v>
      </c>
      <c r="E61" s="400" t="n">
        <v>-1167810.54</v>
      </c>
      <c r="F61" s="400" t="n">
        <v>-1117245.99</v>
      </c>
      <c r="G61" s="400" t="n">
        <v>-1865720.31</v>
      </c>
      <c r="H61" s="400">
        <f>-14081976.11*Curves!E$7/SUM(Curves!$E$7:$Q$7)</f>
        <v>-1450339.27779959</v>
      </c>
      <c r="I61" s="400">
        <f>-14081976.11*Curves!F$7/SUM(Curves!$E$7:$Q$7)</f>
        <v>-1450339.27779959</v>
      </c>
      <c r="J61" s="400">
        <f>-14081976.11*Curves!G$7/SUM(Curves!$E$7:$Q$7)</f>
        <v>-1427880.22751193</v>
      </c>
      <c r="K61" s="400">
        <f>-14081976.11*Curves!H$7/SUM(Curves!$E$7:$Q$7)</f>
        <v>-1383997.92115687</v>
      </c>
      <c r="L61" s="400">
        <f>-14081976.11*Curves!I$7/SUM(Curves!$E$7:$Q$7)</f>
        <v>-1320713.42062755</v>
      </c>
      <c r="M61" s="400">
        <f>-14081976.11*Curves!J$7/SUM(Curves!$E$7:$Q$7)</f>
        <v>-1240780.42275338</v>
      </c>
      <c r="N61" s="400">
        <f>-14081976.11*Curves!K$7/SUM(Curves!$E$7:$Q$7)</f>
        <v>-1147659.9960264</v>
      </c>
      <c r="O61" s="400">
        <f>-14081976.11*Curves!L$7/SUM(Curves!$E$7:$Q$7)</f>
        <v>-1045091.10494893</v>
      </c>
      <c r="P61" s="400">
        <f>-14081976.11*Curves!M$7/SUM(Curves!$E$7:$Q$7)</f>
        <v>-936939.030391634</v>
      </c>
      <c r="Q61" s="400">
        <f>-14081976.11*Curves!N$7/SUM(Curves!$E$7:$Q$7)</f>
        <v>-826993.263404161</v>
      </c>
      <c r="R61" s="400">
        <f>-14081976.11*Curves!O$7/SUM(Curves!$E$7:$Q$7)</f>
        <v>-718613.819383882</v>
      </c>
      <c r="S61" s="400">
        <f>-14081976.11*Curves!P$7/SUM(Curves!$E$7:$Q$7)</f>
        <v>-614807.027896859</v>
      </c>
      <c r="T61" s="400">
        <f>-14081976.11*Curves!Q$7/SUM(Curves!$E$7:$Q$7)</f>
        <v>-517821.320299224</v>
      </c>
      <c r="U61" s="400">
        <f>-U14</f>
        <v>0</v>
      </c>
      <c r="V61" s="400">
        <f>-V14</f>
        <v>0</v>
      </c>
      <c r="W61" s="400">
        <f>-W14</f>
        <v>0</v>
      </c>
      <c r="X61" s="400">
        <f>-X14</f>
        <v>0</v>
      </c>
      <c r="Y61" s="400">
        <f>-Y14</f>
        <v>0</v>
      </c>
      <c r="Z61" s="400">
        <f>-Z14</f>
        <v>0</v>
      </c>
      <c r="AA61" s="400">
        <f>-AA14</f>
        <v>0</v>
      </c>
      <c r="AB61" s="400">
        <f>-AB14</f>
        <v>0</v>
      </c>
      <c r="AC61" s="400">
        <f>-AC14</f>
        <v>0</v>
      </c>
      <c r="AD61" s="400">
        <f>-AD14</f>
        <v>0</v>
      </c>
      <c r="AE61" s="400">
        <f>-AE14</f>
        <v>0</v>
      </c>
      <c r="AF61" s="400">
        <f>-AF14</f>
        <v>0</v>
      </c>
      <c r="AG61" s="400">
        <f>-AG14</f>
        <v>0</v>
      </c>
      <c r="AH61" s="400">
        <f>-AH14</f>
        <v>0</v>
      </c>
      <c r="AI61" s="400">
        <f>-AI14</f>
        <v>0</v>
      </c>
      <c r="AJ61" s="400">
        <f>-AJ14</f>
        <v>0</v>
      </c>
      <c r="AK61" s="400">
        <f>-AK14</f>
        <v>0</v>
      </c>
      <c r="AL61" s="400">
        <f>-AL14</f>
        <v>0</v>
      </c>
      <c r="AM61" s="400">
        <f>-AM14</f>
        <v>0</v>
      </c>
      <c r="AN61" s="400">
        <f>-AN14</f>
        <v>0</v>
      </c>
      <c r="AO61" s="400">
        <f>-AO14</f>
        <v>0</v>
      </c>
      <c r="AP61" s="400">
        <f>-AP14</f>
        <v>0</v>
      </c>
      <c r="AQ61" s="400">
        <f>-AQ14</f>
        <v>0</v>
      </c>
      <c r="AR61" s="400">
        <f>-AR14</f>
        <v>0</v>
      </c>
      <c r="AS61" s="400">
        <f>-AS14</f>
        <v>0</v>
      </c>
      <c r="AT61" s="400">
        <f>-AT14</f>
        <v>0</v>
      </c>
      <c r="AU61" s="400">
        <f>-AU14</f>
        <v>0</v>
      </c>
      <c r="AV61" s="400">
        <f>-AV14</f>
        <v>0</v>
      </c>
      <c r="AW61" s="400">
        <f>-AW14</f>
        <v>0</v>
      </c>
      <c r="AX61" s="400">
        <f>-AX14</f>
        <v>0</v>
      </c>
      <c r="AY61" s="400">
        <f>-AY14</f>
        <v>0</v>
      </c>
      <c r="AZ61" s="400">
        <f>-AZ14</f>
        <v>0</v>
      </c>
      <c r="BA61" s="400">
        <f>-BA14</f>
        <v>0</v>
      </c>
      <c r="BB61" s="400">
        <f>-BB14</f>
        <v>0</v>
      </c>
      <c r="BC61" s="400">
        <f>-BC14</f>
        <v>0</v>
      </c>
      <c r="BD61" s="400">
        <f>-BD14</f>
        <v>0</v>
      </c>
      <c r="BE61" s="400">
        <f>-BE14</f>
        <v>0</v>
      </c>
      <c r="BF61" s="400">
        <f>-BF14</f>
        <v>0</v>
      </c>
      <c r="BG61" s="400">
        <f>-BG14</f>
        <v>0</v>
      </c>
      <c r="BH61" s="400">
        <f>-BH14</f>
        <v>0</v>
      </c>
      <c r="BI61" s="400">
        <f>-BI14</f>
        <v>0</v>
      </c>
      <c r="BJ61" s="400">
        <f>-BJ14</f>
        <v>0</v>
      </c>
      <c r="BK61" s="400">
        <f>-BK14</f>
        <v>0</v>
      </c>
      <c r="BL61" s="400">
        <f>-BL14</f>
        <v>0</v>
      </c>
      <c r="BM61" s="400">
        <f>-BM14</f>
        <v>0</v>
      </c>
      <c r="BN61" s="400">
        <f>-BN14</f>
        <v>0</v>
      </c>
      <c r="BO61" s="400">
        <f>-BO14</f>
        <v>0</v>
      </c>
      <c r="BP61" s="400">
        <f>-BP14</f>
        <v>0</v>
      </c>
      <c r="BQ61" s="400">
        <f>-BQ14</f>
        <v>0</v>
      </c>
      <c r="BR61" s="400">
        <f>-BR14</f>
        <v>0</v>
      </c>
      <c r="BS61" s="400">
        <f>-BS14</f>
        <v>0</v>
      </c>
      <c r="BT61" s="400">
        <f>-BT14</f>
        <v>0</v>
      </c>
      <c r="BU61" s="400">
        <f>-BU14</f>
        <v>0</v>
      </c>
      <c r="BV61" s="400">
        <f>-BV14</f>
        <v>0</v>
      </c>
      <c r="BW61" s="400">
        <f>-BW14</f>
        <v>0</v>
      </c>
      <c r="BX61" s="400">
        <f>-BX14</f>
        <v>0</v>
      </c>
      <c r="BY61" s="400">
        <f>-BY14</f>
        <v>0</v>
      </c>
      <c r="BZ61" s="400">
        <f>-BZ14</f>
        <v>0</v>
      </c>
      <c r="CA61" s="400">
        <f>-CA14</f>
        <v>0</v>
      </c>
      <c r="CB61" s="400">
        <f>-CB14</f>
        <v>0</v>
      </c>
      <c r="CC61" s="400">
        <f>-CC14</f>
        <v>0</v>
      </c>
      <c r="CD61" s="400">
        <f>-CD14</f>
        <v>0</v>
      </c>
      <c r="CE61" s="400">
        <f>-CE14</f>
        <v>0</v>
      </c>
      <c r="CF61" s="400">
        <f>-CF14</f>
        <v>0</v>
      </c>
      <c r="CG61" s="400">
        <f>-CG14</f>
        <v>0</v>
      </c>
      <c r="CH61" s="400">
        <f>-CH14</f>
        <v>0</v>
      </c>
      <c r="CI61" s="400">
        <f>-CI14</f>
        <v>0</v>
      </c>
      <c r="CJ61" s="400">
        <f>-CJ14</f>
        <v>0</v>
      </c>
      <c r="CK61" s="400">
        <f>-CK14</f>
        <v>0</v>
      </c>
      <c r="CL61" s="400">
        <f>-CL14</f>
        <v>0</v>
      </c>
      <c r="CM61" s="400">
        <f>-CM14</f>
        <v>0</v>
      </c>
      <c r="CN61" s="400">
        <f>-CN14</f>
        <v>0</v>
      </c>
      <c r="CO61" s="400">
        <f>-CO14</f>
        <v>0</v>
      </c>
      <c r="CP61" s="400">
        <f>-CP14</f>
        <v>0</v>
      </c>
      <c r="CQ61" s="400">
        <f>-CQ14</f>
        <v>0</v>
      </c>
      <c r="CR61" s="400">
        <f>-CR14</f>
        <v>0</v>
      </c>
      <c r="CS61" s="400">
        <f>-CS14</f>
        <v>0</v>
      </c>
      <c r="CT61" s="400">
        <f>-CT14</f>
        <v>0</v>
      </c>
      <c r="CU61" s="400">
        <f>-CU14</f>
        <v>0</v>
      </c>
      <c r="CV61" s="400">
        <f>-CV14</f>
        <v>0</v>
      </c>
      <c r="CW61" s="400">
        <f>-CW14</f>
        <v>0</v>
      </c>
      <c r="CX61" s="400">
        <f>-CX14</f>
        <v>0</v>
      </c>
      <c r="CY61" s="400">
        <f>-CY14</f>
        <v>0</v>
      </c>
      <c r="CZ61" s="400">
        <f>-CZ14</f>
        <v>0</v>
      </c>
      <c r="DA61" s="400">
        <f>-DA14</f>
        <v>0</v>
      </c>
      <c r="DB61" s="400">
        <f>-DB14</f>
        <v>0</v>
      </c>
      <c r="DC61" s="400">
        <f>-DC14</f>
        <v>0</v>
      </c>
      <c r="DD61" s="400">
        <f>-DD14</f>
        <v>0</v>
      </c>
      <c r="DE61" s="400">
        <f>-DE14</f>
        <v>0</v>
      </c>
    </row>
    <row r="62" hidden="1" outlineLevel="1" ht="15" customFormat="1" customHeight="1" s="381">
      <c r="A62" s="408" t="inlineStr">
        <is>
          <t>Califa</t>
        </is>
      </c>
      <c r="B62" s="400" t="n">
        <v>-145589.08</v>
      </c>
      <c r="C62" s="400" t="n">
        <v>-548956.42</v>
      </c>
      <c r="D62" s="400" t="n">
        <v>-286493.58</v>
      </c>
      <c r="E62" s="400" t="n">
        <v>-571051.7</v>
      </c>
      <c r="F62" s="400" t="n">
        <v>-1099379.66</v>
      </c>
      <c r="G62" s="400" t="n">
        <v>-1322858.63</v>
      </c>
      <c r="H62" s="400">
        <f>-7578597.87*Curves!E$8/SUM(Curves!$E$8:$P$8)</f>
        <v>-773404.199666662</v>
      </c>
      <c r="I62" s="400">
        <f>-7578597.87*Curves!F$8/SUM(Curves!$E$8:$P$8)</f>
        <v>-802816.480239769</v>
      </c>
      <c r="J62" s="400">
        <f>-7578597.87*Curves!G$8/SUM(Curves!$E$8:$P$8)</f>
        <v>-812866.795291006</v>
      </c>
      <c r="K62" s="400">
        <f>-7578597.87*Curves!H$8/SUM(Curves!$E$8:$P$8)</f>
        <v>-802816.480239769</v>
      </c>
      <c r="L62" s="400">
        <f>-7578597.87*Curves!I$8/SUM(Curves!$E$8:$P$8)</f>
        <v>-773404.199666662</v>
      </c>
      <c r="M62" s="400">
        <f>-7578597.87*Curves!J$8/SUM(Curves!$E$8:$P$8)</f>
        <v>-726767.6041004</v>
      </c>
      <c r="N62" s="400">
        <f>-7578597.87*Curves!K$8/SUM(Curves!$E$8:$P$8)</f>
        <v>-666163.532828188</v>
      </c>
      <c r="O62" s="400">
        <f>-7578597.87*Curves!L$8/SUM(Curves!$E$8:$P$8)</f>
        <v>-595609.873493002</v>
      </c>
      <c r="P62" s="400">
        <f>-7578597.87*Curves!M$8/SUM(Curves!$E$8:$P$8)</f>
        <v>-519437.886590199</v>
      </c>
      <c r="Q62" s="400">
        <f>-7578597.87*Curves!N$8/SUM(Curves!$E$8:$P$8)</f>
        <v>-441878.105626869</v>
      </c>
      <c r="R62" s="400">
        <f>-7578597.87*Curves!O$8/SUM(Curves!$E$8:$P$8)</f>
        <v>-366657.429168782</v>
      </c>
      <c r="S62" s="400">
        <f>-7578597.87*Curves!P$8/SUM(Curves!$E$8:$P$8)</f>
        <v>-296775.283088691</v>
      </c>
      <c r="T62" s="400">
        <f>-T15</f>
        <v>0</v>
      </c>
      <c r="U62" s="400">
        <f>-U15</f>
        <v>0</v>
      </c>
      <c r="V62" s="400">
        <f>-V15</f>
        <v>0</v>
      </c>
      <c r="W62" s="400">
        <f>-W15</f>
        <v>0</v>
      </c>
      <c r="X62" s="400">
        <f>-X15</f>
        <v>0</v>
      </c>
      <c r="Y62" s="400">
        <f>-Y15</f>
        <v>0</v>
      </c>
      <c r="Z62" s="400">
        <f>-Z15</f>
        <v>0</v>
      </c>
      <c r="AA62" s="400">
        <f>-AA15</f>
        <v>0</v>
      </c>
      <c r="AB62" s="400">
        <f>-AB15</f>
        <v>0</v>
      </c>
      <c r="AC62" s="400">
        <f>-AC15</f>
        <v>0</v>
      </c>
      <c r="AD62" s="400">
        <f>-AD15</f>
        <v>0</v>
      </c>
      <c r="AE62" s="400">
        <f>-AE15</f>
        <v>0</v>
      </c>
      <c r="AF62" s="400">
        <f>-AF15</f>
        <v>0</v>
      </c>
      <c r="AG62" s="400">
        <f>-AG15</f>
        <v>0</v>
      </c>
      <c r="AH62" s="400">
        <f>-AH15</f>
        <v>0</v>
      </c>
      <c r="AI62" s="400">
        <f>-AI15</f>
        <v>0</v>
      </c>
      <c r="AJ62" s="400">
        <f>-AJ15</f>
        <v>0</v>
      </c>
      <c r="AK62" s="400">
        <f>-AK15</f>
        <v>0</v>
      </c>
      <c r="AL62" s="400">
        <f>-AL15</f>
        <v>0</v>
      </c>
      <c r="AM62" s="400">
        <f>-AM15</f>
        <v>0</v>
      </c>
      <c r="AN62" s="400">
        <f>-AN15</f>
        <v>0</v>
      </c>
      <c r="AO62" s="400">
        <f>-AO15</f>
        <v>0</v>
      </c>
      <c r="AP62" s="400">
        <f>-AP15</f>
        <v>0</v>
      </c>
      <c r="AQ62" s="400">
        <f>-AQ15</f>
        <v>0</v>
      </c>
      <c r="AR62" s="400">
        <f>-AR15</f>
        <v>0</v>
      </c>
      <c r="AS62" s="400">
        <f>-AS15</f>
        <v>0</v>
      </c>
      <c r="AT62" s="400">
        <f>-AT15</f>
        <v>0</v>
      </c>
      <c r="AU62" s="400">
        <f>-AU15</f>
        <v>0</v>
      </c>
      <c r="AV62" s="400">
        <f>-AV15</f>
        <v>0</v>
      </c>
      <c r="AW62" s="400">
        <f>-AW15</f>
        <v>0</v>
      </c>
      <c r="AX62" s="400">
        <f>-AX15</f>
        <v>0</v>
      </c>
      <c r="AY62" s="400">
        <f>-AY15</f>
        <v>0</v>
      </c>
      <c r="AZ62" s="400">
        <f>-AZ15</f>
        <v>0</v>
      </c>
      <c r="BA62" s="400">
        <f>-BA15</f>
        <v>0</v>
      </c>
      <c r="BB62" s="400">
        <f>-BB15</f>
        <v>0</v>
      </c>
      <c r="BC62" s="400">
        <f>-BC15</f>
        <v>0</v>
      </c>
      <c r="BD62" s="400">
        <f>-BD15</f>
        <v>0</v>
      </c>
      <c r="BE62" s="400">
        <f>-BE15</f>
        <v>0</v>
      </c>
      <c r="BF62" s="400">
        <f>-BF15</f>
        <v>0</v>
      </c>
      <c r="BG62" s="400">
        <f>-BG15</f>
        <v>0</v>
      </c>
      <c r="BH62" s="400">
        <f>-BH15</f>
        <v>0</v>
      </c>
      <c r="BI62" s="400">
        <f>-BI15</f>
        <v>0</v>
      </c>
      <c r="BJ62" s="400">
        <f>-BJ15</f>
        <v>0</v>
      </c>
      <c r="BK62" s="400">
        <f>-BK15</f>
        <v>0</v>
      </c>
      <c r="BL62" s="400">
        <f>-BL15</f>
        <v>0</v>
      </c>
      <c r="BM62" s="400">
        <f>-BM15</f>
        <v>0</v>
      </c>
      <c r="BN62" s="400">
        <f>-BN15</f>
        <v>0</v>
      </c>
      <c r="BO62" s="400">
        <f>-BO15</f>
        <v>0</v>
      </c>
      <c r="BP62" s="400">
        <f>-BP15</f>
        <v>0</v>
      </c>
      <c r="BQ62" s="400">
        <f>-BQ15</f>
        <v>0</v>
      </c>
      <c r="BR62" s="400">
        <f>-BR15</f>
        <v>0</v>
      </c>
      <c r="BS62" s="400">
        <f>-BS15</f>
        <v>0</v>
      </c>
      <c r="BT62" s="400">
        <f>-BT15</f>
        <v>0</v>
      </c>
      <c r="BU62" s="400">
        <f>-BU15</f>
        <v>0</v>
      </c>
      <c r="BV62" s="400">
        <f>-BV15</f>
        <v>0</v>
      </c>
      <c r="BW62" s="400">
        <f>-BW15</f>
        <v>0</v>
      </c>
      <c r="BX62" s="400">
        <f>-BX15</f>
        <v>0</v>
      </c>
      <c r="BY62" s="400">
        <f>-BY15</f>
        <v>0</v>
      </c>
      <c r="BZ62" s="400">
        <f>-BZ15</f>
        <v>0</v>
      </c>
      <c r="CA62" s="400">
        <f>-CA15</f>
        <v>0</v>
      </c>
      <c r="CB62" s="400">
        <f>-CB15</f>
        <v>0</v>
      </c>
      <c r="CC62" s="400">
        <f>-CC15</f>
        <v>0</v>
      </c>
      <c r="CD62" s="400">
        <f>-CD15</f>
        <v>0</v>
      </c>
      <c r="CE62" s="400">
        <f>-CE15</f>
        <v>0</v>
      </c>
      <c r="CF62" s="400">
        <f>-CF15</f>
        <v>0</v>
      </c>
      <c r="CG62" s="400">
        <f>-CG15</f>
        <v>0</v>
      </c>
      <c r="CH62" s="400">
        <f>-CH15</f>
        <v>0</v>
      </c>
      <c r="CI62" s="400">
        <f>-CI15</f>
        <v>0</v>
      </c>
      <c r="CJ62" s="400">
        <f>-CJ15</f>
        <v>0</v>
      </c>
      <c r="CK62" s="400">
        <f>-CK15</f>
        <v>0</v>
      </c>
      <c r="CL62" s="400">
        <f>-CL15</f>
        <v>0</v>
      </c>
      <c r="CM62" s="400">
        <f>-CM15</f>
        <v>0</v>
      </c>
      <c r="CN62" s="400">
        <f>-CN15</f>
        <v>0</v>
      </c>
      <c r="CO62" s="400">
        <f>-CO15</f>
        <v>0</v>
      </c>
      <c r="CP62" s="400">
        <f>-CP15</f>
        <v>0</v>
      </c>
      <c r="CQ62" s="400">
        <f>-CQ15</f>
        <v>0</v>
      </c>
      <c r="CR62" s="400">
        <f>-CR15</f>
        <v>0</v>
      </c>
      <c r="CS62" s="400">
        <f>-CS15</f>
        <v>0</v>
      </c>
      <c r="CT62" s="400">
        <f>-CT15</f>
        <v>0</v>
      </c>
      <c r="CU62" s="400">
        <f>-CU15</f>
        <v>0</v>
      </c>
      <c r="CV62" s="400">
        <f>-CV15</f>
        <v>0</v>
      </c>
      <c r="CW62" s="400">
        <f>-CW15</f>
        <v>0</v>
      </c>
      <c r="CX62" s="400">
        <f>-CX15</f>
        <v>0</v>
      </c>
      <c r="CY62" s="400">
        <f>-CY15</f>
        <v>0</v>
      </c>
      <c r="CZ62" s="400">
        <f>-CZ15</f>
        <v>0</v>
      </c>
      <c r="DA62" s="400">
        <f>-DA15</f>
        <v>0</v>
      </c>
      <c r="DB62" s="400">
        <f>-DB15</f>
        <v>0</v>
      </c>
      <c r="DC62" s="400">
        <f>-DC15</f>
        <v>0</v>
      </c>
      <c r="DD62" s="400">
        <f>-DD15</f>
        <v>0</v>
      </c>
      <c r="DE62" s="400">
        <f>-DE15</f>
        <v>0</v>
      </c>
    </row>
    <row r="63" hidden="1" outlineLevel="1" ht="15" customFormat="1" customHeight="1" s="381">
      <c r="A63" s="408" t="inlineStr">
        <is>
          <t>Whipple</t>
        </is>
      </c>
      <c r="B63" s="400" t="n">
        <v>-97487.03</v>
      </c>
      <c r="C63" s="400" t="n">
        <v>-107086.64</v>
      </c>
      <c r="D63" s="400" t="n">
        <v>-228526.73</v>
      </c>
      <c r="E63" s="400" t="n">
        <v>-578098.3199999999</v>
      </c>
      <c r="F63" s="400" t="n">
        <v>-786162.51</v>
      </c>
      <c r="G63" s="400" t="n">
        <v>-1199341.45</v>
      </c>
      <c r="H63" s="400">
        <f>-10277719*Curves!E$9/SUM(Curves!$E$9:$P$9)</f>
        <v>-1048852.46241385</v>
      </c>
      <c r="I63" s="400">
        <f>-10277719*Curves!F$9/SUM(Curves!$E$9:$P$9)</f>
        <v>-1088739.94029101</v>
      </c>
      <c r="J63" s="400">
        <f>-10277719*Curves!G$9/SUM(Curves!$E$9:$P$9)</f>
        <v>-1102369.6796874</v>
      </c>
      <c r="K63" s="400">
        <f>-10277719*Curves!H$9/SUM(Curves!$E$9:$P$9)</f>
        <v>-1088739.94029101</v>
      </c>
      <c r="L63" s="400">
        <f>-10277719*Curves!I$9/SUM(Curves!$E$9:$P$9)</f>
        <v>-1048852.46241385</v>
      </c>
      <c r="M63" s="400">
        <f>-10277719*Curves!J$9/SUM(Curves!$E$9:$P$9)</f>
        <v>-985606.221807248</v>
      </c>
      <c r="N63" s="400">
        <f>-10277719*Curves!K$9/SUM(Curves!$E$9:$P$9)</f>
        <v>-903417.98257405</v>
      </c>
      <c r="O63" s="400">
        <f>-10277719*Curves!L$9/SUM(Curves!$E$9:$P$9)</f>
        <v>-807736.604896101</v>
      </c>
      <c r="P63" s="400">
        <f>-10277719*Curves!M$9/SUM(Curves!$E$9:$P$9)</f>
        <v>-704435.929693672</v>
      </c>
      <c r="Q63" s="400">
        <f>-10277719*Curves!N$9/SUM(Curves!$E$9:$P$9)</f>
        <v>-599253.196935396</v>
      </c>
      <c r="R63" s="400">
        <f>-10277719*Curves!O$9/SUM(Curves!$E$9:$P$9)</f>
        <v>-497242.641831733</v>
      </c>
      <c r="S63" s="400">
        <f>-10277719*Curves!P$9/SUM(Curves!$E$9:$P$9)</f>
        <v>-402471.93716468</v>
      </c>
      <c r="T63" s="400">
        <f>-T16</f>
        <v>0</v>
      </c>
      <c r="U63" s="400">
        <f>-U16</f>
        <v>0</v>
      </c>
      <c r="V63" s="400">
        <f>-V16</f>
        <v>0</v>
      </c>
      <c r="W63" s="400">
        <f>-W16</f>
        <v>0</v>
      </c>
      <c r="X63" s="400">
        <f>-X16</f>
        <v>0</v>
      </c>
      <c r="Y63" s="400">
        <f>-Y16</f>
        <v>0</v>
      </c>
      <c r="Z63" s="400">
        <f>-Z16</f>
        <v>0</v>
      </c>
      <c r="AA63" s="400">
        <f>-AA16</f>
        <v>0</v>
      </c>
      <c r="AB63" s="400">
        <f>-AB16</f>
        <v>0</v>
      </c>
      <c r="AC63" s="400">
        <f>-AC16</f>
        <v>0</v>
      </c>
      <c r="AD63" s="400">
        <f>-AD16</f>
        <v>0</v>
      </c>
      <c r="AE63" s="400">
        <f>-AE16</f>
        <v>0</v>
      </c>
      <c r="AF63" s="400">
        <f>-AF16</f>
        <v>0</v>
      </c>
      <c r="AG63" s="400">
        <f>-AG16</f>
        <v>0</v>
      </c>
      <c r="AH63" s="400">
        <f>-AH16</f>
        <v>0</v>
      </c>
      <c r="AI63" s="400">
        <f>-AI16</f>
        <v>0</v>
      </c>
      <c r="AJ63" s="400">
        <f>-AJ16</f>
        <v>0</v>
      </c>
      <c r="AK63" s="400">
        <f>-AK16</f>
        <v>0</v>
      </c>
      <c r="AL63" s="400">
        <f>-AL16</f>
        <v>0</v>
      </c>
      <c r="AM63" s="400">
        <f>-AM16</f>
        <v>0</v>
      </c>
      <c r="AN63" s="400">
        <f>-AN16</f>
        <v>0</v>
      </c>
      <c r="AO63" s="400">
        <f>-AO16</f>
        <v>0</v>
      </c>
      <c r="AP63" s="400">
        <f>-AP16</f>
        <v>0</v>
      </c>
      <c r="AQ63" s="400">
        <f>-AQ16</f>
        <v>0</v>
      </c>
      <c r="AR63" s="400">
        <f>-AR16</f>
        <v>0</v>
      </c>
      <c r="AS63" s="400">
        <f>-AS16</f>
        <v>0</v>
      </c>
      <c r="AT63" s="400">
        <f>-AT16</f>
        <v>0</v>
      </c>
      <c r="AU63" s="400">
        <f>-AU16</f>
        <v>0</v>
      </c>
      <c r="AV63" s="400">
        <f>-AV16</f>
        <v>0</v>
      </c>
      <c r="AW63" s="400">
        <f>-AW16</f>
        <v>0</v>
      </c>
      <c r="AX63" s="400">
        <f>-AX16</f>
        <v>0</v>
      </c>
      <c r="AY63" s="400">
        <f>-AY16</f>
        <v>0</v>
      </c>
      <c r="AZ63" s="400">
        <f>-AZ16</f>
        <v>0</v>
      </c>
      <c r="BA63" s="400">
        <f>-BA16</f>
        <v>0</v>
      </c>
      <c r="BB63" s="400">
        <f>-BB16</f>
        <v>0</v>
      </c>
      <c r="BC63" s="400">
        <f>-BC16</f>
        <v>0</v>
      </c>
      <c r="BD63" s="400">
        <f>-BD16</f>
        <v>0</v>
      </c>
      <c r="BE63" s="400">
        <f>-BE16</f>
        <v>0</v>
      </c>
      <c r="BF63" s="400">
        <f>-BF16</f>
        <v>0</v>
      </c>
      <c r="BG63" s="400">
        <f>-BG16</f>
        <v>0</v>
      </c>
      <c r="BH63" s="400">
        <f>-BH16</f>
        <v>0</v>
      </c>
      <c r="BI63" s="400">
        <f>-BI16</f>
        <v>0</v>
      </c>
      <c r="BJ63" s="400">
        <f>-BJ16</f>
        <v>0</v>
      </c>
      <c r="BK63" s="400">
        <f>-BK16</f>
        <v>0</v>
      </c>
      <c r="BL63" s="400">
        <f>-BL16</f>
        <v>0</v>
      </c>
      <c r="BM63" s="400">
        <f>-BM16</f>
        <v>0</v>
      </c>
      <c r="BN63" s="400">
        <f>-BN16</f>
        <v>0</v>
      </c>
      <c r="BO63" s="400">
        <f>-BO16</f>
        <v>0</v>
      </c>
      <c r="BP63" s="400">
        <f>-BP16</f>
        <v>0</v>
      </c>
      <c r="BQ63" s="400">
        <f>-BQ16</f>
        <v>0</v>
      </c>
      <c r="BR63" s="400">
        <f>-BR16</f>
        <v>0</v>
      </c>
      <c r="BS63" s="400">
        <f>-BS16</f>
        <v>0</v>
      </c>
      <c r="BT63" s="400">
        <f>-BT16</f>
        <v>0</v>
      </c>
      <c r="BU63" s="400">
        <f>-BU16</f>
        <v>0</v>
      </c>
      <c r="BV63" s="400">
        <f>-BV16</f>
        <v>0</v>
      </c>
      <c r="BW63" s="400">
        <f>-BW16</f>
        <v>0</v>
      </c>
      <c r="BX63" s="400">
        <f>-BX16</f>
        <v>0</v>
      </c>
      <c r="BY63" s="400">
        <f>-BY16</f>
        <v>0</v>
      </c>
      <c r="BZ63" s="400">
        <f>-BZ16</f>
        <v>0</v>
      </c>
      <c r="CA63" s="400">
        <f>-CA16</f>
        <v>0</v>
      </c>
      <c r="CB63" s="400">
        <f>-CB16</f>
        <v>0</v>
      </c>
      <c r="CC63" s="400">
        <f>-CC16</f>
        <v>0</v>
      </c>
      <c r="CD63" s="400">
        <f>-CD16</f>
        <v>0</v>
      </c>
      <c r="CE63" s="400">
        <f>-CE16</f>
        <v>0</v>
      </c>
      <c r="CF63" s="400">
        <f>-CF16</f>
        <v>0</v>
      </c>
      <c r="CG63" s="400">
        <f>-CG16</f>
        <v>0</v>
      </c>
      <c r="CH63" s="400">
        <f>-CH16</f>
        <v>0</v>
      </c>
      <c r="CI63" s="400">
        <f>-CI16</f>
        <v>0</v>
      </c>
      <c r="CJ63" s="400">
        <f>-CJ16</f>
        <v>0</v>
      </c>
      <c r="CK63" s="400">
        <f>-CK16</f>
        <v>0</v>
      </c>
      <c r="CL63" s="400">
        <f>-CL16</f>
        <v>0</v>
      </c>
      <c r="CM63" s="400">
        <f>-CM16</f>
        <v>0</v>
      </c>
      <c r="CN63" s="400">
        <f>-CN16</f>
        <v>0</v>
      </c>
      <c r="CO63" s="400">
        <f>-CO16</f>
        <v>0</v>
      </c>
      <c r="CP63" s="400">
        <f>-CP16</f>
        <v>0</v>
      </c>
      <c r="CQ63" s="400">
        <f>-CQ16</f>
        <v>0</v>
      </c>
      <c r="CR63" s="400">
        <f>-CR16</f>
        <v>0</v>
      </c>
      <c r="CS63" s="400">
        <f>-CS16</f>
        <v>0</v>
      </c>
      <c r="CT63" s="400">
        <f>-CT16</f>
        <v>0</v>
      </c>
      <c r="CU63" s="400">
        <f>-CU16</f>
        <v>0</v>
      </c>
      <c r="CV63" s="400">
        <f>-CV16</f>
        <v>0</v>
      </c>
      <c r="CW63" s="400">
        <f>-CW16</f>
        <v>0</v>
      </c>
      <c r="CX63" s="400">
        <f>-CX16</f>
        <v>0</v>
      </c>
      <c r="CY63" s="400">
        <f>-CY16</f>
        <v>0</v>
      </c>
      <c r="CZ63" s="400">
        <f>-CZ16</f>
        <v>0</v>
      </c>
      <c r="DA63" s="400">
        <f>-DA16</f>
        <v>0</v>
      </c>
      <c r="DB63" s="400">
        <f>-DB16</f>
        <v>0</v>
      </c>
      <c r="DC63" s="400">
        <f>-DC16</f>
        <v>0</v>
      </c>
      <c r="DD63" s="400">
        <f>-DD16</f>
        <v>0</v>
      </c>
      <c r="DE63" s="400">
        <f>-DE16</f>
        <v>0</v>
      </c>
    </row>
    <row r="64" hidden="1" outlineLevel="1" ht="15" customFormat="1" customHeight="1" s="381">
      <c r="A64" s="408" t="inlineStr">
        <is>
          <t>Nelrose</t>
        </is>
      </c>
      <c r="B64" s="400" t="n">
        <v>0</v>
      </c>
      <c r="C64" s="400" t="n">
        <v>-158853.43</v>
      </c>
      <c r="D64" s="400" t="n">
        <v>-282874.37</v>
      </c>
      <c r="E64" s="400" t="n">
        <v>-223950.71</v>
      </c>
      <c r="F64" s="400" t="n">
        <v>-217736.55</v>
      </c>
      <c r="G64" s="400" t="n">
        <v>-325023.37</v>
      </c>
      <c r="H64" s="400">
        <f>-2404824.57*Curves!E$4/SUM(Curves!$E$4:$T$4)</f>
        <v>-123843.502222316</v>
      </c>
      <c r="I64" s="400">
        <f>-2404824.57*Curves!F$4/SUM(Curves!$E$4:$T$4)</f>
        <v>-142004.298484599</v>
      </c>
      <c r="J64" s="400">
        <f>-2404824.57*Curves!G$4/SUM(Curves!$E$4:$T$4)</f>
        <v>-158825.582592362</v>
      </c>
      <c r="K64" s="400">
        <f>-2404824.57*Curves!H$4/SUM(Curves!$E$4:$T$4)</f>
        <v>-173274.702745207</v>
      </c>
      <c r="L64" s="400">
        <f>-2404824.57*Curves!I$4/SUM(Curves!$E$4:$T$4)</f>
        <v>-184393.720968088</v>
      </c>
      <c r="M64" s="400">
        <f>-2404824.57*Curves!J$4/SUM(Curves!$E$4:$T$4)</f>
        <v>-191406.14714753</v>
      </c>
      <c r="N64" s="400">
        <f>-2404824.57*Curves!K$4/SUM(Curves!$E$4:$T$4)</f>
        <v>-193802.326260596</v>
      </c>
      <c r="O64" s="400">
        <f>-2404824.57*Curves!L$4/SUM(Curves!$E$4:$T$4)</f>
        <v>-191406.14714753</v>
      </c>
      <c r="P64" s="400">
        <f>-2404824.57*Curves!M$4/SUM(Curves!$E$4:$T$4)</f>
        <v>-184393.720968088</v>
      </c>
      <c r="Q64" s="400">
        <f>-2404824.57*Curves!N$4/SUM(Curves!$E$4:$T$4)</f>
        <v>-173274.702745207</v>
      </c>
      <c r="R64" s="400">
        <f>-2404824.57*Curves!O$4/SUM(Curves!$E$4:$T$4)</f>
        <v>-158825.582592362</v>
      </c>
      <c r="S64" s="400">
        <f>-2404824.57*Curves!P$4/SUM(Curves!$E$4:$T$4)</f>
        <v>-142004.298484599</v>
      </c>
      <c r="T64" s="400">
        <f>-2404824.57*Curves!Q$4/SUM(Curves!$E$4:$T$4)</f>
        <v>-123843.502222316</v>
      </c>
      <c r="U64" s="400">
        <f>-2404824.57*Curves!R$4/SUM(Curves!$E$4:$T$4)</f>
        <v>-105351.830447761</v>
      </c>
      <c r="V64" s="400">
        <f>-2404824.57*Curves!S$4/SUM(Curves!$E$4:$T$4)</f>
        <v>-87417.8440124384</v>
      </c>
      <c r="W64" s="400">
        <f>-2404824.57*Curves!T$4/SUM(Curves!$E$4:$T$4)</f>
        <v>-70756.6609590009</v>
      </c>
      <c r="X64" s="400">
        <f>-X17</f>
        <v>0</v>
      </c>
      <c r="Y64" s="400">
        <f>-Y17</f>
        <v>0</v>
      </c>
      <c r="Z64" s="400">
        <f>-Z17</f>
        <v>0</v>
      </c>
      <c r="AA64" s="400">
        <f>-AA17</f>
        <v>0</v>
      </c>
      <c r="AB64" s="400">
        <f>-AB17</f>
        <v>0</v>
      </c>
      <c r="AC64" s="400">
        <f>-AC17</f>
        <v>0</v>
      </c>
      <c r="AD64" s="400">
        <f>-AD17</f>
        <v>0</v>
      </c>
      <c r="AE64" s="400">
        <f>-AE17</f>
        <v>0</v>
      </c>
      <c r="AF64" s="400">
        <f>-AF17</f>
        <v>0</v>
      </c>
      <c r="AG64" s="400">
        <f>-AG17</f>
        <v>0</v>
      </c>
      <c r="AH64" s="400">
        <f>-AH17</f>
        <v>0</v>
      </c>
      <c r="AI64" s="400">
        <f>-AI17</f>
        <v>0</v>
      </c>
      <c r="AJ64" s="400">
        <f>-AJ17</f>
        <v>0</v>
      </c>
      <c r="AK64" s="400">
        <f>-AK17</f>
        <v>0</v>
      </c>
      <c r="AL64" s="400">
        <f>-AL17</f>
        <v>0</v>
      </c>
      <c r="AM64" s="400">
        <f>-AM17</f>
        <v>0</v>
      </c>
      <c r="AN64" s="400">
        <f>-AN17</f>
        <v>0</v>
      </c>
      <c r="AO64" s="400">
        <f>-AO17</f>
        <v>0</v>
      </c>
      <c r="AP64" s="400">
        <f>-AP17</f>
        <v>0</v>
      </c>
      <c r="AQ64" s="400">
        <f>-AQ17</f>
        <v>0</v>
      </c>
      <c r="AR64" s="400">
        <f>-AR17</f>
        <v>0</v>
      </c>
      <c r="AS64" s="400">
        <f>-AS17</f>
        <v>0</v>
      </c>
      <c r="AT64" s="400">
        <f>-AT17</f>
        <v>0</v>
      </c>
      <c r="AU64" s="400">
        <f>-AU17</f>
        <v>0</v>
      </c>
      <c r="AV64" s="400">
        <f>-AV17</f>
        <v>0</v>
      </c>
      <c r="AW64" s="400">
        <f>-AW17</f>
        <v>0</v>
      </c>
      <c r="AX64" s="400">
        <f>-AX17</f>
        <v>0</v>
      </c>
      <c r="AY64" s="400">
        <f>-AY17</f>
        <v>0</v>
      </c>
      <c r="AZ64" s="400">
        <f>-AZ17</f>
        <v>0</v>
      </c>
      <c r="BA64" s="400">
        <f>-BA17</f>
        <v>0</v>
      </c>
      <c r="BB64" s="400">
        <f>-BB17</f>
        <v>0</v>
      </c>
      <c r="BC64" s="400">
        <f>-BC17</f>
        <v>0</v>
      </c>
      <c r="BD64" s="400">
        <f>-BD17</f>
        <v>0</v>
      </c>
      <c r="BE64" s="400">
        <f>-BE17</f>
        <v>0</v>
      </c>
      <c r="BF64" s="400">
        <f>-BF17</f>
        <v>0</v>
      </c>
      <c r="BG64" s="400">
        <f>-BG17</f>
        <v>0</v>
      </c>
      <c r="BH64" s="400">
        <f>-BH17</f>
        <v>0</v>
      </c>
      <c r="BI64" s="400">
        <f>-BI17</f>
        <v>0</v>
      </c>
      <c r="BJ64" s="400">
        <f>-BJ17</f>
        <v>0</v>
      </c>
      <c r="BK64" s="400">
        <f>-BK17</f>
        <v>0</v>
      </c>
      <c r="BL64" s="400">
        <f>-BL17</f>
        <v>0</v>
      </c>
      <c r="BM64" s="400">
        <f>-BM17</f>
        <v>0</v>
      </c>
      <c r="BN64" s="400">
        <f>-BN17</f>
        <v>0</v>
      </c>
      <c r="BO64" s="400">
        <f>-BO17</f>
        <v>0</v>
      </c>
      <c r="BP64" s="400">
        <f>-BP17</f>
        <v>0</v>
      </c>
      <c r="BQ64" s="400">
        <f>-BQ17</f>
        <v>0</v>
      </c>
      <c r="BR64" s="400">
        <f>-BR17</f>
        <v>0</v>
      </c>
      <c r="BS64" s="400">
        <f>-BS17</f>
        <v>0</v>
      </c>
      <c r="BT64" s="400">
        <f>-BT17</f>
        <v>0</v>
      </c>
      <c r="BU64" s="400">
        <f>-BU17</f>
        <v>0</v>
      </c>
      <c r="BV64" s="400">
        <f>-BV17</f>
        <v>0</v>
      </c>
      <c r="BW64" s="400">
        <f>-BW17</f>
        <v>0</v>
      </c>
      <c r="BX64" s="400">
        <f>-BX17</f>
        <v>0</v>
      </c>
      <c r="BY64" s="400">
        <f>-BY17</f>
        <v>0</v>
      </c>
      <c r="BZ64" s="400">
        <f>-BZ17</f>
        <v>0</v>
      </c>
      <c r="CA64" s="400">
        <f>-CA17</f>
        <v>0</v>
      </c>
      <c r="CB64" s="400">
        <f>-CB17</f>
        <v>0</v>
      </c>
      <c r="CC64" s="400">
        <f>-CC17</f>
        <v>0</v>
      </c>
      <c r="CD64" s="400">
        <f>-CD17</f>
        <v>0</v>
      </c>
      <c r="CE64" s="400">
        <f>-CE17</f>
        <v>0</v>
      </c>
      <c r="CF64" s="400">
        <f>-CF17</f>
        <v>0</v>
      </c>
      <c r="CG64" s="400">
        <f>-CG17</f>
        <v>0</v>
      </c>
      <c r="CH64" s="400">
        <f>-CH17</f>
        <v>0</v>
      </c>
      <c r="CI64" s="400">
        <f>-CI17</f>
        <v>0</v>
      </c>
      <c r="CJ64" s="400">
        <f>-CJ17</f>
        <v>0</v>
      </c>
      <c r="CK64" s="400">
        <f>-CK17</f>
        <v>0</v>
      </c>
      <c r="CL64" s="400">
        <f>-CL17</f>
        <v>0</v>
      </c>
      <c r="CM64" s="400">
        <f>-CM17</f>
        <v>0</v>
      </c>
      <c r="CN64" s="400">
        <f>-CN17</f>
        <v>0</v>
      </c>
      <c r="CO64" s="400">
        <f>-CO17</f>
        <v>0</v>
      </c>
      <c r="CP64" s="400">
        <f>-CP17</f>
        <v>0</v>
      </c>
      <c r="CQ64" s="400">
        <f>-CQ17</f>
        <v>0</v>
      </c>
      <c r="CR64" s="400">
        <f>-CR17</f>
        <v>0</v>
      </c>
      <c r="CS64" s="400">
        <f>-CS17</f>
        <v>0</v>
      </c>
      <c r="CT64" s="400">
        <f>-CT17</f>
        <v>0</v>
      </c>
      <c r="CU64" s="400">
        <f>-CU17</f>
        <v>0</v>
      </c>
      <c r="CV64" s="400">
        <f>-CV17</f>
        <v>0</v>
      </c>
      <c r="CW64" s="400">
        <f>-CW17</f>
        <v>0</v>
      </c>
      <c r="CX64" s="400">
        <f>-CX17</f>
        <v>0</v>
      </c>
      <c r="CY64" s="400">
        <f>-CY17</f>
        <v>0</v>
      </c>
      <c r="CZ64" s="400">
        <f>-CZ17</f>
        <v>0</v>
      </c>
      <c r="DA64" s="400">
        <f>-DA17</f>
        <v>0</v>
      </c>
      <c r="DB64" s="400">
        <f>-DB17</f>
        <v>0</v>
      </c>
      <c r="DC64" s="400">
        <f>-DC17</f>
        <v>0</v>
      </c>
      <c r="DD64" s="400">
        <f>-DD17</f>
        <v>0</v>
      </c>
      <c r="DE64" s="400">
        <f>-DE17</f>
        <v>0</v>
      </c>
    </row>
    <row r="65" hidden="1" outlineLevel="1" ht="15" customFormat="1" customHeight="1" s="381">
      <c r="A65" s="408" t="inlineStr">
        <is>
          <t>Francis</t>
        </is>
      </c>
      <c r="B65" s="400" t="n">
        <v>-2000</v>
      </c>
      <c r="C65" s="400" t="n">
        <v>0</v>
      </c>
      <c r="D65" s="400" t="n">
        <v>0</v>
      </c>
      <c r="E65" s="400" t="n">
        <v>0</v>
      </c>
      <c r="F65" s="400">
        <f>-F18</f>
        <v>0</v>
      </c>
      <c r="G65" s="400">
        <f>-G18</f>
        <v>0</v>
      </c>
      <c r="H65" s="400">
        <f>-H18</f>
        <v>0</v>
      </c>
      <c r="I65" s="400">
        <f>-I18</f>
        <v>-525888.533749692</v>
      </c>
      <c r="J65" s="400">
        <f>-J18</f>
        <v>-629323.480754692</v>
      </c>
      <c r="K65" s="400">
        <f>-K18</f>
        <v>-739263.232039692</v>
      </c>
      <c r="L65" s="400">
        <f>-L18</f>
        <v>-854209.970829692</v>
      </c>
      <c r="M65" s="400">
        <f>-M18</f>
        <v>-972409.111759692</v>
      </c>
      <c r="N65" s="400">
        <f>-N18</f>
        <v>-1091720.91657969</v>
      </c>
      <c r="O65" s="400">
        <f>-O18</f>
        <v>-1209791.67321469</v>
      </c>
      <c r="P65" s="400">
        <f>-P18</f>
        <v>-1324053.69576469</v>
      </c>
      <c r="Q65" s="400">
        <f>-Q18</f>
        <v>-1431768.11926969</v>
      </c>
      <c r="R65" s="400">
        <f>-R18</f>
        <v>-1530324.46306469</v>
      </c>
      <c r="S65" s="400">
        <f>-S18</f>
        <v>-1617069.45171969</v>
      </c>
      <c r="T65" s="400">
        <f>-T18</f>
        <v>-1689649.37315969</v>
      </c>
      <c r="U65" s="400">
        <f>-U18</f>
        <v>-1746052.87342969</v>
      </c>
      <c r="V65" s="400">
        <f>-V18</f>
        <v>-1784568.16192969</v>
      </c>
      <c r="W65" s="400">
        <f>-W18</f>
        <v>-1804125.36953469</v>
      </c>
      <c r="X65" s="400">
        <f>-X18</f>
        <v>-1804125.36953469</v>
      </c>
      <c r="Y65" s="400">
        <f>-Y18</f>
        <v>-1784568.16192969</v>
      </c>
      <c r="Z65" s="400">
        <f>-Z18</f>
        <v>-1746052.87342969</v>
      </c>
      <c r="AA65" s="400">
        <f>-AA18</f>
        <v>-1689649.37315969</v>
      </c>
      <c r="AB65" s="400">
        <f>-AB18</f>
        <v>-1617069.45171969</v>
      </c>
      <c r="AC65" s="400">
        <f>-AC18</f>
        <v>-1530324.46306469</v>
      </c>
      <c r="AD65" s="400">
        <f>-AD18</f>
        <v>-1431768.11926969</v>
      </c>
      <c r="AE65" s="400">
        <f>-AE18</f>
        <v>-1324053.69576469</v>
      </c>
      <c r="AF65" s="400">
        <f>-AF18</f>
        <v>-1209791.67321469</v>
      </c>
      <c r="AG65" s="400">
        <f>-AG18</f>
        <v>-1091720.91657969</v>
      </c>
      <c r="AH65" s="400">
        <f>-AH18</f>
        <v>-972409.111759692</v>
      </c>
      <c r="AI65" s="400">
        <f>-AI18</f>
        <v>-854209.970829692</v>
      </c>
      <c r="AJ65" s="400">
        <f>-AJ18</f>
        <v>-739263.232039692</v>
      </c>
      <c r="AK65" s="400">
        <f>-AK18</f>
        <v>-629323.480754692</v>
      </c>
      <c r="AL65" s="400">
        <f>-AL18</f>
        <v>-268283.306093942</v>
      </c>
      <c r="AM65" s="400">
        <f>-AM18</f>
        <v>0</v>
      </c>
      <c r="AN65" s="400">
        <f>-AN18</f>
        <v>0</v>
      </c>
      <c r="AO65" s="400">
        <f>-AO18</f>
        <v>0</v>
      </c>
      <c r="AP65" s="400">
        <f>-AP18</f>
        <v>0</v>
      </c>
      <c r="AQ65" s="400">
        <f>-AQ18</f>
        <v>0</v>
      </c>
      <c r="AR65" s="400">
        <f>-AR18</f>
        <v>0</v>
      </c>
      <c r="AS65" s="400">
        <f>-AS18</f>
        <v>0</v>
      </c>
      <c r="AT65" s="400">
        <f>-AT18</f>
        <v>0</v>
      </c>
      <c r="AU65" s="400">
        <f>-AU18</f>
        <v>0</v>
      </c>
      <c r="AV65" s="400">
        <f>-AV18</f>
        <v>0</v>
      </c>
      <c r="AW65" s="400">
        <f>-AW18</f>
        <v>0</v>
      </c>
      <c r="AX65" s="400">
        <f>-AX18</f>
        <v>0</v>
      </c>
      <c r="AY65" s="400">
        <f>-AY18</f>
        <v>0</v>
      </c>
      <c r="AZ65" s="400">
        <f>-AZ18</f>
        <v>0</v>
      </c>
      <c r="BA65" s="400">
        <f>-BA18</f>
        <v>0</v>
      </c>
      <c r="BB65" s="400">
        <f>-BB18</f>
        <v>0</v>
      </c>
      <c r="BC65" s="400">
        <f>-BC18</f>
        <v>0</v>
      </c>
      <c r="BD65" s="400">
        <f>-BD18</f>
        <v>0</v>
      </c>
      <c r="BE65" s="400">
        <f>-BE18</f>
        <v>0</v>
      </c>
      <c r="BF65" s="400">
        <f>-BF18</f>
        <v>0</v>
      </c>
      <c r="BG65" s="400">
        <f>-BG18</f>
        <v>0</v>
      </c>
      <c r="BH65" s="400">
        <f>-BH18</f>
        <v>0</v>
      </c>
      <c r="BI65" s="400">
        <f>-BI18</f>
        <v>0</v>
      </c>
      <c r="BJ65" s="400">
        <f>-BJ18</f>
        <v>0</v>
      </c>
      <c r="BK65" s="400">
        <f>-BK18</f>
        <v>0</v>
      </c>
      <c r="BL65" s="400">
        <f>-BL18</f>
        <v>0</v>
      </c>
      <c r="BM65" s="400">
        <f>-BM18</f>
        <v>0</v>
      </c>
      <c r="BN65" s="400">
        <f>-BN18</f>
        <v>0</v>
      </c>
      <c r="BO65" s="400">
        <f>-BO18</f>
        <v>0</v>
      </c>
      <c r="BP65" s="400">
        <f>-BP18</f>
        <v>0</v>
      </c>
      <c r="BQ65" s="400">
        <f>-BQ18</f>
        <v>0</v>
      </c>
      <c r="BR65" s="400">
        <f>-BR18</f>
        <v>0</v>
      </c>
      <c r="BS65" s="400">
        <f>-BS18</f>
        <v>0</v>
      </c>
      <c r="BT65" s="400">
        <f>-BT18</f>
        <v>0</v>
      </c>
      <c r="BU65" s="400">
        <f>-BU18</f>
        <v>0</v>
      </c>
      <c r="BV65" s="400">
        <f>-BV18</f>
        <v>0</v>
      </c>
      <c r="BW65" s="400">
        <f>-BW18</f>
        <v>0</v>
      </c>
      <c r="BX65" s="400">
        <f>-BX18</f>
        <v>0</v>
      </c>
      <c r="BY65" s="400">
        <f>-BY18</f>
        <v>0</v>
      </c>
      <c r="BZ65" s="400">
        <f>-BZ18</f>
        <v>0</v>
      </c>
      <c r="CA65" s="400">
        <f>-CA18</f>
        <v>0</v>
      </c>
      <c r="CB65" s="400">
        <f>-CB18</f>
        <v>0</v>
      </c>
      <c r="CC65" s="400">
        <f>-CC18</f>
        <v>0</v>
      </c>
      <c r="CD65" s="400">
        <f>-CD18</f>
        <v>0</v>
      </c>
      <c r="CE65" s="400">
        <f>-CE18</f>
        <v>0</v>
      </c>
      <c r="CF65" s="400">
        <f>-CF18</f>
        <v>0</v>
      </c>
      <c r="CG65" s="400">
        <f>-CG18</f>
        <v>0</v>
      </c>
      <c r="CH65" s="400">
        <f>-CH18</f>
        <v>0</v>
      </c>
      <c r="CI65" s="400">
        <f>-CI18</f>
        <v>0</v>
      </c>
      <c r="CJ65" s="400">
        <f>-CJ18</f>
        <v>0</v>
      </c>
      <c r="CK65" s="400">
        <f>-CK18</f>
        <v>0</v>
      </c>
      <c r="CL65" s="400">
        <f>-CL18</f>
        <v>0</v>
      </c>
      <c r="CM65" s="400">
        <f>-CM18</f>
        <v>0</v>
      </c>
      <c r="CN65" s="400">
        <f>-CN18</f>
        <v>0</v>
      </c>
      <c r="CO65" s="400">
        <f>-CO18</f>
        <v>0</v>
      </c>
      <c r="CP65" s="400">
        <f>-CP18</f>
        <v>0</v>
      </c>
      <c r="CQ65" s="400">
        <f>-CQ18</f>
        <v>0</v>
      </c>
      <c r="CR65" s="400">
        <f>-CR18</f>
        <v>0</v>
      </c>
      <c r="CS65" s="400">
        <f>-CS18</f>
        <v>0</v>
      </c>
      <c r="CT65" s="400">
        <f>-CT18</f>
        <v>0</v>
      </c>
      <c r="CU65" s="400">
        <f>-CU18</f>
        <v>0</v>
      </c>
      <c r="CV65" s="400">
        <f>-CV18</f>
        <v>0</v>
      </c>
      <c r="CW65" s="400">
        <f>-CW18</f>
        <v>0</v>
      </c>
      <c r="CX65" s="400">
        <f>-CX18</f>
        <v>0</v>
      </c>
      <c r="CY65" s="400">
        <f>-CY18</f>
        <v>0</v>
      </c>
      <c r="CZ65" s="400">
        <f>-CZ18</f>
        <v>0</v>
      </c>
      <c r="DA65" s="400">
        <f>-DA18</f>
        <v>0</v>
      </c>
      <c r="DB65" s="400">
        <f>-DB18</f>
        <v>0</v>
      </c>
      <c r="DC65" s="400">
        <f>-DC18</f>
        <v>0</v>
      </c>
      <c r="DD65" s="400">
        <f>-DD18</f>
        <v>0</v>
      </c>
      <c r="DE65" s="400">
        <f>-DE18</f>
        <v>0</v>
      </c>
    </row>
    <row r="66" hidden="1" outlineLevel="1" ht="15" customFormat="1" customHeight="1" s="381">
      <c r="A66" s="408" t="inlineStr">
        <is>
          <t>Lexington</t>
        </is>
      </c>
      <c r="B66" s="400" t="n">
        <v>0</v>
      </c>
      <c r="C66" s="400" t="n">
        <v>0</v>
      </c>
      <c r="D66" s="400" t="n">
        <v>0</v>
      </c>
      <c r="E66" s="400" t="n">
        <v>0</v>
      </c>
      <c r="F66" s="400">
        <f>-F19</f>
        <v>0</v>
      </c>
      <c r="G66" s="400">
        <f>-G19</f>
        <v>0</v>
      </c>
      <c r="H66" s="400">
        <f>-H19</f>
        <v>0</v>
      </c>
      <c r="I66" s="400">
        <f>-I19</f>
        <v>-266339.274896073</v>
      </c>
      <c r="J66" s="400">
        <f>-J19</f>
        <v>-347472.412552273</v>
      </c>
      <c r="K66" s="400">
        <f>-K19</f>
        <v>-434803.581384323</v>
      </c>
      <c r="L66" s="400">
        <f>-L19</f>
        <v>-524850.449410823</v>
      </c>
      <c r="M66" s="400">
        <f>-M19</f>
        <v>-613286.089207123</v>
      </c>
      <c r="N66" s="400">
        <f>-N19</f>
        <v>-695198.853426323</v>
      </c>
      <c r="O66" s="400">
        <f>-O19</f>
        <v>-765560.150737073</v>
      </c>
      <c r="P66" s="400">
        <f>-P19</f>
        <v>-819705.215537423</v>
      </c>
      <c r="Q66" s="400">
        <f>-Q19</f>
        <v>-853852.858996823</v>
      </c>
      <c r="R66" s="400">
        <f>-R19</f>
        <v>-865521.269889723</v>
      </c>
      <c r="S66" s="400">
        <f>-S19</f>
        <v>-853852.858996823</v>
      </c>
      <c r="T66" s="400">
        <f>-T19</f>
        <v>-819705.215537423</v>
      </c>
      <c r="U66" s="400">
        <f>-U19</f>
        <v>-765560.150737073</v>
      </c>
      <c r="V66" s="400">
        <f>-V19</f>
        <v>-695198.853426323</v>
      </c>
      <c r="W66" s="400">
        <f>-W19</f>
        <v>-613286.089207123</v>
      </c>
      <c r="X66" s="400">
        <f>-X19</f>
        <v>-524850.449410823</v>
      </c>
      <c r="Y66" s="400">
        <f>-Y19</f>
        <v>-434803.581384323</v>
      </c>
      <c r="Z66" s="400">
        <f>-Z19</f>
        <v>-347472.412552273</v>
      </c>
      <c r="AA66" s="400">
        <f>-AA19</f>
        <v>-188122.590274295</v>
      </c>
      <c r="AB66" s="400">
        <f>-AB19</f>
        <v>0</v>
      </c>
      <c r="AC66" s="400">
        <f>-AC19</f>
        <v>0</v>
      </c>
      <c r="AD66" s="400">
        <f>-AD19</f>
        <v>0</v>
      </c>
      <c r="AE66" s="400">
        <f>-AE19</f>
        <v>0</v>
      </c>
      <c r="AF66" s="400">
        <f>-AF19</f>
        <v>0</v>
      </c>
      <c r="AG66" s="400">
        <f>-AG19</f>
        <v>0</v>
      </c>
      <c r="AH66" s="400">
        <f>-AH19</f>
        <v>0</v>
      </c>
      <c r="AI66" s="400">
        <f>-AI19</f>
        <v>0</v>
      </c>
      <c r="AJ66" s="400">
        <f>-AJ19</f>
        <v>0</v>
      </c>
      <c r="AK66" s="400">
        <f>-AK19</f>
        <v>0</v>
      </c>
      <c r="AL66" s="400">
        <f>-AL19</f>
        <v>0</v>
      </c>
      <c r="AM66" s="400">
        <f>-AM19</f>
        <v>0</v>
      </c>
      <c r="AN66" s="400">
        <f>-AN19</f>
        <v>0</v>
      </c>
      <c r="AO66" s="400">
        <f>-AO19</f>
        <v>0</v>
      </c>
      <c r="AP66" s="400">
        <f>-AP19</f>
        <v>0</v>
      </c>
      <c r="AQ66" s="400">
        <f>-AQ19</f>
        <v>0</v>
      </c>
      <c r="AR66" s="400">
        <f>-AR19</f>
        <v>0</v>
      </c>
      <c r="AS66" s="400">
        <f>-AS19</f>
        <v>0</v>
      </c>
      <c r="AT66" s="400">
        <f>-AT19</f>
        <v>0</v>
      </c>
      <c r="AU66" s="400">
        <f>-AU19</f>
        <v>0</v>
      </c>
      <c r="AV66" s="400">
        <f>-AV19</f>
        <v>0</v>
      </c>
      <c r="AW66" s="400">
        <f>-AW19</f>
        <v>0</v>
      </c>
      <c r="AX66" s="400">
        <f>-AX19</f>
        <v>0</v>
      </c>
      <c r="AY66" s="400">
        <f>-AY19</f>
        <v>0</v>
      </c>
      <c r="AZ66" s="400">
        <f>-AZ19</f>
        <v>0</v>
      </c>
      <c r="BA66" s="400">
        <f>-BA19</f>
        <v>0</v>
      </c>
      <c r="BB66" s="400">
        <f>-BB19</f>
        <v>0</v>
      </c>
      <c r="BC66" s="400">
        <f>-BC19</f>
        <v>0</v>
      </c>
      <c r="BD66" s="400">
        <f>-BD19</f>
        <v>0</v>
      </c>
      <c r="BE66" s="400">
        <f>-BE19</f>
        <v>0</v>
      </c>
      <c r="BF66" s="400">
        <f>-BF19</f>
        <v>0</v>
      </c>
      <c r="BG66" s="400">
        <f>-BG19</f>
        <v>0</v>
      </c>
      <c r="BH66" s="400">
        <f>-BH19</f>
        <v>0</v>
      </c>
      <c r="BI66" s="400">
        <f>-BI19</f>
        <v>0</v>
      </c>
      <c r="BJ66" s="400">
        <f>-BJ19</f>
        <v>0</v>
      </c>
      <c r="BK66" s="400">
        <f>-BK19</f>
        <v>0</v>
      </c>
      <c r="BL66" s="400">
        <f>-BL19</f>
        <v>0</v>
      </c>
      <c r="BM66" s="400">
        <f>-BM19</f>
        <v>0</v>
      </c>
      <c r="BN66" s="400">
        <f>-BN19</f>
        <v>0</v>
      </c>
      <c r="BO66" s="400">
        <f>-BO19</f>
        <v>0</v>
      </c>
      <c r="BP66" s="400">
        <f>-BP19</f>
        <v>0</v>
      </c>
      <c r="BQ66" s="400">
        <f>-BQ19</f>
        <v>0</v>
      </c>
      <c r="BR66" s="400">
        <f>-BR19</f>
        <v>0</v>
      </c>
      <c r="BS66" s="400">
        <f>-BS19</f>
        <v>0</v>
      </c>
      <c r="BT66" s="400">
        <f>-BT19</f>
        <v>0</v>
      </c>
      <c r="BU66" s="400">
        <f>-BU19</f>
        <v>0</v>
      </c>
      <c r="BV66" s="400">
        <f>-BV19</f>
        <v>0</v>
      </c>
      <c r="BW66" s="400">
        <f>-BW19</f>
        <v>0</v>
      </c>
      <c r="BX66" s="400">
        <f>-BX19</f>
        <v>0</v>
      </c>
      <c r="BY66" s="400">
        <f>-BY19</f>
        <v>0</v>
      </c>
      <c r="BZ66" s="400">
        <f>-BZ19</f>
        <v>0</v>
      </c>
      <c r="CA66" s="400">
        <f>-CA19</f>
        <v>0</v>
      </c>
      <c r="CB66" s="400">
        <f>-CB19</f>
        <v>0</v>
      </c>
      <c r="CC66" s="400">
        <f>-CC19</f>
        <v>0</v>
      </c>
      <c r="CD66" s="400">
        <f>-CD19</f>
        <v>0</v>
      </c>
      <c r="CE66" s="400">
        <f>-CE19</f>
        <v>0</v>
      </c>
      <c r="CF66" s="400">
        <f>-CF19</f>
        <v>0</v>
      </c>
      <c r="CG66" s="400">
        <f>-CG19</f>
        <v>0</v>
      </c>
      <c r="CH66" s="400">
        <f>-CH19</f>
        <v>0</v>
      </c>
      <c r="CI66" s="400">
        <f>-CI19</f>
        <v>0</v>
      </c>
      <c r="CJ66" s="400">
        <f>-CJ19</f>
        <v>0</v>
      </c>
      <c r="CK66" s="400">
        <f>-CK19</f>
        <v>0</v>
      </c>
      <c r="CL66" s="400">
        <f>-CL19</f>
        <v>0</v>
      </c>
      <c r="CM66" s="400">
        <f>-CM19</f>
        <v>0</v>
      </c>
      <c r="CN66" s="400">
        <f>-CN19</f>
        <v>0</v>
      </c>
      <c r="CO66" s="400">
        <f>-CO19</f>
        <v>0</v>
      </c>
      <c r="CP66" s="400">
        <f>-CP19</f>
        <v>0</v>
      </c>
      <c r="CQ66" s="400">
        <f>-CQ19</f>
        <v>0</v>
      </c>
      <c r="CR66" s="400">
        <f>-CR19</f>
        <v>0</v>
      </c>
      <c r="CS66" s="400">
        <f>-CS19</f>
        <v>0</v>
      </c>
      <c r="CT66" s="400">
        <f>-CT19</f>
        <v>0</v>
      </c>
      <c r="CU66" s="400">
        <f>-CU19</f>
        <v>0</v>
      </c>
      <c r="CV66" s="400">
        <f>-CV19</f>
        <v>0</v>
      </c>
      <c r="CW66" s="400">
        <f>-CW19</f>
        <v>0</v>
      </c>
      <c r="CX66" s="400">
        <f>-CX19</f>
        <v>0</v>
      </c>
      <c r="CY66" s="400">
        <f>-CY19</f>
        <v>0</v>
      </c>
      <c r="CZ66" s="400">
        <f>-CZ19</f>
        <v>0</v>
      </c>
      <c r="DA66" s="400">
        <f>-DA19</f>
        <v>0</v>
      </c>
      <c r="DB66" s="400">
        <f>-DB19</f>
        <v>0</v>
      </c>
      <c r="DC66" s="400">
        <f>-DC19</f>
        <v>0</v>
      </c>
      <c r="DD66" s="400">
        <f>-DD19</f>
        <v>0</v>
      </c>
      <c r="DE66" s="400">
        <f>-DE19</f>
        <v>0</v>
      </c>
    </row>
    <row r="67" hidden="1" outlineLevel="1" ht="15" customFormat="1" customHeight="1" s="381">
      <c r="A67" s="408" t="inlineStr">
        <is>
          <t>Denny</t>
        </is>
      </c>
      <c r="B67" s="400" t="n">
        <v>0</v>
      </c>
      <c r="C67" s="400" t="n">
        <v>0</v>
      </c>
      <c r="D67" s="400" t="n">
        <v>0</v>
      </c>
      <c r="E67" s="400" t="n">
        <v>0</v>
      </c>
      <c r="F67" s="400">
        <f>-F20</f>
        <v>0</v>
      </c>
      <c r="G67" s="400">
        <f>-G20</f>
        <v>0</v>
      </c>
      <c r="H67" s="400">
        <f>-H20</f>
        <v>0</v>
      </c>
      <c r="I67" s="400">
        <f>-I20</f>
        <v>-176182.053762078</v>
      </c>
      <c r="J67" s="400">
        <f>-J20</f>
        <v>-210834.608865678</v>
      </c>
      <c r="K67" s="400">
        <f>-K20</f>
        <v>-247666.389610878</v>
      </c>
      <c r="L67" s="400">
        <f>-L20</f>
        <v>-286175.600619678</v>
      </c>
      <c r="M67" s="400">
        <f>-M20</f>
        <v>-325774.424449278</v>
      </c>
      <c r="N67" s="400">
        <f>-N20</f>
        <v>-365746.010559678</v>
      </c>
      <c r="O67" s="400">
        <f>-O20</f>
        <v>-405301.823356878</v>
      </c>
      <c r="P67" s="400">
        <f>-P20</f>
        <v>-443581.642192878</v>
      </c>
      <c r="Q67" s="400">
        <f>-Q20</f>
        <v>-479667.898376478</v>
      </c>
      <c r="R67" s="400">
        <f>-R20</f>
        <v>-512686.034248878</v>
      </c>
      <c r="S67" s="400">
        <f>-S20</f>
        <v>-541747.155140478</v>
      </c>
      <c r="T67" s="400">
        <f>-T20</f>
        <v>-566062.725457278</v>
      </c>
      <c r="U67" s="400">
        <f>-U20</f>
        <v>-584958.905691678</v>
      </c>
      <c r="V67" s="400">
        <f>-V20</f>
        <v>-597862.215411678</v>
      </c>
      <c r="W67" s="400">
        <f>-W20</f>
        <v>-604414.229347278</v>
      </c>
      <c r="X67" s="400">
        <f>-X20</f>
        <v>-604414.229347278</v>
      </c>
      <c r="Y67" s="400">
        <f>-Y20</f>
        <v>-597862.215411678</v>
      </c>
      <c r="Z67" s="400">
        <f>-Z20</f>
        <v>-584958.905691678</v>
      </c>
      <c r="AA67" s="400">
        <f>-AA20</f>
        <v>-566062.725457278</v>
      </c>
      <c r="AB67" s="400">
        <f>-AB20</f>
        <v>-541747.155140478</v>
      </c>
      <c r="AC67" s="400">
        <f>-AC20</f>
        <v>-512686.034248878</v>
      </c>
      <c r="AD67" s="400">
        <f>-AD20</f>
        <v>-479667.898376478</v>
      </c>
      <c r="AE67" s="400">
        <f>-AE20</f>
        <v>-443581.642192878</v>
      </c>
      <c r="AF67" s="400">
        <f>-AF20</f>
        <v>-405301.823356878</v>
      </c>
      <c r="AG67" s="400">
        <f>-AG20</f>
        <v>-365746.010559678</v>
      </c>
      <c r="AH67" s="400">
        <f>-AH20</f>
        <v>-325774.424449278</v>
      </c>
      <c r="AI67" s="400">
        <f>-AI20</f>
        <v>-286175.600619678</v>
      </c>
      <c r="AJ67" s="400">
        <f>-AJ20</f>
        <v>-247666.389610878</v>
      </c>
      <c r="AK67" s="400">
        <f>-AK20</f>
        <v>-210834.608865678</v>
      </c>
      <c r="AL67" s="400">
        <f>-AL20</f>
        <v>-89879.700400938</v>
      </c>
      <c r="AM67" s="400">
        <f>-AM20</f>
        <v>0</v>
      </c>
      <c r="AN67" s="400">
        <f>-AN20</f>
        <v>0</v>
      </c>
      <c r="AO67" s="400">
        <f>-AO20</f>
        <v>0</v>
      </c>
      <c r="AP67" s="400">
        <f>-AP20</f>
        <v>0</v>
      </c>
      <c r="AQ67" s="400">
        <f>-AQ20</f>
        <v>0</v>
      </c>
      <c r="AR67" s="400">
        <f>-AR20</f>
        <v>0</v>
      </c>
      <c r="AS67" s="400">
        <f>-AS20</f>
        <v>0</v>
      </c>
      <c r="AT67" s="400">
        <f>-AT20</f>
        <v>0</v>
      </c>
      <c r="AU67" s="400">
        <f>-AU20</f>
        <v>0</v>
      </c>
      <c r="AV67" s="400">
        <f>-AV20</f>
        <v>0</v>
      </c>
      <c r="AW67" s="400">
        <f>-AW20</f>
        <v>0</v>
      </c>
      <c r="AX67" s="400">
        <f>-AX20</f>
        <v>0</v>
      </c>
      <c r="AY67" s="400">
        <f>-AY20</f>
        <v>0</v>
      </c>
      <c r="AZ67" s="400">
        <f>-AZ20</f>
        <v>0</v>
      </c>
      <c r="BA67" s="400">
        <f>-BA20</f>
        <v>0</v>
      </c>
      <c r="BB67" s="400">
        <f>-BB20</f>
        <v>0</v>
      </c>
      <c r="BC67" s="400">
        <f>-BC20</f>
        <v>0</v>
      </c>
      <c r="BD67" s="400">
        <f>-BD20</f>
        <v>0</v>
      </c>
      <c r="BE67" s="400">
        <f>-BE20</f>
        <v>0</v>
      </c>
      <c r="BF67" s="400">
        <f>-BF20</f>
        <v>0</v>
      </c>
      <c r="BG67" s="400">
        <f>-BG20</f>
        <v>0</v>
      </c>
      <c r="BH67" s="400">
        <f>-BH20</f>
        <v>0</v>
      </c>
      <c r="BI67" s="400">
        <f>-BI20</f>
        <v>0</v>
      </c>
      <c r="BJ67" s="400">
        <f>-BJ20</f>
        <v>0</v>
      </c>
      <c r="BK67" s="400">
        <f>-BK20</f>
        <v>0</v>
      </c>
      <c r="BL67" s="400">
        <f>-BL20</f>
        <v>0</v>
      </c>
      <c r="BM67" s="400">
        <f>-BM20</f>
        <v>0</v>
      </c>
      <c r="BN67" s="400">
        <f>-BN20</f>
        <v>0</v>
      </c>
      <c r="BO67" s="400">
        <f>-BO20</f>
        <v>0</v>
      </c>
      <c r="BP67" s="400">
        <f>-BP20</f>
        <v>0</v>
      </c>
      <c r="BQ67" s="400">
        <f>-BQ20</f>
        <v>0</v>
      </c>
      <c r="BR67" s="400">
        <f>-BR20</f>
        <v>0</v>
      </c>
      <c r="BS67" s="400">
        <f>-BS20</f>
        <v>0</v>
      </c>
      <c r="BT67" s="400">
        <f>-BT20</f>
        <v>0</v>
      </c>
      <c r="BU67" s="400">
        <f>-BU20</f>
        <v>0</v>
      </c>
      <c r="BV67" s="400">
        <f>-BV20</f>
        <v>0</v>
      </c>
      <c r="BW67" s="400">
        <f>-BW20</f>
        <v>0</v>
      </c>
      <c r="BX67" s="400">
        <f>-BX20</f>
        <v>0</v>
      </c>
      <c r="BY67" s="400">
        <f>-BY20</f>
        <v>0</v>
      </c>
      <c r="BZ67" s="400">
        <f>-BZ20</f>
        <v>0</v>
      </c>
      <c r="CA67" s="400">
        <f>-CA20</f>
        <v>0</v>
      </c>
      <c r="CB67" s="400">
        <f>-CB20</f>
        <v>0</v>
      </c>
      <c r="CC67" s="400">
        <f>-CC20</f>
        <v>0</v>
      </c>
      <c r="CD67" s="400">
        <f>-CD20</f>
        <v>0</v>
      </c>
      <c r="CE67" s="400">
        <f>-CE20</f>
        <v>0</v>
      </c>
      <c r="CF67" s="400">
        <f>-CF20</f>
        <v>0</v>
      </c>
      <c r="CG67" s="400">
        <f>-CG20</f>
        <v>0</v>
      </c>
      <c r="CH67" s="400">
        <f>-CH20</f>
        <v>0</v>
      </c>
      <c r="CI67" s="400">
        <f>-CI20</f>
        <v>0</v>
      </c>
      <c r="CJ67" s="400">
        <f>-CJ20</f>
        <v>0</v>
      </c>
      <c r="CK67" s="400">
        <f>-CK20</f>
        <v>0</v>
      </c>
      <c r="CL67" s="400">
        <f>-CL20</f>
        <v>0</v>
      </c>
      <c r="CM67" s="400">
        <f>-CM20</f>
        <v>0</v>
      </c>
      <c r="CN67" s="400">
        <f>-CN20</f>
        <v>0</v>
      </c>
      <c r="CO67" s="400">
        <f>-CO20</f>
        <v>0</v>
      </c>
      <c r="CP67" s="400">
        <f>-CP20</f>
        <v>0</v>
      </c>
      <c r="CQ67" s="400">
        <f>-CQ20</f>
        <v>0</v>
      </c>
      <c r="CR67" s="400">
        <f>-CR20</f>
        <v>0</v>
      </c>
      <c r="CS67" s="400">
        <f>-CS20</f>
        <v>0</v>
      </c>
      <c r="CT67" s="400">
        <f>-CT20</f>
        <v>0</v>
      </c>
      <c r="CU67" s="400">
        <f>-CU20</f>
        <v>0</v>
      </c>
      <c r="CV67" s="400">
        <f>-CV20</f>
        <v>0</v>
      </c>
      <c r="CW67" s="400">
        <f>-CW20</f>
        <v>0</v>
      </c>
      <c r="CX67" s="400">
        <f>-CX20</f>
        <v>0</v>
      </c>
      <c r="CY67" s="400">
        <f>-CY20</f>
        <v>0</v>
      </c>
      <c r="CZ67" s="400">
        <f>-CZ20</f>
        <v>0</v>
      </c>
      <c r="DA67" s="400">
        <f>-DA20</f>
        <v>0</v>
      </c>
      <c r="DB67" s="400">
        <f>-DB20</f>
        <v>0</v>
      </c>
      <c r="DC67" s="400">
        <f>-DC20</f>
        <v>0</v>
      </c>
      <c r="DD67" s="400">
        <f>-DD20</f>
        <v>0</v>
      </c>
      <c r="DE67" s="400">
        <f>-DE20</f>
        <v>0</v>
      </c>
    </row>
    <row r="68" hidden="1" outlineLevel="1" ht="15" customFormat="1" customHeight="1" s="381">
      <c r="A68" s="408" t="inlineStr">
        <is>
          <t>Acama</t>
        </is>
      </c>
      <c r="B68" s="400" t="n">
        <v>0</v>
      </c>
      <c r="C68" s="400" t="n">
        <v>0</v>
      </c>
      <c r="D68" s="400" t="n">
        <v>0</v>
      </c>
      <c r="E68" s="400" t="n">
        <v>0</v>
      </c>
      <c r="F68" s="400">
        <f>-F21</f>
        <v>0</v>
      </c>
      <c r="G68" s="400">
        <f>-G21</f>
        <v>0</v>
      </c>
      <c r="H68" s="400">
        <f>-H21</f>
        <v>0</v>
      </c>
      <c r="I68" s="400">
        <f>-I21</f>
        <v>0</v>
      </c>
      <c r="J68" s="400">
        <f>-J21</f>
        <v>0</v>
      </c>
      <c r="K68" s="400">
        <f>-K21</f>
        <v>0</v>
      </c>
      <c r="L68" s="400">
        <f>-L21</f>
        <v>-334505.743043865</v>
      </c>
      <c r="M68" s="400">
        <f>-M21</f>
        <v>-416135.954838865</v>
      </c>
      <c r="N68" s="400">
        <f>-N21</f>
        <v>-503507.285983865</v>
      </c>
      <c r="O68" s="400">
        <f>-O21</f>
        <v>-594727.293433865</v>
      </c>
      <c r="P68" s="400">
        <f>-P21</f>
        <v>-687265.631993865</v>
      </c>
      <c r="Q68" s="400">
        <f>-Q21</f>
        <v>-778294.268798865</v>
      </c>
      <c r="R68" s="400">
        <f>-R21</f>
        <v>-864623.693098865</v>
      </c>
      <c r="S68" s="400">
        <f>-S21</f>
        <v>-943000.603928865</v>
      </c>
      <c r="T68" s="400">
        <f>-T21</f>
        <v>-1010278.01734886</v>
      </c>
      <c r="U68" s="400">
        <f>-U21</f>
        <v>-1063542.84687386</v>
      </c>
      <c r="V68" s="400">
        <f>-V21</f>
        <v>-1100477.38135886</v>
      </c>
      <c r="W68" s="400">
        <f>-W21</f>
        <v>-1119380.54840386</v>
      </c>
      <c r="X68" s="400">
        <f>-X21</f>
        <v>-1119380.54840386</v>
      </c>
      <c r="Y68" s="400">
        <f>-Y21</f>
        <v>-1100477.38135886</v>
      </c>
      <c r="Z68" s="400">
        <f>-Z21</f>
        <v>-1063542.84687386</v>
      </c>
      <c r="AA68" s="400">
        <f>-AA21</f>
        <v>-1010278.01734886</v>
      </c>
      <c r="AB68" s="400">
        <f>-AB21</f>
        <v>-943000.603928865</v>
      </c>
      <c r="AC68" s="400">
        <f>-AC21</f>
        <v>-864623.693098865</v>
      </c>
      <c r="AD68" s="400">
        <f>-AD21</f>
        <v>-778294.268798865</v>
      </c>
      <c r="AE68" s="400">
        <f>-AE21</f>
        <v>-687265.631993865</v>
      </c>
      <c r="AF68" s="400">
        <f>-AF21</f>
        <v>-594727.293433865</v>
      </c>
      <c r="AG68" s="400">
        <f>-AG21</f>
        <v>-503507.285983865</v>
      </c>
      <c r="AH68" s="400">
        <f>-AH21</f>
        <v>-416135.954838865</v>
      </c>
      <c r="AI68" s="400">
        <f>-AI21</f>
        <v>-206509.613476115</v>
      </c>
      <c r="AJ68" s="400">
        <f>-AJ21</f>
        <v>0</v>
      </c>
      <c r="AK68" s="400">
        <f>-AK21</f>
        <v>0</v>
      </c>
      <c r="AL68" s="400">
        <f>-AL21</f>
        <v>0</v>
      </c>
      <c r="AM68" s="400">
        <f>-AM21</f>
        <v>0</v>
      </c>
      <c r="AN68" s="400">
        <f>-AN21</f>
        <v>0</v>
      </c>
      <c r="AO68" s="400">
        <f>-AO21</f>
        <v>0</v>
      </c>
      <c r="AP68" s="400">
        <f>-AP21</f>
        <v>0</v>
      </c>
      <c r="AQ68" s="400">
        <f>-AQ21</f>
        <v>0</v>
      </c>
      <c r="AR68" s="400">
        <f>-AR21</f>
        <v>0</v>
      </c>
      <c r="AS68" s="400">
        <f>-AS21</f>
        <v>0</v>
      </c>
      <c r="AT68" s="400">
        <f>-AT21</f>
        <v>0</v>
      </c>
      <c r="AU68" s="400">
        <f>-AU21</f>
        <v>0</v>
      </c>
      <c r="AV68" s="400">
        <f>-AV21</f>
        <v>0</v>
      </c>
      <c r="AW68" s="400">
        <f>-AW21</f>
        <v>0</v>
      </c>
      <c r="AX68" s="400">
        <f>-AX21</f>
        <v>0</v>
      </c>
      <c r="AY68" s="400">
        <f>-AY21</f>
        <v>0</v>
      </c>
      <c r="AZ68" s="400">
        <f>-AZ21</f>
        <v>0</v>
      </c>
      <c r="BA68" s="400">
        <f>-BA21</f>
        <v>0</v>
      </c>
      <c r="BB68" s="400">
        <f>-BB21</f>
        <v>0</v>
      </c>
      <c r="BC68" s="400">
        <f>-BC21</f>
        <v>0</v>
      </c>
      <c r="BD68" s="400">
        <f>-BD21</f>
        <v>0</v>
      </c>
      <c r="BE68" s="400">
        <f>-BE21</f>
        <v>0</v>
      </c>
      <c r="BF68" s="400">
        <f>-BF21</f>
        <v>0</v>
      </c>
      <c r="BG68" s="400">
        <f>-BG21</f>
        <v>0</v>
      </c>
      <c r="BH68" s="400">
        <f>-BH21</f>
        <v>0</v>
      </c>
      <c r="BI68" s="400">
        <f>-BI21</f>
        <v>0</v>
      </c>
      <c r="BJ68" s="400">
        <f>-BJ21</f>
        <v>0</v>
      </c>
      <c r="BK68" s="400">
        <f>-BK21</f>
        <v>0</v>
      </c>
      <c r="BL68" s="400">
        <f>-BL21</f>
        <v>0</v>
      </c>
      <c r="BM68" s="400">
        <f>-BM21</f>
        <v>0</v>
      </c>
      <c r="BN68" s="400">
        <f>-BN21</f>
        <v>0</v>
      </c>
      <c r="BO68" s="400">
        <f>-BO21</f>
        <v>0</v>
      </c>
      <c r="BP68" s="400">
        <f>-BP21</f>
        <v>0</v>
      </c>
      <c r="BQ68" s="400">
        <f>-BQ21</f>
        <v>0</v>
      </c>
      <c r="BR68" s="400">
        <f>-BR21</f>
        <v>0</v>
      </c>
      <c r="BS68" s="400">
        <f>-BS21</f>
        <v>0</v>
      </c>
      <c r="BT68" s="400">
        <f>-BT21</f>
        <v>0</v>
      </c>
      <c r="BU68" s="400">
        <f>-BU21</f>
        <v>0</v>
      </c>
      <c r="BV68" s="400">
        <f>-BV21</f>
        <v>0</v>
      </c>
      <c r="BW68" s="400">
        <f>-BW21</f>
        <v>0</v>
      </c>
      <c r="BX68" s="400">
        <f>-BX21</f>
        <v>0</v>
      </c>
      <c r="BY68" s="400">
        <f>-BY21</f>
        <v>0</v>
      </c>
      <c r="BZ68" s="400">
        <f>-BZ21</f>
        <v>0</v>
      </c>
      <c r="CA68" s="400">
        <f>-CA21</f>
        <v>0</v>
      </c>
      <c r="CB68" s="400">
        <f>-CB21</f>
        <v>0</v>
      </c>
      <c r="CC68" s="400">
        <f>-CC21</f>
        <v>0</v>
      </c>
      <c r="CD68" s="400">
        <f>-CD21</f>
        <v>0</v>
      </c>
      <c r="CE68" s="400">
        <f>-CE21</f>
        <v>0</v>
      </c>
      <c r="CF68" s="400">
        <f>-CF21</f>
        <v>0</v>
      </c>
      <c r="CG68" s="400">
        <f>-CG21</f>
        <v>0</v>
      </c>
      <c r="CH68" s="400">
        <f>-CH21</f>
        <v>0</v>
      </c>
      <c r="CI68" s="400">
        <f>-CI21</f>
        <v>0</v>
      </c>
      <c r="CJ68" s="400">
        <f>-CJ21</f>
        <v>0</v>
      </c>
      <c r="CK68" s="400">
        <f>-CK21</f>
        <v>0</v>
      </c>
      <c r="CL68" s="400">
        <f>-CL21</f>
        <v>0</v>
      </c>
      <c r="CM68" s="400">
        <f>-CM21</f>
        <v>0</v>
      </c>
      <c r="CN68" s="400">
        <f>-CN21</f>
        <v>0</v>
      </c>
      <c r="CO68" s="400">
        <f>-CO21</f>
        <v>0</v>
      </c>
      <c r="CP68" s="400">
        <f>-CP21</f>
        <v>0</v>
      </c>
      <c r="CQ68" s="400">
        <f>-CQ21</f>
        <v>0</v>
      </c>
      <c r="CR68" s="400">
        <f>-CR21</f>
        <v>0</v>
      </c>
      <c r="CS68" s="400">
        <f>-CS21</f>
        <v>0</v>
      </c>
      <c r="CT68" s="400">
        <f>-CT21</f>
        <v>0</v>
      </c>
      <c r="CU68" s="400">
        <f>-CU21</f>
        <v>0</v>
      </c>
      <c r="CV68" s="400">
        <f>-CV21</f>
        <v>0</v>
      </c>
      <c r="CW68" s="400">
        <f>-CW21</f>
        <v>0</v>
      </c>
      <c r="CX68" s="400">
        <f>-CX21</f>
        <v>0</v>
      </c>
      <c r="CY68" s="400">
        <f>-CY21</f>
        <v>0</v>
      </c>
      <c r="CZ68" s="400">
        <f>-CZ21</f>
        <v>0</v>
      </c>
      <c r="DA68" s="400">
        <f>-DA21</f>
        <v>0</v>
      </c>
      <c r="DB68" s="400">
        <f>-DB21</f>
        <v>0</v>
      </c>
      <c r="DC68" s="400">
        <f>-DC21</f>
        <v>0</v>
      </c>
      <c r="DD68" s="400">
        <f>-DD21</f>
        <v>0</v>
      </c>
      <c r="DE68" s="400">
        <f>-DE21</f>
        <v>0</v>
      </c>
    </row>
    <row r="69" hidden="1" outlineLevel="1" ht="15" customFormat="1" customHeight="1" s="381">
      <c r="A69" s="408" t="inlineStr">
        <is>
          <t>Klump</t>
        </is>
      </c>
      <c r="B69" s="400" t="n">
        <v>0</v>
      </c>
      <c r="C69" s="400" t="n">
        <v>0</v>
      </c>
      <c r="D69" s="400" t="n">
        <v>0</v>
      </c>
      <c r="E69" s="400" t="n">
        <v>0</v>
      </c>
      <c r="F69" s="400">
        <f>-F22</f>
        <v>0</v>
      </c>
      <c r="G69" s="400">
        <f>-G22</f>
        <v>0</v>
      </c>
      <c r="H69" s="400">
        <f>-H22</f>
        <v>0</v>
      </c>
      <c r="I69" s="400">
        <f>-I22</f>
        <v>0</v>
      </c>
      <c r="J69" s="400">
        <f>-J22</f>
        <v>0</v>
      </c>
      <c r="K69" s="400">
        <f>-K22</f>
        <v>0</v>
      </c>
      <c r="L69" s="400">
        <f>-L22</f>
        <v>0</v>
      </c>
      <c r="M69" s="400">
        <f>-M22</f>
        <v>0</v>
      </c>
      <c r="N69" s="400">
        <f>-N22</f>
        <v>-196306.31287205</v>
      </c>
      <c r="O69" s="400">
        <f>-O22</f>
        <v>-256105.78146805</v>
      </c>
      <c r="P69" s="400">
        <f>-P22</f>
        <v>-320473.53105705</v>
      </c>
      <c r="Q69" s="400">
        <f>-Q22</f>
        <v>-386842.89642705</v>
      </c>
      <c r="R69" s="400">
        <f>-R22</f>
        <v>-452024.70028105</v>
      </c>
      <c r="S69" s="400">
        <f>-S22</f>
        <v>-512398.79541705</v>
      </c>
      <c r="T69" s="400">
        <f>-T22</f>
        <v>-564258.84065205</v>
      </c>
      <c r="U69" s="400">
        <f>-U22</f>
        <v>-604166.65385505</v>
      </c>
      <c r="V69" s="400">
        <f>-V22</f>
        <v>-629335.29630705</v>
      </c>
      <c r="W69" s="400">
        <f>-W22</f>
        <v>-637935.54018905</v>
      </c>
      <c r="X69" s="400">
        <f>-X22</f>
        <v>-629335.29630705</v>
      </c>
      <c r="Y69" s="400">
        <f>-Y22</f>
        <v>-604166.65385505</v>
      </c>
      <c r="Z69" s="400">
        <f>-Z22</f>
        <v>-564258.84065205</v>
      </c>
      <c r="AA69" s="400">
        <f>-AA22</f>
        <v>-512398.79541705</v>
      </c>
      <c r="AB69" s="400">
        <f>-AB22</f>
        <v>-452024.70028105</v>
      </c>
      <c r="AC69" s="400">
        <f>-AC22</f>
        <v>-386842.89642705</v>
      </c>
      <c r="AD69" s="400">
        <f>-AD22</f>
        <v>-320473.53105705</v>
      </c>
      <c r="AE69" s="400">
        <f>-AE22</f>
        <v>-256105.78146805</v>
      </c>
      <c r="AF69" s="400">
        <f>-AF22</f>
        <v>-138656.4263911</v>
      </c>
      <c r="AG69" s="400">
        <f>-AG22</f>
        <v>0</v>
      </c>
      <c r="AH69" s="400">
        <f>-AH22</f>
        <v>0</v>
      </c>
      <c r="AI69" s="400">
        <f>-AI22</f>
        <v>0</v>
      </c>
      <c r="AJ69" s="400">
        <f>-AJ22</f>
        <v>0</v>
      </c>
      <c r="AK69" s="400">
        <f>-AK22</f>
        <v>0</v>
      </c>
      <c r="AL69" s="400">
        <f>-AL22</f>
        <v>0</v>
      </c>
      <c r="AM69" s="400">
        <f>-AM22</f>
        <v>0</v>
      </c>
      <c r="AN69" s="400">
        <f>-AN22</f>
        <v>0</v>
      </c>
      <c r="AO69" s="400">
        <f>-AO22</f>
        <v>0</v>
      </c>
      <c r="AP69" s="400">
        <f>-AP22</f>
        <v>0</v>
      </c>
      <c r="AQ69" s="400">
        <f>-AQ22</f>
        <v>0</v>
      </c>
      <c r="AR69" s="400">
        <f>-AR22</f>
        <v>0</v>
      </c>
      <c r="AS69" s="400">
        <f>-AS22</f>
        <v>0</v>
      </c>
      <c r="AT69" s="400">
        <f>-AT22</f>
        <v>0</v>
      </c>
      <c r="AU69" s="400">
        <f>-AU22</f>
        <v>0</v>
      </c>
      <c r="AV69" s="400">
        <f>-AV22</f>
        <v>0</v>
      </c>
      <c r="AW69" s="400">
        <f>-AW22</f>
        <v>0</v>
      </c>
      <c r="AX69" s="400">
        <f>-AX22</f>
        <v>0</v>
      </c>
      <c r="AY69" s="400">
        <f>-AY22</f>
        <v>0</v>
      </c>
      <c r="AZ69" s="400">
        <f>-AZ22</f>
        <v>0</v>
      </c>
      <c r="BA69" s="400">
        <f>-BA22</f>
        <v>0</v>
      </c>
      <c r="BB69" s="400">
        <f>-BB22</f>
        <v>0</v>
      </c>
      <c r="BC69" s="400">
        <f>-BC22</f>
        <v>0</v>
      </c>
      <c r="BD69" s="400">
        <f>-BD22</f>
        <v>0</v>
      </c>
      <c r="BE69" s="400">
        <f>-BE22</f>
        <v>0</v>
      </c>
      <c r="BF69" s="400">
        <f>-BF22</f>
        <v>0</v>
      </c>
      <c r="BG69" s="400">
        <f>-BG22</f>
        <v>0</v>
      </c>
      <c r="BH69" s="400">
        <f>-BH22</f>
        <v>0</v>
      </c>
      <c r="BI69" s="400">
        <f>-BI22</f>
        <v>0</v>
      </c>
      <c r="BJ69" s="400">
        <f>-BJ22</f>
        <v>0</v>
      </c>
      <c r="BK69" s="400">
        <f>-BK22</f>
        <v>0</v>
      </c>
      <c r="BL69" s="400">
        <f>-BL22</f>
        <v>0</v>
      </c>
      <c r="BM69" s="400">
        <f>-BM22</f>
        <v>0</v>
      </c>
      <c r="BN69" s="400">
        <f>-BN22</f>
        <v>0</v>
      </c>
      <c r="BO69" s="400">
        <f>-BO22</f>
        <v>0</v>
      </c>
      <c r="BP69" s="400">
        <f>-BP22</f>
        <v>0</v>
      </c>
      <c r="BQ69" s="400">
        <f>-BQ22</f>
        <v>0</v>
      </c>
      <c r="BR69" s="400">
        <f>-BR22</f>
        <v>0</v>
      </c>
      <c r="BS69" s="400">
        <f>-BS22</f>
        <v>0</v>
      </c>
      <c r="BT69" s="400">
        <f>-BT22</f>
        <v>0</v>
      </c>
      <c r="BU69" s="400">
        <f>-BU22</f>
        <v>0</v>
      </c>
      <c r="BV69" s="400">
        <f>-BV22</f>
        <v>0</v>
      </c>
      <c r="BW69" s="400">
        <f>-BW22</f>
        <v>0</v>
      </c>
      <c r="BX69" s="400">
        <f>-BX22</f>
        <v>0</v>
      </c>
      <c r="BY69" s="400">
        <f>-BY22</f>
        <v>0</v>
      </c>
      <c r="BZ69" s="400">
        <f>-BZ22</f>
        <v>0</v>
      </c>
      <c r="CA69" s="400">
        <f>-CA22</f>
        <v>0</v>
      </c>
      <c r="CB69" s="400">
        <f>-CB22</f>
        <v>0</v>
      </c>
      <c r="CC69" s="400">
        <f>-CC22</f>
        <v>0</v>
      </c>
      <c r="CD69" s="400">
        <f>-CD22</f>
        <v>0</v>
      </c>
      <c r="CE69" s="400">
        <f>-CE22</f>
        <v>0</v>
      </c>
      <c r="CF69" s="400">
        <f>-CF22</f>
        <v>0</v>
      </c>
      <c r="CG69" s="400">
        <f>-CG22</f>
        <v>0</v>
      </c>
      <c r="CH69" s="400">
        <f>-CH22</f>
        <v>0</v>
      </c>
      <c r="CI69" s="400">
        <f>-CI22</f>
        <v>0</v>
      </c>
      <c r="CJ69" s="400">
        <f>-CJ22</f>
        <v>0</v>
      </c>
      <c r="CK69" s="400">
        <f>-CK22</f>
        <v>0</v>
      </c>
      <c r="CL69" s="400">
        <f>-CL22</f>
        <v>0</v>
      </c>
      <c r="CM69" s="400">
        <f>-CM22</f>
        <v>0</v>
      </c>
      <c r="CN69" s="400">
        <f>-CN22</f>
        <v>0</v>
      </c>
      <c r="CO69" s="400">
        <f>-CO22</f>
        <v>0</v>
      </c>
      <c r="CP69" s="400">
        <f>-CP22</f>
        <v>0</v>
      </c>
      <c r="CQ69" s="400">
        <f>-CQ22</f>
        <v>0</v>
      </c>
      <c r="CR69" s="400">
        <f>-CR22</f>
        <v>0</v>
      </c>
      <c r="CS69" s="400">
        <f>-CS22</f>
        <v>0</v>
      </c>
      <c r="CT69" s="400">
        <f>-CT22</f>
        <v>0</v>
      </c>
      <c r="CU69" s="400">
        <f>-CU22</f>
        <v>0</v>
      </c>
      <c r="CV69" s="400">
        <f>-CV22</f>
        <v>0</v>
      </c>
      <c r="CW69" s="400">
        <f>-CW22</f>
        <v>0</v>
      </c>
      <c r="CX69" s="400">
        <f>-CX22</f>
        <v>0</v>
      </c>
      <c r="CY69" s="400">
        <f>-CY22</f>
        <v>0</v>
      </c>
      <c r="CZ69" s="400">
        <f>-CZ22</f>
        <v>0</v>
      </c>
      <c r="DA69" s="400">
        <f>-DA22</f>
        <v>0</v>
      </c>
      <c r="DB69" s="400">
        <f>-DB22</f>
        <v>0</v>
      </c>
      <c r="DC69" s="400">
        <f>-DC22</f>
        <v>0</v>
      </c>
      <c r="DD69" s="400">
        <f>-DD22</f>
        <v>0</v>
      </c>
      <c r="DE69" s="400">
        <f>-DE22</f>
        <v>0</v>
      </c>
    </row>
    <row r="70" hidden="1" outlineLevel="1" ht="15" customFormat="1" customHeight="1" s="381">
      <c r="A70" s="408" t="inlineStr">
        <is>
          <t>Scott</t>
        </is>
      </c>
      <c r="B70" s="400" t="n">
        <v>0</v>
      </c>
      <c r="C70" s="400" t="n">
        <v>0</v>
      </c>
      <c r="D70" s="400" t="n">
        <v>0</v>
      </c>
      <c r="E70" s="400" t="n">
        <v>0</v>
      </c>
      <c r="F70" s="400">
        <f>-F23</f>
        <v>0</v>
      </c>
      <c r="G70" s="400">
        <f>-G23</f>
        <v>0</v>
      </c>
      <c r="H70" s="400">
        <f>-H23</f>
        <v>0</v>
      </c>
      <c r="I70" s="400">
        <f>-I23</f>
        <v>0</v>
      </c>
      <c r="J70" s="400">
        <f>-J23</f>
        <v>0</v>
      </c>
      <c r="K70" s="400">
        <f>-K23</f>
        <v>0</v>
      </c>
      <c r="L70" s="400">
        <f>-L23</f>
        <v>0</v>
      </c>
      <c r="M70" s="400">
        <f>-M23</f>
        <v>0</v>
      </c>
      <c r="N70" s="400">
        <f>-N23</f>
        <v>-154657.42123235</v>
      </c>
      <c r="O70" s="400">
        <f>-O23</f>
        <v>-201769.66876435</v>
      </c>
      <c r="P70" s="400">
        <f>-P23</f>
        <v>-252480.97812735</v>
      </c>
      <c r="Q70" s="400">
        <f>-Q23</f>
        <v>-304769.23491735</v>
      </c>
      <c r="R70" s="400">
        <f>-R23</f>
        <v>-356121.88653535</v>
      </c>
      <c r="S70" s="400">
        <f>-S23</f>
        <v>-403686.84624735</v>
      </c>
      <c r="T70" s="400">
        <f>-T23</f>
        <v>-444544.12049235</v>
      </c>
      <c r="U70" s="400">
        <f>-U23</f>
        <v>-475984.98139335</v>
      </c>
      <c r="V70" s="400">
        <f>-V23</f>
        <v>-495813.77487735</v>
      </c>
      <c r="W70" s="400">
        <f>-W23</f>
        <v>-502589.36717135</v>
      </c>
      <c r="X70" s="400">
        <f>-X23</f>
        <v>-495813.77487735</v>
      </c>
      <c r="Y70" s="400">
        <f>-Y23</f>
        <v>-475984.98139335</v>
      </c>
      <c r="Z70" s="400">
        <f>-Z23</f>
        <v>-444544.12049235</v>
      </c>
      <c r="AA70" s="400">
        <f>-AA23</f>
        <v>-403686.84624735</v>
      </c>
      <c r="AB70" s="400">
        <f>-AB23</f>
        <v>-356121.88653535</v>
      </c>
      <c r="AC70" s="400">
        <f>-AC23</f>
        <v>-304769.23491735</v>
      </c>
      <c r="AD70" s="400">
        <f>-AD23</f>
        <v>-252480.97812735</v>
      </c>
      <c r="AE70" s="400">
        <f>-AE23</f>
        <v>-201769.66876435</v>
      </c>
      <c r="AF70" s="400">
        <f>-AF23</f>
        <v>-109238.6945137</v>
      </c>
      <c r="AG70" s="400">
        <f>-AG23</f>
        <v>0</v>
      </c>
      <c r="AH70" s="400">
        <f>-AH23</f>
        <v>0</v>
      </c>
      <c r="AI70" s="400">
        <f>-AI23</f>
        <v>0</v>
      </c>
      <c r="AJ70" s="400">
        <f>-AJ23</f>
        <v>0</v>
      </c>
      <c r="AK70" s="400">
        <f>-AK23</f>
        <v>0</v>
      </c>
      <c r="AL70" s="400">
        <f>-AL23</f>
        <v>0</v>
      </c>
      <c r="AM70" s="400">
        <f>-AM23</f>
        <v>0</v>
      </c>
      <c r="AN70" s="400">
        <f>-AN23</f>
        <v>0</v>
      </c>
      <c r="AO70" s="400">
        <f>-AO23</f>
        <v>0</v>
      </c>
      <c r="AP70" s="400">
        <f>-AP23</f>
        <v>0</v>
      </c>
      <c r="AQ70" s="400">
        <f>-AQ23</f>
        <v>0</v>
      </c>
      <c r="AR70" s="400">
        <f>-AR23</f>
        <v>0</v>
      </c>
      <c r="AS70" s="400">
        <f>-AS23</f>
        <v>0</v>
      </c>
      <c r="AT70" s="400">
        <f>-AT23</f>
        <v>0</v>
      </c>
      <c r="AU70" s="400">
        <f>-AU23</f>
        <v>0</v>
      </c>
      <c r="AV70" s="400">
        <f>-AV23</f>
        <v>0</v>
      </c>
      <c r="AW70" s="400">
        <f>-AW23</f>
        <v>0</v>
      </c>
      <c r="AX70" s="400">
        <f>-AX23</f>
        <v>0</v>
      </c>
      <c r="AY70" s="400">
        <f>-AY23</f>
        <v>0</v>
      </c>
      <c r="AZ70" s="400">
        <f>-AZ23</f>
        <v>0</v>
      </c>
      <c r="BA70" s="400">
        <f>-BA23</f>
        <v>0</v>
      </c>
      <c r="BB70" s="400">
        <f>-BB23</f>
        <v>0</v>
      </c>
      <c r="BC70" s="400">
        <f>-BC23</f>
        <v>0</v>
      </c>
      <c r="BD70" s="400">
        <f>-BD23</f>
        <v>0</v>
      </c>
      <c r="BE70" s="400">
        <f>-BE23</f>
        <v>0</v>
      </c>
      <c r="BF70" s="400">
        <f>-BF23</f>
        <v>0</v>
      </c>
      <c r="BG70" s="400">
        <f>-BG23</f>
        <v>0</v>
      </c>
      <c r="BH70" s="400">
        <f>-BH23</f>
        <v>0</v>
      </c>
      <c r="BI70" s="400">
        <f>-BI23</f>
        <v>0</v>
      </c>
      <c r="BJ70" s="400">
        <f>-BJ23</f>
        <v>0</v>
      </c>
      <c r="BK70" s="400">
        <f>-BK23</f>
        <v>0</v>
      </c>
      <c r="BL70" s="400">
        <f>-BL23</f>
        <v>0</v>
      </c>
      <c r="BM70" s="400">
        <f>-BM23</f>
        <v>0</v>
      </c>
      <c r="BN70" s="400">
        <f>-BN23</f>
        <v>0</v>
      </c>
      <c r="BO70" s="400">
        <f>-BO23</f>
        <v>0</v>
      </c>
      <c r="BP70" s="400">
        <f>-BP23</f>
        <v>0</v>
      </c>
      <c r="BQ70" s="400">
        <f>-BQ23</f>
        <v>0</v>
      </c>
      <c r="BR70" s="400">
        <f>-BR23</f>
        <v>0</v>
      </c>
      <c r="BS70" s="400">
        <f>-BS23</f>
        <v>0</v>
      </c>
      <c r="BT70" s="400">
        <f>-BT23</f>
        <v>0</v>
      </c>
      <c r="BU70" s="400">
        <f>-BU23</f>
        <v>0</v>
      </c>
      <c r="BV70" s="400">
        <f>-BV23</f>
        <v>0</v>
      </c>
      <c r="BW70" s="400">
        <f>-BW23</f>
        <v>0</v>
      </c>
      <c r="BX70" s="400">
        <f>-BX23</f>
        <v>0</v>
      </c>
      <c r="BY70" s="400">
        <f>-BY23</f>
        <v>0</v>
      </c>
      <c r="BZ70" s="400">
        <f>-BZ23</f>
        <v>0</v>
      </c>
      <c r="CA70" s="400">
        <f>-CA23</f>
        <v>0</v>
      </c>
      <c r="CB70" s="400">
        <f>-CB23</f>
        <v>0</v>
      </c>
      <c r="CC70" s="400">
        <f>-CC23</f>
        <v>0</v>
      </c>
      <c r="CD70" s="400">
        <f>-CD23</f>
        <v>0</v>
      </c>
      <c r="CE70" s="400">
        <f>-CE23</f>
        <v>0</v>
      </c>
      <c r="CF70" s="400">
        <f>-CF23</f>
        <v>0</v>
      </c>
      <c r="CG70" s="400">
        <f>-CG23</f>
        <v>0</v>
      </c>
      <c r="CH70" s="400">
        <f>-CH23</f>
        <v>0</v>
      </c>
      <c r="CI70" s="400">
        <f>-CI23</f>
        <v>0</v>
      </c>
      <c r="CJ70" s="400">
        <f>-CJ23</f>
        <v>0</v>
      </c>
      <c r="CK70" s="400">
        <f>-CK23</f>
        <v>0</v>
      </c>
      <c r="CL70" s="400">
        <f>-CL23</f>
        <v>0</v>
      </c>
      <c r="CM70" s="400">
        <f>-CM23</f>
        <v>0</v>
      </c>
      <c r="CN70" s="400">
        <f>-CN23</f>
        <v>0</v>
      </c>
      <c r="CO70" s="400">
        <f>-CO23</f>
        <v>0</v>
      </c>
      <c r="CP70" s="400">
        <f>-CP23</f>
        <v>0</v>
      </c>
      <c r="CQ70" s="400">
        <f>-CQ23</f>
        <v>0</v>
      </c>
      <c r="CR70" s="400">
        <f>-CR23</f>
        <v>0</v>
      </c>
      <c r="CS70" s="400">
        <f>-CS23</f>
        <v>0</v>
      </c>
      <c r="CT70" s="400">
        <f>-CT23</f>
        <v>0</v>
      </c>
      <c r="CU70" s="400">
        <f>-CU23</f>
        <v>0</v>
      </c>
      <c r="CV70" s="400">
        <f>-CV23</f>
        <v>0</v>
      </c>
      <c r="CW70" s="400">
        <f>-CW23</f>
        <v>0</v>
      </c>
      <c r="CX70" s="400">
        <f>-CX23</f>
        <v>0</v>
      </c>
      <c r="CY70" s="400">
        <f>-CY23</f>
        <v>0</v>
      </c>
      <c r="CZ70" s="400">
        <f>-CZ23</f>
        <v>0</v>
      </c>
      <c r="DA70" s="400">
        <f>-DA23</f>
        <v>0</v>
      </c>
      <c r="DB70" s="400">
        <f>-DB23</f>
        <v>0</v>
      </c>
      <c r="DC70" s="400">
        <f>-DC23</f>
        <v>0</v>
      </c>
      <c r="DD70" s="400">
        <f>-DD23</f>
        <v>0</v>
      </c>
      <c r="DE70" s="400">
        <f>-DE23</f>
        <v>0</v>
      </c>
    </row>
    <row r="71" hidden="1" outlineLevel="1" ht="15" customFormat="1" customHeight="1" s="381">
      <c r="A71" s="408" t="inlineStr">
        <is>
          <t>Reseda</t>
        </is>
      </c>
      <c r="B71" s="400" t="n">
        <v>0</v>
      </c>
      <c r="C71" s="400" t="n">
        <v>0</v>
      </c>
      <c r="D71" s="400" t="n">
        <v>0</v>
      </c>
      <c r="E71" s="400" t="n">
        <v>0</v>
      </c>
      <c r="F71" s="400">
        <f>-F24</f>
        <v>0</v>
      </c>
      <c r="G71" s="400">
        <f>-G24</f>
        <v>0</v>
      </c>
      <c r="H71" s="400">
        <f>-H24</f>
        <v>0</v>
      </c>
      <c r="I71" s="400">
        <f>-I24</f>
        <v>0</v>
      </c>
      <c r="J71" s="400">
        <f>-J24</f>
        <v>0</v>
      </c>
      <c r="K71" s="400">
        <f>-K24</f>
        <v>0</v>
      </c>
      <c r="L71" s="400">
        <f>-L24</f>
        <v>0</v>
      </c>
      <c r="M71" s="400">
        <f>-M24</f>
        <v>0</v>
      </c>
      <c r="N71" s="400">
        <f>-N24</f>
        <v>0</v>
      </c>
      <c r="O71" s="400">
        <f>-O24</f>
        <v>0</v>
      </c>
      <c r="P71" s="400">
        <f>-P24</f>
        <v>0</v>
      </c>
      <c r="Q71" s="400">
        <f>-Q24</f>
        <v>0</v>
      </c>
      <c r="R71" s="400">
        <f>-R24</f>
        <v>-556266.059712783</v>
      </c>
      <c r="S71" s="400">
        <f>-S24</f>
        <v>-665675.842802783</v>
      </c>
      <c r="T71" s="400">
        <f>-T24</f>
        <v>-781966.174932784</v>
      </c>
      <c r="U71" s="400">
        <f>-U24</f>
        <v>-903552.719152783</v>
      </c>
      <c r="V71" s="400">
        <f>-V24</f>
        <v>-1028579.53789278</v>
      </c>
      <c r="W71" s="400">
        <f>-W24</f>
        <v>-1154783.29265278</v>
      </c>
      <c r="X71" s="400">
        <f>-X24</f>
        <v>-1279674.31108278</v>
      </c>
      <c r="Y71" s="400">
        <f>-Y24</f>
        <v>-1400536.58698278</v>
      </c>
      <c r="Z71" s="400">
        <f>-Z24</f>
        <v>-1514473.04707278</v>
      </c>
      <c r="AA71" s="400">
        <f>-AA24</f>
        <v>-1618722.41838278</v>
      </c>
      <c r="AB71" s="400">
        <f>-AB24</f>
        <v>-1710478.16117278</v>
      </c>
      <c r="AC71" s="400">
        <f>-AC24</f>
        <v>-1787250.60309278</v>
      </c>
      <c r="AD71" s="400">
        <f>-AD24</f>
        <v>-1846912.20595278</v>
      </c>
      <c r="AE71" s="400">
        <f>-AE24</f>
        <v>-1887652.29895278</v>
      </c>
      <c r="AF71" s="400">
        <f>-AF24</f>
        <v>-1908339.21284278</v>
      </c>
      <c r="AG71" s="400">
        <f>-AG24</f>
        <v>-1908339.21284278</v>
      </c>
      <c r="AH71" s="400">
        <f>-AH24</f>
        <v>-1887652.29895278</v>
      </c>
      <c r="AI71" s="400">
        <f>-AI24</f>
        <v>-1846912.20595278</v>
      </c>
      <c r="AJ71" s="400">
        <f>-AJ24</f>
        <v>-1787250.60309278</v>
      </c>
      <c r="AK71" s="400">
        <f>-AK24</f>
        <v>-1710478.16117278</v>
      </c>
      <c r="AL71" s="400">
        <f>-AL24</f>
        <v>-1618722.41838278</v>
      </c>
      <c r="AM71" s="400">
        <f>-AM24</f>
        <v>-1514473.04707278</v>
      </c>
      <c r="AN71" s="400">
        <f>-AN24</f>
        <v>-1400536.58698278</v>
      </c>
      <c r="AO71" s="400">
        <f>-AO24</f>
        <v>-1279674.31108278</v>
      </c>
      <c r="AP71" s="400">
        <f>-AP24</f>
        <v>-1154783.29265278</v>
      </c>
      <c r="AQ71" s="400">
        <f>-AQ24</f>
        <v>-1028579.53789278</v>
      </c>
      <c r="AR71" s="400">
        <f>-AR24</f>
        <v>-903552.719152783</v>
      </c>
      <c r="AS71" s="400">
        <f>-AS24</f>
        <v>-781966.174932784</v>
      </c>
      <c r="AT71" s="400">
        <f>-AT24</f>
        <v>-665675.842802783</v>
      </c>
      <c r="AU71" s="400">
        <f>-AU24</f>
        <v>-283780.474359283</v>
      </c>
      <c r="AV71" s="400">
        <f>-AV24</f>
        <v>0</v>
      </c>
      <c r="AW71" s="400">
        <f>-AW24</f>
        <v>0</v>
      </c>
      <c r="AX71" s="400">
        <f>-AX24</f>
        <v>0</v>
      </c>
      <c r="AY71" s="400">
        <f>-AY24</f>
        <v>0</v>
      </c>
      <c r="AZ71" s="400">
        <f>-AZ24</f>
        <v>0</v>
      </c>
      <c r="BA71" s="400">
        <f>-BA24</f>
        <v>0</v>
      </c>
      <c r="BB71" s="400">
        <f>-BB24</f>
        <v>0</v>
      </c>
      <c r="BC71" s="400">
        <f>-BC24</f>
        <v>0</v>
      </c>
      <c r="BD71" s="400">
        <f>-BD24</f>
        <v>0</v>
      </c>
      <c r="BE71" s="400">
        <f>-BE24</f>
        <v>0</v>
      </c>
      <c r="BF71" s="400">
        <f>-BF24</f>
        <v>0</v>
      </c>
      <c r="BG71" s="400">
        <f>-BG24</f>
        <v>0</v>
      </c>
      <c r="BH71" s="400">
        <f>-BH24</f>
        <v>0</v>
      </c>
      <c r="BI71" s="400">
        <f>-BI24</f>
        <v>0</v>
      </c>
      <c r="BJ71" s="400">
        <f>-BJ24</f>
        <v>0</v>
      </c>
      <c r="BK71" s="400">
        <f>-BK24</f>
        <v>0</v>
      </c>
      <c r="BL71" s="400">
        <f>-BL24</f>
        <v>0</v>
      </c>
      <c r="BM71" s="400">
        <f>-BM24</f>
        <v>0</v>
      </c>
      <c r="BN71" s="400">
        <f>-BN24</f>
        <v>0</v>
      </c>
      <c r="BO71" s="400">
        <f>-BO24</f>
        <v>0</v>
      </c>
      <c r="BP71" s="400">
        <f>-BP24</f>
        <v>0</v>
      </c>
      <c r="BQ71" s="400">
        <f>-BQ24</f>
        <v>0</v>
      </c>
      <c r="BR71" s="400">
        <f>-BR24</f>
        <v>0</v>
      </c>
      <c r="BS71" s="400">
        <f>-BS24</f>
        <v>0</v>
      </c>
      <c r="BT71" s="400">
        <f>-BT24</f>
        <v>0</v>
      </c>
      <c r="BU71" s="400">
        <f>-BU24</f>
        <v>0</v>
      </c>
      <c r="BV71" s="400">
        <f>-BV24</f>
        <v>0</v>
      </c>
      <c r="BW71" s="400">
        <f>-BW24</f>
        <v>0</v>
      </c>
      <c r="BX71" s="400">
        <f>-BX24</f>
        <v>0</v>
      </c>
      <c r="BY71" s="400">
        <f>-BY24</f>
        <v>0</v>
      </c>
      <c r="BZ71" s="400">
        <f>-BZ24</f>
        <v>0</v>
      </c>
      <c r="CA71" s="400">
        <f>-CA24</f>
        <v>0</v>
      </c>
      <c r="CB71" s="400">
        <f>-CB24</f>
        <v>0</v>
      </c>
      <c r="CC71" s="400">
        <f>-CC24</f>
        <v>0</v>
      </c>
      <c r="CD71" s="400">
        <f>-CD24</f>
        <v>0</v>
      </c>
      <c r="CE71" s="400">
        <f>-CE24</f>
        <v>0</v>
      </c>
      <c r="CF71" s="400">
        <f>-CF24</f>
        <v>0</v>
      </c>
      <c r="CG71" s="400">
        <f>-CG24</f>
        <v>0</v>
      </c>
      <c r="CH71" s="400">
        <f>-CH24</f>
        <v>0</v>
      </c>
      <c r="CI71" s="400">
        <f>-CI24</f>
        <v>0</v>
      </c>
      <c r="CJ71" s="400">
        <f>-CJ24</f>
        <v>0</v>
      </c>
      <c r="CK71" s="400">
        <f>-CK24</f>
        <v>0</v>
      </c>
      <c r="CL71" s="400">
        <f>-CL24</f>
        <v>0</v>
      </c>
      <c r="CM71" s="400">
        <f>-CM24</f>
        <v>0</v>
      </c>
      <c r="CN71" s="400">
        <f>-CN24</f>
        <v>0</v>
      </c>
      <c r="CO71" s="400">
        <f>-CO24</f>
        <v>0</v>
      </c>
      <c r="CP71" s="400">
        <f>-CP24</f>
        <v>0</v>
      </c>
      <c r="CQ71" s="400">
        <f>-CQ24</f>
        <v>0</v>
      </c>
      <c r="CR71" s="400">
        <f>-CR24</f>
        <v>0</v>
      </c>
      <c r="CS71" s="400">
        <f>-CS24</f>
        <v>0</v>
      </c>
      <c r="CT71" s="400">
        <f>-CT24</f>
        <v>0</v>
      </c>
      <c r="CU71" s="400">
        <f>-CU24</f>
        <v>0</v>
      </c>
      <c r="CV71" s="400">
        <f>-CV24</f>
        <v>0</v>
      </c>
      <c r="CW71" s="400">
        <f>-CW24</f>
        <v>0</v>
      </c>
      <c r="CX71" s="400">
        <f>-CX24</f>
        <v>0</v>
      </c>
      <c r="CY71" s="400">
        <f>-CY24</f>
        <v>0</v>
      </c>
      <c r="CZ71" s="400">
        <f>-CZ24</f>
        <v>0</v>
      </c>
      <c r="DA71" s="400">
        <f>-DA24</f>
        <v>0</v>
      </c>
      <c r="DB71" s="400">
        <f>-DB24</f>
        <v>0</v>
      </c>
      <c r="DC71" s="400">
        <f>-DC24</f>
        <v>0</v>
      </c>
      <c r="DD71" s="400">
        <f>-DD24</f>
        <v>0</v>
      </c>
      <c r="DE71" s="400">
        <f>-DE24</f>
        <v>0</v>
      </c>
    </row>
    <row r="72" hidden="1" outlineLevel="1" ht="15" customFormat="1" customHeight="1" s="381">
      <c r="A72" s="408" t="inlineStr">
        <is>
          <t>3rd St</t>
        </is>
      </c>
      <c r="B72" s="400" t="n">
        <v>0</v>
      </c>
      <c r="C72" s="400" t="n">
        <v>0</v>
      </c>
      <c r="D72" s="400" t="n">
        <v>0</v>
      </c>
      <c r="E72" s="400" t="n">
        <v>0</v>
      </c>
      <c r="F72" s="400">
        <f>-F25</f>
        <v>0</v>
      </c>
      <c r="G72" s="400">
        <f>-G25</f>
        <v>0</v>
      </c>
      <c r="H72" s="400">
        <f>-H25</f>
        <v>0</v>
      </c>
      <c r="I72" s="400">
        <f>-I25</f>
        <v>0</v>
      </c>
      <c r="J72" s="400">
        <f>-J25</f>
        <v>0</v>
      </c>
      <c r="K72" s="400">
        <f>-K25</f>
        <v>0</v>
      </c>
      <c r="L72" s="400">
        <f>-L25</f>
        <v>0</v>
      </c>
      <c r="M72" s="400">
        <f>-M25</f>
        <v>0</v>
      </c>
      <c r="N72" s="400">
        <f>-N25</f>
        <v>0</v>
      </c>
      <c r="O72" s="400">
        <f>-O25</f>
        <v>0</v>
      </c>
      <c r="P72" s="400">
        <f>-P25</f>
        <v>0</v>
      </c>
      <c r="Q72" s="400">
        <f>-Q25</f>
        <v>0</v>
      </c>
      <c r="R72" s="400">
        <f>-R25</f>
        <v>0</v>
      </c>
      <c r="S72" s="400">
        <f>-S25</f>
        <v>0</v>
      </c>
      <c r="T72" s="400">
        <f>-T25</f>
        <v>0</v>
      </c>
      <c r="U72" s="400">
        <f>-U25</f>
        <v>0</v>
      </c>
      <c r="V72" s="400">
        <f>-V25</f>
        <v>0</v>
      </c>
      <c r="W72" s="400">
        <f>-W25</f>
        <v>0</v>
      </c>
      <c r="X72" s="400">
        <f>-X25</f>
        <v>0</v>
      </c>
      <c r="Y72" s="400">
        <f>-Y25</f>
        <v>0</v>
      </c>
      <c r="Z72" s="400">
        <f>-Z25</f>
        <v>0</v>
      </c>
      <c r="AA72" s="400">
        <f>-AA25</f>
        <v>0</v>
      </c>
      <c r="AB72" s="400">
        <f>-AB25</f>
        <v>0</v>
      </c>
      <c r="AC72" s="400">
        <f>-AC25</f>
        <v>0</v>
      </c>
      <c r="AD72" s="400">
        <f>-AD25</f>
        <v>0</v>
      </c>
      <c r="AE72" s="400">
        <f>-AE25</f>
        <v>-508191.288963453</v>
      </c>
      <c r="AF72" s="400">
        <f>-AF25</f>
        <v>-608145.434507453</v>
      </c>
      <c r="AG72" s="400">
        <f>-AG25</f>
        <v>-714385.484115453</v>
      </c>
      <c r="AH72" s="400">
        <f>-AH25</f>
        <v>-825464.025667453</v>
      </c>
      <c r="AI72" s="400">
        <f>-AI25</f>
        <v>-939685.519251453</v>
      </c>
      <c r="AJ72" s="400">
        <f>-AJ25</f>
        <v>-1054982.23326745</v>
      </c>
      <c r="AK72" s="400">
        <f>-AK25</f>
        <v>-1169079.66295545</v>
      </c>
      <c r="AL72" s="400">
        <f>-AL25</f>
        <v>-1279496.53039545</v>
      </c>
      <c r="AM72" s="400">
        <f>-AM25</f>
        <v>-1383586.13913945</v>
      </c>
      <c r="AN72" s="400">
        <f>-AN25</f>
        <v>-1478825.85663545</v>
      </c>
      <c r="AO72" s="400">
        <f>-AO25</f>
        <v>-1562651.69569945</v>
      </c>
      <c r="AP72" s="400">
        <f>-AP25</f>
        <v>-1632789.15157145</v>
      </c>
      <c r="AQ72" s="400">
        <f>-AQ25</f>
        <v>-1687294.55654745</v>
      </c>
      <c r="AR72" s="400">
        <f>-AR25</f>
        <v>-1724513.72534745</v>
      </c>
      <c r="AS72" s="400">
        <f>-AS25</f>
        <v>-1743412.79217145</v>
      </c>
      <c r="AT72" s="400">
        <f>-AT25</f>
        <v>-1743412.79217145</v>
      </c>
      <c r="AU72" s="400">
        <f>-AU25</f>
        <v>-1724513.72534745</v>
      </c>
      <c r="AV72" s="400">
        <f>-AV25</f>
        <v>-1687294.55654745</v>
      </c>
      <c r="AW72" s="400">
        <f>-AW25</f>
        <v>-1632789.15157145</v>
      </c>
      <c r="AX72" s="400">
        <f>-AX25</f>
        <v>-1562651.69569945</v>
      </c>
      <c r="AY72" s="400">
        <f>-AY25</f>
        <v>-1478825.85663545</v>
      </c>
      <c r="AZ72" s="400">
        <f>-AZ25</f>
        <v>-1383586.13913945</v>
      </c>
      <c r="BA72" s="400">
        <f>-BA25</f>
        <v>-1279496.53039545</v>
      </c>
      <c r="BB72" s="400">
        <f>-BB25</f>
        <v>-1169079.66295545</v>
      </c>
      <c r="BC72" s="400">
        <f>-BC25</f>
        <v>-1054982.23326745</v>
      </c>
      <c r="BD72" s="400">
        <f>-BD25</f>
        <v>-939685.519251453</v>
      </c>
      <c r="BE72" s="400">
        <f>-BE25</f>
        <v>-825464.025667453</v>
      </c>
      <c r="BF72" s="400">
        <f>-BF25</f>
        <v>-714385.484115453</v>
      </c>
      <c r="BG72" s="400">
        <f>-BG25</f>
        <v>-608145.434507453</v>
      </c>
      <c r="BH72" s="400">
        <f>-BH25</f>
        <v>-259255.013907853</v>
      </c>
      <c r="BI72" s="400">
        <f>-BI25</f>
        <v>0</v>
      </c>
      <c r="BJ72" s="400">
        <f>-BJ25</f>
        <v>0</v>
      </c>
      <c r="BK72" s="400">
        <f>-BK25</f>
        <v>0</v>
      </c>
      <c r="BL72" s="400">
        <f>-BL25</f>
        <v>0</v>
      </c>
      <c r="BM72" s="400">
        <f>-BM25</f>
        <v>0</v>
      </c>
      <c r="BN72" s="400">
        <f>-BN25</f>
        <v>0</v>
      </c>
      <c r="BO72" s="400">
        <f>-BO25</f>
        <v>0</v>
      </c>
      <c r="BP72" s="400">
        <f>-BP25</f>
        <v>0</v>
      </c>
      <c r="BQ72" s="400">
        <f>-BQ25</f>
        <v>0</v>
      </c>
      <c r="BR72" s="400">
        <f>-BR25</f>
        <v>0</v>
      </c>
      <c r="BS72" s="400">
        <f>-BS25</f>
        <v>0</v>
      </c>
      <c r="BT72" s="400">
        <f>-BT25</f>
        <v>0</v>
      </c>
      <c r="BU72" s="400">
        <f>-BU25</f>
        <v>0</v>
      </c>
      <c r="BV72" s="400">
        <f>-BV25</f>
        <v>0</v>
      </c>
      <c r="BW72" s="400">
        <f>-BW25</f>
        <v>0</v>
      </c>
      <c r="BX72" s="400">
        <f>-BX25</f>
        <v>0</v>
      </c>
      <c r="BY72" s="400">
        <f>-BY25</f>
        <v>0</v>
      </c>
      <c r="BZ72" s="400">
        <f>-BZ25</f>
        <v>0</v>
      </c>
      <c r="CA72" s="400">
        <f>-CA25</f>
        <v>0</v>
      </c>
      <c r="CB72" s="400">
        <f>-CB25</f>
        <v>0</v>
      </c>
      <c r="CC72" s="400">
        <f>-CC25</f>
        <v>0</v>
      </c>
      <c r="CD72" s="400">
        <f>-CD25</f>
        <v>0</v>
      </c>
      <c r="CE72" s="400">
        <f>-CE25</f>
        <v>0</v>
      </c>
      <c r="CF72" s="400">
        <f>-CF25</f>
        <v>0</v>
      </c>
      <c r="CG72" s="400">
        <f>-CG25</f>
        <v>0</v>
      </c>
      <c r="CH72" s="400">
        <f>-CH25</f>
        <v>0</v>
      </c>
      <c r="CI72" s="400">
        <f>-CI25</f>
        <v>0</v>
      </c>
      <c r="CJ72" s="400">
        <f>-CJ25</f>
        <v>0</v>
      </c>
      <c r="CK72" s="400">
        <f>-CK25</f>
        <v>0</v>
      </c>
      <c r="CL72" s="400">
        <f>-CL25</f>
        <v>0</v>
      </c>
      <c r="CM72" s="400">
        <f>-CM25</f>
        <v>0</v>
      </c>
      <c r="CN72" s="400">
        <f>-CN25</f>
        <v>0</v>
      </c>
      <c r="CO72" s="400">
        <f>-CO25</f>
        <v>0</v>
      </c>
      <c r="CP72" s="400">
        <f>-CP25</f>
        <v>0</v>
      </c>
      <c r="CQ72" s="400">
        <f>-CQ25</f>
        <v>0</v>
      </c>
      <c r="CR72" s="400">
        <f>-CR25</f>
        <v>0</v>
      </c>
      <c r="CS72" s="400">
        <f>-CS25</f>
        <v>0</v>
      </c>
      <c r="CT72" s="400">
        <f>-CT25</f>
        <v>0</v>
      </c>
      <c r="CU72" s="400">
        <f>-CU25</f>
        <v>0</v>
      </c>
      <c r="CV72" s="400">
        <f>-CV25</f>
        <v>0</v>
      </c>
      <c r="CW72" s="400">
        <f>-CW25</f>
        <v>0</v>
      </c>
      <c r="CX72" s="400">
        <f>-CX25</f>
        <v>0</v>
      </c>
      <c r="CY72" s="400">
        <f>-CY25</f>
        <v>0</v>
      </c>
      <c r="CZ72" s="400">
        <f>-CZ25</f>
        <v>0</v>
      </c>
      <c r="DA72" s="400">
        <f>-DA25</f>
        <v>0</v>
      </c>
      <c r="DB72" s="400">
        <f>-DB25</f>
        <v>0</v>
      </c>
      <c r="DC72" s="400">
        <f>-DC25</f>
        <v>0</v>
      </c>
      <c r="DD72" s="400">
        <f>-DD25</f>
        <v>0</v>
      </c>
      <c r="DE72" s="400">
        <f>-DE25</f>
        <v>0</v>
      </c>
    </row>
    <row r="73" hidden="1" outlineLevel="1" ht="15" customFormat="1" customHeight="1" s="381">
      <c r="A73" s="408" t="inlineStr">
        <is>
          <t>Dickens</t>
        </is>
      </c>
      <c r="B73" s="400" t="n">
        <v>0</v>
      </c>
      <c r="C73" s="400" t="n">
        <v>0</v>
      </c>
      <c r="D73" s="400" t="n">
        <v>0</v>
      </c>
      <c r="E73" s="400" t="n">
        <v>0</v>
      </c>
      <c r="F73" s="400">
        <f>-F26</f>
        <v>0</v>
      </c>
      <c r="G73" s="400">
        <f>-G26</f>
        <v>0</v>
      </c>
      <c r="H73" s="400">
        <f>-H26</f>
        <v>0</v>
      </c>
      <c r="I73" s="400">
        <f>-I26</f>
        <v>0</v>
      </c>
      <c r="J73" s="400">
        <f>-J26</f>
        <v>0</v>
      </c>
      <c r="K73" s="400">
        <f>-K26</f>
        <v>0</v>
      </c>
      <c r="L73" s="400">
        <f>-L26</f>
        <v>0</v>
      </c>
      <c r="M73" s="400">
        <f>-M26</f>
        <v>0</v>
      </c>
      <c r="N73" s="400">
        <f>-N26</f>
        <v>0</v>
      </c>
      <c r="O73" s="400">
        <f>-O26</f>
        <v>0</v>
      </c>
      <c r="P73" s="400">
        <f>-P26</f>
        <v>0</v>
      </c>
      <c r="Q73" s="400">
        <f>-Q26</f>
        <v>0</v>
      </c>
      <c r="R73" s="400">
        <f>-R26</f>
        <v>-313939.25166175</v>
      </c>
      <c r="S73" s="400">
        <f>-S26</f>
        <v>-409572.44932175</v>
      </c>
      <c r="T73" s="400">
        <f>-T26</f>
        <v>-512511.38613675</v>
      </c>
      <c r="U73" s="400">
        <f>-U26</f>
        <v>-618651.37008675</v>
      </c>
      <c r="V73" s="400">
        <f>-V26</f>
        <v>-722892.16817675</v>
      </c>
      <c r="W73" s="400">
        <f>-W26</f>
        <v>-819444.32673675</v>
      </c>
      <c r="X73" s="400">
        <f>-X26</f>
        <v>-902380.54796175</v>
      </c>
      <c r="Y73" s="400">
        <f>-Y26</f>
        <v>-966202.38246675</v>
      </c>
      <c r="Z73" s="400">
        <f>-Z26</f>
        <v>-1006452.86988675</v>
      </c>
      <c r="AA73" s="400">
        <f>-AA26</f>
        <v>-1020206.65135675</v>
      </c>
      <c r="AB73" s="400">
        <f>-AB26</f>
        <v>-1006452.86988675</v>
      </c>
      <c r="AC73" s="400">
        <f>-AC26</f>
        <v>-966202.38246675</v>
      </c>
      <c r="AD73" s="400">
        <f>-AD26</f>
        <v>-902380.54796175</v>
      </c>
      <c r="AE73" s="400">
        <f>-AE26</f>
        <v>-819444.32673675</v>
      </c>
      <c r="AF73" s="400">
        <f>-AF26</f>
        <v>-722892.16817675</v>
      </c>
      <c r="AG73" s="400">
        <f>-AG26</f>
        <v>-618651.37008675</v>
      </c>
      <c r="AH73" s="400">
        <f>-AH26</f>
        <v>-512511.38613675</v>
      </c>
      <c r="AI73" s="400">
        <f>-AI26</f>
        <v>-409572.44932175</v>
      </c>
      <c r="AJ73" s="400">
        <f>-AJ26</f>
        <v>-221743.7335685</v>
      </c>
      <c r="AK73" s="400">
        <f>-AK26</f>
        <v>0</v>
      </c>
      <c r="AL73" s="400">
        <f>-AL26</f>
        <v>0</v>
      </c>
      <c r="AM73" s="400">
        <f>-AM26</f>
        <v>0</v>
      </c>
      <c r="AN73" s="400">
        <f>-AN26</f>
        <v>0</v>
      </c>
      <c r="AO73" s="400">
        <f>-AO26</f>
        <v>0</v>
      </c>
      <c r="AP73" s="400">
        <f>-AP26</f>
        <v>0</v>
      </c>
      <c r="AQ73" s="400">
        <f>-AQ26</f>
        <v>0</v>
      </c>
      <c r="AR73" s="400">
        <f>-AR26</f>
        <v>0</v>
      </c>
      <c r="AS73" s="400">
        <f>-AS26</f>
        <v>0</v>
      </c>
      <c r="AT73" s="400">
        <f>-AT26</f>
        <v>0</v>
      </c>
      <c r="AU73" s="400">
        <f>-AU26</f>
        <v>0</v>
      </c>
      <c r="AV73" s="400">
        <f>-AV26</f>
        <v>0</v>
      </c>
      <c r="AW73" s="400">
        <f>-AW26</f>
        <v>0</v>
      </c>
      <c r="AX73" s="400">
        <f>-AX26</f>
        <v>0</v>
      </c>
      <c r="AY73" s="400">
        <f>-AY26</f>
        <v>0</v>
      </c>
      <c r="AZ73" s="400">
        <f>-AZ26</f>
        <v>0</v>
      </c>
      <c r="BA73" s="400">
        <f>-BA26</f>
        <v>0</v>
      </c>
      <c r="BB73" s="400">
        <f>-BB26</f>
        <v>0</v>
      </c>
      <c r="BC73" s="400">
        <f>-BC26</f>
        <v>0</v>
      </c>
      <c r="BD73" s="400">
        <f>-BD26</f>
        <v>0</v>
      </c>
      <c r="BE73" s="400">
        <f>-BE26</f>
        <v>0</v>
      </c>
      <c r="BF73" s="400">
        <f>-BF26</f>
        <v>0</v>
      </c>
      <c r="BG73" s="400">
        <f>-BG26</f>
        <v>0</v>
      </c>
      <c r="BH73" s="400">
        <f>-BH26</f>
        <v>0</v>
      </c>
      <c r="BI73" s="400">
        <f>-BI26</f>
        <v>0</v>
      </c>
      <c r="BJ73" s="400">
        <f>-BJ26</f>
        <v>0</v>
      </c>
      <c r="BK73" s="400">
        <f>-BK26</f>
        <v>0</v>
      </c>
      <c r="BL73" s="400">
        <f>-BL26</f>
        <v>0</v>
      </c>
      <c r="BM73" s="400">
        <f>-BM26</f>
        <v>0</v>
      </c>
      <c r="BN73" s="400">
        <f>-BN26</f>
        <v>0</v>
      </c>
      <c r="BO73" s="400">
        <f>-BO26</f>
        <v>0</v>
      </c>
      <c r="BP73" s="400">
        <f>-BP26</f>
        <v>0</v>
      </c>
      <c r="BQ73" s="400">
        <f>-BQ26</f>
        <v>0</v>
      </c>
      <c r="BR73" s="400">
        <f>-BR26</f>
        <v>0</v>
      </c>
      <c r="BS73" s="400">
        <f>-BS26</f>
        <v>0</v>
      </c>
      <c r="BT73" s="400">
        <f>-BT26</f>
        <v>0</v>
      </c>
      <c r="BU73" s="400">
        <f>-BU26</f>
        <v>0</v>
      </c>
      <c r="BV73" s="400">
        <f>-BV26</f>
        <v>0</v>
      </c>
      <c r="BW73" s="400">
        <f>-BW26</f>
        <v>0</v>
      </c>
      <c r="BX73" s="400">
        <f>-BX26</f>
        <v>0</v>
      </c>
      <c r="BY73" s="400">
        <f>-BY26</f>
        <v>0</v>
      </c>
      <c r="BZ73" s="400">
        <f>-BZ26</f>
        <v>0</v>
      </c>
      <c r="CA73" s="400">
        <f>-CA26</f>
        <v>0</v>
      </c>
      <c r="CB73" s="400">
        <f>-CB26</f>
        <v>0</v>
      </c>
      <c r="CC73" s="400">
        <f>-CC26</f>
        <v>0</v>
      </c>
      <c r="CD73" s="400">
        <f>-CD26</f>
        <v>0</v>
      </c>
      <c r="CE73" s="400">
        <f>-CE26</f>
        <v>0</v>
      </c>
      <c r="CF73" s="400">
        <f>-CF26</f>
        <v>0</v>
      </c>
      <c r="CG73" s="400">
        <f>-CG26</f>
        <v>0</v>
      </c>
      <c r="CH73" s="400">
        <f>-CH26</f>
        <v>0</v>
      </c>
      <c r="CI73" s="400">
        <f>-CI26</f>
        <v>0</v>
      </c>
      <c r="CJ73" s="400">
        <f>-CJ26</f>
        <v>0</v>
      </c>
      <c r="CK73" s="400">
        <f>-CK26</f>
        <v>0</v>
      </c>
      <c r="CL73" s="400">
        <f>-CL26</f>
        <v>0</v>
      </c>
      <c r="CM73" s="400">
        <f>-CM26</f>
        <v>0</v>
      </c>
      <c r="CN73" s="400">
        <f>-CN26</f>
        <v>0</v>
      </c>
      <c r="CO73" s="400">
        <f>-CO26</f>
        <v>0</v>
      </c>
      <c r="CP73" s="400">
        <f>-CP26</f>
        <v>0</v>
      </c>
      <c r="CQ73" s="400">
        <f>-CQ26</f>
        <v>0</v>
      </c>
      <c r="CR73" s="400">
        <f>-CR26</f>
        <v>0</v>
      </c>
      <c r="CS73" s="400">
        <f>-CS26</f>
        <v>0</v>
      </c>
      <c r="CT73" s="400">
        <f>-CT26</f>
        <v>0</v>
      </c>
      <c r="CU73" s="400">
        <f>-CU26</f>
        <v>0</v>
      </c>
      <c r="CV73" s="400">
        <f>-CV26</f>
        <v>0</v>
      </c>
      <c r="CW73" s="400">
        <f>-CW26</f>
        <v>0</v>
      </c>
      <c r="CX73" s="400">
        <f>-CX26</f>
        <v>0</v>
      </c>
      <c r="CY73" s="400">
        <f>-CY26</f>
        <v>0</v>
      </c>
      <c r="CZ73" s="400">
        <f>-CZ26</f>
        <v>0</v>
      </c>
      <c r="DA73" s="400">
        <f>-DA26</f>
        <v>0</v>
      </c>
      <c r="DB73" s="400">
        <f>-DB26</f>
        <v>0</v>
      </c>
      <c r="DC73" s="400">
        <f>-DC26</f>
        <v>0</v>
      </c>
      <c r="DD73" s="400">
        <f>-DD26</f>
        <v>0</v>
      </c>
      <c r="DE73" s="400">
        <f>-DE26</f>
        <v>0</v>
      </c>
    </row>
    <row r="74" hidden="1" outlineLevel="1" ht="15" customFormat="1" customHeight="1" s="381">
      <c r="A74" s="408" t="inlineStr">
        <is>
          <t>Riverton</t>
        </is>
      </c>
      <c r="B74" s="400" t="n">
        <v>0</v>
      </c>
      <c r="C74" s="400" t="n">
        <v>0</v>
      </c>
      <c r="D74" s="400" t="n">
        <v>0</v>
      </c>
      <c r="E74" s="400" t="n">
        <v>0</v>
      </c>
      <c r="F74" s="400">
        <f>-F27</f>
        <v>0</v>
      </c>
      <c r="G74" s="400">
        <f>-G27</f>
        <v>0</v>
      </c>
      <c r="H74" s="400">
        <f>-H27</f>
        <v>0</v>
      </c>
      <c r="I74" s="400">
        <f>-I27</f>
        <v>0</v>
      </c>
      <c r="J74" s="400">
        <f>-J27</f>
        <v>0</v>
      </c>
      <c r="K74" s="400">
        <f>-K27</f>
        <v>0</v>
      </c>
      <c r="L74" s="400">
        <f>-L27</f>
        <v>0</v>
      </c>
      <c r="M74" s="400">
        <f>-M27</f>
        <v>0</v>
      </c>
      <c r="N74" s="400">
        <f>-N27</f>
        <v>0</v>
      </c>
      <c r="O74" s="400">
        <f>-O27</f>
        <v>0</v>
      </c>
      <c r="P74" s="400">
        <f>-P27</f>
        <v>0</v>
      </c>
      <c r="Q74" s="400">
        <f>-Q27</f>
        <v>0</v>
      </c>
      <c r="R74" s="400">
        <f>-R27</f>
        <v>0</v>
      </c>
      <c r="S74" s="400">
        <f>-S27</f>
        <v>-231977.53316825</v>
      </c>
      <c r="T74" s="400">
        <f>-T27</f>
        <v>-302643.28510825</v>
      </c>
      <c r="U74" s="400">
        <f>-U27</f>
        <v>-378707.42969325</v>
      </c>
      <c r="V74" s="400">
        <f>-V27</f>
        <v>-457136.90774325</v>
      </c>
      <c r="W74" s="400">
        <f>-W27</f>
        <v>-534163.03005325</v>
      </c>
      <c r="X74" s="400">
        <f>-X27</f>
        <v>-605507.82509325</v>
      </c>
      <c r="Y74" s="400">
        <f>-Y27</f>
        <v>-666791.46486825</v>
      </c>
      <c r="Z74" s="400">
        <f>-Z27</f>
        <v>-713951.00816325</v>
      </c>
      <c r="AA74" s="400">
        <f>-AA27</f>
        <v>-743693.09594325</v>
      </c>
      <c r="AB74" s="400">
        <f>-AB27</f>
        <v>-753856.10767325</v>
      </c>
      <c r="AC74" s="400">
        <f>-AC27</f>
        <v>-743693.09594325</v>
      </c>
      <c r="AD74" s="400">
        <f>-AD27</f>
        <v>-713951.00816325</v>
      </c>
      <c r="AE74" s="400">
        <f>-AE27</f>
        <v>-666791.46486825</v>
      </c>
      <c r="AF74" s="400">
        <f>-AF27</f>
        <v>-605507.82509325</v>
      </c>
      <c r="AG74" s="400">
        <f>-AG27</f>
        <v>-534163.03005325</v>
      </c>
      <c r="AH74" s="400">
        <f>-AH27</f>
        <v>-457136.90774325</v>
      </c>
      <c r="AI74" s="400">
        <f>-AI27</f>
        <v>-378707.42969325</v>
      </c>
      <c r="AJ74" s="400">
        <f>-AJ27</f>
        <v>-302643.28510825</v>
      </c>
      <c r="AK74" s="400">
        <f>-AK27</f>
        <v>-163851.9682915</v>
      </c>
      <c r="AL74" s="400">
        <f>-AL27</f>
        <v>0</v>
      </c>
      <c r="AM74" s="400">
        <f>-AM27</f>
        <v>0</v>
      </c>
      <c r="AN74" s="400">
        <f>-AN27</f>
        <v>0</v>
      </c>
      <c r="AO74" s="400">
        <f>-AO27</f>
        <v>0</v>
      </c>
      <c r="AP74" s="400">
        <f>-AP27</f>
        <v>0</v>
      </c>
      <c r="AQ74" s="400">
        <f>-AQ27</f>
        <v>0</v>
      </c>
      <c r="AR74" s="400">
        <f>-AR27</f>
        <v>0</v>
      </c>
      <c r="AS74" s="400">
        <f>-AS27</f>
        <v>0</v>
      </c>
      <c r="AT74" s="400">
        <f>-AT27</f>
        <v>0</v>
      </c>
      <c r="AU74" s="400">
        <f>-AU27</f>
        <v>0</v>
      </c>
      <c r="AV74" s="400">
        <f>-AV27</f>
        <v>0</v>
      </c>
      <c r="AW74" s="400">
        <f>-AW27</f>
        <v>0</v>
      </c>
      <c r="AX74" s="400">
        <f>-AX27</f>
        <v>0</v>
      </c>
      <c r="AY74" s="400">
        <f>-AY27</f>
        <v>0</v>
      </c>
      <c r="AZ74" s="400">
        <f>-AZ27</f>
        <v>0</v>
      </c>
      <c r="BA74" s="400">
        <f>-BA27</f>
        <v>0</v>
      </c>
      <c r="BB74" s="400">
        <f>-BB27</f>
        <v>0</v>
      </c>
      <c r="BC74" s="400">
        <f>-BC27</f>
        <v>0</v>
      </c>
      <c r="BD74" s="400">
        <f>-BD27</f>
        <v>0</v>
      </c>
      <c r="BE74" s="400">
        <f>-BE27</f>
        <v>0</v>
      </c>
      <c r="BF74" s="400">
        <f>-BF27</f>
        <v>0</v>
      </c>
      <c r="BG74" s="400">
        <f>-BG27</f>
        <v>0</v>
      </c>
      <c r="BH74" s="400">
        <f>-BH27</f>
        <v>0</v>
      </c>
      <c r="BI74" s="400">
        <f>-BI27</f>
        <v>0</v>
      </c>
      <c r="BJ74" s="400">
        <f>-BJ27</f>
        <v>0</v>
      </c>
      <c r="BK74" s="400">
        <f>-BK27</f>
        <v>0</v>
      </c>
      <c r="BL74" s="400">
        <f>-BL27</f>
        <v>0</v>
      </c>
      <c r="BM74" s="400">
        <f>-BM27</f>
        <v>0</v>
      </c>
      <c r="BN74" s="400">
        <f>-BN27</f>
        <v>0</v>
      </c>
      <c r="BO74" s="400">
        <f>-BO27</f>
        <v>0</v>
      </c>
      <c r="BP74" s="400">
        <f>-BP27</f>
        <v>0</v>
      </c>
      <c r="BQ74" s="400">
        <f>-BQ27</f>
        <v>0</v>
      </c>
      <c r="BR74" s="400">
        <f>-BR27</f>
        <v>0</v>
      </c>
      <c r="BS74" s="400">
        <f>-BS27</f>
        <v>0</v>
      </c>
      <c r="BT74" s="400">
        <f>-BT27</f>
        <v>0</v>
      </c>
      <c r="BU74" s="400">
        <f>-BU27</f>
        <v>0</v>
      </c>
      <c r="BV74" s="400">
        <f>-BV27</f>
        <v>0</v>
      </c>
      <c r="BW74" s="400">
        <f>-BW27</f>
        <v>0</v>
      </c>
      <c r="BX74" s="400">
        <f>-BX27</f>
        <v>0</v>
      </c>
      <c r="BY74" s="400">
        <f>-BY27</f>
        <v>0</v>
      </c>
      <c r="BZ74" s="400">
        <f>-BZ27</f>
        <v>0</v>
      </c>
      <c r="CA74" s="400">
        <f>-CA27</f>
        <v>0</v>
      </c>
      <c r="CB74" s="400">
        <f>-CB27</f>
        <v>0</v>
      </c>
      <c r="CC74" s="400">
        <f>-CC27</f>
        <v>0</v>
      </c>
      <c r="CD74" s="400">
        <f>-CD27</f>
        <v>0</v>
      </c>
      <c r="CE74" s="400">
        <f>-CE27</f>
        <v>0</v>
      </c>
      <c r="CF74" s="400">
        <f>-CF27</f>
        <v>0</v>
      </c>
      <c r="CG74" s="400">
        <f>-CG27</f>
        <v>0</v>
      </c>
      <c r="CH74" s="400">
        <f>-CH27</f>
        <v>0</v>
      </c>
      <c r="CI74" s="400">
        <f>-CI27</f>
        <v>0</v>
      </c>
      <c r="CJ74" s="400">
        <f>-CJ27</f>
        <v>0</v>
      </c>
      <c r="CK74" s="400">
        <f>-CK27</f>
        <v>0</v>
      </c>
      <c r="CL74" s="400">
        <f>-CL27</f>
        <v>0</v>
      </c>
      <c r="CM74" s="400">
        <f>-CM27</f>
        <v>0</v>
      </c>
      <c r="CN74" s="400">
        <f>-CN27</f>
        <v>0</v>
      </c>
      <c r="CO74" s="400">
        <f>-CO27</f>
        <v>0</v>
      </c>
      <c r="CP74" s="400">
        <f>-CP27</f>
        <v>0</v>
      </c>
      <c r="CQ74" s="400">
        <f>-CQ27</f>
        <v>0</v>
      </c>
      <c r="CR74" s="400">
        <f>-CR27</f>
        <v>0</v>
      </c>
      <c r="CS74" s="400">
        <f>-CS27</f>
        <v>0</v>
      </c>
      <c r="CT74" s="400">
        <f>-CT27</f>
        <v>0</v>
      </c>
      <c r="CU74" s="400">
        <f>-CU27</f>
        <v>0</v>
      </c>
      <c r="CV74" s="400">
        <f>-CV27</f>
        <v>0</v>
      </c>
      <c r="CW74" s="400">
        <f>-CW27</f>
        <v>0</v>
      </c>
      <c r="CX74" s="400">
        <f>-CX27</f>
        <v>0</v>
      </c>
      <c r="CY74" s="400">
        <f>-CY27</f>
        <v>0</v>
      </c>
      <c r="CZ74" s="400">
        <f>-CZ27</f>
        <v>0</v>
      </c>
      <c r="DA74" s="400">
        <f>-DA27</f>
        <v>0</v>
      </c>
      <c r="DB74" s="400">
        <f>-DB27</f>
        <v>0</v>
      </c>
      <c r="DC74" s="400">
        <f>-DC27</f>
        <v>0</v>
      </c>
      <c r="DD74" s="400">
        <f>-DD27</f>
        <v>0</v>
      </c>
      <c r="DE74" s="400">
        <f>-DE27</f>
        <v>0</v>
      </c>
    </row>
    <row r="75" hidden="1" outlineLevel="1" ht="15" customFormat="1" customHeight="1" s="381">
      <c r="A75" s="408" t="inlineStr">
        <is>
          <t>Moorpark</t>
        </is>
      </c>
      <c r="B75" s="400" t="n">
        <v>0</v>
      </c>
      <c r="C75" s="400" t="n">
        <v>0</v>
      </c>
      <c r="D75" s="400" t="n">
        <v>0</v>
      </c>
      <c r="E75" s="400" t="n">
        <v>0</v>
      </c>
      <c r="F75" s="400">
        <f>-F28</f>
        <v>0</v>
      </c>
      <c r="G75" s="400">
        <f>-G28</f>
        <v>0</v>
      </c>
      <c r="H75" s="400">
        <f>-H28</f>
        <v>0</v>
      </c>
      <c r="I75" s="400">
        <f>-I28</f>
        <v>0</v>
      </c>
      <c r="J75" s="400">
        <f>-J28</f>
        <v>0</v>
      </c>
      <c r="K75" s="400">
        <f>-K28</f>
        <v>0</v>
      </c>
      <c r="L75" s="400">
        <f>-L28</f>
        <v>0</v>
      </c>
      <c r="M75" s="400">
        <f>-M28</f>
        <v>0</v>
      </c>
      <c r="N75" s="400">
        <f>-N28</f>
        <v>0</v>
      </c>
      <c r="O75" s="400">
        <f>-O28</f>
        <v>0</v>
      </c>
      <c r="P75" s="400">
        <f>-P28</f>
        <v>0</v>
      </c>
      <c r="Q75" s="400">
        <f>-Q28</f>
        <v>0</v>
      </c>
      <c r="R75" s="400">
        <f>-R28</f>
        <v>0</v>
      </c>
      <c r="S75" s="400">
        <f>-S28</f>
        <v>0</v>
      </c>
      <c r="T75" s="400">
        <f>-T28</f>
        <v>-378029.73543905</v>
      </c>
      <c r="U75" s="400">
        <f>-U28</f>
        <v>-493186.38507505</v>
      </c>
      <c r="V75" s="400">
        <f>-V28</f>
        <v>-617140.23552405</v>
      </c>
      <c r="W75" s="400">
        <f>-W28</f>
        <v>-744948.62469405</v>
      </c>
      <c r="X75" s="400">
        <f>-X28</f>
        <v>-870470.11050805</v>
      </c>
      <c r="Y75" s="400">
        <f>-Y28</f>
        <v>-986733.32628405</v>
      </c>
      <c r="Z75" s="400">
        <f>-Z28</f>
        <v>-1086600.92041905</v>
      </c>
      <c r="AA75" s="400">
        <f>-AA28</f>
        <v>-1163451.93884205</v>
      </c>
      <c r="AB75" s="400">
        <f>-AB28</f>
        <v>-1211919.53577405</v>
      </c>
      <c r="AC75" s="400">
        <f>-AC28</f>
        <v>-1228481.14233605</v>
      </c>
      <c r="AD75" s="400">
        <f>-AD28</f>
        <v>-1211919.53577405</v>
      </c>
      <c r="AE75" s="400">
        <f>-AE28</f>
        <v>-1163451.93884205</v>
      </c>
      <c r="AF75" s="400">
        <f>-AF28</f>
        <v>-1086600.92041905</v>
      </c>
      <c r="AG75" s="400">
        <f>-AG28</f>
        <v>-986733.32628405</v>
      </c>
      <c r="AH75" s="400">
        <f>-AH28</f>
        <v>-870470.11050805</v>
      </c>
      <c r="AI75" s="400">
        <f>-AI28</f>
        <v>-744948.62469405</v>
      </c>
      <c r="AJ75" s="400">
        <f>-AJ28</f>
        <v>-617140.23552405</v>
      </c>
      <c r="AK75" s="400">
        <f>-AK28</f>
        <v>-493186.38507505</v>
      </c>
      <c r="AL75" s="400">
        <f>-AL28</f>
        <v>-267012.5653051</v>
      </c>
      <c r="AM75" s="400">
        <f>-AM28</f>
        <v>0</v>
      </c>
      <c r="AN75" s="400">
        <f>-AN28</f>
        <v>0</v>
      </c>
      <c r="AO75" s="400">
        <f>-AO28</f>
        <v>0</v>
      </c>
      <c r="AP75" s="400">
        <f>-AP28</f>
        <v>0</v>
      </c>
      <c r="AQ75" s="400">
        <f>-AQ28</f>
        <v>0</v>
      </c>
      <c r="AR75" s="400">
        <f>-AR28</f>
        <v>0</v>
      </c>
      <c r="AS75" s="400">
        <f>-AS28</f>
        <v>0</v>
      </c>
      <c r="AT75" s="400">
        <f>-AT28</f>
        <v>0</v>
      </c>
      <c r="AU75" s="400">
        <f>-AU28</f>
        <v>0</v>
      </c>
      <c r="AV75" s="400">
        <f>-AV28</f>
        <v>0</v>
      </c>
      <c r="AW75" s="400">
        <f>-AW28</f>
        <v>0</v>
      </c>
      <c r="AX75" s="400">
        <f>-AX28</f>
        <v>0</v>
      </c>
      <c r="AY75" s="400">
        <f>-AY28</f>
        <v>0</v>
      </c>
      <c r="AZ75" s="400">
        <f>-AZ28</f>
        <v>0</v>
      </c>
      <c r="BA75" s="400">
        <f>-BA28</f>
        <v>0</v>
      </c>
      <c r="BB75" s="400">
        <f>-BB28</f>
        <v>0</v>
      </c>
      <c r="BC75" s="400">
        <f>-BC28</f>
        <v>0</v>
      </c>
      <c r="BD75" s="400">
        <f>-BD28</f>
        <v>0</v>
      </c>
      <c r="BE75" s="400">
        <f>-BE28</f>
        <v>0</v>
      </c>
      <c r="BF75" s="400">
        <f>-BF28</f>
        <v>0</v>
      </c>
      <c r="BG75" s="400">
        <f>-BG28</f>
        <v>0</v>
      </c>
      <c r="BH75" s="400">
        <f>-BH28</f>
        <v>0</v>
      </c>
      <c r="BI75" s="400">
        <f>-BI28</f>
        <v>0</v>
      </c>
      <c r="BJ75" s="400">
        <f>-BJ28</f>
        <v>0</v>
      </c>
      <c r="BK75" s="400">
        <f>-BK28</f>
        <v>0</v>
      </c>
      <c r="BL75" s="400">
        <f>-BL28</f>
        <v>0</v>
      </c>
      <c r="BM75" s="400">
        <f>-BM28</f>
        <v>0</v>
      </c>
      <c r="BN75" s="400">
        <f>-BN28</f>
        <v>0</v>
      </c>
      <c r="BO75" s="400">
        <f>-BO28</f>
        <v>0</v>
      </c>
      <c r="BP75" s="400">
        <f>-BP28</f>
        <v>0</v>
      </c>
      <c r="BQ75" s="400">
        <f>-BQ28</f>
        <v>0</v>
      </c>
      <c r="BR75" s="400">
        <f>-BR28</f>
        <v>0</v>
      </c>
      <c r="BS75" s="400">
        <f>-BS28</f>
        <v>0</v>
      </c>
      <c r="BT75" s="400">
        <f>-BT28</f>
        <v>0</v>
      </c>
      <c r="BU75" s="400">
        <f>-BU28</f>
        <v>0</v>
      </c>
      <c r="BV75" s="400">
        <f>-BV28</f>
        <v>0</v>
      </c>
      <c r="BW75" s="400">
        <f>-BW28</f>
        <v>0</v>
      </c>
      <c r="BX75" s="400">
        <f>-BX28</f>
        <v>0</v>
      </c>
      <c r="BY75" s="400">
        <f>-BY28</f>
        <v>0</v>
      </c>
      <c r="BZ75" s="400">
        <f>-BZ28</f>
        <v>0</v>
      </c>
      <c r="CA75" s="400">
        <f>-CA28</f>
        <v>0</v>
      </c>
      <c r="CB75" s="400">
        <f>-CB28</f>
        <v>0</v>
      </c>
      <c r="CC75" s="400">
        <f>-CC28</f>
        <v>0</v>
      </c>
      <c r="CD75" s="400">
        <f>-CD28</f>
        <v>0</v>
      </c>
      <c r="CE75" s="400">
        <f>-CE28</f>
        <v>0</v>
      </c>
      <c r="CF75" s="400">
        <f>-CF28</f>
        <v>0</v>
      </c>
      <c r="CG75" s="400">
        <f>-CG28</f>
        <v>0</v>
      </c>
      <c r="CH75" s="400">
        <f>-CH28</f>
        <v>0</v>
      </c>
      <c r="CI75" s="400">
        <f>-CI28</f>
        <v>0</v>
      </c>
      <c r="CJ75" s="400">
        <f>-CJ28</f>
        <v>0</v>
      </c>
      <c r="CK75" s="400">
        <f>-CK28</f>
        <v>0</v>
      </c>
      <c r="CL75" s="400">
        <f>-CL28</f>
        <v>0</v>
      </c>
      <c r="CM75" s="400">
        <f>-CM28</f>
        <v>0</v>
      </c>
      <c r="CN75" s="400">
        <f>-CN28</f>
        <v>0</v>
      </c>
      <c r="CO75" s="400">
        <f>-CO28</f>
        <v>0</v>
      </c>
      <c r="CP75" s="400">
        <f>-CP28</f>
        <v>0</v>
      </c>
      <c r="CQ75" s="400">
        <f>-CQ28</f>
        <v>0</v>
      </c>
      <c r="CR75" s="400">
        <f>-CR28</f>
        <v>0</v>
      </c>
      <c r="CS75" s="400">
        <f>-CS28</f>
        <v>0</v>
      </c>
      <c r="CT75" s="400">
        <f>-CT28</f>
        <v>0</v>
      </c>
      <c r="CU75" s="400">
        <f>-CU28</f>
        <v>0</v>
      </c>
      <c r="CV75" s="400">
        <f>-CV28</f>
        <v>0</v>
      </c>
      <c r="CW75" s="400">
        <f>-CW28</f>
        <v>0</v>
      </c>
      <c r="CX75" s="400">
        <f>-CX28</f>
        <v>0</v>
      </c>
      <c r="CY75" s="400">
        <f>-CY28</f>
        <v>0</v>
      </c>
      <c r="CZ75" s="400">
        <f>-CZ28</f>
        <v>0</v>
      </c>
      <c r="DA75" s="400">
        <f>-DA28</f>
        <v>0</v>
      </c>
      <c r="DB75" s="400">
        <f>-DB28</f>
        <v>0</v>
      </c>
      <c r="DC75" s="400">
        <f>-DC28</f>
        <v>0</v>
      </c>
      <c r="DD75" s="400">
        <f>-DD28</f>
        <v>0</v>
      </c>
      <c r="DE75" s="400">
        <f>-DE28</f>
        <v>0</v>
      </c>
    </row>
    <row r="76" hidden="1" outlineLevel="1" ht="15" customFormat="1" customHeight="1" s="381">
      <c r="A76" s="408" t="inlineStr">
        <is>
          <t>Beverly (BD-04)</t>
        </is>
      </c>
      <c r="B76" s="400" t="n">
        <v>0</v>
      </c>
      <c r="C76" s="400" t="n">
        <v>0</v>
      </c>
      <c r="D76" s="400" t="n">
        <v>0</v>
      </c>
      <c r="E76" s="400" t="n">
        <v>0</v>
      </c>
      <c r="F76" s="400">
        <f>-F29</f>
        <v>0</v>
      </c>
      <c r="G76" s="400">
        <f>-G29</f>
        <v>0</v>
      </c>
      <c r="H76" s="400">
        <f>-H29</f>
        <v>0</v>
      </c>
      <c r="I76" s="400">
        <f>-I29</f>
        <v>0</v>
      </c>
      <c r="J76" s="400">
        <f>-J29</f>
        <v>0</v>
      </c>
      <c r="K76" s="400">
        <f>-K29</f>
        <v>0</v>
      </c>
      <c r="L76" s="400">
        <f>-L29</f>
        <v>0</v>
      </c>
      <c r="M76" s="400">
        <f>-M29</f>
        <v>0</v>
      </c>
      <c r="N76" s="400">
        <f>-N29</f>
        <v>0</v>
      </c>
      <c r="O76" s="400">
        <f>-O29</f>
        <v>0</v>
      </c>
      <c r="P76" s="400">
        <f>-P29</f>
        <v>0</v>
      </c>
      <c r="Q76" s="400">
        <f>-Q29</f>
        <v>0</v>
      </c>
      <c r="R76" s="400">
        <f>-R29</f>
        <v>0</v>
      </c>
      <c r="S76" s="400">
        <f>-S29</f>
        <v>0</v>
      </c>
      <c r="T76" s="400">
        <f>-T29</f>
        <v>0</v>
      </c>
      <c r="U76" s="400">
        <f>-U29</f>
        <v>0</v>
      </c>
      <c r="V76" s="400">
        <f>-V29</f>
        <v>0</v>
      </c>
      <c r="W76" s="400">
        <f>-W29</f>
        <v>0</v>
      </c>
      <c r="X76" s="400">
        <f>-X29</f>
        <v>-544360.803130946</v>
      </c>
      <c r="Y76" s="400">
        <f>-Y29</f>
        <v>-700625.211272466</v>
      </c>
      <c r="Z76" s="400">
        <f>-Z29</f>
        <v>-868827.179100646</v>
      </c>
      <c r="AA76" s="400">
        <f>-AA29</f>
        <v>-1042259.65002005</v>
      </c>
      <c r="AB76" s="400">
        <f>-AB29</f>
        <v>-1212588.85594753</v>
      </c>
      <c r="AC76" s="400">
        <f>-AC29</f>
        <v>-1370354.84392385</v>
      </c>
      <c r="AD76" s="400">
        <f>-AD29</f>
        <v>-1505872.42401455</v>
      </c>
      <c r="AE76" s="400">
        <f>-AE29</f>
        <v>-1610157.14354141</v>
      </c>
      <c r="AF76" s="400">
        <f>-AF29</f>
        <v>-1675926.34030565</v>
      </c>
      <c r="AG76" s="400">
        <f>-AG29</f>
        <v>-1698399.98516649</v>
      </c>
      <c r="AH76" s="400">
        <f>-AH29</f>
        <v>-1675926.34030565</v>
      </c>
      <c r="AI76" s="400">
        <f>-AI29</f>
        <v>-1610157.14354141</v>
      </c>
      <c r="AJ76" s="400">
        <f>-AJ29</f>
        <v>-1505872.42401455</v>
      </c>
      <c r="AK76" s="400">
        <f>-AK29</f>
        <v>-1370354.84392385</v>
      </c>
      <c r="AL76" s="400">
        <f>-AL29</f>
        <v>-1212588.85594753</v>
      </c>
      <c r="AM76" s="400">
        <f>-AM29</f>
        <v>-1042259.65002005</v>
      </c>
      <c r="AN76" s="400">
        <f>-AN29</f>
        <v>-868827.179100646</v>
      </c>
      <c r="AO76" s="400">
        <f>-AO29</f>
        <v>-700625.211272466</v>
      </c>
      <c r="AP76" s="400">
        <f>-AP29</f>
        <v>-544360.803130946</v>
      </c>
      <c r="AQ76" s="400">
        <f>-AQ29</f>
        <v>119262.404858914</v>
      </c>
      <c r="AR76" s="400">
        <f>-AR29</f>
        <v>119262.404858914</v>
      </c>
      <c r="AS76" s="400">
        <f>-AS29</f>
        <v>119262.404858914</v>
      </c>
      <c r="AT76" s="400">
        <f>-AT29</f>
        <v>119262.404858914</v>
      </c>
      <c r="AU76" s="400">
        <f>-AU29</f>
        <v>269909.653101753</v>
      </c>
      <c r="AV76" s="400">
        <f>-AV29</f>
        <v>0</v>
      </c>
      <c r="AW76" s="400">
        <f>-AW29</f>
        <v>0</v>
      </c>
      <c r="AX76" s="400">
        <f>-AX29</f>
        <v>0</v>
      </c>
      <c r="AY76" s="400">
        <f>-AY29</f>
        <v>0</v>
      </c>
      <c r="AZ76" s="400">
        <f>-AZ29</f>
        <v>0</v>
      </c>
      <c r="BA76" s="400">
        <f>-BA29</f>
        <v>0</v>
      </c>
      <c r="BB76" s="400">
        <f>-BB29</f>
        <v>0</v>
      </c>
      <c r="BC76" s="400">
        <f>-BC29</f>
        <v>0</v>
      </c>
      <c r="BD76" s="400">
        <f>-BD29</f>
        <v>0</v>
      </c>
      <c r="BE76" s="400">
        <f>-BE29</f>
        <v>0</v>
      </c>
      <c r="BF76" s="400">
        <f>-BF29</f>
        <v>0</v>
      </c>
      <c r="BG76" s="400">
        <f>-BG29</f>
        <v>0</v>
      </c>
      <c r="BH76" s="400">
        <f>-BH29</f>
        <v>0</v>
      </c>
      <c r="BI76" s="400">
        <f>-BI29</f>
        <v>0</v>
      </c>
      <c r="BJ76" s="400">
        <f>-BJ29</f>
        <v>0</v>
      </c>
      <c r="BK76" s="400">
        <f>-BK29</f>
        <v>0</v>
      </c>
      <c r="BL76" s="400">
        <f>-BL29</f>
        <v>0</v>
      </c>
      <c r="BM76" s="400">
        <f>-BM29</f>
        <v>0</v>
      </c>
      <c r="BN76" s="400">
        <f>-BN29</f>
        <v>0</v>
      </c>
      <c r="BO76" s="400">
        <f>-BO29</f>
        <v>0</v>
      </c>
      <c r="BP76" s="400">
        <f>-BP29</f>
        <v>0</v>
      </c>
      <c r="BQ76" s="400">
        <f>-BQ29</f>
        <v>0</v>
      </c>
      <c r="BR76" s="400">
        <f>-BR29</f>
        <v>0</v>
      </c>
      <c r="BS76" s="400">
        <f>-BS29</f>
        <v>0</v>
      </c>
      <c r="BT76" s="400">
        <f>-BT29</f>
        <v>0</v>
      </c>
      <c r="BU76" s="400">
        <f>-BU29</f>
        <v>0</v>
      </c>
      <c r="BV76" s="400">
        <f>-BV29</f>
        <v>0</v>
      </c>
      <c r="BW76" s="400">
        <f>-BW29</f>
        <v>0</v>
      </c>
      <c r="BX76" s="400">
        <f>-BX29</f>
        <v>0</v>
      </c>
      <c r="BY76" s="400">
        <f>-BY29</f>
        <v>0</v>
      </c>
      <c r="BZ76" s="400">
        <f>-BZ29</f>
        <v>0</v>
      </c>
      <c r="CA76" s="400">
        <f>-CA29</f>
        <v>0</v>
      </c>
      <c r="CB76" s="400">
        <f>-CB29</f>
        <v>0</v>
      </c>
      <c r="CC76" s="400">
        <f>-CC29</f>
        <v>0</v>
      </c>
      <c r="CD76" s="400">
        <f>-CD29</f>
        <v>0</v>
      </c>
      <c r="CE76" s="400">
        <f>-CE29</f>
        <v>0</v>
      </c>
      <c r="CF76" s="400">
        <f>-CF29</f>
        <v>0</v>
      </c>
      <c r="CG76" s="400">
        <f>-CG29</f>
        <v>0</v>
      </c>
      <c r="CH76" s="400">
        <f>-CH29</f>
        <v>0</v>
      </c>
      <c r="CI76" s="400">
        <f>-CI29</f>
        <v>0</v>
      </c>
      <c r="CJ76" s="400">
        <f>-CJ29</f>
        <v>0</v>
      </c>
      <c r="CK76" s="400">
        <f>-CK29</f>
        <v>0</v>
      </c>
      <c r="CL76" s="400">
        <f>-CL29</f>
        <v>0</v>
      </c>
      <c r="CM76" s="400">
        <f>-CM29</f>
        <v>0</v>
      </c>
      <c r="CN76" s="400">
        <f>-CN29</f>
        <v>0</v>
      </c>
      <c r="CO76" s="400">
        <f>-CO29</f>
        <v>0</v>
      </c>
      <c r="CP76" s="400">
        <f>-CP29</f>
        <v>0</v>
      </c>
      <c r="CQ76" s="400">
        <f>-CQ29</f>
        <v>0</v>
      </c>
      <c r="CR76" s="400">
        <f>-CR29</f>
        <v>0</v>
      </c>
      <c r="CS76" s="400">
        <f>-CS29</f>
        <v>0</v>
      </c>
      <c r="CT76" s="400">
        <f>-CT29</f>
        <v>0</v>
      </c>
      <c r="CU76" s="400">
        <f>-CU29</f>
        <v>0</v>
      </c>
      <c r="CV76" s="400">
        <f>-CV29</f>
        <v>0</v>
      </c>
      <c r="CW76" s="400">
        <f>-CW29</f>
        <v>0</v>
      </c>
      <c r="CX76" s="400">
        <f>-CX29</f>
        <v>0</v>
      </c>
      <c r="CY76" s="400">
        <f>-CY29</f>
        <v>0</v>
      </c>
      <c r="CZ76" s="400">
        <f>-CZ29</f>
        <v>0</v>
      </c>
      <c r="DA76" s="400">
        <f>-DA29</f>
        <v>0</v>
      </c>
      <c r="DB76" s="400">
        <f>-DB29</f>
        <v>0</v>
      </c>
      <c r="DC76" s="400">
        <f>-DC29</f>
        <v>0</v>
      </c>
      <c r="DD76" s="400">
        <f>-DD29</f>
        <v>0</v>
      </c>
      <c r="DE76" s="400">
        <f>-DE29</f>
        <v>0</v>
      </c>
    </row>
    <row r="77" hidden="1" outlineLevel="1" ht="15" customFormat="1" customHeight="1" s="381">
      <c r="A77" s="408" t="inlineStr">
        <is>
          <t>Troost</t>
        </is>
      </c>
      <c r="B77" s="400" t="n">
        <v>0</v>
      </c>
      <c r="C77" s="400" t="n">
        <v>0</v>
      </c>
      <c r="D77" s="400" t="n">
        <v>0</v>
      </c>
      <c r="E77" s="400" t="n">
        <v>0</v>
      </c>
      <c r="F77" s="400">
        <f>-F30</f>
        <v>0</v>
      </c>
      <c r="G77" s="400">
        <f>-G30</f>
        <v>0</v>
      </c>
      <c r="H77" s="400">
        <f>-H30</f>
        <v>0</v>
      </c>
      <c r="I77" s="400">
        <f>-I30</f>
        <v>0</v>
      </c>
      <c r="J77" s="400">
        <f>-J30</f>
        <v>0</v>
      </c>
      <c r="K77" s="400">
        <f>-K30</f>
        <v>0</v>
      </c>
      <c r="L77" s="400">
        <f>-L30</f>
        <v>0</v>
      </c>
      <c r="M77" s="400">
        <f>-M30</f>
        <v>0</v>
      </c>
      <c r="N77" s="400">
        <f>-N30</f>
        <v>-311346.196127688</v>
      </c>
      <c r="O77" s="400">
        <f>-O30</f>
        <v>-406189.488762688</v>
      </c>
      <c r="P77" s="400">
        <f>-P30</f>
        <v>-508278.177071438</v>
      </c>
      <c r="Q77" s="400">
        <f>-Q30</f>
        <v>-613541.472708938</v>
      </c>
      <c r="R77" s="400">
        <f>-R30</f>
        <v>-716921.269261438</v>
      </c>
      <c r="S77" s="400">
        <f>-S30</f>
        <v>-812675.932421438</v>
      </c>
      <c r="T77" s="400">
        <f>-T30</f>
        <v>-894927.122302687</v>
      </c>
      <c r="U77" s="400">
        <f>-U30</f>
        <v>-958221.805263938</v>
      </c>
      <c r="V77" s="400">
        <f>-V30</f>
        <v>-998139.834258938</v>
      </c>
      <c r="W77" s="400">
        <f>-W30</f>
        <v>-1011780.01311644</v>
      </c>
      <c r="X77" s="400">
        <f>-X30</f>
        <v>-998139.834258938</v>
      </c>
      <c r="Y77" s="400">
        <f>-Y30</f>
        <v>-958221.805263938</v>
      </c>
      <c r="Z77" s="400">
        <f>-Z30</f>
        <v>-894927.122302687</v>
      </c>
      <c r="AA77" s="400">
        <f>-AA30</f>
        <v>-812675.932421438</v>
      </c>
      <c r="AB77" s="400">
        <f>-AB30</f>
        <v>-716921.269261438</v>
      </c>
      <c r="AC77" s="400">
        <f>-AC30</f>
        <v>-613541.472708938</v>
      </c>
      <c r="AD77" s="400">
        <f>-AD30</f>
        <v>-508278.177071438</v>
      </c>
      <c r="AE77" s="400">
        <f>-AE30</f>
        <v>-406189.488762688</v>
      </c>
      <c r="AF77" s="400">
        <f>-AF30</f>
        <v>-219912.188731625</v>
      </c>
      <c r="AG77" s="400">
        <f>-AG30</f>
        <v>0</v>
      </c>
      <c r="AH77" s="400">
        <f>-AH30</f>
        <v>0</v>
      </c>
      <c r="AI77" s="400">
        <f>-AI30</f>
        <v>0</v>
      </c>
      <c r="AJ77" s="400">
        <f>-AJ30</f>
        <v>0</v>
      </c>
      <c r="AK77" s="400">
        <f>-AK30</f>
        <v>0</v>
      </c>
      <c r="AL77" s="400">
        <f>-AL30</f>
        <v>0</v>
      </c>
      <c r="AM77" s="400">
        <f>-AM30</f>
        <v>0</v>
      </c>
      <c r="AN77" s="400">
        <f>-AN30</f>
        <v>0</v>
      </c>
      <c r="AO77" s="400">
        <f>-AO30</f>
        <v>0</v>
      </c>
      <c r="AP77" s="400">
        <f>-AP30</f>
        <v>0</v>
      </c>
      <c r="AQ77" s="400">
        <f>-AQ30</f>
        <v>0</v>
      </c>
      <c r="AR77" s="400">
        <f>-AR30</f>
        <v>0</v>
      </c>
      <c r="AS77" s="400">
        <f>-AS30</f>
        <v>0</v>
      </c>
      <c r="AT77" s="400">
        <f>-AT30</f>
        <v>0</v>
      </c>
      <c r="AU77" s="400">
        <f>-AU30</f>
        <v>0</v>
      </c>
      <c r="AV77" s="400">
        <f>-AV30</f>
        <v>0</v>
      </c>
      <c r="AW77" s="400">
        <f>-AW30</f>
        <v>0</v>
      </c>
      <c r="AX77" s="400">
        <f>-AX30</f>
        <v>0</v>
      </c>
      <c r="AY77" s="400">
        <f>-AY30</f>
        <v>0</v>
      </c>
      <c r="AZ77" s="400">
        <f>-AZ30</f>
        <v>0</v>
      </c>
      <c r="BA77" s="400">
        <f>-BA30</f>
        <v>0</v>
      </c>
      <c r="BB77" s="400">
        <f>-BB30</f>
        <v>0</v>
      </c>
      <c r="BC77" s="400">
        <f>-BC30</f>
        <v>0</v>
      </c>
      <c r="BD77" s="400">
        <f>-BD30</f>
        <v>0</v>
      </c>
      <c r="BE77" s="400">
        <f>-BE30</f>
        <v>0</v>
      </c>
      <c r="BF77" s="400">
        <f>-BF30</f>
        <v>0</v>
      </c>
      <c r="BG77" s="400">
        <f>-BG30</f>
        <v>0</v>
      </c>
      <c r="BH77" s="400">
        <f>-BH30</f>
        <v>0</v>
      </c>
      <c r="BI77" s="400">
        <f>-BI30</f>
        <v>0</v>
      </c>
      <c r="BJ77" s="400">
        <f>-BJ30</f>
        <v>0</v>
      </c>
      <c r="BK77" s="400">
        <f>-BK30</f>
        <v>0</v>
      </c>
      <c r="BL77" s="400">
        <f>-BL30</f>
        <v>0</v>
      </c>
      <c r="BM77" s="400">
        <f>-BM30</f>
        <v>0</v>
      </c>
      <c r="BN77" s="400">
        <f>-BN30</f>
        <v>0</v>
      </c>
      <c r="BO77" s="400">
        <f>-BO30</f>
        <v>0</v>
      </c>
      <c r="BP77" s="400">
        <f>-BP30</f>
        <v>0</v>
      </c>
      <c r="BQ77" s="400">
        <f>-BQ30</f>
        <v>0</v>
      </c>
      <c r="BR77" s="400">
        <f>-BR30</f>
        <v>0</v>
      </c>
      <c r="BS77" s="400">
        <f>-BS30</f>
        <v>0</v>
      </c>
      <c r="BT77" s="400">
        <f>-BT30</f>
        <v>0</v>
      </c>
      <c r="BU77" s="400">
        <f>-BU30</f>
        <v>0</v>
      </c>
      <c r="BV77" s="400">
        <f>-BV30</f>
        <v>0</v>
      </c>
      <c r="BW77" s="400">
        <f>-BW30</f>
        <v>0</v>
      </c>
      <c r="BX77" s="400">
        <f>-BX30</f>
        <v>0</v>
      </c>
      <c r="BY77" s="400">
        <f>-BY30</f>
        <v>0</v>
      </c>
      <c r="BZ77" s="400">
        <f>-BZ30</f>
        <v>0</v>
      </c>
      <c r="CA77" s="400">
        <f>-CA30</f>
        <v>0</v>
      </c>
      <c r="CB77" s="400">
        <f>-CB30</f>
        <v>0</v>
      </c>
      <c r="CC77" s="400">
        <f>-CC30</f>
        <v>0</v>
      </c>
      <c r="CD77" s="400">
        <f>-CD30</f>
        <v>0</v>
      </c>
      <c r="CE77" s="400">
        <f>-CE30</f>
        <v>0</v>
      </c>
      <c r="CF77" s="400">
        <f>-CF30</f>
        <v>0</v>
      </c>
      <c r="CG77" s="400">
        <f>-CG30</f>
        <v>0</v>
      </c>
      <c r="CH77" s="400">
        <f>-CH30</f>
        <v>0</v>
      </c>
      <c r="CI77" s="400">
        <f>-CI30</f>
        <v>0</v>
      </c>
      <c r="CJ77" s="400">
        <f>-CJ30</f>
        <v>0</v>
      </c>
      <c r="CK77" s="400">
        <f>-CK30</f>
        <v>0</v>
      </c>
      <c r="CL77" s="400">
        <f>-CL30</f>
        <v>0</v>
      </c>
      <c r="CM77" s="400">
        <f>-CM30</f>
        <v>0</v>
      </c>
      <c r="CN77" s="400">
        <f>-CN30</f>
        <v>0</v>
      </c>
      <c r="CO77" s="400">
        <f>-CO30</f>
        <v>0</v>
      </c>
      <c r="CP77" s="400">
        <f>-CP30</f>
        <v>0</v>
      </c>
      <c r="CQ77" s="400">
        <f>-CQ30</f>
        <v>0</v>
      </c>
      <c r="CR77" s="400">
        <f>-CR30</f>
        <v>0</v>
      </c>
      <c r="CS77" s="400">
        <f>-CS30</f>
        <v>0</v>
      </c>
      <c r="CT77" s="400">
        <f>-CT30</f>
        <v>0</v>
      </c>
      <c r="CU77" s="400">
        <f>-CU30</f>
        <v>0</v>
      </c>
      <c r="CV77" s="400">
        <f>-CV30</f>
        <v>0</v>
      </c>
      <c r="CW77" s="400">
        <f>-CW30</f>
        <v>0</v>
      </c>
      <c r="CX77" s="400">
        <f>-CX30</f>
        <v>0</v>
      </c>
      <c r="CY77" s="400">
        <f>-CY30</f>
        <v>0</v>
      </c>
      <c r="CZ77" s="400">
        <f>-CZ30</f>
        <v>0</v>
      </c>
      <c r="DA77" s="400">
        <f>-DA30</f>
        <v>0</v>
      </c>
      <c r="DB77" s="400">
        <f>-DB30</f>
        <v>0</v>
      </c>
      <c r="DC77" s="400">
        <f>-DC30</f>
        <v>0</v>
      </c>
      <c r="DD77" s="400">
        <f>-DD30</f>
        <v>0</v>
      </c>
      <c r="DE77" s="400">
        <f>-DE30</f>
        <v>0</v>
      </c>
    </row>
    <row r="78" hidden="1" outlineLevel="1" ht="15" customFormat="1" customHeight="1" s="381">
      <c r="A78" s="408" t="inlineStr">
        <is>
          <t>BD-06</t>
        </is>
      </c>
      <c r="B78" s="400" t="n">
        <v>0</v>
      </c>
      <c r="C78" s="400" t="n">
        <v>0</v>
      </c>
      <c r="D78" s="400" t="n">
        <v>0</v>
      </c>
      <c r="E78" s="400" t="n">
        <v>0</v>
      </c>
      <c r="F78" s="400">
        <f>-F31</f>
        <v>0</v>
      </c>
      <c r="G78" s="400">
        <f>-G31</f>
        <v>0</v>
      </c>
      <c r="H78" s="400">
        <f>-H31</f>
        <v>0</v>
      </c>
      <c r="I78" s="400">
        <f>-I31</f>
        <v>0</v>
      </c>
      <c r="J78" s="400">
        <f>-J31</f>
        <v>0</v>
      </c>
      <c r="K78" s="400">
        <f>-K31</f>
        <v>0</v>
      </c>
      <c r="L78" s="400">
        <f>-L31</f>
        <v>0</v>
      </c>
      <c r="M78" s="400">
        <f>-M31</f>
        <v>0</v>
      </c>
      <c r="N78" s="400">
        <f>-N31</f>
        <v>0</v>
      </c>
      <c r="O78" s="400">
        <f>-O31</f>
        <v>0</v>
      </c>
      <c r="P78" s="400">
        <f>-P31</f>
        <v>0</v>
      </c>
      <c r="Q78" s="400">
        <f>-Q31</f>
        <v>0</v>
      </c>
      <c r="R78" s="400">
        <f>-R31</f>
        <v>0</v>
      </c>
      <c r="S78" s="400">
        <f>-S31</f>
        <v>0</v>
      </c>
      <c r="T78" s="400">
        <f>-T31</f>
        <v>0</v>
      </c>
      <c r="U78" s="400">
        <f>-U31</f>
        <v>0</v>
      </c>
      <c r="V78" s="400">
        <f>-V31</f>
        <v>0</v>
      </c>
      <c r="W78" s="400">
        <f>-W31</f>
        <v>0</v>
      </c>
      <c r="X78" s="400">
        <f>-X31</f>
        <v>0</v>
      </c>
      <c r="Y78" s="400">
        <f>-Y31</f>
        <v>0</v>
      </c>
      <c r="Z78" s="400">
        <f>-Z31</f>
        <v>0</v>
      </c>
      <c r="AA78" s="400">
        <f>-AA31</f>
        <v>0</v>
      </c>
      <c r="AB78" s="400">
        <f>-AB31</f>
        <v>0</v>
      </c>
      <c r="AC78" s="400">
        <f>-AC31</f>
        <v>0</v>
      </c>
      <c r="AD78" s="400">
        <f>-AD31</f>
        <v>0</v>
      </c>
      <c r="AE78" s="400">
        <f>-AE31</f>
        <v>0</v>
      </c>
      <c r="AF78" s="400">
        <f>-AF31</f>
        <v>0</v>
      </c>
      <c r="AG78" s="400">
        <f>-AG31</f>
        <v>0</v>
      </c>
      <c r="AH78" s="400">
        <f>-AH31</f>
        <v>0</v>
      </c>
      <c r="AI78" s="400">
        <f>-AI31</f>
        <v>0</v>
      </c>
      <c r="AJ78" s="400">
        <f>-AJ31</f>
        <v>0</v>
      </c>
      <c r="AK78" s="400">
        <f>-AK31</f>
        <v>0</v>
      </c>
      <c r="AL78" s="400">
        <f>-AL31</f>
        <v>0</v>
      </c>
      <c r="AM78" s="400">
        <f>-AM31</f>
        <v>0</v>
      </c>
      <c r="AN78" s="400">
        <f>-AN31</f>
        <v>0</v>
      </c>
      <c r="AO78" s="400">
        <f>-AO31</f>
        <v>0</v>
      </c>
      <c r="AP78" s="400">
        <f>-AP31</f>
        <v>0</v>
      </c>
      <c r="AQ78" s="400">
        <f>-AQ31</f>
        <v>0</v>
      </c>
      <c r="AR78" s="400">
        <f>-AR31</f>
        <v>0</v>
      </c>
      <c r="AS78" s="400">
        <f>-AS31</f>
        <v>0</v>
      </c>
      <c r="AT78" s="400">
        <f>-AT31</f>
        <v>0</v>
      </c>
      <c r="AU78" s="400">
        <f>-AU31</f>
        <v>0</v>
      </c>
      <c r="AV78" s="400">
        <f>-AV31</f>
        <v>0</v>
      </c>
      <c r="AW78" s="400">
        <f>-AW31</f>
        <v>0</v>
      </c>
      <c r="AX78" s="400">
        <f>-AX31</f>
        <v>0</v>
      </c>
      <c r="AY78" s="400">
        <f>-AY31</f>
        <v>0</v>
      </c>
      <c r="AZ78" s="400">
        <f>-AZ31</f>
        <v>0</v>
      </c>
      <c r="BA78" s="400">
        <f>-BA31</f>
        <v>0</v>
      </c>
      <c r="BB78" s="400">
        <f>-BB31</f>
        <v>0</v>
      </c>
      <c r="BC78" s="400">
        <f>-BC31</f>
        <v>0</v>
      </c>
      <c r="BD78" s="400">
        <f>-BD31</f>
        <v>0</v>
      </c>
      <c r="BE78" s="400">
        <f>-BE31</f>
        <v>0</v>
      </c>
      <c r="BF78" s="400">
        <f>-BF31</f>
        <v>0</v>
      </c>
      <c r="BG78" s="400">
        <f>-BG31</f>
        <v>0</v>
      </c>
      <c r="BH78" s="400">
        <f>-BH31</f>
        <v>0</v>
      </c>
      <c r="BI78" s="400">
        <f>-BI31</f>
        <v>0</v>
      </c>
      <c r="BJ78" s="400">
        <f>-BJ31</f>
        <v>0</v>
      </c>
      <c r="BK78" s="400">
        <f>-BK31</f>
        <v>0</v>
      </c>
      <c r="BL78" s="400">
        <f>-BL31</f>
        <v>0</v>
      </c>
      <c r="BM78" s="400">
        <f>-BM31</f>
        <v>0</v>
      </c>
      <c r="BN78" s="400">
        <f>-BN31</f>
        <v>0</v>
      </c>
      <c r="BO78" s="400">
        <f>-BO31</f>
        <v>0</v>
      </c>
      <c r="BP78" s="400">
        <f>-BP31</f>
        <v>0</v>
      </c>
      <c r="BQ78" s="400">
        <f>-BQ31</f>
        <v>0</v>
      </c>
      <c r="BR78" s="400">
        <f>-BR31</f>
        <v>0</v>
      </c>
      <c r="BS78" s="400">
        <f>-BS31</f>
        <v>0</v>
      </c>
      <c r="BT78" s="400">
        <f>-BT31</f>
        <v>0</v>
      </c>
      <c r="BU78" s="400">
        <f>-BU31</f>
        <v>0</v>
      </c>
      <c r="BV78" s="400">
        <f>-BV31</f>
        <v>0</v>
      </c>
      <c r="BW78" s="400">
        <f>-BW31</f>
        <v>0</v>
      </c>
      <c r="BX78" s="400">
        <f>-BX31</f>
        <v>0</v>
      </c>
      <c r="BY78" s="400">
        <f>-BY31</f>
        <v>0</v>
      </c>
      <c r="BZ78" s="400">
        <f>-BZ31</f>
        <v>0</v>
      </c>
      <c r="CA78" s="400">
        <f>-CA31</f>
        <v>0</v>
      </c>
      <c r="CB78" s="400">
        <f>-CB31</f>
        <v>0</v>
      </c>
      <c r="CC78" s="400">
        <f>-CC31</f>
        <v>0</v>
      </c>
      <c r="CD78" s="400">
        <f>-CD31</f>
        <v>0</v>
      </c>
      <c r="CE78" s="400">
        <f>-CE31</f>
        <v>0</v>
      </c>
      <c r="CF78" s="400">
        <f>-CF31</f>
        <v>0</v>
      </c>
      <c r="CG78" s="400">
        <f>-CG31</f>
        <v>0</v>
      </c>
      <c r="CH78" s="400">
        <f>-CH31</f>
        <v>0</v>
      </c>
      <c r="CI78" s="400">
        <f>-CI31</f>
        <v>0</v>
      </c>
      <c r="CJ78" s="400">
        <f>-CJ31</f>
        <v>0</v>
      </c>
      <c r="CK78" s="400">
        <f>-CK31</f>
        <v>0</v>
      </c>
      <c r="CL78" s="400">
        <f>-CL31</f>
        <v>0</v>
      </c>
      <c r="CM78" s="400">
        <f>-CM31</f>
        <v>0</v>
      </c>
      <c r="CN78" s="400">
        <f>-CN31</f>
        <v>0</v>
      </c>
      <c r="CO78" s="400">
        <f>-CO31</f>
        <v>0</v>
      </c>
      <c r="CP78" s="400">
        <f>-CP31</f>
        <v>0</v>
      </c>
      <c r="CQ78" s="400">
        <f>-CQ31</f>
        <v>0</v>
      </c>
      <c r="CR78" s="400">
        <f>-CR31</f>
        <v>0</v>
      </c>
      <c r="CS78" s="400">
        <f>-CS31</f>
        <v>0</v>
      </c>
      <c r="CT78" s="400">
        <f>-CT31</f>
        <v>0</v>
      </c>
      <c r="CU78" s="400">
        <f>-CU31</f>
        <v>0</v>
      </c>
      <c r="CV78" s="400">
        <f>-CV31</f>
        <v>0</v>
      </c>
      <c r="CW78" s="400">
        <f>-CW31</f>
        <v>0</v>
      </c>
      <c r="CX78" s="400">
        <f>-CX31</f>
        <v>0</v>
      </c>
      <c r="CY78" s="400">
        <f>-CY31</f>
        <v>0</v>
      </c>
      <c r="CZ78" s="400">
        <f>-CZ31</f>
        <v>0</v>
      </c>
      <c r="DA78" s="400">
        <f>-DA31</f>
        <v>0</v>
      </c>
      <c r="DB78" s="400">
        <f>-DB31</f>
        <v>0</v>
      </c>
      <c r="DC78" s="400">
        <f>-DC31</f>
        <v>0</v>
      </c>
      <c r="DD78" s="400">
        <f>-DD31</f>
        <v>0</v>
      </c>
      <c r="DE78" s="400">
        <f>-DE31</f>
        <v>0</v>
      </c>
    </row>
    <row r="79" hidden="1" outlineLevel="1" ht="15" customFormat="1" customHeight="1" s="381">
      <c r="A79" s="408" t="inlineStr">
        <is>
          <t>BD-07</t>
        </is>
      </c>
      <c r="B79" s="400" t="n">
        <v>0</v>
      </c>
      <c r="C79" s="400" t="n">
        <v>0</v>
      </c>
      <c r="D79" s="400" t="n">
        <v>0</v>
      </c>
      <c r="E79" s="400" t="n">
        <v>0</v>
      </c>
      <c r="F79" s="400">
        <f>-F32</f>
        <v>0</v>
      </c>
      <c r="G79" s="400">
        <f>-G32</f>
        <v>0</v>
      </c>
      <c r="H79" s="400">
        <f>-H32</f>
        <v>0</v>
      </c>
      <c r="I79" s="400">
        <f>-I32</f>
        <v>0</v>
      </c>
      <c r="J79" s="400">
        <f>-J32</f>
        <v>0</v>
      </c>
      <c r="K79" s="400">
        <f>-K32</f>
        <v>0</v>
      </c>
      <c r="L79" s="400">
        <f>-L32</f>
        <v>0</v>
      </c>
      <c r="M79" s="400">
        <f>-M32</f>
        <v>0</v>
      </c>
      <c r="N79" s="400">
        <f>-N32</f>
        <v>0</v>
      </c>
      <c r="O79" s="400">
        <f>-O32</f>
        <v>0</v>
      </c>
      <c r="P79" s="400">
        <f>-P32</f>
        <v>0</v>
      </c>
      <c r="Q79" s="400">
        <f>-Q32</f>
        <v>0</v>
      </c>
      <c r="R79" s="400">
        <f>-R32</f>
        <v>0</v>
      </c>
      <c r="S79" s="400">
        <f>-S32</f>
        <v>0</v>
      </c>
      <c r="T79" s="400">
        <f>-T32</f>
        <v>0</v>
      </c>
      <c r="U79" s="400">
        <f>-U32</f>
        <v>0</v>
      </c>
      <c r="V79" s="400">
        <f>-V32</f>
        <v>0</v>
      </c>
      <c r="W79" s="400">
        <f>-W32</f>
        <v>0</v>
      </c>
      <c r="X79" s="400">
        <f>-X32</f>
        <v>0</v>
      </c>
      <c r="Y79" s="400">
        <f>-Y32</f>
        <v>0</v>
      </c>
      <c r="Z79" s="400">
        <f>-Z32</f>
        <v>0</v>
      </c>
      <c r="AA79" s="400">
        <f>-AA32</f>
        <v>0</v>
      </c>
      <c r="AB79" s="400">
        <f>-AB32</f>
        <v>0</v>
      </c>
      <c r="AC79" s="400">
        <f>-AC32</f>
        <v>0</v>
      </c>
      <c r="AD79" s="400">
        <f>-AD32</f>
        <v>0</v>
      </c>
      <c r="AE79" s="400">
        <f>-AE32</f>
        <v>0</v>
      </c>
      <c r="AF79" s="400">
        <f>-AF32</f>
        <v>0</v>
      </c>
      <c r="AG79" s="400">
        <f>-AG32</f>
        <v>0</v>
      </c>
      <c r="AH79" s="400">
        <f>-AH32</f>
        <v>0</v>
      </c>
      <c r="AI79" s="400">
        <f>-AI32</f>
        <v>0</v>
      </c>
      <c r="AJ79" s="400">
        <f>-AJ32</f>
        <v>0</v>
      </c>
      <c r="AK79" s="400">
        <f>-AK32</f>
        <v>0</v>
      </c>
      <c r="AL79" s="400">
        <f>-AL32</f>
        <v>0</v>
      </c>
      <c r="AM79" s="400">
        <f>-AM32</f>
        <v>0</v>
      </c>
      <c r="AN79" s="400">
        <f>-AN32</f>
        <v>0</v>
      </c>
      <c r="AO79" s="400">
        <f>-AO32</f>
        <v>0</v>
      </c>
      <c r="AP79" s="400">
        <f>-AP32</f>
        <v>0</v>
      </c>
      <c r="AQ79" s="400">
        <f>-AQ32</f>
        <v>0</v>
      </c>
      <c r="AR79" s="400">
        <f>-AR32</f>
        <v>0</v>
      </c>
      <c r="AS79" s="400">
        <f>-AS32</f>
        <v>0</v>
      </c>
      <c r="AT79" s="400">
        <f>-AT32</f>
        <v>0</v>
      </c>
      <c r="AU79" s="400">
        <f>-AU32</f>
        <v>0</v>
      </c>
      <c r="AV79" s="400">
        <f>-AV32</f>
        <v>0</v>
      </c>
      <c r="AW79" s="400">
        <f>-AW32</f>
        <v>0</v>
      </c>
      <c r="AX79" s="400">
        <f>-AX32</f>
        <v>0</v>
      </c>
      <c r="AY79" s="400">
        <f>-AY32</f>
        <v>0</v>
      </c>
      <c r="AZ79" s="400">
        <f>-AZ32</f>
        <v>0</v>
      </c>
      <c r="BA79" s="400">
        <f>-BA32</f>
        <v>0</v>
      </c>
      <c r="BB79" s="400">
        <f>-BB32</f>
        <v>0</v>
      </c>
      <c r="BC79" s="400">
        <f>-BC32</f>
        <v>0</v>
      </c>
      <c r="BD79" s="400">
        <f>-BD32</f>
        <v>0</v>
      </c>
      <c r="BE79" s="400">
        <f>-BE32</f>
        <v>0</v>
      </c>
      <c r="BF79" s="400">
        <f>-BF32</f>
        <v>0</v>
      </c>
      <c r="BG79" s="400">
        <f>-BG32</f>
        <v>0</v>
      </c>
      <c r="BH79" s="400">
        <f>-BH32</f>
        <v>0</v>
      </c>
      <c r="BI79" s="400">
        <f>-BI32</f>
        <v>0</v>
      </c>
      <c r="BJ79" s="400">
        <f>-BJ32</f>
        <v>0</v>
      </c>
      <c r="BK79" s="400">
        <f>-BK32</f>
        <v>0</v>
      </c>
      <c r="BL79" s="400">
        <f>-BL32</f>
        <v>0</v>
      </c>
      <c r="BM79" s="400">
        <f>-BM32</f>
        <v>0</v>
      </c>
      <c r="BN79" s="400">
        <f>-BN32</f>
        <v>0</v>
      </c>
      <c r="BO79" s="400">
        <f>-BO32</f>
        <v>0</v>
      </c>
      <c r="BP79" s="400">
        <f>-BP32</f>
        <v>0</v>
      </c>
      <c r="BQ79" s="400">
        <f>-BQ32</f>
        <v>0</v>
      </c>
      <c r="BR79" s="400">
        <f>-BR32</f>
        <v>0</v>
      </c>
      <c r="BS79" s="400">
        <f>-BS32</f>
        <v>0</v>
      </c>
      <c r="BT79" s="400">
        <f>-BT32</f>
        <v>0</v>
      </c>
      <c r="BU79" s="400">
        <f>-BU32</f>
        <v>0</v>
      </c>
      <c r="BV79" s="400">
        <f>-BV32</f>
        <v>0</v>
      </c>
      <c r="BW79" s="400">
        <f>-BW32</f>
        <v>0</v>
      </c>
      <c r="BX79" s="400">
        <f>-BX32</f>
        <v>0</v>
      </c>
      <c r="BY79" s="400">
        <f>-BY32</f>
        <v>0</v>
      </c>
      <c r="BZ79" s="400">
        <f>-BZ32</f>
        <v>0</v>
      </c>
      <c r="CA79" s="400">
        <f>-CA32</f>
        <v>0</v>
      </c>
      <c r="CB79" s="400">
        <f>-CB32</f>
        <v>0</v>
      </c>
      <c r="CC79" s="400">
        <f>-CC32</f>
        <v>0</v>
      </c>
      <c r="CD79" s="400">
        <f>-CD32</f>
        <v>0</v>
      </c>
      <c r="CE79" s="400">
        <f>-CE32</f>
        <v>0</v>
      </c>
      <c r="CF79" s="400">
        <f>-CF32</f>
        <v>0</v>
      </c>
      <c r="CG79" s="400">
        <f>-CG32</f>
        <v>0</v>
      </c>
      <c r="CH79" s="400">
        <f>-CH32</f>
        <v>0</v>
      </c>
      <c r="CI79" s="400">
        <f>-CI32</f>
        <v>0</v>
      </c>
      <c r="CJ79" s="400">
        <f>-CJ32</f>
        <v>0</v>
      </c>
      <c r="CK79" s="400">
        <f>-CK32</f>
        <v>0</v>
      </c>
      <c r="CL79" s="400">
        <f>-CL32</f>
        <v>0</v>
      </c>
      <c r="CM79" s="400">
        <f>-CM32</f>
        <v>0</v>
      </c>
      <c r="CN79" s="400">
        <f>-CN32</f>
        <v>0</v>
      </c>
      <c r="CO79" s="400">
        <f>-CO32</f>
        <v>0</v>
      </c>
      <c r="CP79" s="400">
        <f>-CP32</f>
        <v>0</v>
      </c>
      <c r="CQ79" s="400">
        <f>-CQ32</f>
        <v>0</v>
      </c>
      <c r="CR79" s="400">
        <f>-CR32</f>
        <v>0</v>
      </c>
      <c r="CS79" s="400">
        <f>-CS32</f>
        <v>0</v>
      </c>
      <c r="CT79" s="400">
        <f>-CT32</f>
        <v>0</v>
      </c>
      <c r="CU79" s="400">
        <f>-CU32</f>
        <v>0</v>
      </c>
      <c r="CV79" s="400">
        <f>-CV32</f>
        <v>0</v>
      </c>
      <c r="CW79" s="400">
        <f>-CW32</f>
        <v>0</v>
      </c>
      <c r="CX79" s="400">
        <f>-CX32</f>
        <v>0</v>
      </c>
      <c r="CY79" s="400">
        <f>-CY32</f>
        <v>0</v>
      </c>
      <c r="CZ79" s="400">
        <f>-CZ32</f>
        <v>0</v>
      </c>
      <c r="DA79" s="400">
        <f>-DA32</f>
        <v>0</v>
      </c>
      <c r="DB79" s="400">
        <f>-DB32</f>
        <v>0</v>
      </c>
      <c r="DC79" s="400">
        <f>-DC32</f>
        <v>0</v>
      </c>
      <c r="DD79" s="400">
        <f>-DD32</f>
        <v>0</v>
      </c>
      <c r="DE79" s="400">
        <f>-DE32</f>
        <v>0</v>
      </c>
    </row>
    <row r="80" hidden="1" outlineLevel="1" ht="15" customFormat="1" customHeight="1" s="381">
      <c r="A80" s="408" t="inlineStr">
        <is>
          <t>BD-08</t>
        </is>
      </c>
      <c r="B80" s="400" t="n">
        <v>0</v>
      </c>
      <c r="C80" s="400" t="n">
        <v>0</v>
      </c>
      <c r="D80" s="400" t="n">
        <v>0</v>
      </c>
      <c r="E80" s="400" t="n">
        <v>0</v>
      </c>
      <c r="F80" s="400">
        <f>-F33</f>
        <v>0</v>
      </c>
      <c r="G80" s="400">
        <f>-G33</f>
        <v>0</v>
      </c>
      <c r="H80" s="400">
        <f>-H33</f>
        <v>0</v>
      </c>
      <c r="I80" s="400">
        <f>-I33</f>
        <v>0</v>
      </c>
      <c r="J80" s="400">
        <f>-J33</f>
        <v>0</v>
      </c>
      <c r="K80" s="400">
        <f>-K33</f>
        <v>0</v>
      </c>
      <c r="L80" s="400">
        <f>-L33</f>
        <v>0</v>
      </c>
      <c r="M80" s="400">
        <f>-M33</f>
        <v>0</v>
      </c>
      <c r="N80" s="400">
        <f>-N33</f>
        <v>0</v>
      </c>
      <c r="O80" s="400">
        <f>-O33</f>
        <v>0</v>
      </c>
      <c r="P80" s="400">
        <f>-P33</f>
        <v>0</v>
      </c>
      <c r="Q80" s="400">
        <f>-Q33</f>
        <v>0</v>
      </c>
      <c r="R80" s="400">
        <f>-R33</f>
        <v>0</v>
      </c>
      <c r="S80" s="400">
        <f>-S33</f>
        <v>0</v>
      </c>
      <c r="T80" s="400">
        <f>-T33</f>
        <v>0</v>
      </c>
      <c r="U80" s="400">
        <f>-U33</f>
        <v>0</v>
      </c>
      <c r="V80" s="400">
        <f>-V33</f>
        <v>0</v>
      </c>
      <c r="W80" s="400">
        <f>-W33</f>
        <v>0</v>
      </c>
      <c r="X80" s="400">
        <f>-X33</f>
        <v>0</v>
      </c>
      <c r="Y80" s="400">
        <f>-Y33</f>
        <v>0</v>
      </c>
      <c r="Z80" s="400">
        <f>-Z33</f>
        <v>0</v>
      </c>
      <c r="AA80" s="400">
        <f>-AA33</f>
        <v>0</v>
      </c>
      <c r="AB80" s="400">
        <f>-AB33</f>
        <v>-368954.1</v>
      </c>
      <c r="AC80" s="400">
        <f>-AC33</f>
        <v>-481346.1</v>
      </c>
      <c r="AD80" s="400">
        <f>-AD33</f>
        <v>-602324.1</v>
      </c>
      <c r="AE80" s="400">
        <f>-AE33</f>
        <v>-727064.1</v>
      </c>
      <c r="AF80" s="400">
        <f>-AF33</f>
        <v>-849572.1</v>
      </c>
      <c r="AG80" s="400">
        <f>-AG33</f>
        <v>-963044.1</v>
      </c>
      <c r="AH80" s="400">
        <f>-AH33</f>
        <v>-1060514.1</v>
      </c>
      <c r="AI80" s="400">
        <f>-AI33</f>
        <v>-1135520.1</v>
      </c>
      <c r="AJ80" s="400">
        <f>-AJ33</f>
        <v>-1182824.1</v>
      </c>
      <c r="AK80" s="400">
        <f>-AK33</f>
        <v>-1198988.1</v>
      </c>
      <c r="AL80" s="400">
        <f>-AL33</f>
        <v>-1182824.1</v>
      </c>
      <c r="AM80" s="400">
        <f>-AM33</f>
        <v>-1135520.1</v>
      </c>
      <c r="AN80" s="400">
        <f>-AN33</f>
        <v>-1060514.1</v>
      </c>
      <c r="AO80" s="400">
        <f>-AO33</f>
        <v>-963044.1</v>
      </c>
      <c r="AP80" s="400">
        <f>-AP33</f>
        <v>-849572.1</v>
      </c>
      <c r="AQ80" s="400">
        <f>-AQ33</f>
        <v>-727064.1</v>
      </c>
      <c r="AR80" s="400">
        <f>-AR33</f>
        <v>-602324.1</v>
      </c>
      <c r="AS80" s="400">
        <f>-AS33</f>
        <v>-481346.1</v>
      </c>
      <c r="AT80" s="400">
        <f>-AT33</f>
        <v>-260602.2</v>
      </c>
      <c r="AU80" s="400">
        <f>-AU33</f>
        <v>0</v>
      </c>
      <c r="AV80" s="400">
        <f>-AV33</f>
        <v>0</v>
      </c>
      <c r="AW80" s="400">
        <f>-AW33</f>
        <v>0</v>
      </c>
      <c r="AX80" s="400">
        <f>-AX33</f>
        <v>0</v>
      </c>
      <c r="AY80" s="400">
        <f>-AY33</f>
        <v>0</v>
      </c>
      <c r="AZ80" s="400">
        <f>-AZ33</f>
        <v>0</v>
      </c>
      <c r="BA80" s="400">
        <f>-BA33</f>
        <v>0</v>
      </c>
      <c r="BB80" s="400">
        <f>-BB33</f>
        <v>0</v>
      </c>
      <c r="BC80" s="400">
        <f>-BC33</f>
        <v>0</v>
      </c>
      <c r="BD80" s="400">
        <f>-BD33</f>
        <v>0</v>
      </c>
      <c r="BE80" s="400">
        <f>-BE33</f>
        <v>0</v>
      </c>
      <c r="BF80" s="400">
        <f>-BF33</f>
        <v>0</v>
      </c>
      <c r="BG80" s="400">
        <f>-BG33</f>
        <v>0</v>
      </c>
      <c r="BH80" s="400">
        <f>-BH33</f>
        <v>0</v>
      </c>
      <c r="BI80" s="400">
        <f>-BI33</f>
        <v>0</v>
      </c>
      <c r="BJ80" s="400">
        <f>-BJ33</f>
        <v>0</v>
      </c>
      <c r="BK80" s="400">
        <f>-BK33</f>
        <v>0</v>
      </c>
      <c r="BL80" s="400">
        <f>-BL33</f>
        <v>0</v>
      </c>
      <c r="BM80" s="400">
        <f>-BM33</f>
        <v>0</v>
      </c>
      <c r="BN80" s="400">
        <f>-BN33</f>
        <v>0</v>
      </c>
      <c r="BO80" s="400">
        <f>-BO33</f>
        <v>0</v>
      </c>
      <c r="BP80" s="400">
        <f>-BP33</f>
        <v>0</v>
      </c>
      <c r="BQ80" s="400">
        <f>-BQ33</f>
        <v>0</v>
      </c>
      <c r="BR80" s="400">
        <f>-BR33</f>
        <v>0</v>
      </c>
      <c r="BS80" s="400">
        <f>-BS33</f>
        <v>0</v>
      </c>
      <c r="BT80" s="400">
        <f>-BT33</f>
        <v>0</v>
      </c>
      <c r="BU80" s="400">
        <f>-BU33</f>
        <v>0</v>
      </c>
      <c r="BV80" s="400">
        <f>-BV33</f>
        <v>0</v>
      </c>
      <c r="BW80" s="400">
        <f>-BW33</f>
        <v>0</v>
      </c>
      <c r="BX80" s="400">
        <f>-BX33</f>
        <v>0</v>
      </c>
      <c r="BY80" s="400">
        <f>-BY33</f>
        <v>0</v>
      </c>
      <c r="BZ80" s="400">
        <f>-BZ33</f>
        <v>0</v>
      </c>
      <c r="CA80" s="400">
        <f>-CA33</f>
        <v>0</v>
      </c>
      <c r="CB80" s="400">
        <f>-CB33</f>
        <v>0</v>
      </c>
      <c r="CC80" s="400">
        <f>-CC33</f>
        <v>0</v>
      </c>
      <c r="CD80" s="400">
        <f>-CD33</f>
        <v>0</v>
      </c>
      <c r="CE80" s="400">
        <f>-CE33</f>
        <v>0</v>
      </c>
      <c r="CF80" s="400">
        <f>-CF33</f>
        <v>0</v>
      </c>
      <c r="CG80" s="400">
        <f>-CG33</f>
        <v>0</v>
      </c>
      <c r="CH80" s="400">
        <f>-CH33</f>
        <v>0</v>
      </c>
      <c r="CI80" s="400">
        <f>-CI33</f>
        <v>0</v>
      </c>
      <c r="CJ80" s="400">
        <f>-CJ33</f>
        <v>0</v>
      </c>
      <c r="CK80" s="400">
        <f>-CK33</f>
        <v>0</v>
      </c>
      <c r="CL80" s="400">
        <f>-CL33</f>
        <v>0</v>
      </c>
      <c r="CM80" s="400">
        <f>-CM33</f>
        <v>0</v>
      </c>
      <c r="CN80" s="400">
        <f>-CN33</f>
        <v>0</v>
      </c>
      <c r="CO80" s="400">
        <f>-CO33</f>
        <v>0</v>
      </c>
      <c r="CP80" s="400">
        <f>-CP33</f>
        <v>0</v>
      </c>
      <c r="CQ80" s="400">
        <f>-CQ33</f>
        <v>0</v>
      </c>
      <c r="CR80" s="400">
        <f>-CR33</f>
        <v>0</v>
      </c>
      <c r="CS80" s="400">
        <f>-CS33</f>
        <v>0</v>
      </c>
      <c r="CT80" s="400">
        <f>-CT33</f>
        <v>0</v>
      </c>
      <c r="CU80" s="400">
        <f>-CU33</f>
        <v>0</v>
      </c>
      <c r="CV80" s="400">
        <f>-CV33</f>
        <v>0</v>
      </c>
      <c r="CW80" s="400">
        <f>-CW33</f>
        <v>0</v>
      </c>
      <c r="CX80" s="400">
        <f>-CX33</f>
        <v>0</v>
      </c>
      <c r="CY80" s="400">
        <f>-CY33</f>
        <v>0</v>
      </c>
      <c r="CZ80" s="400">
        <f>-CZ33</f>
        <v>0</v>
      </c>
      <c r="DA80" s="400">
        <f>-DA33</f>
        <v>0</v>
      </c>
      <c r="DB80" s="400">
        <f>-DB33</f>
        <v>0</v>
      </c>
      <c r="DC80" s="400">
        <f>-DC33</f>
        <v>0</v>
      </c>
      <c r="DD80" s="400">
        <f>-DD33</f>
        <v>0</v>
      </c>
      <c r="DE80" s="400">
        <f>-DE33</f>
        <v>0</v>
      </c>
    </row>
    <row r="81" hidden="1" outlineLevel="1" ht="15" customFormat="1" customHeight="1" s="381">
      <c r="A81" s="408" t="inlineStr">
        <is>
          <t>BD-09</t>
        </is>
      </c>
      <c r="B81" s="400" t="n">
        <v>0</v>
      </c>
      <c r="C81" s="400" t="n">
        <v>0</v>
      </c>
      <c r="D81" s="400" t="n">
        <v>0</v>
      </c>
      <c r="E81" s="400" t="n">
        <v>0</v>
      </c>
      <c r="F81" s="400">
        <f>-F34</f>
        <v>0</v>
      </c>
      <c r="G81" s="400">
        <f>-G34</f>
        <v>0</v>
      </c>
      <c r="H81" s="400">
        <f>-H34</f>
        <v>0</v>
      </c>
      <c r="I81" s="400">
        <f>-I34</f>
        <v>0</v>
      </c>
      <c r="J81" s="400">
        <f>-J34</f>
        <v>0</v>
      </c>
      <c r="K81" s="400">
        <f>-K34</f>
        <v>0</v>
      </c>
      <c r="L81" s="400">
        <f>-L34</f>
        <v>0</v>
      </c>
      <c r="M81" s="400">
        <f>-M34</f>
        <v>0</v>
      </c>
      <c r="N81" s="400">
        <f>-N34</f>
        <v>0</v>
      </c>
      <c r="O81" s="400">
        <f>-O34</f>
        <v>0</v>
      </c>
      <c r="P81" s="400">
        <f>-P34</f>
        <v>0</v>
      </c>
      <c r="Q81" s="400">
        <f>-Q34</f>
        <v>0</v>
      </c>
      <c r="R81" s="400">
        <f>-R34</f>
        <v>0</v>
      </c>
      <c r="S81" s="400">
        <f>-S34</f>
        <v>0</v>
      </c>
      <c r="T81" s="400">
        <f>-T34</f>
        <v>0</v>
      </c>
      <c r="U81" s="400">
        <f>-U34</f>
        <v>0</v>
      </c>
      <c r="V81" s="400">
        <f>-V34</f>
        <v>0</v>
      </c>
      <c r="W81" s="400">
        <f>-W34</f>
        <v>0</v>
      </c>
      <c r="X81" s="400">
        <f>-X34</f>
        <v>0</v>
      </c>
      <c r="Y81" s="400">
        <f>-Y34</f>
        <v>0</v>
      </c>
      <c r="Z81" s="400">
        <f>-Z34</f>
        <v>0</v>
      </c>
      <c r="AA81" s="400">
        <f>-AA34</f>
        <v>0</v>
      </c>
      <c r="AB81" s="400">
        <f>-AB34</f>
        <v>0</v>
      </c>
      <c r="AC81" s="400">
        <f>-AC34</f>
        <v>0</v>
      </c>
      <c r="AD81" s="400">
        <f>-AD34</f>
        <v>0</v>
      </c>
      <c r="AE81" s="400">
        <f>-AE34</f>
        <v>0</v>
      </c>
      <c r="AF81" s="400">
        <f>-AF34</f>
        <v>0</v>
      </c>
      <c r="AG81" s="400">
        <f>-AG34</f>
        <v>-368954.1</v>
      </c>
      <c r="AH81" s="400">
        <f>-AH34</f>
        <v>-481346.1</v>
      </c>
      <c r="AI81" s="400">
        <f>-AI34</f>
        <v>-602324.1</v>
      </c>
      <c r="AJ81" s="400">
        <f>-AJ34</f>
        <v>-727064.1</v>
      </c>
      <c r="AK81" s="400">
        <f>-AK34</f>
        <v>-849572.1</v>
      </c>
      <c r="AL81" s="400">
        <f>-AL34</f>
        <v>-963044.1</v>
      </c>
      <c r="AM81" s="400">
        <f>-AM34</f>
        <v>-1060514.1</v>
      </c>
      <c r="AN81" s="400">
        <f>-AN34</f>
        <v>-1135520.1</v>
      </c>
      <c r="AO81" s="400">
        <f>-AO34</f>
        <v>-1182824.1</v>
      </c>
      <c r="AP81" s="400">
        <f>-AP34</f>
        <v>-1198988.1</v>
      </c>
      <c r="AQ81" s="400">
        <f>-AQ34</f>
        <v>-1182824.1</v>
      </c>
      <c r="AR81" s="400">
        <f>-AR34</f>
        <v>-1135520.1</v>
      </c>
      <c r="AS81" s="400">
        <f>-AS34</f>
        <v>-1060514.1</v>
      </c>
      <c r="AT81" s="400">
        <f>-AT34</f>
        <v>-963044.1</v>
      </c>
      <c r="AU81" s="400">
        <f>-AU34</f>
        <v>-849572.1</v>
      </c>
      <c r="AV81" s="400">
        <f>-AV34</f>
        <v>-727064.1</v>
      </c>
      <c r="AW81" s="400">
        <f>-AW34</f>
        <v>-602324.1</v>
      </c>
      <c r="AX81" s="400">
        <f>-AX34</f>
        <v>-481346.1</v>
      </c>
      <c r="AY81" s="400">
        <f>-AY34</f>
        <v>-260602.2</v>
      </c>
      <c r="AZ81" s="400">
        <f>-AZ34</f>
        <v>0</v>
      </c>
      <c r="BA81" s="400">
        <f>-BA34</f>
        <v>0</v>
      </c>
      <c r="BB81" s="400">
        <f>-BB34</f>
        <v>0</v>
      </c>
      <c r="BC81" s="400">
        <f>-BC34</f>
        <v>0</v>
      </c>
      <c r="BD81" s="400">
        <f>-BD34</f>
        <v>0</v>
      </c>
      <c r="BE81" s="400">
        <f>-BE34</f>
        <v>0</v>
      </c>
      <c r="BF81" s="400">
        <f>-BF34</f>
        <v>0</v>
      </c>
      <c r="BG81" s="400">
        <f>-BG34</f>
        <v>0</v>
      </c>
      <c r="BH81" s="400">
        <f>-BH34</f>
        <v>0</v>
      </c>
      <c r="BI81" s="400">
        <f>-BI34</f>
        <v>0</v>
      </c>
      <c r="BJ81" s="400">
        <f>-BJ34</f>
        <v>0</v>
      </c>
      <c r="BK81" s="400">
        <f>-BK34</f>
        <v>0</v>
      </c>
      <c r="BL81" s="400">
        <f>-BL34</f>
        <v>0</v>
      </c>
      <c r="BM81" s="400">
        <f>-BM34</f>
        <v>0</v>
      </c>
      <c r="BN81" s="400">
        <f>-BN34</f>
        <v>0</v>
      </c>
      <c r="BO81" s="400">
        <f>-BO34</f>
        <v>0</v>
      </c>
      <c r="BP81" s="400">
        <f>-BP34</f>
        <v>0</v>
      </c>
      <c r="BQ81" s="400">
        <f>-BQ34</f>
        <v>0</v>
      </c>
      <c r="BR81" s="400">
        <f>-BR34</f>
        <v>0</v>
      </c>
      <c r="BS81" s="400">
        <f>-BS34</f>
        <v>0</v>
      </c>
      <c r="BT81" s="400">
        <f>-BT34</f>
        <v>0</v>
      </c>
      <c r="BU81" s="400">
        <f>-BU34</f>
        <v>0</v>
      </c>
      <c r="BV81" s="400">
        <f>-BV34</f>
        <v>0</v>
      </c>
      <c r="BW81" s="400">
        <f>-BW34</f>
        <v>0</v>
      </c>
      <c r="BX81" s="400">
        <f>-BX34</f>
        <v>0</v>
      </c>
      <c r="BY81" s="400">
        <f>-BY34</f>
        <v>0</v>
      </c>
      <c r="BZ81" s="400">
        <f>-BZ34</f>
        <v>0</v>
      </c>
      <c r="CA81" s="400">
        <f>-CA34</f>
        <v>0</v>
      </c>
      <c r="CB81" s="400">
        <f>-CB34</f>
        <v>0</v>
      </c>
      <c r="CC81" s="400">
        <f>-CC34</f>
        <v>0</v>
      </c>
      <c r="CD81" s="400">
        <f>-CD34</f>
        <v>0</v>
      </c>
      <c r="CE81" s="400">
        <f>-CE34</f>
        <v>0</v>
      </c>
      <c r="CF81" s="400">
        <f>-CF34</f>
        <v>0</v>
      </c>
      <c r="CG81" s="400">
        <f>-CG34</f>
        <v>0</v>
      </c>
      <c r="CH81" s="400">
        <f>-CH34</f>
        <v>0</v>
      </c>
      <c r="CI81" s="400">
        <f>-CI34</f>
        <v>0</v>
      </c>
      <c r="CJ81" s="400">
        <f>-CJ34</f>
        <v>0</v>
      </c>
      <c r="CK81" s="400">
        <f>-CK34</f>
        <v>0</v>
      </c>
      <c r="CL81" s="400">
        <f>-CL34</f>
        <v>0</v>
      </c>
      <c r="CM81" s="400">
        <f>-CM34</f>
        <v>0</v>
      </c>
      <c r="CN81" s="400">
        <f>-CN34</f>
        <v>0</v>
      </c>
      <c r="CO81" s="400">
        <f>-CO34</f>
        <v>0</v>
      </c>
      <c r="CP81" s="400">
        <f>-CP34</f>
        <v>0</v>
      </c>
      <c r="CQ81" s="400">
        <f>-CQ34</f>
        <v>0</v>
      </c>
      <c r="CR81" s="400">
        <f>-CR34</f>
        <v>0</v>
      </c>
      <c r="CS81" s="400">
        <f>-CS34</f>
        <v>0</v>
      </c>
      <c r="CT81" s="400">
        <f>-CT34</f>
        <v>0</v>
      </c>
      <c r="CU81" s="400">
        <f>-CU34</f>
        <v>0</v>
      </c>
      <c r="CV81" s="400">
        <f>-CV34</f>
        <v>0</v>
      </c>
      <c r="CW81" s="400">
        <f>-CW34</f>
        <v>0</v>
      </c>
      <c r="CX81" s="400">
        <f>-CX34</f>
        <v>0</v>
      </c>
      <c r="CY81" s="400">
        <f>-CY34</f>
        <v>0</v>
      </c>
      <c r="CZ81" s="400">
        <f>-CZ34</f>
        <v>0</v>
      </c>
      <c r="DA81" s="400">
        <f>-DA34</f>
        <v>0</v>
      </c>
      <c r="DB81" s="400">
        <f>-DB34</f>
        <v>0</v>
      </c>
      <c r="DC81" s="400">
        <f>-DC34</f>
        <v>0</v>
      </c>
      <c r="DD81" s="400">
        <f>-DD34</f>
        <v>0</v>
      </c>
      <c r="DE81" s="400">
        <f>-DE34</f>
        <v>0</v>
      </c>
    </row>
    <row r="82" hidden="1" outlineLevel="1" ht="15" customFormat="1" customHeight="1" s="381">
      <c r="A82" s="408" t="inlineStr">
        <is>
          <t>BD-10</t>
        </is>
      </c>
      <c r="B82" s="400" t="n">
        <v>0</v>
      </c>
      <c r="C82" s="400" t="n">
        <v>0</v>
      </c>
      <c r="D82" s="400" t="n">
        <v>0</v>
      </c>
      <c r="E82" s="400" t="n">
        <v>0</v>
      </c>
      <c r="F82" s="400">
        <f>-F35</f>
        <v>0</v>
      </c>
      <c r="G82" s="400">
        <f>-G35</f>
        <v>0</v>
      </c>
      <c r="H82" s="400">
        <f>-H35</f>
        <v>0</v>
      </c>
      <c r="I82" s="400">
        <f>-I35</f>
        <v>0</v>
      </c>
      <c r="J82" s="400">
        <f>-J35</f>
        <v>0</v>
      </c>
      <c r="K82" s="400">
        <f>-K35</f>
        <v>0</v>
      </c>
      <c r="L82" s="400">
        <f>-L35</f>
        <v>0</v>
      </c>
      <c r="M82" s="400">
        <f>-M35</f>
        <v>0</v>
      </c>
      <c r="N82" s="400">
        <f>-N35</f>
        <v>0</v>
      </c>
      <c r="O82" s="400">
        <f>-O35</f>
        <v>0</v>
      </c>
      <c r="P82" s="400">
        <f>-P35</f>
        <v>0</v>
      </c>
      <c r="Q82" s="400">
        <f>-Q35</f>
        <v>0</v>
      </c>
      <c r="R82" s="400">
        <f>-R35</f>
        <v>0</v>
      </c>
      <c r="S82" s="400">
        <f>-S35</f>
        <v>0</v>
      </c>
      <c r="T82" s="400">
        <f>-T35</f>
        <v>0</v>
      </c>
      <c r="U82" s="400">
        <f>-U35</f>
        <v>0</v>
      </c>
      <c r="V82" s="400">
        <f>-V35</f>
        <v>0</v>
      </c>
      <c r="W82" s="400">
        <f>-W35</f>
        <v>0</v>
      </c>
      <c r="X82" s="400">
        <f>-X35</f>
        <v>0</v>
      </c>
      <c r="Y82" s="400">
        <f>-Y35</f>
        <v>0</v>
      </c>
      <c r="Z82" s="400">
        <f>-Z35</f>
        <v>0</v>
      </c>
      <c r="AA82" s="400">
        <f>-AA35</f>
        <v>0</v>
      </c>
      <c r="AB82" s="400">
        <f>-AB35</f>
        <v>0</v>
      </c>
      <c r="AC82" s="400">
        <f>-AC35</f>
        <v>0</v>
      </c>
      <c r="AD82" s="400">
        <f>-AD35</f>
        <v>0</v>
      </c>
      <c r="AE82" s="400">
        <f>-AE35</f>
        <v>0</v>
      </c>
      <c r="AF82" s="400">
        <f>-AF35</f>
        <v>0</v>
      </c>
      <c r="AG82" s="400">
        <f>-AG35</f>
        <v>0</v>
      </c>
      <c r="AH82" s="400">
        <f>-AH35</f>
        <v>-368954.1</v>
      </c>
      <c r="AI82" s="400">
        <f>-AI35</f>
        <v>-481346.1</v>
      </c>
      <c r="AJ82" s="400">
        <f>-AJ35</f>
        <v>-602324.1</v>
      </c>
      <c r="AK82" s="400">
        <f>-AK35</f>
        <v>-727064.1</v>
      </c>
      <c r="AL82" s="400">
        <f>-AL35</f>
        <v>-849572.1</v>
      </c>
      <c r="AM82" s="400">
        <f>-AM35</f>
        <v>-963044.1</v>
      </c>
      <c r="AN82" s="400">
        <f>-AN35</f>
        <v>-1060514.1</v>
      </c>
      <c r="AO82" s="400">
        <f>-AO35</f>
        <v>-1135520.1</v>
      </c>
      <c r="AP82" s="400">
        <f>-AP35</f>
        <v>-1182824.1</v>
      </c>
      <c r="AQ82" s="400">
        <f>-AQ35</f>
        <v>-1198988.1</v>
      </c>
      <c r="AR82" s="400">
        <f>-AR35</f>
        <v>-1182824.1</v>
      </c>
      <c r="AS82" s="400">
        <f>-AS35</f>
        <v>-1135520.1</v>
      </c>
      <c r="AT82" s="400">
        <f>-AT35</f>
        <v>-1060514.1</v>
      </c>
      <c r="AU82" s="400">
        <f>-AU35</f>
        <v>-963044.1</v>
      </c>
      <c r="AV82" s="400">
        <f>-AV35</f>
        <v>-849572.1</v>
      </c>
      <c r="AW82" s="400">
        <f>-AW35</f>
        <v>-727064.1</v>
      </c>
      <c r="AX82" s="400">
        <f>-AX35</f>
        <v>-602324.1</v>
      </c>
      <c r="AY82" s="400">
        <f>-AY35</f>
        <v>-481346.1</v>
      </c>
      <c r="AZ82" s="400">
        <f>-AZ35</f>
        <v>-260602.2</v>
      </c>
      <c r="BA82" s="400">
        <f>-BA35</f>
        <v>0</v>
      </c>
      <c r="BB82" s="400">
        <f>-BB35</f>
        <v>0</v>
      </c>
      <c r="BC82" s="400">
        <f>-BC35</f>
        <v>0</v>
      </c>
      <c r="BD82" s="400">
        <f>-BD35</f>
        <v>0</v>
      </c>
      <c r="BE82" s="400">
        <f>-BE35</f>
        <v>0</v>
      </c>
      <c r="BF82" s="400">
        <f>-BF35</f>
        <v>0</v>
      </c>
      <c r="BG82" s="400">
        <f>-BG35</f>
        <v>0</v>
      </c>
      <c r="BH82" s="400">
        <f>-BH35</f>
        <v>0</v>
      </c>
      <c r="BI82" s="400">
        <f>-BI35</f>
        <v>0</v>
      </c>
      <c r="BJ82" s="400">
        <f>-BJ35</f>
        <v>0</v>
      </c>
      <c r="BK82" s="400">
        <f>-BK35</f>
        <v>0</v>
      </c>
      <c r="BL82" s="400">
        <f>-BL35</f>
        <v>0</v>
      </c>
      <c r="BM82" s="400">
        <f>-BM35</f>
        <v>0</v>
      </c>
      <c r="BN82" s="400">
        <f>-BN35</f>
        <v>0</v>
      </c>
      <c r="BO82" s="400">
        <f>-BO35</f>
        <v>0</v>
      </c>
      <c r="BP82" s="400">
        <f>-BP35</f>
        <v>0</v>
      </c>
      <c r="BQ82" s="400">
        <f>-BQ35</f>
        <v>0</v>
      </c>
      <c r="BR82" s="400">
        <f>-BR35</f>
        <v>0</v>
      </c>
      <c r="BS82" s="400">
        <f>-BS35</f>
        <v>0</v>
      </c>
      <c r="BT82" s="400">
        <f>-BT35</f>
        <v>0</v>
      </c>
      <c r="BU82" s="400">
        <f>-BU35</f>
        <v>0</v>
      </c>
      <c r="BV82" s="400">
        <f>-BV35</f>
        <v>0</v>
      </c>
      <c r="BW82" s="400">
        <f>-BW35</f>
        <v>0</v>
      </c>
      <c r="BX82" s="400">
        <f>-BX35</f>
        <v>0</v>
      </c>
      <c r="BY82" s="400">
        <f>-BY35</f>
        <v>0</v>
      </c>
      <c r="BZ82" s="400">
        <f>-BZ35</f>
        <v>0</v>
      </c>
      <c r="CA82" s="400">
        <f>-CA35</f>
        <v>0</v>
      </c>
      <c r="CB82" s="400">
        <f>-CB35</f>
        <v>0</v>
      </c>
      <c r="CC82" s="400">
        <f>-CC35</f>
        <v>0</v>
      </c>
      <c r="CD82" s="400">
        <f>-CD35</f>
        <v>0</v>
      </c>
      <c r="CE82" s="400">
        <f>-CE35</f>
        <v>0</v>
      </c>
      <c r="CF82" s="400">
        <f>-CF35</f>
        <v>0</v>
      </c>
      <c r="CG82" s="400">
        <f>-CG35</f>
        <v>0</v>
      </c>
      <c r="CH82" s="400">
        <f>-CH35</f>
        <v>0</v>
      </c>
      <c r="CI82" s="400">
        <f>-CI35</f>
        <v>0</v>
      </c>
      <c r="CJ82" s="400">
        <f>-CJ35</f>
        <v>0</v>
      </c>
      <c r="CK82" s="400">
        <f>-CK35</f>
        <v>0</v>
      </c>
      <c r="CL82" s="400">
        <f>-CL35</f>
        <v>0</v>
      </c>
      <c r="CM82" s="400">
        <f>-CM35</f>
        <v>0</v>
      </c>
      <c r="CN82" s="400">
        <f>-CN35</f>
        <v>0</v>
      </c>
      <c r="CO82" s="400">
        <f>-CO35</f>
        <v>0</v>
      </c>
      <c r="CP82" s="400">
        <f>-CP35</f>
        <v>0</v>
      </c>
      <c r="CQ82" s="400">
        <f>-CQ35</f>
        <v>0</v>
      </c>
      <c r="CR82" s="400">
        <f>-CR35</f>
        <v>0</v>
      </c>
      <c r="CS82" s="400">
        <f>-CS35</f>
        <v>0</v>
      </c>
      <c r="CT82" s="400">
        <f>-CT35</f>
        <v>0</v>
      </c>
      <c r="CU82" s="400">
        <f>-CU35</f>
        <v>0</v>
      </c>
      <c r="CV82" s="400">
        <f>-CV35</f>
        <v>0</v>
      </c>
      <c r="CW82" s="400">
        <f>-CW35</f>
        <v>0</v>
      </c>
      <c r="CX82" s="400">
        <f>-CX35</f>
        <v>0</v>
      </c>
      <c r="CY82" s="400">
        <f>-CY35</f>
        <v>0</v>
      </c>
      <c r="CZ82" s="400">
        <f>-CZ35</f>
        <v>0</v>
      </c>
      <c r="DA82" s="400">
        <f>-DA35</f>
        <v>0</v>
      </c>
      <c r="DB82" s="400">
        <f>-DB35</f>
        <v>0</v>
      </c>
      <c r="DC82" s="400">
        <f>-DC35</f>
        <v>0</v>
      </c>
      <c r="DD82" s="400">
        <f>-DD35</f>
        <v>0</v>
      </c>
      <c r="DE82" s="400">
        <f>-DE35</f>
        <v>0</v>
      </c>
    </row>
    <row r="83" hidden="1" outlineLevel="1" ht="15" customFormat="1" customHeight="1" s="381">
      <c r="A83" s="408" t="inlineStr">
        <is>
          <t>BD-11</t>
        </is>
      </c>
      <c r="B83" s="400" t="n">
        <v>0</v>
      </c>
      <c r="C83" s="400" t="n">
        <v>0</v>
      </c>
      <c r="D83" s="400" t="n">
        <v>0</v>
      </c>
      <c r="E83" s="400" t="n">
        <v>0</v>
      </c>
      <c r="F83" s="400">
        <f>-F36</f>
        <v>0</v>
      </c>
      <c r="G83" s="400">
        <f>-G36</f>
        <v>0</v>
      </c>
      <c r="H83" s="400">
        <f>-H36</f>
        <v>0</v>
      </c>
      <c r="I83" s="400">
        <f>-I36</f>
        <v>0</v>
      </c>
      <c r="J83" s="400">
        <f>-J36</f>
        <v>0</v>
      </c>
      <c r="K83" s="400">
        <f>-K36</f>
        <v>0</v>
      </c>
      <c r="L83" s="400">
        <f>-L36</f>
        <v>0</v>
      </c>
      <c r="M83" s="400">
        <f>-M36</f>
        <v>0</v>
      </c>
      <c r="N83" s="400">
        <f>-N36</f>
        <v>0</v>
      </c>
      <c r="O83" s="400">
        <f>-O36</f>
        <v>0</v>
      </c>
      <c r="P83" s="400">
        <f>-P36</f>
        <v>0</v>
      </c>
      <c r="Q83" s="400">
        <f>-Q36</f>
        <v>0</v>
      </c>
      <c r="R83" s="400">
        <f>-R36</f>
        <v>0</v>
      </c>
      <c r="S83" s="400">
        <f>-S36</f>
        <v>0</v>
      </c>
      <c r="T83" s="400">
        <f>-T36</f>
        <v>0</v>
      </c>
      <c r="U83" s="400">
        <f>-U36</f>
        <v>0</v>
      </c>
      <c r="V83" s="400">
        <f>-V36</f>
        <v>0</v>
      </c>
      <c r="W83" s="400">
        <f>-W36</f>
        <v>0</v>
      </c>
      <c r="X83" s="400">
        <f>-X36</f>
        <v>0</v>
      </c>
      <c r="Y83" s="400">
        <f>-Y36</f>
        <v>0</v>
      </c>
      <c r="Z83" s="400">
        <f>-Z36</f>
        <v>0</v>
      </c>
      <c r="AA83" s="400">
        <f>-AA36</f>
        <v>0</v>
      </c>
      <c r="AB83" s="400">
        <f>-AB36</f>
        <v>0</v>
      </c>
      <c r="AC83" s="400">
        <f>-AC36</f>
        <v>0</v>
      </c>
      <c r="AD83" s="400">
        <f>-AD36</f>
        <v>0</v>
      </c>
      <c r="AE83" s="400">
        <f>-AE36</f>
        <v>0</v>
      </c>
      <c r="AF83" s="400">
        <f>-AF36</f>
        <v>0</v>
      </c>
      <c r="AG83" s="400">
        <f>-AG36</f>
        <v>0</v>
      </c>
      <c r="AH83" s="400">
        <f>-AH36</f>
        <v>0</v>
      </c>
      <c r="AI83" s="400">
        <f>-AI36</f>
        <v>-307461.75</v>
      </c>
      <c r="AJ83" s="400">
        <f>-AJ36</f>
        <v>-401121.75</v>
      </c>
      <c r="AK83" s="400">
        <f>-AK36</f>
        <v>-501936.75</v>
      </c>
      <c r="AL83" s="400">
        <f>-AL36</f>
        <v>-605886.75</v>
      </c>
      <c r="AM83" s="400">
        <f>-AM36</f>
        <v>-707976.75</v>
      </c>
      <c r="AN83" s="400">
        <f>-AN36</f>
        <v>-802536.75</v>
      </c>
      <c r="AO83" s="400">
        <f>-AO36</f>
        <v>-883761.75</v>
      </c>
      <c r="AP83" s="400">
        <f>-AP36</f>
        <v>-946266.75</v>
      </c>
      <c r="AQ83" s="400">
        <f>-AQ36</f>
        <v>-985686.75</v>
      </c>
      <c r="AR83" s="400">
        <f>-AR36</f>
        <v>-999156.75</v>
      </c>
      <c r="AS83" s="400">
        <f>-AS36</f>
        <v>-985686.75</v>
      </c>
      <c r="AT83" s="400">
        <f>-AT36</f>
        <v>-946266.75</v>
      </c>
      <c r="AU83" s="400">
        <f>-AU36</f>
        <v>-883761.75</v>
      </c>
      <c r="AV83" s="400">
        <f>-AV36</f>
        <v>-802536.75</v>
      </c>
      <c r="AW83" s="400">
        <f>-AW36</f>
        <v>-707976.75</v>
      </c>
      <c r="AX83" s="400">
        <f>-AX36</f>
        <v>-605886.75</v>
      </c>
      <c r="AY83" s="400">
        <f>-AY36</f>
        <v>-501936.75</v>
      </c>
      <c r="AZ83" s="400">
        <f>-AZ36</f>
        <v>-401121.75</v>
      </c>
      <c r="BA83" s="400">
        <f>-BA36</f>
        <v>-217168.5</v>
      </c>
      <c r="BB83" s="400">
        <f>-BB36</f>
        <v>0</v>
      </c>
      <c r="BC83" s="400">
        <f>-BC36</f>
        <v>0</v>
      </c>
      <c r="BD83" s="400">
        <f>-BD36</f>
        <v>0</v>
      </c>
      <c r="BE83" s="400">
        <f>-BE36</f>
        <v>0</v>
      </c>
      <c r="BF83" s="400">
        <f>-BF36</f>
        <v>0</v>
      </c>
      <c r="BG83" s="400">
        <f>-BG36</f>
        <v>0</v>
      </c>
      <c r="BH83" s="400">
        <f>-BH36</f>
        <v>0</v>
      </c>
      <c r="BI83" s="400">
        <f>-BI36</f>
        <v>0</v>
      </c>
      <c r="BJ83" s="400">
        <f>-BJ36</f>
        <v>0</v>
      </c>
      <c r="BK83" s="400">
        <f>-BK36</f>
        <v>0</v>
      </c>
      <c r="BL83" s="400">
        <f>-BL36</f>
        <v>0</v>
      </c>
      <c r="BM83" s="400">
        <f>-BM36</f>
        <v>0</v>
      </c>
      <c r="BN83" s="400">
        <f>-BN36</f>
        <v>0</v>
      </c>
      <c r="BO83" s="400">
        <f>-BO36</f>
        <v>0</v>
      </c>
      <c r="BP83" s="400">
        <f>-BP36</f>
        <v>0</v>
      </c>
      <c r="BQ83" s="400">
        <f>-BQ36</f>
        <v>0</v>
      </c>
      <c r="BR83" s="400">
        <f>-BR36</f>
        <v>0</v>
      </c>
      <c r="BS83" s="400">
        <f>-BS36</f>
        <v>0</v>
      </c>
      <c r="BT83" s="400">
        <f>-BT36</f>
        <v>0</v>
      </c>
      <c r="BU83" s="400">
        <f>-BU36</f>
        <v>0</v>
      </c>
      <c r="BV83" s="400">
        <f>-BV36</f>
        <v>0</v>
      </c>
      <c r="BW83" s="400">
        <f>-BW36</f>
        <v>0</v>
      </c>
      <c r="BX83" s="400">
        <f>-BX36</f>
        <v>0</v>
      </c>
      <c r="BY83" s="400">
        <f>-BY36</f>
        <v>0</v>
      </c>
      <c r="BZ83" s="400">
        <f>-BZ36</f>
        <v>0</v>
      </c>
      <c r="CA83" s="400">
        <f>-CA36</f>
        <v>0</v>
      </c>
      <c r="CB83" s="400">
        <f>-CB36</f>
        <v>0</v>
      </c>
      <c r="CC83" s="400">
        <f>-CC36</f>
        <v>0</v>
      </c>
      <c r="CD83" s="400">
        <f>-CD36</f>
        <v>0</v>
      </c>
      <c r="CE83" s="400">
        <f>-CE36</f>
        <v>0</v>
      </c>
      <c r="CF83" s="400">
        <f>-CF36</f>
        <v>0</v>
      </c>
      <c r="CG83" s="400">
        <f>-CG36</f>
        <v>0</v>
      </c>
      <c r="CH83" s="400">
        <f>-CH36</f>
        <v>0</v>
      </c>
      <c r="CI83" s="400">
        <f>-CI36</f>
        <v>0</v>
      </c>
      <c r="CJ83" s="400">
        <f>-CJ36</f>
        <v>0</v>
      </c>
      <c r="CK83" s="400">
        <f>-CK36</f>
        <v>0</v>
      </c>
      <c r="CL83" s="400">
        <f>-CL36</f>
        <v>0</v>
      </c>
      <c r="CM83" s="400">
        <f>-CM36</f>
        <v>0</v>
      </c>
      <c r="CN83" s="400">
        <f>-CN36</f>
        <v>0</v>
      </c>
      <c r="CO83" s="400">
        <f>-CO36</f>
        <v>0</v>
      </c>
      <c r="CP83" s="400">
        <f>-CP36</f>
        <v>0</v>
      </c>
      <c r="CQ83" s="400">
        <f>-CQ36</f>
        <v>0</v>
      </c>
      <c r="CR83" s="400">
        <f>-CR36</f>
        <v>0</v>
      </c>
      <c r="CS83" s="400">
        <f>-CS36</f>
        <v>0</v>
      </c>
      <c r="CT83" s="400">
        <f>-CT36</f>
        <v>0</v>
      </c>
      <c r="CU83" s="400">
        <f>-CU36</f>
        <v>0</v>
      </c>
      <c r="CV83" s="400">
        <f>-CV36</f>
        <v>0</v>
      </c>
      <c r="CW83" s="400">
        <f>-CW36</f>
        <v>0</v>
      </c>
      <c r="CX83" s="400">
        <f>-CX36</f>
        <v>0</v>
      </c>
      <c r="CY83" s="400">
        <f>-CY36</f>
        <v>0</v>
      </c>
      <c r="CZ83" s="400">
        <f>-CZ36</f>
        <v>0</v>
      </c>
      <c r="DA83" s="400">
        <f>-DA36</f>
        <v>0</v>
      </c>
      <c r="DB83" s="400">
        <f>-DB36</f>
        <v>0</v>
      </c>
      <c r="DC83" s="400">
        <f>-DC36</f>
        <v>0</v>
      </c>
      <c r="DD83" s="400">
        <f>-DD36</f>
        <v>0</v>
      </c>
      <c r="DE83" s="400">
        <f>-DE36</f>
        <v>0</v>
      </c>
    </row>
    <row r="84" hidden="1" outlineLevel="1" ht="15" customFormat="1" customHeight="1" s="381">
      <c r="A84" s="408" t="inlineStr">
        <is>
          <t>BD-12</t>
        </is>
      </c>
      <c r="B84" s="400" t="n">
        <v>0</v>
      </c>
      <c r="C84" s="400" t="n">
        <v>0</v>
      </c>
      <c r="D84" s="400" t="n">
        <v>0</v>
      </c>
      <c r="E84" s="400" t="n">
        <v>0</v>
      </c>
      <c r="F84" s="400">
        <f>-F37</f>
        <v>0</v>
      </c>
      <c r="G84" s="400">
        <f>-G37</f>
        <v>0</v>
      </c>
      <c r="H84" s="400">
        <f>-H37</f>
        <v>0</v>
      </c>
      <c r="I84" s="400">
        <f>-I37</f>
        <v>0</v>
      </c>
      <c r="J84" s="400">
        <f>-J37</f>
        <v>0</v>
      </c>
      <c r="K84" s="400">
        <f>-K37</f>
        <v>0</v>
      </c>
      <c r="L84" s="400">
        <f>-L37</f>
        <v>0</v>
      </c>
      <c r="M84" s="400">
        <f>-M37</f>
        <v>0</v>
      </c>
      <c r="N84" s="400">
        <f>-N37</f>
        <v>0</v>
      </c>
      <c r="O84" s="400">
        <f>-O37</f>
        <v>0</v>
      </c>
      <c r="P84" s="400">
        <f>-P37</f>
        <v>0</v>
      </c>
      <c r="Q84" s="400">
        <f>-Q37</f>
        <v>0</v>
      </c>
      <c r="R84" s="400">
        <f>-R37</f>
        <v>0</v>
      </c>
      <c r="S84" s="400">
        <f>-S37</f>
        <v>0</v>
      </c>
      <c r="T84" s="400">
        <f>-T37</f>
        <v>0</v>
      </c>
      <c r="U84" s="400">
        <f>-U37</f>
        <v>0</v>
      </c>
      <c r="V84" s="400">
        <f>-V37</f>
        <v>0</v>
      </c>
      <c r="W84" s="400">
        <f>-W37</f>
        <v>0</v>
      </c>
      <c r="X84" s="400">
        <f>-X37</f>
        <v>0</v>
      </c>
      <c r="Y84" s="400">
        <f>-Y37</f>
        <v>0</v>
      </c>
      <c r="Z84" s="400">
        <f>-Z37</f>
        <v>0</v>
      </c>
      <c r="AA84" s="400">
        <f>-AA37</f>
        <v>0</v>
      </c>
      <c r="AB84" s="400">
        <f>-AB37</f>
        <v>0</v>
      </c>
      <c r="AC84" s="400">
        <f>-AC37</f>
        <v>0</v>
      </c>
      <c r="AD84" s="400">
        <f>-AD37</f>
        <v>0</v>
      </c>
      <c r="AE84" s="400">
        <f>-AE37</f>
        <v>0</v>
      </c>
      <c r="AF84" s="400">
        <f>-AF37</f>
        <v>0</v>
      </c>
      <c r="AG84" s="400">
        <f>-AG37</f>
        <v>0</v>
      </c>
      <c r="AH84" s="400">
        <f>-AH37</f>
        <v>0</v>
      </c>
      <c r="AI84" s="400">
        <f>-AI37</f>
        <v>0</v>
      </c>
      <c r="AJ84" s="400">
        <f>-AJ37</f>
        <v>-307461.75</v>
      </c>
      <c r="AK84" s="400">
        <f>-AK37</f>
        <v>-401121.75</v>
      </c>
      <c r="AL84" s="400">
        <f>-AL37</f>
        <v>-501936.75</v>
      </c>
      <c r="AM84" s="400">
        <f>-AM37</f>
        <v>-605886.75</v>
      </c>
      <c r="AN84" s="400">
        <f>-AN37</f>
        <v>-707976.75</v>
      </c>
      <c r="AO84" s="400">
        <f>-AO37</f>
        <v>-802536.75</v>
      </c>
      <c r="AP84" s="400">
        <f>-AP37</f>
        <v>-883761.75</v>
      </c>
      <c r="AQ84" s="400">
        <f>-AQ37</f>
        <v>-946266.75</v>
      </c>
      <c r="AR84" s="400">
        <f>-AR37</f>
        <v>-985686.75</v>
      </c>
      <c r="AS84" s="400">
        <f>-AS37</f>
        <v>-999156.75</v>
      </c>
      <c r="AT84" s="400">
        <f>-AT37</f>
        <v>-985686.75</v>
      </c>
      <c r="AU84" s="400">
        <f>-AU37</f>
        <v>-946266.75</v>
      </c>
      <c r="AV84" s="400">
        <f>-AV37</f>
        <v>-883761.75</v>
      </c>
      <c r="AW84" s="400">
        <f>-AW37</f>
        <v>-802536.75</v>
      </c>
      <c r="AX84" s="400">
        <f>-AX37</f>
        <v>-707976.75</v>
      </c>
      <c r="AY84" s="400">
        <f>-AY37</f>
        <v>-605886.75</v>
      </c>
      <c r="AZ84" s="400">
        <f>-AZ37</f>
        <v>-501936.75</v>
      </c>
      <c r="BA84" s="400">
        <f>-BA37</f>
        <v>-401121.75</v>
      </c>
      <c r="BB84" s="400">
        <f>-BB37</f>
        <v>-217168.5</v>
      </c>
      <c r="BC84" s="400">
        <f>-BC37</f>
        <v>0</v>
      </c>
      <c r="BD84" s="400">
        <f>-BD37</f>
        <v>0</v>
      </c>
      <c r="BE84" s="400">
        <f>-BE37</f>
        <v>0</v>
      </c>
      <c r="BF84" s="400">
        <f>-BF37</f>
        <v>0</v>
      </c>
      <c r="BG84" s="400">
        <f>-BG37</f>
        <v>0</v>
      </c>
      <c r="BH84" s="400">
        <f>-BH37</f>
        <v>0</v>
      </c>
      <c r="BI84" s="400">
        <f>-BI37</f>
        <v>0</v>
      </c>
      <c r="BJ84" s="400">
        <f>-BJ37</f>
        <v>0</v>
      </c>
      <c r="BK84" s="400">
        <f>-BK37</f>
        <v>0</v>
      </c>
      <c r="BL84" s="400">
        <f>-BL37</f>
        <v>0</v>
      </c>
      <c r="BM84" s="400">
        <f>-BM37</f>
        <v>0</v>
      </c>
      <c r="BN84" s="400">
        <f>-BN37</f>
        <v>0</v>
      </c>
      <c r="BO84" s="400">
        <f>-BO37</f>
        <v>0</v>
      </c>
      <c r="BP84" s="400">
        <f>-BP37</f>
        <v>0</v>
      </c>
      <c r="BQ84" s="400">
        <f>-BQ37</f>
        <v>0</v>
      </c>
      <c r="BR84" s="400">
        <f>-BR37</f>
        <v>0</v>
      </c>
      <c r="BS84" s="400">
        <f>-BS37</f>
        <v>0</v>
      </c>
      <c r="BT84" s="400">
        <f>-BT37</f>
        <v>0</v>
      </c>
      <c r="BU84" s="400">
        <f>-BU37</f>
        <v>0</v>
      </c>
      <c r="BV84" s="400">
        <f>-BV37</f>
        <v>0</v>
      </c>
      <c r="BW84" s="400">
        <f>-BW37</f>
        <v>0</v>
      </c>
      <c r="BX84" s="400">
        <f>-BX37</f>
        <v>0</v>
      </c>
      <c r="BY84" s="400">
        <f>-BY37</f>
        <v>0</v>
      </c>
      <c r="BZ84" s="400">
        <f>-BZ37</f>
        <v>0</v>
      </c>
      <c r="CA84" s="400">
        <f>-CA37</f>
        <v>0</v>
      </c>
      <c r="CB84" s="400">
        <f>-CB37</f>
        <v>0</v>
      </c>
      <c r="CC84" s="400">
        <f>-CC37</f>
        <v>0</v>
      </c>
      <c r="CD84" s="400">
        <f>-CD37</f>
        <v>0</v>
      </c>
      <c r="CE84" s="400">
        <f>-CE37</f>
        <v>0</v>
      </c>
      <c r="CF84" s="400">
        <f>-CF37</f>
        <v>0</v>
      </c>
      <c r="CG84" s="400">
        <f>-CG37</f>
        <v>0</v>
      </c>
      <c r="CH84" s="400">
        <f>-CH37</f>
        <v>0</v>
      </c>
      <c r="CI84" s="400">
        <f>-CI37</f>
        <v>0</v>
      </c>
      <c r="CJ84" s="400">
        <f>-CJ37</f>
        <v>0</v>
      </c>
      <c r="CK84" s="400">
        <f>-CK37</f>
        <v>0</v>
      </c>
      <c r="CL84" s="400">
        <f>-CL37</f>
        <v>0</v>
      </c>
      <c r="CM84" s="400">
        <f>-CM37</f>
        <v>0</v>
      </c>
      <c r="CN84" s="400">
        <f>-CN37</f>
        <v>0</v>
      </c>
      <c r="CO84" s="400">
        <f>-CO37</f>
        <v>0</v>
      </c>
      <c r="CP84" s="400">
        <f>-CP37</f>
        <v>0</v>
      </c>
      <c r="CQ84" s="400">
        <f>-CQ37</f>
        <v>0</v>
      </c>
      <c r="CR84" s="400">
        <f>-CR37</f>
        <v>0</v>
      </c>
      <c r="CS84" s="400">
        <f>-CS37</f>
        <v>0</v>
      </c>
      <c r="CT84" s="400">
        <f>-CT37</f>
        <v>0</v>
      </c>
      <c r="CU84" s="400">
        <f>-CU37</f>
        <v>0</v>
      </c>
      <c r="CV84" s="400">
        <f>-CV37</f>
        <v>0</v>
      </c>
      <c r="CW84" s="400">
        <f>-CW37</f>
        <v>0</v>
      </c>
      <c r="CX84" s="400">
        <f>-CX37</f>
        <v>0</v>
      </c>
      <c r="CY84" s="400">
        <f>-CY37</f>
        <v>0</v>
      </c>
      <c r="CZ84" s="400">
        <f>-CZ37</f>
        <v>0</v>
      </c>
      <c r="DA84" s="400">
        <f>-DA37</f>
        <v>0</v>
      </c>
      <c r="DB84" s="400">
        <f>-DB37</f>
        <v>0</v>
      </c>
      <c r="DC84" s="400">
        <f>-DC37</f>
        <v>0</v>
      </c>
      <c r="DD84" s="400">
        <f>-DD37</f>
        <v>0</v>
      </c>
      <c r="DE84" s="400">
        <f>-DE37</f>
        <v>0</v>
      </c>
    </row>
    <row r="85" hidden="1" outlineLevel="1" ht="15" customFormat="1" customHeight="1" s="381">
      <c r="A85" s="408" t="inlineStr">
        <is>
          <t>BD-13</t>
        </is>
      </c>
      <c r="B85" s="400" t="n">
        <v>0</v>
      </c>
      <c r="C85" s="400" t="n">
        <v>0</v>
      </c>
      <c r="D85" s="400" t="n">
        <v>0</v>
      </c>
      <c r="E85" s="400" t="n">
        <v>0</v>
      </c>
      <c r="F85" s="400">
        <f>-F38</f>
        <v>0</v>
      </c>
      <c r="G85" s="400">
        <f>-G38</f>
        <v>0</v>
      </c>
      <c r="H85" s="400">
        <f>-H38</f>
        <v>0</v>
      </c>
      <c r="I85" s="400">
        <f>-I38</f>
        <v>0</v>
      </c>
      <c r="J85" s="400">
        <f>-J38</f>
        <v>0</v>
      </c>
      <c r="K85" s="400">
        <f>-K38</f>
        <v>0</v>
      </c>
      <c r="L85" s="400">
        <f>-L38</f>
        <v>0</v>
      </c>
      <c r="M85" s="400">
        <f>-M38</f>
        <v>0</v>
      </c>
      <c r="N85" s="400">
        <f>-N38</f>
        <v>0</v>
      </c>
      <c r="O85" s="400">
        <f>-O38</f>
        <v>0</v>
      </c>
      <c r="P85" s="400">
        <f>-P38</f>
        <v>0</v>
      </c>
      <c r="Q85" s="400">
        <f>-Q38</f>
        <v>0</v>
      </c>
      <c r="R85" s="400">
        <f>-R38</f>
        <v>0</v>
      </c>
      <c r="S85" s="400">
        <f>-S38</f>
        <v>0</v>
      </c>
      <c r="T85" s="400">
        <f>-T38</f>
        <v>0</v>
      </c>
      <c r="U85" s="400">
        <f>-U38</f>
        <v>0</v>
      </c>
      <c r="V85" s="400">
        <f>-V38</f>
        <v>0</v>
      </c>
      <c r="W85" s="400">
        <f>-W38</f>
        <v>0</v>
      </c>
      <c r="X85" s="400">
        <f>-X38</f>
        <v>0</v>
      </c>
      <c r="Y85" s="400">
        <f>-Y38</f>
        <v>0</v>
      </c>
      <c r="Z85" s="400">
        <f>-Z38</f>
        <v>0</v>
      </c>
      <c r="AA85" s="400">
        <f>-AA38</f>
        <v>0</v>
      </c>
      <c r="AB85" s="400">
        <f>-AB38</f>
        <v>0</v>
      </c>
      <c r="AC85" s="400">
        <f>-AC38</f>
        <v>0</v>
      </c>
      <c r="AD85" s="400">
        <f>-AD38</f>
        <v>0</v>
      </c>
      <c r="AE85" s="400">
        <f>-AE38</f>
        <v>0</v>
      </c>
      <c r="AF85" s="400">
        <f>-AF38</f>
        <v>0</v>
      </c>
      <c r="AG85" s="400">
        <f>-AG38</f>
        <v>0</v>
      </c>
      <c r="AH85" s="400">
        <f>-AH38</f>
        <v>0</v>
      </c>
      <c r="AI85" s="400">
        <f>-AI38</f>
        <v>0</v>
      </c>
      <c r="AJ85" s="400">
        <f>-AJ38</f>
        <v>0</v>
      </c>
      <c r="AK85" s="400">
        <f>-AK38</f>
        <v>-307461.75</v>
      </c>
      <c r="AL85" s="400">
        <f>-AL38</f>
        <v>-401121.75</v>
      </c>
      <c r="AM85" s="400">
        <f>-AM38</f>
        <v>-501936.75</v>
      </c>
      <c r="AN85" s="400">
        <f>-AN38</f>
        <v>-605886.75</v>
      </c>
      <c r="AO85" s="400">
        <f>-AO38</f>
        <v>-707976.75</v>
      </c>
      <c r="AP85" s="400">
        <f>-AP38</f>
        <v>-802536.75</v>
      </c>
      <c r="AQ85" s="400">
        <f>-AQ38</f>
        <v>-883761.75</v>
      </c>
      <c r="AR85" s="400">
        <f>-AR38</f>
        <v>-946266.75</v>
      </c>
      <c r="AS85" s="400">
        <f>-AS38</f>
        <v>-985686.75</v>
      </c>
      <c r="AT85" s="400">
        <f>-AT38</f>
        <v>-999156.75</v>
      </c>
      <c r="AU85" s="400">
        <f>-AU38</f>
        <v>-985686.75</v>
      </c>
      <c r="AV85" s="400">
        <f>-AV38</f>
        <v>-946266.75</v>
      </c>
      <c r="AW85" s="400">
        <f>-AW38</f>
        <v>-883761.75</v>
      </c>
      <c r="AX85" s="400">
        <f>-AX38</f>
        <v>-802536.75</v>
      </c>
      <c r="AY85" s="400">
        <f>-AY38</f>
        <v>-707976.75</v>
      </c>
      <c r="AZ85" s="400">
        <f>-AZ38</f>
        <v>-605886.75</v>
      </c>
      <c r="BA85" s="400">
        <f>-BA38</f>
        <v>-501936.75</v>
      </c>
      <c r="BB85" s="400">
        <f>-BB38</f>
        <v>-401121.75</v>
      </c>
      <c r="BC85" s="400">
        <f>-BC38</f>
        <v>-217168.5</v>
      </c>
      <c r="BD85" s="400">
        <f>-BD38</f>
        <v>0</v>
      </c>
      <c r="BE85" s="400">
        <f>-BE38</f>
        <v>0</v>
      </c>
      <c r="BF85" s="400">
        <f>-BF38</f>
        <v>0</v>
      </c>
      <c r="BG85" s="400">
        <f>-BG38</f>
        <v>0</v>
      </c>
      <c r="BH85" s="400">
        <f>-BH38</f>
        <v>0</v>
      </c>
      <c r="BI85" s="400">
        <f>-BI38</f>
        <v>0</v>
      </c>
      <c r="BJ85" s="400">
        <f>-BJ38</f>
        <v>0</v>
      </c>
      <c r="BK85" s="400">
        <f>-BK38</f>
        <v>0</v>
      </c>
      <c r="BL85" s="400">
        <f>-BL38</f>
        <v>0</v>
      </c>
      <c r="BM85" s="400">
        <f>-BM38</f>
        <v>0</v>
      </c>
      <c r="BN85" s="400">
        <f>-BN38</f>
        <v>0</v>
      </c>
      <c r="BO85" s="400">
        <f>-BO38</f>
        <v>0</v>
      </c>
      <c r="BP85" s="400">
        <f>-BP38</f>
        <v>0</v>
      </c>
      <c r="BQ85" s="400">
        <f>-BQ38</f>
        <v>0</v>
      </c>
      <c r="BR85" s="400">
        <f>-BR38</f>
        <v>0</v>
      </c>
      <c r="BS85" s="400">
        <f>-BS38</f>
        <v>0</v>
      </c>
      <c r="BT85" s="400">
        <f>-BT38</f>
        <v>0</v>
      </c>
      <c r="BU85" s="400">
        <f>-BU38</f>
        <v>0</v>
      </c>
      <c r="BV85" s="400">
        <f>-BV38</f>
        <v>0</v>
      </c>
      <c r="BW85" s="400">
        <f>-BW38</f>
        <v>0</v>
      </c>
      <c r="BX85" s="400">
        <f>-BX38</f>
        <v>0</v>
      </c>
      <c r="BY85" s="400">
        <f>-BY38</f>
        <v>0</v>
      </c>
      <c r="BZ85" s="400">
        <f>-BZ38</f>
        <v>0</v>
      </c>
      <c r="CA85" s="400">
        <f>-CA38</f>
        <v>0</v>
      </c>
      <c r="CB85" s="400">
        <f>-CB38</f>
        <v>0</v>
      </c>
      <c r="CC85" s="400">
        <f>-CC38</f>
        <v>0</v>
      </c>
      <c r="CD85" s="400">
        <f>-CD38</f>
        <v>0</v>
      </c>
      <c r="CE85" s="400">
        <f>-CE38</f>
        <v>0</v>
      </c>
      <c r="CF85" s="400">
        <f>-CF38</f>
        <v>0</v>
      </c>
      <c r="CG85" s="400">
        <f>-CG38</f>
        <v>0</v>
      </c>
      <c r="CH85" s="400">
        <f>-CH38</f>
        <v>0</v>
      </c>
      <c r="CI85" s="400">
        <f>-CI38</f>
        <v>0</v>
      </c>
      <c r="CJ85" s="400">
        <f>-CJ38</f>
        <v>0</v>
      </c>
      <c r="CK85" s="400">
        <f>-CK38</f>
        <v>0</v>
      </c>
      <c r="CL85" s="400">
        <f>-CL38</f>
        <v>0</v>
      </c>
      <c r="CM85" s="400">
        <f>-CM38</f>
        <v>0</v>
      </c>
      <c r="CN85" s="400">
        <f>-CN38</f>
        <v>0</v>
      </c>
      <c r="CO85" s="400">
        <f>-CO38</f>
        <v>0</v>
      </c>
      <c r="CP85" s="400">
        <f>-CP38</f>
        <v>0</v>
      </c>
      <c r="CQ85" s="400">
        <f>-CQ38</f>
        <v>0</v>
      </c>
      <c r="CR85" s="400">
        <f>-CR38</f>
        <v>0</v>
      </c>
      <c r="CS85" s="400">
        <f>-CS38</f>
        <v>0</v>
      </c>
      <c r="CT85" s="400">
        <f>-CT38</f>
        <v>0</v>
      </c>
      <c r="CU85" s="400">
        <f>-CU38</f>
        <v>0</v>
      </c>
      <c r="CV85" s="400">
        <f>-CV38</f>
        <v>0</v>
      </c>
      <c r="CW85" s="400">
        <f>-CW38</f>
        <v>0</v>
      </c>
      <c r="CX85" s="400">
        <f>-CX38</f>
        <v>0</v>
      </c>
      <c r="CY85" s="400">
        <f>-CY38</f>
        <v>0</v>
      </c>
      <c r="CZ85" s="400">
        <f>-CZ38</f>
        <v>0</v>
      </c>
      <c r="DA85" s="400">
        <f>-DA38</f>
        <v>0</v>
      </c>
      <c r="DB85" s="400">
        <f>-DB38</f>
        <v>0</v>
      </c>
      <c r="DC85" s="400">
        <f>-DC38</f>
        <v>0</v>
      </c>
      <c r="DD85" s="400">
        <f>-DD38</f>
        <v>0</v>
      </c>
      <c r="DE85" s="400">
        <f>-DE38</f>
        <v>0</v>
      </c>
    </row>
    <row r="86" hidden="1" outlineLevel="1" ht="15" customFormat="1" customHeight="1" s="381">
      <c r="A86" s="408" t="inlineStr">
        <is>
          <t>BD-14</t>
        </is>
      </c>
      <c r="B86" s="400" t="n">
        <v>0</v>
      </c>
      <c r="C86" s="400" t="n">
        <v>0</v>
      </c>
      <c r="D86" s="400" t="n">
        <v>0</v>
      </c>
      <c r="E86" s="400" t="n">
        <v>0</v>
      </c>
      <c r="F86" s="400">
        <f>-F39</f>
        <v>0</v>
      </c>
      <c r="G86" s="400">
        <f>-G39</f>
        <v>0</v>
      </c>
      <c r="H86" s="400">
        <f>-H39</f>
        <v>0</v>
      </c>
      <c r="I86" s="400">
        <f>-I39</f>
        <v>0</v>
      </c>
      <c r="J86" s="400">
        <f>-J39</f>
        <v>0</v>
      </c>
      <c r="K86" s="400">
        <f>-K39</f>
        <v>0</v>
      </c>
      <c r="L86" s="400">
        <f>-L39</f>
        <v>0</v>
      </c>
      <c r="M86" s="400">
        <f>-M39</f>
        <v>0</v>
      </c>
      <c r="N86" s="400">
        <f>-N39</f>
        <v>0</v>
      </c>
      <c r="O86" s="400">
        <f>-O39</f>
        <v>0</v>
      </c>
      <c r="P86" s="400">
        <f>-P39</f>
        <v>0</v>
      </c>
      <c r="Q86" s="400">
        <f>-Q39</f>
        <v>0</v>
      </c>
      <c r="R86" s="400">
        <f>-R39</f>
        <v>0</v>
      </c>
      <c r="S86" s="400">
        <f>-S39</f>
        <v>0</v>
      </c>
      <c r="T86" s="400">
        <f>-T39</f>
        <v>0</v>
      </c>
      <c r="U86" s="400">
        <f>-U39</f>
        <v>0</v>
      </c>
      <c r="V86" s="400">
        <f>-V39</f>
        <v>0</v>
      </c>
      <c r="W86" s="400">
        <f>-W39</f>
        <v>0</v>
      </c>
      <c r="X86" s="400">
        <f>-X39</f>
        <v>0</v>
      </c>
      <c r="Y86" s="400">
        <f>-Y39</f>
        <v>0</v>
      </c>
      <c r="Z86" s="400">
        <f>-Z39</f>
        <v>0</v>
      </c>
      <c r="AA86" s="400">
        <f>-AA39</f>
        <v>0</v>
      </c>
      <c r="AB86" s="400">
        <f>-AB39</f>
        <v>0</v>
      </c>
      <c r="AC86" s="400">
        <f>-AC39</f>
        <v>0</v>
      </c>
      <c r="AD86" s="400">
        <f>-AD39</f>
        <v>0</v>
      </c>
      <c r="AE86" s="400">
        <f>-AE39</f>
        <v>0</v>
      </c>
      <c r="AF86" s="400">
        <f>-AF39</f>
        <v>0</v>
      </c>
      <c r="AG86" s="400">
        <f>-AG39</f>
        <v>0</v>
      </c>
      <c r="AH86" s="400">
        <f>-AH39</f>
        <v>0</v>
      </c>
      <c r="AI86" s="400">
        <f>-AI39</f>
        <v>0</v>
      </c>
      <c r="AJ86" s="400">
        <f>-AJ39</f>
        <v>0</v>
      </c>
      <c r="AK86" s="400">
        <f>-AK39</f>
        <v>0</v>
      </c>
      <c r="AL86" s="400">
        <f>-AL39</f>
        <v>-307461.75</v>
      </c>
      <c r="AM86" s="400">
        <f>-AM39</f>
        <v>-401121.75</v>
      </c>
      <c r="AN86" s="400">
        <f>-AN39</f>
        <v>-501936.75</v>
      </c>
      <c r="AO86" s="400">
        <f>-AO39</f>
        <v>-605886.75</v>
      </c>
      <c r="AP86" s="400">
        <f>-AP39</f>
        <v>-707976.75</v>
      </c>
      <c r="AQ86" s="400">
        <f>-AQ39</f>
        <v>-802536.75</v>
      </c>
      <c r="AR86" s="400">
        <f>-AR39</f>
        <v>-883761.75</v>
      </c>
      <c r="AS86" s="400">
        <f>-AS39</f>
        <v>-946266.75</v>
      </c>
      <c r="AT86" s="400">
        <f>-AT39</f>
        <v>-985686.75</v>
      </c>
      <c r="AU86" s="400">
        <f>-AU39</f>
        <v>-999156.75</v>
      </c>
      <c r="AV86" s="400">
        <f>-AV39</f>
        <v>-985686.75</v>
      </c>
      <c r="AW86" s="400">
        <f>-AW39</f>
        <v>-946266.75</v>
      </c>
      <c r="AX86" s="400">
        <f>-AX39</f>
        <v>-883761.75</v>
      </c>
      <c r="AY86" s="400">
        <f>-AY39</f>
        <v>-802536.75</v>
      </c>
      <c r="AZ86" s="400">
        <f>-AZ39</f>
        <v>-707976.75</v>
      </c>
      <c r="BA86" s="400">
        <f>-BA39</f>
        <v>-605886.75</v>
      </c>
      <c r="BB86" s="400">
        <f>-BB39</f>
        <v>-501936.75</v>
      </c>
      <c r="BC86" s="400">
        <f>-BC39</f>
        <v>-401121.75</v>
      </c>
      <c r="BD86" s="400">
        <f>-BD39</f>
        <v>-217168.5</v>
      </c>
      <c r="BE86" s="400">
        <f>-BE39</f>
        <v>0</v>
      </c>
      <c r="BF86" s="400">
        <f>-BF39</f>
        <v>0</v>
      </c>
      <c r="BG86" s="400">
        <f>-BG39</f>
        <v>0</v>
      </c>
      <c r="BH86" s="400">
        <f>-BH39</f>
        <v>0</v>
      </c>
      <c r="BI86" s="400">
        <f>-BI39</f>
        <v>0</v>
      </c>
      <c r="BJ86" s="400">
        <f>-BJ39</f>
        <v>0</v>
      </c>
      <c r="BK86" s="400">
        <f>-BK39</f>
        <v>0</v>
      </c>
      <c r="BL86" s="400">
        <f>-BL39</f>
        <v>0</v>
      </c>
      <c r="BM86" s="400">
        <f>-BM39</f>
        <v>0</v>
      </c>
      <c r="BN86" s="400">
        <f>-BN39</f>
        <v>0</v>
      </c>
      <c r="BO86" s="400">
        <f>-BO39</f>
        <v>0</v>
      </c>
      <c r="BP86" s="400">
        <f>-BP39</f>
        <v>0</v>
      </c>
      <c r="BQ86" s="400">
        <f>-BQ39</f>
        <v>0</v>
      </c>
      <c r="BR86" s="400">
        <f>-BR39</f>
        <v>0</v>
      </c>
      <c r="BS86" s="400">
        <f>-BS39</f>
        <v>0</v>
      </c>
      <c r="BT86" s="400">
        <f>-BT39</f>
        <v>0</v>
      </c>
      <c r="BU86" s="400">
        <f>-BU39</f>
        <v>0</v>
      </c>
      <c r="BV86" s="400">
        <f>-BV39</f>
        <v>0</v>
      </c>
      <c r="BW86" s="400">
        <f>-BW39</f>
        <v>0</v>
      </c>
      <c r="BX86" s="400">
        <f>-BX39</f>
        <v>0</v>
      </c>
      <c r="BY86" s="400">
        <f>-BY39</f>
        <v>0</v>
      </c>
      <c r="BZ86" s="400">
        <f>-BZ39</f>
        <v>0</v>
      </c>
      <c r="CA86" s="400">
        <f>-CA39</f>
        <v>0</v>
      </c>
      <c r="CB86" s="400">
        <f>-CB39</f>
        <v>0</v>
      </c>
      <c r="CC86" s="400">
        <f>-CC39</f>
        <v>0</v>
      </c>
      <c r="CD86" s="400">
        <f>-CD39</f>
        <v>0</v>
      </c>
      <c r="CE86" s="400">
        <f>-CE39</f>
        <v>0</v>
      </c>
      <c r="CF86" s="400">
        <f>-CF39</f>
        <v>0</v>
      </c>
      <c r="CG86" s="400">
        <f>-CG39</f>
        <v>0</v>
      </c>
      <c r="CH86" s="400">
        <f>-CH39</f>
        <v>0</v>
      </c>
      <c r="CI86" s="400">
        <f>-CI39</f>
        <v>0</v>
      </c>
      <c r="CJ86" s="400">
        <f>-CJ39</f>
        <v>0</v>
      </c>
      <c r="CK86" s="400">
        <f>-CK39</f>
        <v>0</v>
      </c>
      <c r="CL86" s="400">
        <f>-CL39</f>
        <v>0</v>
      </c>
      <c r="CM86" s="400">
        <f>-CM39</f>
        <v>0</v>
      </c>
      <c r="CN86" s="400">
        <f>-CN39</f>
        <v>0</v>
      </c>
      <c r="CO86" s="400">
        <f>-CO39</f>
        <v>0</v>
      </c>
      <c r="CP86" s="400">
        <f>-CP39</f>
        <v>0</v>
      </c>
      <c r="CQ86" s="400">
        <f>-CQ39</f>
        <v>0</v>
      </c>
      <c r="CR86" s="400">
        <f>-CR39</f>
        <v>0</v>
      </c>
      <c r="CS86" s="400">
        <f>-CS39</f>
        <v>0</v>
      </c>
      <c r="CT86" s="400">
        <f>-CT39</f>
        <v>0</v>
      </c>
      <c r="CU86" s="400">
        <f>-CU39</f>
        <v>0</v>
      </c>
      <c r="CV86" s="400">
        <f>-CV39</f>
        <v>0</v>
      </c>
      <c r="CW86" s="400">
        <f>-CW39</f>
        <v>0</v>
      </c>
      <c r="CX86" s="400">
        <f>-CX39</f>
        <v>0</v>
      </c>
      <c r="CY86" s="400">
        <f>-CY39</f>
        <v>0</v>
      </c>
      <c r="CZ86" s="400">
        <f>-CZ39</f>
        <v>0</v>
      </c>
      <c r="DA86" s="400">
        <f>-DA39</f>
        <v>0</v>
      </c>
      <c r="DB86" s="400">
        <f>-DB39</f>
        <v>0</v>
      </c>
      <c r="DC86" s="400">
        <f>-DC39</f>
        <v>0</v>
      </c>
      <c r="DD86" s="400">
        <f>-DD39</f>
        <v>0</v>
      </c>
      <c r="DE86" s="400">
        <f>-DE39</f>
        <v>0</v>
      </c>
    </row>
    <row r="87" hidden="1" outlineLevel="1" ht="15" customFormat="1" customHeight="1" s="381">
      <c r="A87" s="408" t="inlineStr">
        <is>
          <t>BD-15</t>
        </is>
      </c>
      <c r="B87" s="400" t="n">
        <v>0</v>
      </c>
      <c r="C87" s="400" t="n">
        <v>0</v>
      </c>
      <c r="D87" s="400" t="n">
        <v>0</v>
      </c>
      <c r="E87" s="400" t="n">
        <v>0</v>
      </c>
      <c r="F87" s="400">
        <f>-F40</f>
        <v>0</v>
      </c>
      <c r="G87" s="400">
        <f>-G40</f>
        <v>0</v>
      </c>
      <c r="H87" s="400">
        <f>-H40</f>
        <v>0</v>
      </c>
      <c r="I87" s="400">
        <f>-I40</f>
        <v>0</v>
      </c>
      <c r="J87" s="400">
        <f>-J40</f>
        <v>0</v>
      </c>
      <c r="K87" s="400">
        <f>-K40</f>
        <v>0</v>
      </c>
      <c r="L87" s="400">
        <f>-L40</f>
        <v>0</v>
      </c>
      <c r="M87" s="400">
        <f>-M40</f>
        <v>0</v>
      </c>
      <c r="N87" s="400">
        <f>-N40</f>
        <v>0</v>
      </c>
      <c r="O87" s="400">
        <f>-O40</f>
        <v>0</v>
      </c>
      <c r="P87" s="400">
        <f>-P40</f>
        <v>0</v>
      </c>
      <c r="Q87" s="400">
        <f>-Q40</f>
        <v>0</v>
      </c>
      <c r="R87" s="400">
        <f>-R40</f>
        <v>0</v>
      </c>
      <c r="S87" s="400">
        <f>-S40</f>
        <v>0</v>
      </c>
      <c r="T87" s="400">
        <f>-T40</f>
        <v>0</v>
      </c>
      <c r="U87" s="400">
        <f>-U40</f>
        <v>0</v>
      </c>
      <c r="V87" s="400">
        <f>-V40</f>
        <v>0</v>
      </c>
      <c r="W87" s="400">
        <f>-W40</f>
        <v>0</v>
      </c>
      <c r="X87" s="400">
        <f>-X40</f>
        <v>0</v>
      </c>
      <c r="Y87" s="400">
        <f>-Y40</f>
        <v>0</v>
      </c>
      <c r="Z87" s="400">
        <f>-Z40</f>
        <v>0</v>
      </c>
      <c r="AA87" s="400">
        <f>-AA40</f>
        <v>0</v>
      </c>
      <c r="AB87" s="400">
        <f>-AB40</f>
        <v>0</v>
      </c>
      <c r="AC87" s="400">
        <f>-AC40</f>
        <v>0</v>
      </c>
      <c r="AD87" s="400">
        <f>-AD40</f>
        <v>0</v>
      </c>
      <c r="AE87" s="400">
        <f>-AE40</f>
        <v>0</v>
      </c>
      <c r="AF87" s="400">
        <f>-AF40</f>
        <v>0</v>
      </c>
      <c r="AG87" s="400">
        <f>-AG40</f>
        <v>0</v>
      </c>
      <c r="AH87" s="400">
        <f>-AH40</f>
        <v>0</v>
      </c>
      <c r="AI87" s="400">
        <f>-AI40</f>
        <v>0</v>
      </c>
      <c r="AJ87" s="400">
        <f>-AJ40</f>
        <v>0</v>
      </c>
      <c r="AK87" s="400">
        <f>-AK40</f>
        <v>0</v>
      </c>
      <c r="AL87" s="400">
        <f>-AL40</f>
        <v>0</v>
      </c>
      <c r="AM87" s="400">
        <f>-AM40</f>
        <v>-368954.1</v>
      </c>
      <c r="AN87" s="400">
        <f>-AN40</f>
        <v>-481346.1</v>
      </c>
      <c r="AO87" s="400">
        <f>-AO40</f>
        <v>-602324.1</v>
      </c>
      <c r="AP87" s="400">
        <f>-AP40</f>
        <v>-727064.1</v>
      </c>
      <c r="AQ87" s="400">
        <f>-AQ40</f>
        <v>-849572.1</v>
      </c>
      <c r="AR87" s="400">
        <f>-AR40</f>
        <v>-963044.1</v>
      </c>
      <c r="AS87" s="400">
        <f>-AS40</f>
        <v>-1060514.1</v>
      </c>
      <c r="AT87" s="400">
        <f>-AT40</f>
        <v>-1135520.1</v>
      </c>
      <c r="AU87" s="400">
        <f>-AU40</f>
        <v>-1182824.1</v>
      </c>
      <c r="AV87" s="400">
        <f>-AV40</f>
        <v>-1198988.1</v>
      </c>
      <c r="AW87" s="400">
        <f>-AW40</f>
        <v>-1182824.1</v>
      </c>
      <c r="AX87" s="400">
        <f>-AX40</f>
        <v>-1135520.1</v>
      </c>
      <c r="AY87" s="400">
        <f>-AY40</f>
        <v>-1060514.1</v>
      </c>
      <c r="AZ87" s="400">
        <f>-AZ40</f>
        <v>-963044.1</v>
      </c>
      <c r="BA87" s="400">
        <f>-BA40</f>
        <v>-849572.1</v>
      </c>
      <c r="BB87" s="400">
        <f>-BB40</f>
        <v>-727064.1</v>
      </c>
      <c r="BC87" s="400">
        <f>-BC40</f>
        <v>-602324.1</v>
      </c>
      <c r="BD87" s="400">
        <f>-BD40</f>
        <v>-481346.1</v>
      </c>
      <c r="BE87" s="400">
        <f>-BE40</f>
        <v>-260602.2</v>
      </c>
      <c r="BF87" s="400">
        <f>-BF40</f>
        <v>0</v>
      </c>
      <c r="BG87" s="400">
        <f>-BG40</f>
        <v>0</v>
      </c>
      <c r="BH87" s="400">
        <f>-BH40</f>
        <v>0</v>
      </c>
      <c r="BI87" s="400">
        <f>-BI40</f>
        <v>0</v>
      </c>
      <c r="BJ87" s="400">
        <f>-BJ40</f>
        <v>0</v>
      </c>
      <c r="BK87" s="400">
        <f>-BK40</f>
        <v>0</v>
      </c>
      <c r="BL87" s="400">
        <f>-BL40</f>
        <v>0</v>
      </c>
      <c r="BM87" s="400">
        <f>-BM40</f>
        <v>0</v>
      </c>
      <c r="BN87" s="400">
        <f>-BN40</f>
        <v>0</v>
      </c>
      <c r="BO87" s="400">
        <f>-BO40</f>
        <v>0</v>
      </c>
      <c r="BP87" s="400">
        <f>-BP40</f>
        <v>0</v>
      </c>
      <c r="BQ87" s="400">
        <f>-BQ40</f>
        <v>0</v>
      </c>
      <c r="BR87" s="400">
        <f>-BR40</f>
        <v>0</v>
      </c>
      <c r="BS87" s="400">
        <f>-BS40</f>
        <v>0</v>
      </c>
      <c r="BT87" s="400">
        <f>-BT40</f>
        <v>0</v>
      </c>
      <c r="BU87" s="400">
        <f>-BU40</f>
        <v>0</v>
      </c>
      <c r="BV87" s="400">
        <f>-BV40</f>
        <v>0</v>
      </c>
      <c r="BW87" s="400">
        <f>-BW40</f>
        <v>0</v>
      </c>
      <c r="BX87" s="400">
        <f>-BX40</f>
        <v>0</v>
      </c>
      <c r="BY87" s="400">
        <f>-BY40</f>
        <v>0</v>
      </c>
      <c r="BZ87" s="400">
        <f>-BZ40</f>
        <v>0</v>
      </c>
      <c r="CA87" s="400">
        <f>-CA40</f>
        <v>0</v>
      </c>
      <c r="CB87" s="400">
        <f>-CB40</f>
        <v>0</v>
      </c>
      <c r="CC87" s="400">
        <f>-CC40</f>
        <v>0</v>
      </c>
      <c r="CD87" s="400">
        <f>-CD40</f>
        <v>0</v>
      </c>
      <c r="CE87" s="400">
        <f>-CE40</f>
        <v>0</v>
      </c>
      <c r="CF87" s="400">
        <f>-CF40</f>
        <v>0</v>
      </c>
      <c r="CG87" s="400">
        <f>-CG40</f>
        <v>0</v>
      </c>
      <c r="CH87" s="400">
        <f>-CH40</f>
        <v>0</v>
      </c>
      <c r="CI87" s="400">
        <f>-CI40</f>
        <v>0</v>
      </c>
      <c r="CJ87" s="400">
        <f>-CJ40</f>
        <v>0</v>
      </c>
      <c r="CK87" s="400">
        <f>-CK40</f>
        <v>0</v>
      </c>
      <c r="CL87" s="400">
        <f>-CL40</f>
        <v>0</v>
      </c>
      <c r="CM87" s="400">
        <f>-CM40</f>
        <v>0</v>
      </c>
      <c r="CN87" s="400">
        <f>-CN40</f>
        <v>0</v>
      </c>
      <c r="CO87" s="400">
        <f>-CO40</f>
        <v>0</v>
      </c>
      <c r="CP87" s="400">
        <f>-CP40</f>
        <v>0</v>
      </c>
      <c r="CQ87" s="400">
        <f>-CQ40</f>
        <v>0</v>
      </c>
      <c r="CR87" s="400">
        <f>-CR40</f>
        <v>0</v>
      </c>
      <c r="CS87" s="400">
        <f>-CS40</f>
        <v>0</v>
      </c>
      <c r="CT87" s="400">
        <f>-CT40</f>
        <v>0</v>
      </c>
      <c r="CU87" s="400">
        <f>-CU40</f>
        <v>0</v>
      </c>
      <c r="CV87" s="400">
        <f>-CV40</f>
        <v>0</v>
      </c>
      <c r="CW87" s="400">
        <f>-CW40</f>
        <v>0</v>
      </c>
      <c r="CX87" s="400">
        <f>-CX40</f>
        <v>0</v>
      </c>
      <c r="CY87" s="400">
        <f>-CY40</f>
        <v>0</v>
      </c>
      <c r="CZ87" s="400">
        <f>-CZ40</f>
        <v>0</v>
      </c>
      <c r="DA87" s="400">
        <f>-DA40</f>
        <v>0</v>
      </c>
      <c r="DB87" s="400">
        <f>-DB40</f>
        <v>0</v>
      </c>
      <c r="DC87" s="400">
        <f>-DC40</f>
        <v>0</v>
      </c>
      <c r="DD87" s="400">
        <f>-DD40</f>
        <v>0</v>
      </c>
      <c r="DE87" s="400">
        <f>-DE40</f>
        <v>0</v>
      </c>
    </row>
    <row r="88" hidden="1" outlineLevel="1" ht="15" customFormat="1" customHeight="1" s="381">
      <c r="A88" s="408" t="inlineStr">
        <is>
          <t>BD-16</t>
        </is>
      </c>
      <c r="B88" s="400" t="n">
        <v>0</v>
      </c>
      <c r="C88" s="400" t="n">
        <v>0</v>
      </c>
      <c r="D88" s="400" t="n">
        <v>0</v>
      </c>
      <c r="E88" s="400" t="n">
        <v>0</v>
      </c>
      <c r="F88" s="400">
        <f>-F41</f>
        <v>0</v>
      </c>
      <c r="G88" s="400">
        <f>-G41</f>
        <v>0</v>
      </c>
      <c r="H88" s="400">
        <f>-H41</f>
        <v>0</v>
      </c>
      <c r="I88" s="400">
        <f>-I41</f>
        <v>0</v>
      </c>
      <c r="J88" s="400">
        <f>-J41</f>
        <v>0</v>
      </c>
      <c r="K88" s="400">
        <f>-K41</f>
        <v>0</v>
      </c>
      <c r="L88" s="400">
        <f>-L41</f>
        <v>0</v>
      </c>
      <c r="M88" s="400">
        <f>-M41</f>
        <v>0</v>
      </c>
      <c r="N88" s="400">
        <f>-N41</f>
        <v>0</v>
      </c>
      <c r="O88" s="400">
        <f>-O41</f>
        <v>0</v>
      </c>
      <c r="P88" s="400">
        <f>-P41</f>
        <v>0</v>
      </c>
      <c r="Q88" s="400">
        <f>-Q41</f>
        <v>0</v>
      </c>
      <c r="R88" s="400">
        <f>-R41</f>
        <v>0</v>
      </c>
      <c r="S88" s="400">
        <f>-S41</f>
        <v>0</v>
      </c>
      <c r="T88" s="400">
        <f>-T41</f>
        <v>0</v>
      </c>
      <c r="U88" s="400">
        <f>-U41</f>
        <v>0</v>
      </c>
      <c r="V88" s="400">
        <f>-V41</f>
        <v>0</v>
      </c>
      <c r="W88" s="400">
        <f>-W41</f>
        <v>0</v>
      </c>
      <c r="X88" s="400">
        <f>-X41</f>
        <v>0</v>
      </c>
      <c r="Y88" s="400">
        <f>-Y41</f>
        <v>0</v>
      </c>
      <c r="Z88" s="400">
        <f>-Z41</f>
        <v>0</v>
      </c>
      <c r="AA88" s="400">
        <f>-AA41</f>
        <v>0</v>
      </c>
      <c r="AB88" s="400">
        <f>-AB41</f>
        <v>0</v>
      </c>
      <c r="AC88" s="400">
        <f>-AC41</f>
        <v>0</v>
      </c>
      <c r="AD88" s="400">
        <f>-AD41</f>
        <v>0</v>
      </c>
      <c r="AE88" s="400">
        <f>-AE41</f>
        <v>0</v>
      </c>
      <c r="AF88" s="400">
        <f>-AF41</f>
        <v>0</v>
      </c>
      <c r="AG88" s="400">
        <f>-AG41</f>
        <v>0</v>
      </c>
      <c r="AH88" s="400">
        <f>-AH41</f>
        <v>0</v>
      </c>
      <c r="AI88" s="400">
        <f>-AI41</f>
        <v>0</v>
      </c>
      <c r="AJ88" s="400">
        <f>-AJ41</f>
        <v>0</v>
      </c>
      <c r="AK88" s="400">
        <f>-AK41</f>
        <v>0</v>
      </c>
      <c r="AL88" s="400">
        <f>-AL41</f>
        <v>0</v>
      </c>
      <c r="AM88" s="400">
        <f>-AM41</f>
        <v>0</v>
      </c>
      <c r="AN88" s="400">
        <f>-AN41</f>
        <v>-307461.75</v>
      </c>
      <c r="AO88" s="400">
        <f>-AO41</f>
        <v>-401121.75</v>
      </c>
      <c r="AP88" s="400">
        <f>-AP41</f>
        <v>-501936.75</v>
      </c>
      <c r="AQ88" s="400">
        <f>-AQ41</f>
        <v>-605886.75</v>
      </c>
      <c r="AR88" s="400">
        <f>-AR41</f>
        <v>-707976.75</v>
      </c>
      <c r="AS88" s="400">
        <f>-AS41</f>
        <v>-802536.75</v>
      </c>
      <c r="AT88" s="400">
        <f>-AT41</f>
        <v>-883761.75</v>
      </c>
      <c r="AU88" s="400">
        <f>-AU41</f>
        <v>-946266.75</v>
      </c>
      <c r="AV88" s="400">
        <f>-AV41</f>
        <v>-985686.75</v>
      </c>
      <c r="AW88" s="400">
        <f>-AW41</f>
        <v>-999156.75</v>
      </c>
      <c r="AX88" s="400">
        <f>-AX41</f>
        <v>-985686.75</v>
      </c>
      <c r="AY88" s="400">
        <f>-AY41</f>
        <v>-946266.75</v>
      </c>
      <c r="AZ88" s="400">
        <f>-AZ41</f>
        <v>-883761.75</v>
      </c>
      <c r="BA88" s="400">
        <f>-BA41</f>
        <v>-802536.75</v>
      </c>
      <c r="BB88" s="400">
        <f>-BB41</f>
        <v>-707976.75</v>
      </c>
      <c r="BC88" s="400">
        <f>-BC41</f>
        <v>-605886.75</v>
      </c>
      <c r="BD88" s="400">
        <f>-BD41</f>
        <v>-501936.75</v>
      </c>
      <c r="BE88" s="400">
        <f>-BE41</f>
        <v>-401121.75</v>
      </c>
      <c r="BF88" s="400">
        <f>-BF41</f>
        <v>-217168.5</v>
      </c>
      <c r="BG88" s="400">
        <f>-BG41</f>
        <v>0</v>
      </c>
      <c r="BH88" s="400">
        <f>-BH41</f>
        <v>0</v>
      </c>
      <c r="BI88" s="400">
        <f>-BI41</f>
        <v>0</v>
      </c>
      <c r="BJ88" s="400">
        <f>-BJ41</f>
        <v>0</v>
      </c>
      <c r="BK88" s="400">
        <f>-BK41</f>
        <v>0</v>
      </c>
      <c r="BL88" s="400">
        <f>-BL41</f>
        <v>0</v>
      </c>
      <c r="BM88" s="400">
        <f>-BM41</f>
        <v>0</v>
      </c>
      <c r="BN88" s="400">
        <f>-BN41</f>
        <v>0</v>
      </c>
      <c r="BO88" s="400">
        <f>-BO41</f>
        <v>0</v>
      </c>
      <c r="BP88" s="400">
        <f>-BP41</f>
        <v>0</v>
      </c>
      <c r="BQ88" s="400">
        <f>-BQ41</f>
        <v>0</v>
      </c>
      <c r="BR88" s="400">
        <f>-BR41</f>
        <v>0</v>
      </c>
      <c r="BS88" s="400">
        <f>-BS41</f>
        <v>0</v>
      </c>
      <c r="BT88" s="400">
        <f>-BT41</f>
        <v>0</v>
      </c>
      <c r="BU88" s="400">
        <f>-BU41</f>
        <v>0</v>
      </c>
      <c r="BV88" s="400">
        <f>-BV41</f>
        <v>0</v>
      </c>
      <c r="BW88" s="400">
        <f>-BW41</f>
        <v>0</v>
      </c>
      <c r="BX88" s="400">
        <f>-BX41</f>
        <v>0</v>
      </c>
      <c r="BY88" s="400">
        <f>-BY41</f>
        <v>0</v>
      </c>
      <c r="BZ88" s="400">
        <f>-BZ41</f>
        <v>0</v>
      </c>
      <c r="CA88" s="400">
        <f>-CA41</f>
        <v>0</v>
      </c>
      <c r="CB88" s="400">
        <f>-CB41</f>
        <v>0</v>
      </c>
      <c r="CC88" s="400">
        <f>-CC41</f>
        <v>0</v>
      </c>
      <c r="CD88" s="400">
        <f>-CD41</f>
        <v>0</v>
      </c>
      <c r="CE88" s="400">
        <f>-CE41</f>
        <v>0</v>
      </c>
      <c r="CF88" s="400">
        <f>-CF41</f>
        <v>0</v>
      </c>
      <c r="CG88" s="400">
        <f>-CG41</f>
        <v>0</v>
      </c>
      <c r="CH88" s="400">
        <f>-CH41</f>
        <v>0</v>
      </c>
      <c r="CI88" s="400">
        <f>-CI41</f>
        <v>0</v>
      </c>
      <c r="CJ88" s="400">
        <f>-CJ41</f>
        <v>0</v>
      </c>
      <c r="CK88" s="400">
        <f>-CK41</f>
        <v>0</v>
      </c>
      <c r="CL88" s="400">
        <f>-CL41</f>
        <v>0</v>
      </c>
      <c r="CM88" s="400">
        <f>-CM41</f>
        <v>0</v>
      </c>
      <c r="CN88" s="400">
        <f>-CN41</f>
        <v>0</v>
      </c>
      <c r="CO88" s="400">
        <f>-CO41</f>
        <v>0</v>
      </c>
      <c r="CP88" s="400">
        <f>-CP41</f>
        <v>0</v>
      </c>
      <c r="CQ88" s="400">
        <f>-CQ41</f>
        <v>0</v>
      </c>
      <c r="CR88" s="400">
        <f>-CR41</f>
        <v>0</v>
      </c>
      <c r="CS88" s="400">
        <f>-CS41</f>
        <v>0</v>
      </c>
      <c r="CT88" s="400">
        <f>-CT41</f>
        <v>0</v>
      </c>
      <c r="CU88" s="400">
        <f>-CU41</f>
        <v>0</v>
      </c>
      <c r="CV88" s="400">
        <f>-CV41</f>
        <v>0</v>
      </c>
      <c r="CW88" s="400">
        <f>-CW41</f>
        <v>0</v>
      </c>
      <c r="CX88" s="400">
        <f>-CX41</f>
        <v>0</v>
      </c>
      <c r="CY88" s="400">
        <f>-CY41</f>
        <v>0</v>
      </c>
      <c r="CZ88" s="400">
        <f>-CZ41</f>
        <v>0</v>
      </c>
      <c r="DA88" s="400">
        <f>-DA41</f>
        <v>0</v>
      </c>
      <c r="DB88" s="400">
        <f>-DB41</f>
        <v>0</v>
      </c>
      <c r="DC88" s="400">
        <f>-DC41</f>
        <v>0</v>
      </c>
      <c r="DD88" s="400">
        <f>-DD41</f>
        <v>0</v>
      </c>
      <c r="DE88" s="400">
        <f>-DE41</f>
        <v>0</v>
      </c>
    </row>
    <row r="89" hidden="1" outlineLevel="1" ht="15" customFormat="1" customHeight="1" s="381">
      <c r="A89" s="408" t="inlineStr">
        <is>
          <t>BD-17</t>
        </is>
      </c>
      <c r="B89" s="400" t="n">
        <v>0</v>
      </c>
      <c r="C89" s="400" t="n">
        <v>0</v>
      </c>
      <c r="D89" s="400" t="n">
        <v>0</v>
      </c>
      <c r="E89" s="400" t="n">
        <v>0</v>
      </c>
      <c r="F89" s="400">
        <f>-F42</f>
        <v>0</v>
      </c>
      <c r="G89" s="400">
        <f>-G42</f>
        <v>0</v>
      </c>
      <c r="H89" s="400">
        <f>-H42</f>
        <v>0</v>
      </c>
      <c r="I89" s="400">
        <f>-I42</f>
        <v>0</v>
      </c>
      <c r="J89" s="400">
        <f>-J42</f>
        <v>0</v>
      </c>
      <c r="K89" s="400">
        <f>-K42</f>
        <v>0</v>
      </c>
      <c r="L89" s="400">
        <f>-L42</f>
        <v>0</v>
      </c>
      <c r="M89" s="400">
        <f>-M42</f>
        <v>0</v>
      </c>
      <c r="N89" s="400">
        <f>-N42</f>
        <v>0</v>
      </c>
      <c r="O89" s="400">
        <f>-O42</f>
        <v>0</v>
      </c>
      <c r="P89" s="400">
        <f>-P42</f>
        <v>0</v>
      </c>
      <c r="Q89" s="400">
        <f>-Q42</f>
        <v>0</v>
      </c>
      <c r="R89" s="400">
        <f>-R42</f>
        <v>0</v>
      </c>
      <c r="S89" s="400">
        <f>-S42</f>
        <v>0</v>
      </c>
      <c r="T89" s="400">
        <f>-T42</f>
        <v>0</v>
      </c>
      <c r="U89" s="400">
        <f>-U42</f>
        <v>0</v>
      </c>
      <c r="V89" s="400">
        <f>-V42</f>
        <v>0</v>
      </c>
      <c r="W89" s="400">
        <f>-W42</f>
        <v>0</v>
      </c>
      <c r="X89" s="400">
        <f>-X42</f>
        <v>0</v>
      </c>
      <c r="Y89" s="400">
        <f>-Y42</f>
        <v>0</v>
      </c>
      <c r="Z89" s="400">
        <f>-Z42</f>
        <v>0</v>
      </c>
      <c r="AA89" s="400">
        <f>-AA42</f>
        <v>0</v>
      </c>
      <c r="AB89" s="400">
        <f>-AB42</f>
        <v>0</v>
      </c>
      <c r="AC89" s="400">
        <f>-AC42</f>
        <v>0</v>
      </c>
      <c r="AD89" s="400">
        <f>-AD42</f>
        <v>0</v>
      </c>
      <c r="AE89" s="400">
        <f>-AE42</f>
        <v>0</v>
      </c>
      <c r="AF89" s="400">
        <f>-AF42</f>
        <v>0</v>
      </c>
      <c r="AG89" s="400">
        <f>-AG42</f>
        <v>0</v>
      </c>
      <c r="AH89" s="400">
        <f>-AH42</f>
        <v>0</v>
      </c>
      <c r="AI89" s="400">
        <f>-AI42</f>
        <v>0</v>
      </c>
      <c r="AJ89" s="400">
        <f>-AJ42</f>
        <v>0</v>
      </c>
      <c r="AK89" s="400">
        <f>-AK42</f>
        <v>0</v>
      </c>
      <c r="AL89" s="400">
        <f>-AL42</f>
        <v>0</v>
      </c>
      <c r="AM89" s="400">
        <f>-AM42</f>
        <v>0</v>
      </c>
      <c r="AN89" s="400">
        <f>-AN42</f>
        <v>0</v>
      </c>
      <c r="AO89" s="400">
        <f>-AO42</f>
        <v>-307461.75</v>
      </c>
      <c r="AP89" s="400">
        <f>-AP42</f>
        <v>-401121.75</v>
      </c>
      <c r="AQ89" s="400">
        <f>-AQ42</f>
        <v>-501936.75</v>
      </c>
      <c r="AR89" s="400">
        <f>-AR42</f>
        <v>-605886.75</v>
      </c>
      <c r="AS89" s="400">
        <f>-AS42</f>
        <v>-707976.75</v>
      </c>
      <c r="AT89" s="400">
        <f>-AT42</f>
        <v>-802536.75</v>
      </c>
      <c r="AU89" s="400">
        <f>-AU42</f>
        <v>-883761.75</v>
      </c>
      <c r="AV89" s="400">
        <f>-AV42</f>
        <v>-946266.75</v>
      </c>
      <c r="AW89" s="400">
        <f>-AW42</f>
        <v>-985686.75</v>
      </c>
      <c r="AX89" s="400">
        <f>-AX42</f>
        <v>-999156.75</v>
      </c>
      <c r="AY89" s="400">
        <f>-AY42</f>
        <v>-985686.75</v>
      </c>
      <c r="AZ89" s="400">
        <f>-AZ42</f>
        <v>-946266.75</v>
      </c>
      <c r="BA89" s="400">
        <f>-BA42</f>
        <v>-883761.75</v>
      </c>
      <c r="BB89" s="400">
        <f>-BB42</f>
        <v>-802536.75</v>
      </c>
      <c r="BC89" s="400">
        <f>-BC42</f>
        <v>-707976.75</v>
      </c>
      <c r="BD89" s="400">
        <f>-BD42</f>
        <v>-605886.75</v>
      </c>
      <c r="BE89" s="400">
        <f>-BE42</f>
        <v>-501936.75</v>
      </c>
      <c r="BF89" s="400">
        <f>-BF42</f>
        <v>-401121.75</v>
      </c>
      <c r="BG89" s="400">
        <f>-BG42</f>
        <v>-217168.5</v>
      </c>
      <c r="BH89" s="400">
        <f>-BH42</f>
        <v>0</v>
      </c>
      <c r="BI89" s="400">
        <f>-BI42</f>
        <v>0</v>
      </c>
      <c r="BJ89" s="400">
        <f>-BJ42</f>
        <v>0</v>
      </c>
      <c r="BK89" s="400">
        <f>-BK42</f>
        <v>0</v>
      </c>
      <c r="BL89" s="400">
        <f>-BL42</f>
        <v>0</v>
      </c>
      <c r="BM89" s="400">
        <f>-BM42</f>
        <v>0</v>
      </c>
      <c r="BN89" s="400">
        <f>-BN42</f>
        <v>0</v>
      </c>
      <c r="BO89" s="400">
        <f>-BO42</f>
        <v>0</v>
      </c>
      <c r="BP89" s="400">
        <f>-BP42</f>
        <v>0</v>
      </c>
      <c r="BQ89" s="400">
        <f>-BQ42</f>
        <v>0</v>
      </c>
      <c r="BR89" s="400">
        <f>-BR42</f>
        <v>0</v>
      </c>
      <c r="BS89" s="400">
        <f>-BS42</f>
        <v>0</v>
      </c>
      <c r="BT89" s="400">
        <f>-BT42</f>
        <v>0</v>
      </c>
      <c r="BU89" s="400">
        <f>-BU42</f>
        <v>0</v>
      </c>
      <c r="BV89" s="400">
        <f>-BV42</f>
        <v>0</v>
      </c>
      <c r="BW89" s="400">
        <f>-BW42</f>
        <v>0</v>
      </c>
      <c r="BX89" s="400">
        <f>-BX42</f>
        <v>0</v>
      </c>
      <c r="BY89" s="400">
        <f>-BY42</f>
        <v>0</v>
      </c>
      <c r="BZ89" s="400">
        <f>-BZ42</f>
        <v>0</v>
      </c>
      <c r="CA89" s="400">
        <f>-CA42</f>
        <v>0</v>
      </c>
      <c r="CB89" s="400">
        <f>-CB42</f>
        <v>0</v>
      </c>
      <c r="CC89" s="400">
        <f>-CC42</f>
        <v>0</v>
      </c>
      <c r="CD89" s="400">
        <f>-CD42</f>
        <v>0</v>
      </c>
      <c r="CE89" s="400">
        <f>-CE42</f>
        <v>0</v>
      </c>
      <c r="CF89" s="400">
        <f>-CF42</f>
        <v>0</v>
      </c>
      <c r="CG89" s="400">
        <f>-CG42</f>
        <v>0</v>
      </c>
      <c r="CH89" s="400">
        <f>-CH42</f>
        <v>0</v>
      </c>
      <c r="CI89" s="400">
        <f>-CI42</f>
        <v>0</v>
      </c>
      <c r="CJ89" s="400">
        <f>-CJ42</f>
        <v>0</v>
      </c>
      <c r="CK89" s="400">
        <f>-CK42</f>
        <v>0</v>
      </c>
      <c r="CL89" s="400">
        <f>-CL42</f>
        <v>0</v>
      </c>
      <c r="CM89" s="400">
        <f>-CM42</f>
        <v>0</v>
      </c>
      <c r="CN89" s="400">
        <f>-CN42</f>
        <v>0</v>
      </c>
      <c r="CO89" s="400">
        <f>-CO42</f>
        <v>0</v>
      </c>
      <c r="CP89" s="400">
        <f>-CP42</f>
        <v>0</v>
      </c>
      <c r="CQ89" s="400">
        <f>-CQ42</f>
        <v>0</v>
      </c>
      <c r="CR89" s="400">
        <f>-CR42</f>
        <v>0</v>
      </c>
      <c r="CS89" s="400">
        <f>-CS42</f>
        <v>0</v>
      </c>
      <c r="CT89" s="400">
        <f>-CT42</f>
        <v>0</v>
      </c>
      <c r="CU89" s="400">
        <f>-CU42</f>
        <v>0</v>
      </c>
      <c r="CV89" s="400">
        <f>-CV42</f>
        <v>0</v>
      </c>
      <c r="CW89" s="400">
        <f>-CW42</f>
        <v>0</v>
      </c>
      <c r="CX89" s="400">
        <f>-CX42</f>
        <v>0</v>
      </c>
      <c r="CY89" s="400">
        <f>-CY42</f>
        <v>0</v>
      </c>
      <c r="CZ89" s="400">
        <f>-CZ42</f>
        <v>0</v>
      </c>
      <c r="DA89" s="400">
        <f>-DA42</f>
        <v>0</v>
      </c>
      <c r="DB89" s="400">
        <f>-DB42</f>
        <v>0</v>
      </c>
      <c r="DC89" s="400">
        <f>-DC42</f>
        <v>0</v>
      </c>
      <c r="DD89" s="400">
        <f>-DD42</f>
        <v>0</v>
      </c>
      <c r="DE89" s="400">
        <f>-DE42</f>
        <v>0</v>
      </c>
    </row>
    <row r="90" hidden="1" outlineLevel="1" ht="15" customFormat="1" customHeight="1" s="381">
      <c r="A90" s="408" t="inlineStr">
        <is>
          <t>BD-18</t>
        </is>
      </c>
      <c r="B90" s="400" t="n">
        <v>0</v>
      </c>
      <c r="C90" s="400" t="n">
        <v>0</v>
      </c>
      <c r="D90" s="400" t="n">
        <v>0</v>
      </c>
      <c r="E90" s="400" t="n">
        <v>0</v>
      </c>
      <c r="F90" s="400">
        <f>-F43</f>
        <v>0</v>
      </c>
      <c r="G90" s="400">
        <f>-G43</f>
        <v>0</v>
      </c>
      <c r="H90" s="400">
        <f>-H43</f>
        <v>0</v>
      </c>
      <c r="I90" s="400">
        <f>-I43</f>
        <v>0</v>
      </c>
      <c r="J90" s="400">
        <f>-J43</f>
        <v>0</v>
      </c>
      <c r="K90" s="400">
        <f>-K43</f>
        <v>0</v>
      </c>
      <c r="L90" s="400">
        <f>-L43</f>
        <v>0</v>
      </c>
      <c r="M90" s="400">
        <f>-M43</f>
        <v>0</v>
      </c>
      <c r="N90" s="400">
        <f>-N43</f>
        <v>0</v>
      </c>
      <c r="O90" s="400">
        <f>-O43</f>
        <v>0</v>
      </c>
      <c r="P90" s="400">
        <f>-P43</f>
        <v>0</v>
      </c>
      <c r="Q90" s="400">
        <f>-Q43</f>
        <v>0</v>
      </c>
      <c r="R90" s="400">
        <f>-R43</f>
        <v>0</v>
      </c>
      <c r="S90" s="400">
        <f>-S43</f>
        <v>0</v>
      </c>
      <c r="T90" s="400">
        <f>-T43</f>
        <v>0</v>
      </c>
      <c r="U90" s="400">
        <f>-U43</f>
        <v>0</v>
      </c>
      <c r="V90" s="400">
        <f>-V43</f>
        <v>0</v>
      </c>
      <c r="W90" s="400">
        <f>-W43</f>
        <v>0</v>
      </c>
      <c r="X90" s="400">
        <f>-X43</f>
        <v>0</v>
      </c>
      <c r="Y90" s="400">
        <f>-Y43</f>
        <v>0</v>
      </c>
      <c r="Z90" s="400">
        <f>-Z43</f>
        <v>0</v>
      </c>
      <c r="AA90" s="400">
        <f>-AA43</f>
        <v>0</v>
      </c>
      <c r="AB90" s="400">
        <f>-AB43</f>
        <v>0</v>
      </c>
      <c r="AC90" s="400">
        <f>-AC43</f>
        <v>0</v>
      </c>
      <c r="AD90" s="400">
        <f>-AD43</f>
        <v>0</v>
      </c>
      <c r="AE90" s="400">
        <f>-AE43</f>
        <v>0</v>
      </c>
      <c r="AF90" s="400">
        <f>-AF43</f>
        <v>0</v>
      </c>
      <c r="AG90" s="400">
        <f>-AG43</f>
        <v>0</v>
      </c>
      <c r="AH90" s="400">
        <f>-AH43</f>
        <v>0</v>
      </c>
      <c r="AI90" s="400">
        <f>-AI43</f>
        <v>0</v>
      </c>
      <c r="AJ90" s="400">
        <f>-AJ43</f>
        <v>0</v>
      </c>
      <c r="AK90" s="400">
        <f>-AK43</f>
        <v>0</v>
      </c>
      <c r="AL90" s="400">
        <f>-AL43</f>
        <v>0</v>
      </c>
      <c r="AM90" s="400">
        <f>-AM43</f>
        <v>0</v>
      </c>
      <c r="AN90" s="400">
        <f>-AN43</f>
        <v>0</v>
      </c>
      <c r="AO90" s="400">
        <f>-AO43</f>
        <v>0</v>
      </c>
      <c r="AP90" s="400">
        <f>-AP43</f>
        <v>-368954.1</v>
      </c>
      <c r="AQ90" s="400">
        <f>-AQ43</f>
        <v>-481346.1</v>
      </c>
      <c r="AR90" s="400">
        <f>-AR43</f>
        <v>-602324.1</v>
      </c>
      <c r="AS90" s="400">
        <f>-AS43</f>
        <v>-727064.1</v>
      </c>
      <c r="AT90" s="400">
        <f>-AT43</f>
        <v>-849572.1</v>
      </c>
      <c r="AU90" s="400">
        <f>-AU43</f>
        <v>-963044.1</v>
      </c>
      <c r="AV90" s="400">
        <f>-AV43</f>
        <v>-1060514.1</v>
      </c>
      <c r="AW90" s="400">
        <f>-AW43</f>
        <v>-1135520.1</v>
      </c>
      <c r="AX90" s="400">
        <f>-AX43</f>
        <v>-1182824.1</v>
      </c>
      <c r="AY90" s="400">
        <f>-AY43</f>
        <v>-1198988.1</v>
      </c>
      <c r="AZ90" s="400">
        <f>-AZ43</f>
        <v>-1182824.1</v>
      </c>
      <c r="BA90" s="400">
        <f>-BA43</f>
        <v>-1135520.1</v>
      </c>
      <c r="BB90" s="400">
        <f>-BB43</f>
        <v>-1060514.1</v>
      </c>
      <c r="BC90" s="400">
        <f>-BC43</f>
        <v>-963044.1</v>
      </c>
      <c r="BD90" s="400">
        <f>-BD43</f>
        <v>-849572.1</v>
      </c>
      <c r="BE90" s="400">
        <f>-BE43</f>
        <v>-727064.1</v>
      </c>
      <c r="BF90" s="400">
        <f>-BF43</f>
        <v>-602324.1</v>
      </c>
      <c r="BG90" s="400">
        <f>-BG43</f>
        <v>-481346.1</v>
      </c>
      <c r="BH90" s="400">
        <f>-BH43</f>
        <v>-260602.2</v>
      </c>
      <c r="BI90" s="400">
        <f>-BI43</f>
        <v>0</v>
      </c>
      <c r="BJ90" s="400">
        <f>-BJ43</f>
        <v>0</v>
      </c>
      <c r="BK90" s="400">
        <f>-BK43</f>
        <v>0</v>
      </c>
      <c r="BL90" s="400">
        <f>-BL43</f>
        <v>0</v>
      </c>
      <c r="BM90" s="400">
        <f>-BM43</f>
        <v>0</v>
      </c>
      <c r="BN90" s="400">
        <f>-BN43</f>
        <v>0</v>
      </c>
      <c r="BO90" s="400">
        <f>-BO43</f>
        <v>0</v>
      </c>
      <c r="BP90" s="400">
        <f>-BP43</f>
        <v>0</v>
      </c>
      <c r="BQ90" s="400">
        <f>-BQ43</f>
        <v>0</v>
      </c>
      <c r="BR90" s="400">
        <f>-BR43</f>
        <v>0</v>
      </c>
      <c r="BS90" s="400">
        <f>-BS43</f>
        <v>0</v>
      </c>
      <c r="BT90" s="400">
        <f>-BT43</f>
        <v>0</v>
      </c>
      <c r="BU90" s="400">
        <f>-BU43</f>
        <v>0</v>
      </c>
      <c r="BV90" s="400">
        <f>-BV43</f>
        <v>0</v>
      </c>
      <c r="BW90" s="400">
        <f>-BW43</f>
        <v>0</v>
      </c>
      <c r="BX90" s="400">
        <f>-BX43</f>
        <v>0</v>
      </c>
      <c r="BY90" s="400">
        <f>-BY43</f>
        <v>0</v>
      </c>
      <c r="BZ90" s="400">
        <f>-BZ43</f>
        <v>0</v>
      </c>
      <c r="CA90" s="400">
        <f>-CA43</f>
        <v>0</v>
      </c>
      <c r="CB90" s="400">
        <f>-CB43</f>
        <v>0</v>
      </c>
      <c r="CC90" s="400">
        <f>-CC43</f>
        <v>0</v>
      </c>
      <c r="CD90" s="400">
        <f>-CD43</f>
        <v>0</v>
      </c>
      <c r="CE90" s="400">
        <f>-CE43</f>
        <v>0</v>
      </c>
      <c r="CF90" s="400">
        <f>-CF43</f>
        <v>0</v>
      </c>
      <c r="CG90" s="400">
        <f>-CG43</f>
        <v>0</v>
      </c>
      <c r="CH90" s="400">
        <f>-CH43</f>
        <v>0</v>
      </c>
      <c r="CI90" s="400">
        <f>-CI43</f>
        <v>0</v>
      </c>
      <c r="CJ90" s="400">
        <f>-CJ43</f>
        <v>0</v>
      </c>
      <c r="CK90" s="400">
        <f>-CK43</f>
        <v>0</v>
      </c>
      <c r="CL90" s="400">
        <f>-CL43</f>
        <v>0</v>
      </c>
      <c r="CM90" s="400">
        <f>-CM43</f>
        <v>0</v>
      </c>
      <c r="CN90" s="400">
        <f>-CN43</f>
        <v>0</v>
      </c>
      <c r="CO90" s="400">
        <f>-CO43</f>
        <v>0</v>
      </c>
      <c r="CP90" s="400">
        <f>-CP43</f>
        <v>0</v>
      </c>
      <c r="CQ90" s="400">
        <f>-CQ43</f>
        <v>0</v>
      </c>
      <c r="CR90" s="400">
        <f>-CR43</f>
        <v>0</v>
      </c>
      <c r="CS90" s="400">
        <f>-CS43</f>
        <v>0</v>
      </c>
      <c r="CT90" s="400">
        <f>-CT43</f>
        <v>0</v>
      </c>
      <c r="CU90" s="400">
        <f>-CU43</f>
        <v>0</v>
      </c>
      <c r="CV90" s="400">
        <f>-CV43</f>
        <v>0</v>
      </c>
      <c r="CW90" s="400">
        <f>-CW43</f>
        <v>0</v>
      </c>
      <c r="CX90" s="400">
        <f>-CX43</f>
        <v>0</v>
      </c>
      <c r="CY90" s="400">
        <f>-CY43</f>
        <v>0</v>
      </c>
      <c r="CZ90" s="400">
        <f>-CZ43</f>
        <v>0</v>
      </c>
      <c r="DA90" s="400">
        <f>-DA43</f>
        <v>0</v>
      </c>
      <c r="DB90" s="400">
        <f>-DB43</f>
        <v>0</v>
      </c>
      <c r="DC90" s="400">
        <f>-DC43</f>
        <v>0</v>
      </c>
      <c r="DD90" s="400">
        <f>-DD43</f>
        <v>0</v>
      </c>
      <c r="DE90" s="400">
        <f>-DE43</f>
        <v>0</v>
      </c>
    </row>
    <row r="91" hidden="1" outlineLevel="1" ht="15" customFormat="1" customHeight="1" s="381">
      <c r="A91" s="408" t="inlineStr">
        <is>
          <t>BD-19</t>
        </is>
      </c>
      <c r="B91" s="400" t="n">
        <v>0</v>
      </c>
      <c r="C91" s="400" t="n">
        <v>0</v>
      </c>
      <c r="D91" s="400" t="n">
        <v>0</v>
      </c>
      <c r="E91" s="400" t="n">
        <v>0</v>
      </c>
      <c r="F91" s="400">
        <f>-F44</f>
        <v>0</v>
      </c>
      <c r="G91" s="400">
        <f>-G44</f>
        <v>0</v>
      </c>
      <c r="H91" s="400">
        <f>-H44</f>
        <v>0</v>
      </c>
      <c r="I91" s="400">
        <f>-I44</f>
        <v>0</v>
      </c>
      <c r="J91" s="400">
        <f>-J44</f>
        <v>0</v>
      </c>
      <c r="K91" s="400">
        <f>-K44</f>
        <v>0</v>
      </c>
      <c r="L91" s="400">
        <f>-L44</f>
        <v>0</v>
      </c>
      <c r="M91" s="400">
        <f>-M44</f>
        <v>0</v>
      </c>
      <c r="N91" s="400">
        <f>-N44</f>
        <v>0</v>
      </c>
      <c r="O91" s="400">
        <f>-O44</f>
        <v>0</v>
      </c>
      <c r="P91" s="400">
        <f>-P44</f>
        <v>0</v>
      </c>
      <c r="Q91" s="400">
        <f>-Q44</f>
        <v>0</v>
      </c>
      <c r="R91" s="400">
        <f>-R44</f>
        <v>0</v>
      </c>
      <c r="S91" s="400">
        <f>-S44</f>
        <v>0</v>
      </c>
      <c r="T91" s="400">
        <f>-T44</f>
        <v>0</v>
      </c>
      <c r="U91" s="400">
        <f>-U44</f>
        <v>0</v>
      </c>
      <c r="V91" s="400">
        <f>-V44</f>
        <v>0</v>
      </c>
      <c r="W91" s="400">
        <f>-W44</f>
        <v>0</v>
      </c>
      <c r="X91" s="400">
        <f>-X44</f>
        <v>0</v>
      </c>
      <c r="Y91" s="400">
        <f>-Y44</f>
        <v>0</v>
      </c>
      <c r="Z91" s="400">
        <f>-Z44</f>
        <v>0</v>
      </c>
      <c r="AA91" s="400">
        <f>-AA44</f>
        <v>0</v>
      </c>
      <c r="AB91" s="400">
        <f>-AB44</f>
        <v>0</v>
      </c>
      <c r="AC91" s="400">
        <f>-AC44</f>
        <v>0</v>
      </c>
      <c r="AD91" s="400">
        <f>-AD44</f>
        <v>0</v>
      </c>
      <c r="AE91" s="400">
        <f>-AE44</f>
        <v>0</v>
      </c>
      <c r="AF91" s="400">
        <f>-AF44</f>
        <v>0</v>
      </c>
      <c r="AG91" s="400">
        <f>-AG44</f>
        <v>0</v>
      </c>
      <c r="AH91" s="400">
        <f>-AH44</f>
        <v>0</v>
      </c>
      <c r="AI91" s="400">
        <f>-AI44</f>
        <v>0</v>
      </c>
      <c r="AJ91" s="400">
        <f>-AJ44</f>
        <v>0</v>
      </c>
      <c r="AK91" s="400">
        <f>-AK44</f>
        <v>0</v>
      </c>
      <c r="AL91" s="400">
        <f>-AL44</f>
        <v>0</v>
      </c>
      <c r="AM91" s="400">
        <f>-AM44</f>
        <v>0</v>
      </c>
      <c r="AN91" s="400">
        <f>-AN44</f>
        <v>0</v>
      </c>
      <c r="AO91" s="400">
        <f>-AO44</f>
        <v>0</v>
      </c>
      <c r="AP91" s="400">
        <f>-AP44</f>
        <v>0</v>
      </c>
      <c r="AQ91" s="400">
        <f>-AQ44</f>
        <v>-307461.75</v>
      </c>
      <c r="AR91" s="400">
        <f>-AR44</f>
        <v>-401121.75</v>
      </c>
      <c r="AS91" s="400">
        <f>-AS44</f>
        <v>-501936.75</v>
      </c>
      <c r="AT91" s="400">
        <f>-AT44</f>
        <v>-605886.75</v>
      </c>
      <c r="AU91" s="400">
        <f>-AU44</f>
        <v>-707976.75</v>
      </c>
      <c r="AV91" s="400">
        <f>-AV44</f>
        <v>-802536.75</v>
      </c>
      <c r="AW91" s="400">
        <f>-AW44</f>
        <v>-883761.75</v>
      </c>
      <c r="AX91" s="400">
        <f>-AX44</f>
        <v>-946266.75</v>
      </c>
      <c r="AY91" s="400">
        <f>-AY44</f>
        <v>-985686.75</v>
      </c>
      <c r="AZ91" s="400">
        <f>-AZ44</f>
        <v>-999156.75</v>
      </c>
      <c r="BA91" s="400">
        <f>-BA44</f>
        <v>-985686.75</v>
      </c>
      <c r="BB91" s="400">
        <f>-BB44</f>
        <v>-946266.75</v>
      </c>
      <c r="BC91" s="400">
        <f>-BC44</f>
        <v>-883761.75</v>
      </c>
      <c r="BD91" s="400">
        <f>-BD44</f>
        <v>-802536.75</v>
      </c>
      <c r="BE91" s="400">
        <f>-BE44</f>
        <v>-707976.75</v>
      </c>
      <c r="BF91" s="400">
        <f>-BF44</f>
        <v>-605886.75</v>
      </c>
      <c r="BG91" s="400">
        <f>-BG44</f>
        <v>-501936.75</v>
      </c>
      <c r="BH91" s="400">
        <f>-BH44</f>
        <v>-401121.75</v>
      </c>
      <c r="BI91" s="400">
        <f>-BI44</f>
        <v>-217168.5</v>
      </c>
      <c r="BJ91" s="400">
        <f>-BJ44</f>
        <v>0</v>
      </c>
      <c r="BK91" s="400">
        <f>-BK44</f>
        <v>0</v>
      </c>
      <c r="BL91" s="400">
        <f>-BL44</f>
        <v>0</v>
      </c>
      <c r="BM91" s="400">
        <f>-BM44</f>
        <v>0</v>
      </c>
      <c r="BN91" s="400">
        <f>-BN44</f>
        <v>0</v>
      </c>
      <c r="BO91" s="400">
        <f>-BO44</f>
        <v>0</v>
      </c>
      <c r="BP91" s="400">
        <f>-BP44</f>
        <v>0</v>
      </c>
      <c r="BQ91" s="400">
        <f>-BQ44</f>
        <v>0</v>
      </c>
      <c r="BR91" s="400">
        <f>-BR44</f>
        <v>0</v>
      </c>
      <c r="BS91" s="400">
        <f>-BS44</f>
        <v>0</v>
      </c>
      <c r="BT91" s="400">
        <f>-BT44</f>
        <v>0</v>
      </c>
      <c r="BU91" s="400">
        <f>-BU44</f>
        <v>0</v>
      </c>
      <c r="BV91" s="400">
        <f>-BV44</f>
        <v>0</v>
      </c>
      <c r="BW91" s="400">
        <f>-BW44</f>
        <v>0</v>
      </c>
      <c r="BX91" s="400">
        <f>-BX44</f>
        <v>0</v>
      </c>
      <c r="BY91" s="400">
        <f>-BY44</f>
        <v>0</v>
      </c>
      <c r="BZ91" s="400">
        <f>-BZ44</f>
        <v>0</v>
      </c>
      <c r="CA91" s="400">
        <f>-CA44</f>
        <v>0</v>
      </c>
      <c r="CB91" s="400">
        <f>-CB44</f>
        <v>0</v>
      </c>
      <c r="CC91" s="400">
        <f>-CC44</f>
        <v>0</v>
      </c>
      <c r="CD91" s="400">
        <f>-CD44</f>
        <v>0</v>
      </c>
      <c r="CE91" s="400">
        <f>-CE44</f>
        <v>0</v>
      </c>
      <c r="CF91" s="400">
        <f>-CF44</f>
        <v>0</v>
      </c>
      <c r="CG91" s="400">
        <f>-CG44</f>
        <v>0</v>
      </c>
      <c r="CH91" s="400">
        <f>-CH44</f>
        <v>0</v>
      </c>
      <c r="CI91" s="400">
        <f>-CI44</f>
        <v>0</v>
      </c>
      <c r="CJ91" s="400">
        <f>-CJ44</f>
        <v>0</v>
      </c>
      <c r="CK91" s="400">
        <f>-CK44</f>
        <v>0</v>
      </c>
      <c r="CL91" s="400">
        <f>-CL44</f>
        <v>0</v>
      </c>
      <c r="CM91" s="400">
        <f>-CM44</f>
        <v>0</v>
      </c>
      <c r="CN91" s="400">
        <f>-CN44</f>
        <v>0</v>
      </c>
      <c r="CO91" s="400">
        <f>-CO44</f>
        <v>0</v>
      </c>
      <c r="CP91" s="400">
        <f>-CP44</f>
        <v>0</v>
      </c>
      <c r="CQ91" s="400">
        <f>-CQ44</f>
        <v>0</v>
      </c>
      <c r="CR91" s="400">
        <f>-CR44</f>
        <v>0</v>
      </c>
      <c r="CS91" s="400">
        <f>-CS44</f>
        <v>0</v>
      </c>
      <c r="CT91" s="400">
        <f>-CT44</f>
        <v>0</v>
      </c>
      <c r="CU91" s="400">
        <f>-CU44</f>
        <v>0</v>
      </c>
      <c r="CV91" s="400">
        <f>-CV44</f>
        <v>0</v>
      </c>
      <c r="CW91" s="400">
        <f>-CW44</f>
        <v>0</v>
      </c>
      <c r="CX91" s="400">
        <f>-CX44</f>
        <v>0</v>
      </c>
      <c r="CY91" s="400">
        <f>-CY44</f>
        <v>0</v>
      </c>
      <c r="CZ91" s="400">
        <f>-CZ44</f>
        <v>0</v>
      </c>
      <c r="DA91" s="400">
        <f>-DA44</f>
        <v>0</v>
      </c>
      <c r="DB91" s="400">
        <f>-DB44</f>
        <v>0</v>
      </c>
      <c r="DC91" s="400">
        <f>-DC44</f>
        <v>0</v>
      </c>
      <c r="DD91" s="400">
        <f>-DD44</f>
        <v>0</v>
      </c>
      <c r="DE91" s="400">
        <f>-DE44</f>
        <v>0</v>
      </c>
    </row>
    <row r="92" hidden="1" outlineLevel="1" ht="15" customFormat="1" customHeight="1" s="381">
      <c r="A92" s="408" t="inlineStr">
        <is>
          <t>BD-20</t>
        </is>
      </c>
      <c r="B92" s="400" t="n">
        <v>0</v>
      </c>
      <c r="C92" s="400" t="n">
        <v>0</v>
      </c>
      <c r="D92" s="400" t="n">
        <v>0</v>
      </c>
      <c r="E92" s="400" t="n">
        <v>0</v>
      </c>
      <c r="F92" s="400">
        <f>-F45</f>
        <v>0</v>
      </c>
      <c r="G92" s="400">
        <f>-G45</f>
        <v>0</v>
      </c>
      <c r="H92" s="400">
        <f>-H45</f>
        <v>0</v>
      </c>
      <c r="I92" s="400">
        <f>-I45</f>
        <v>0</v>
      </c>
      <c r="J92" s="400">
        <f>-J45</f>
        <v>0</v>
      </c>
      <c r="K92" s="400">
        <f>-K45</f>
        <v>0</v>
      </c>
      <c r="L92" s="400">
        <f>-L45</f>
        <v>0</v>
      </c>
      <c r="M92" s="400">
        <f>-M45</f>
        <v>0</v>
      </c>
      <c r="N92" s="400">
        <f>-N45</f>
        <v>0</v>
      </c>
      <c r="O92" s="400">
        <f>-O45</f>
        <v>0</v>
      </c>
      <c r="P92" s="400">
        <f>-P45</f>
        <v>0</v>
      </c>
      <c r="Q92" s="400">
        <f>-Q45</f>
        <v>0</v>
      </c>
      <c r="R92" s="400">
        <f>-R45</f>
        <v>0</v>
      </c>
      <c r="S92" s="400">
        <f>-S45</f>
        <v>0</v>
      </c>
      <c r="T92" s="400">
        <f>-T45</f>
        <v>0</v>
      </c>
      <c r="U92" s="400">
        <f>-U45</f>
        <v>0</v>
      </c>
      <c r="V92" s="400">
        <f>-V45</f>
        <v>0</v>
      </c>
      <c r="W92" s="400">
        <f>-W45</f>
        <v>0</v>
      </c>
      <c r="X92" s="400">
        <f>-X45</f>
        <v>0</v>
      </c>
      <c r="Y92" s="400">
        <f>-Y45</f>
        <v>0</v>
      </c>
      <c r="Z92" s="400">
        <f>-Z45</f>
        <v>0</v>
      </c>
      <c r="AA92" s="400">
        <f>-AA45</f>
        <v>0</v>
      </c>
      <c r="AB92" s="400">
        <f>-AB45</f>
        <v>0</v>
      </c>
      <c r="AC92" s="400">
        <f>-AC45</f>
        <v>0</v>
      </c>
      <c r="AD92" s="400">
        <f>-AD45</f>
        <v>0</v>
      </c>
      <c r="AE92" s="400">
        <f>-AE45</f>
        <v>0</v>
      </c>
      <c r="AF92" s="400">
        <f>-AF45</f>
        <v>0</v>
      </c>
      <c r="AG92" s="400">
        <f>-AG45</f>
        <v>0</v>
      </c>
      <c r="AH92" s="400">
        <f>-AH45</f>
        <v>0</v>
      </c>
      <c r="AI92" s="400">
        <f>-AI45</f>
        <v>0</v>
      </c>
      <c r="AJ92" s="400">
        <f>-AJ45</f>
        <v>0</v>
      </c>
      <c r="AK92" s="400">
        <f>-AK45</f>
        <v>0</v>
      </c>
      <c r="AL92" s="400">
        <f>-AL45</f>
        <v>0</v>
      </c>
      <c r="AM92" s="400">
        <f>-AM45</f>
        <v>0</v>
      </c>
      <c r="AN92" s="400">
        <f>-AN45</f>
        <v>0</v>
      </c>
      <c r="AO92" s="400">
        <f>-AO45</f>
        <v>0</v>
      </c>
      <c r="AP92" s="400">
        <f>-AP45</f>
        <v>0</v>
      </c>
      <c r="AQ92" s="400">
        <f>-AQ45</f>
        <v>0</v>
      </c>
      <c r="AR92" s="400">
        <f>-AR45</f>
        <v>0</v>
      </c>
      <c r="AS92" s="400">
        <f>-AS45</f>
        <v>0</v>
      </c>
      <c r="AT92" s="400">
        <f>-AT45</f>
        <v>0</v>
      </c>
      <c r="AU92" s="400">
        <f>-AU45</f>
        <v>-368954.1</v>
      </c>
      <c r="AV92" s="400">
        <f>-AV45</f>
        <v>-481346.1</v>
      </c>
      <c r="AW92" s="400">
        <f>-AW45</f>
        <v>-602324.1</v>
      </c>
      <c r="AX92" s="400">
        <f>-AX45</f>
        <v>-727064.1</v>
      </c>
      <c r="AY92" s="400">
        <f>-AY45</f>
        <v>-849572.1</v>
      </c>
      <c r="AZ92" s="400">
        <f>-AZ45</f>
        <v>-963044.1</v>
      </c>
      <c r="BA92" s="400">
        <f>-BA45</f>
        <v>-1060514.1</v>
      </c>
      <c r="BB92" s="400">
        <f>-BB45</f>
        <v>-1135520.1</v>
      </c>
      <c r="BC92" s="400">
        <f>-BC45</f>
        <v>-1182824.1</v>
      </c>
      <c r="BD92" s="400">
        <f>-BD45</f>
        <v>-1198988.1</v>
      </c>
      <c r="BE92" s="400">
        <f>-BE45</f>
        <v>-1182824.1</v>
      </c>
      <c r="BF92" s="400">
        <f>-BF45</f>
        <v>-1135520.1</v>
      </c>
      <c r="BG92" s="400">
        <f>-BG45</f>
        <v>-1060514.1</v>
      </c>
      <c r="BH92" s="400">
        <f>-BH45</f>
        <v>-963044.1</v>
      </c>
      <c r="BI92" s="400">
        <f>-BI45</f>
        <v>-849572.1</v>
      </c>
      <c r="BJ92" s="400">
        <f>-BJ45</f>
        <v>-727064.1</v>
      </c>
      <c r="BK92" s="400">
        <f>-BK45</f>
        <v>-602324.1</v>
      </c>
      <c r="BL92" s="400">
        <f>-BL45</f>
        <v>-481346.1</v>
      </c>
      <c r="BM92" s="400">
        <f>-BM45</f>
        <v>-260602.2</v>
      </c>
      <c r="BN92" s="400">
        <f>-BN45</f>
        <v>0</v>
      </c>
      <c r="BO92" s="400">
        <f>-BO45</f>
        <v>0</v>
      </c>
      <c r="BP92" s="400">
        <f>-BP45</f>
        <v>0</v>
      </c>
      <c r="BQ92" s="400">
        <f>-BQ45</f>
        <v>0</v>
      </c>
      <c r="BR92" s="400">
        <f>-BR45</f>
        <v>0</v>
      </c>
      <c r="BS92" s="400">
        <f>-BS45</f>
        <v>0</v>
      </c>
      <c r="BT92" s="400">
        <f>-BT45</f>
        <v>0</v>
      </c>
      <c r="BU92" s="400">
        <f>-BU45</f>
        <v>0</v>
      </c>
      <c r="BV92" s="400">
        <f>-BV45</f>
        <v>0</v>
      </c>
      <c r="BW92" s="400">
        <f>-BW45</f>
        <v>0</v>
      </c>
      <c r="BX92" s="400">
        <f>-BX45</f>
        <v>0</v>
      </c>
      <c r="BY92" s="400">
        <f>-BY45</f>
        <v>0</v>
      </c>
      <c r="BZ92" s="400">
        <f>-BZ45</f>
        <v>0</v>
      </c>
      <c r="CA92" s="400">
        <f>-CA45</f>
        <v>0</v>
      </c>
      <c r="CB92" s="400">
        <f>-CB45</f>
        <v>0</v>
      </c>
      <c r="CC92" s="400">
        <f>-CC45</f>
        <v>0</v>
      </c>
      <c r="CD92" s="400">
        <f>-CD45</f>
        <v>0</v>
      </c>
      <c r="CE92" s="400">
        <f>-CE45</f>
        <v>0</v>
      </c>
      <c r="CF92" s="400">
        <f>-CF45</f>
        <v>0</v>
      </c>
      <c r="CG92" s="400">
        <f>-CG45</f>
        <v>0</v>
      </c>
      <c r="CH92" s="400">
        <f>-CH45</f>
        <v>0</v>
      </c>
      <c r="CI92" s="400">
        <f>-CI45</f>
        <v>0</v>
      </c>
      <c r="CJ92" s="400">
        <f>-CJ45</f>
        <v>0</v>
      </c>
      <c r="CK92" s="400">
        <f>-CK45</f>
        <v>0</v>
      </c>
      <c r="CL92" s="400">
        <f>-CL45</f>
        <v>0</v>
      </c>
      <c r="CM92" s="400">
        <f>-CM45</f>
        <v>0</v>
      </c>
      <c r="CN92" s="400">
        <f>-CN45</f>
        <v>0</v>
      </c>
      <c r="CO92" s="400">
        <f>-CO45</f>
        <v>0</v>
      </c>
      <c r="CP92" s="400">
        <f>-CP45</f>
        <v>0</v>
      </c>
      <c r="CQ92" s="400">
        <f>-CQ45</f>
        <v>0</v>
      </c>
      <c r="CR92" s="400">
        <f>-CR45</f>
        <v>0</v>
      </c>
      <c r="CS92" s="400">
        <f>-CS45</f>
        <v>0</v>
      </c>
      <c r="CT92" s="400">
        <f>-CT45</f>
        <v>0</v>
      </c>
      <c r="CU92" s="400">
        <f>-CU45</f>
        <v>0</v>
      </c>
      <c r="CV92" s="400">
        <f>-CV45</f>
        <v>0</v>
      </c>
      <c r="CW92" s="400">
        <f>-CW45</f>
        <v>0</v>
      </c>
      <c r="CX92" s="400">
        <f>-CX45</f>
        <v>0</v>
      </c>
      <c r="CY92" s="400">
        <f>-CY45</f>
        <v>0</v>
      </c>
      <c r="CZ92" s="400">
        <f>-CZ45</f>
        <v>0</v>
      </c>
      <c r="DA92" s="400">
        <f>-DA45</f>
        <v>0</v>
      </c>
      <c r="DB92" s="400">
        <f>-DB45</f>
        <v>0</v>
      </c>
      <c r="DC92" s="400">
        <f>-DC45</f>
        <v>0</v>
      </c>
      <c r="DD92" s="400">
        <f>-DD45</f>
        <v>0</v>
      </c>
      <c r="DE92" s="400">
        <f>-DE45</f>
        <v>0</v>
      </c>
    </row>
    <row r="93" hidden="1" outlineLevel="1" ht="15" customFormat="1" customHeight="1" s="381">
      <c r="A93" s="408" t="inlineStr">
        <is>
          <t>BD-21</t>
        </is>
      </c>
      <c r="B93" s="400" t="n">
        <v>0</v>
      </c>
      <c r="C93" s="400" t="n">
        <v>0</v>
      </c>
      <c r="D93" s="400" t="n">
        <v>0</v>
      </c>
      <c r="E93" s="400" t="n">
        <v>0</v>
      </c>
      <c r="F93" s="400">
        <f>-F46</f>
        <v>0</v>
      </c>
      <c r="G93" s="400">
        <f>-G46</f>
        <v>0</v>
      </c>
      <c r="H93" s="400">
        <f>-H46</f>
        <v>0</v>
      </c>
      <c r="I93" s="400">
        <f>-I46</f>
        <v>0</v>
      </c>
      <c r="J93" s="400">
        <f>-J46</f>
        <v>0</v>
      </c>
      <c r="K93" s="400">
        <f>-K46</f>
        <v>0</v>
      </c>
      <c r="L93" s="400">
        <f>-L46</f>
        <v>0</v>
      </c>
      <c r="M93" s="400">
        <f>-M46</f>
        <v>0</v>
      </c>
      <c r="N93" s="400">
        <f>-N46</f>
        <v>0</v>
      </c>
      <c r="O93" s="400">
        <f>-O46</f>
        <v>0</v>
      </c>
      <c r="P93" s="400">
        <f>-P46</f>
        <v>0</v>
      </c>
      <c r="Q93" s="400">
        <f>-Q46</f>
        <v>0</v>
      </c>
      <c r="R93" s="400">
        <f>-R46</f>
        <v>0</v>
      </c>
      <c r="S93" s="400">
        <f>-S46</f>
        <v>0</v>
      </c>
      <c r="T93" s="400">
        <f>-T46</f>
        <v>0</v>
      </c>
      <c r="U93" s="400">
        <f>-U46</f>
        <v>0</v>
      </c>
      <c r="V93" s="400">
        <f>-V46</f>
        <v>0</v>
      </c>
      <c r="W93" s="400">
        <f>-W46</f>
        <v>0</v>
      </c>
      <c r="X93" s="400">
        <f>-X46</f>
        <v>0</v>
      </c>
      <c r="Y93" s="400">
        <f>-Y46</f>
        <v>0</v>
      </c>
      <c r="Z93" s="400">
        <f>-Z46</f>
        <v>0</v>
      </c>
      <c r="AA93" s="400">
        <f>-AA46</f>
        <v>0</v>
      </c>
      <c r="AB93" s="400">
        <f>-AB46</f>
        <v>0</v>
      </c>
      <c r="AC93" s="400">
        <f>-AC46</f>
        <v>0</v>
      </c>
      <c r="AD93" s="400">
        <f>-AD46</f>
        <v>0</v>
      </c>
      <c r="AE93" s="400">
        <f>-AE46</f>
        <v>0</v>
      </c>
      <c r="AF93" s="400">
        <f>-AF46</f>
        <v>0</v>
      </c>
      <c r="AG93" s="400">
        <f>-AG46</f>
        <v>0</v>
      </c>
      <c r="AH93" s="400">
        <f>-AH46</f>
        <v>0</v>
      </c>
      <c r="AI93" s="400">
        <f>-AI46</f>
        <v>0</v>
      </c>
      <c r="AJ93" s="400">
        <f>-AJ46</f>
        <v>0</v>
      </c>
      <c r="AK93" s="400">
        <f>-AK46</f>
        <v>0</v>
      </c>
      <c r="AL93" s="400">
        <f>-AL46</f>
        <v>0</v>
      </c>
      <c r="AM93" s="400">
        <f>-AM46</f>
        <v>0</v>
      </c>
      <c r="AN93" s="400">
        <f>-AN46</f>
        <v>0</v>
      </c>
      <c r="AO93" s="400">
        <f>-AO46</f>
        <v>0</v>
      </c>
      <c r="AP93" s="400">
        <f>-AP46</f>
        <v>0</v>
      </c>
      <c r="AQ93" s="400">
        <f>-AQ46</f>
        <v>0</v>
      </c>
      <c r="AR93" s="400">
        <f>-AR46</f>
        <v>0</v>
      </c>
      <c r="AS93" s="400">
        <f>-AS46</f>
        <v>0</v>
      </c>
      <c r="AT93" s="400">
        <f>-AT46</f>
        <v>0</v>
      </c>
      <c r="AU93" s="400">
        <f>-AU46</f>
        <v>0</v>
      </c>
      <c r="AV93" s="400">
        <f>-AV46</f>
        <v>-307461.75</v>
      </c>
      <c r="AW93" s="400">
        <f>-AW46</f>
        <v>-401121.75</v>
      </c>
      <c r="AX93" s="400">
        <f>-AX46</f>
        <v>-501936.75</v>
      </c>
      <c r="AY93" s="400">
        <f>-AY46</f>
        <v>-605886.75</v>
      </c>
      <c r="AZ93" s="400">
        <f>-AZ46</f>
        <v>-707976.75</v>
      </c>
      <c r="BA93" s="400">
        <f>-BA46</f>
        <v>-802536.75</v>
      </c>
      <c r="BB93" s="400">
        <f>-BB46</f>
        <v>-883761.75</v>
      </c>
      <c r="BC93" s="400">
        <f>-BC46</f>
        <v>-946266.75</v>
      </c>
      <c r="BD93" s="400">
        <f>-BD46</f>
        <v>-985686.75</v>
      </c>
      <c r="BE93" s="400">
        <f>-BE46</f>
        <v>-999156.75</v>
      </c>
      <c r="BF93" s="400">
        <f>-BF46</f>
        <v>-985686.75</v>
      </c>
      <c r="BG93" s="400">
        <f>-BG46</f>
        <v>-946266.75</v>
      </c>
      <c r="BH93" s="400">
        <f>-BH46</f>
        <v>-883761.75</v>
      </c>
      <c r="BI93" s="400">
        <f>-BI46</f>
        <v>-802536.75</v>
      </c>
      <c r="BJ93" s="400">
        <f>-BJ46</f>
        <v>-707976.75</v>
      </c>
      <c r="BK93" s="400">
        <f>-BK46</f>
        <v>-605886.75</v>
      </c>
      <c r="BL93" s="400">
        <f>-BL46</f>
        <v>-501936.75</v>
      </c>
      <c r="BM93" s="400">
        <f>-BM46</f>
        <v>-401121.75</v>
      </c>
      <c r="BN93" s="400">
        <f>-BN46</f>
        <v>-217168.5</v>
      </c>
      <c r="BO93" s="400">
        <f>-BO46</f>
        <v>0</v>
      </c>
      <c r="BP93" s="400">
        <f>-BP46</f>
        <v>0</v>
      </c>
      <c r="BQ93" s="400">
        <f>-BQ46</f>
        <v>0</v>
      </c>
      <c r="BR93" s="400">
        <f>-BR46</f>
        <v>0</v>
      </c>
      <c r="BS93" s="400">
        <f>-BS46</f>
        <v>0</v>
      </c>
      <c r="BT93" s="400">
        <f>-BT46</f>
        <v>0</v>
      </c>
      <c r="BU93" s="400">
        <f>-BU46</f>
        <v>0</v>
      </c>
      <c r="BV93" s="400">
        <f>-BV46</f>
        <v>0</v>
      </c>
      <c r="BW93" s="400">
        <f>-BW46</f>
        <v>0</v>
      </c>
      <c r="BX93" s="400">
        <f>-BX46</f>
        <v>0</v>
      </c>
      <c r="BY93" s="400">
        <f>-BY46</f>
        <v>0</v>
      </c>
      <c r="BZ93" s="400">
        <f>-BZ46</f>
        <v>0</v>
      </c>
      <c r="CA93" s="400">
        <f>-CA46</f>
        <v>0</v>
      </c>
      <c r="CB93" s="400">
        <f>-CB46</f>
        <v>0</v>
      </c>
      <c r="CC93" s="400">
        <f>-CC46</f>
        <v>0</v>
      </c>
      <c r="CD93" s="400">
        <f>-CD46</f>
        <v>0</v>
      </c>
      <c r="CE93" s="400">
        <f>-CE46</f>
        <v>0</v>
      </c>
      <c r="CF93" s="400">
        <f>-CF46</f>
        <v>0</v>
      </c>
      <c r="CG93" s="400">
        <f>-CG46</f>
        <v>0</v>
      </c>
      <c r="CH93" s="400">
        <f>-CH46</f>
        <v>0</v>
      </c>
      <c r="CI93" s="400">
        <f>-CI46</f>
        <v>0</v>
      </c>
      <c r="CJ93" s="400">
        <f>-CJ46</f>
        <v>0</v>
      </c>
      <c r="CK93" s="400">
        <f>-CK46</f>
        <v>0</v>
      </c>
      <c r="CL93" s="400">
        <f>-CL46</f>
        <v>0</v>
      </c>
      <c r="CM93" s="400">
        <f>-CM46</f>
        <v>0</v>
      </c>
      <c r="CN93" s="400">
        <f>-CN46</f>
        <v>0</v>
      </c>
      <c r="CO93" s="400">
        <f>-CO46</f>
        <v>0</v>
      </c>
      <c r="CP93" s="400">
        <f>-CP46</f>
        <v>0</v>
      </c>
      <c r="CQ93" s="400">
        <f>-CQ46</f>
        <v>0</v>
      </c>
      <c r="CR93" s="400">
        <f>-CR46</f>
        <v>0</v>
      </c>
      <c r="CS93" s="400">
        <f>-CS46</f>
        <v>0</v>
      </c>
      <c r="CT93" s="400">
        <f>-CT46</f>
        <v>0</v>
      </c>
      <c r="CU93" s="400">
        <f>-CU46</f>
        <v>0</v>
      </c>
      <c r="CV93" s="400">
        <f>-CV46</f>
        <v>0</v>
      </c>
      <c r="CW93" s="400">
        <f>-CW46</f>
        <v>0</v>
      </c>
      <c r="CX93" s="400">
        <f>-CX46</f>
        <v>0</v>
      </c>
      <c r="CY93" s="400">
        <f>-CY46</f>
        <v>0</v>
      </c>
      <c r="CZ93" s="400">
        <f>-CZ46</f>
        <v>0</v>
      </c>
      <c r="DA93" s="400">
        <f>-DA46</f>
        <v>0</v>
      </c>
      <c r="DB93" s="400">
        <f>-DB46</f>
        <v>0</v>
      </c>
      <c r="DC93" s="400">
        <f>-DC46</f>
        <v>0</v>
      </c>
      <c r="DD93" s="400">
        <f>-DD46</f>
        <v>0</v>
      </c>
      <c r="DE93" s="400">
        <f>-DE46</f>
        <v>0</v>
      </c>
    </row>
    <row r="94" hidden="1" outlineLevel="1" ht="15" customFormat="1" customHeight="1" s="381">
      <c r="A94" s="408" t="inlineStr">
        <is>
          <t>BD-22</t>
        </is>
      </c>
      <c r="B94" s="400" t="n">
        <v>0</v>
      </c>
      <c r="C94" s="400" t="n">
        <v>0</v>
      </c>
      <c r="D94" s="400" t="n">
        <v>0</v>
      </c>
      <c r="E94" s="400" t="n">
        <v>0</v>
      </c>
      <c r="F94" s="400">
        <f>-F47</f>
        <v>0</v>
      </c>
      <c r="G94" s="400">
        <f>-G47</f>
        <v>0</v>
      </c>
      <c r="H94" s="400">
        <f>-H47</f>
        <v>0</v>
      </c>
      <c r="I94" s="400">
        <f>-I47</f>
        <v>0</v>
      </c>
      <c r="J94" s="400">
        <f>-J47</f>
        <v>0</v>
      </c>
      <c r="K94" s="400">
        <f>-K47</f>
        <v>0</v>
      </c>
      <c r="L94" s="400">
        <f>-L47</f>
        <v>0</v>
      </c>
      <c r="M94" s="400">
        <f>-M47</f>
        <v>0</v>
      </c>
      <c r="N94" s="400">
        <f>-N47</f>
        <v>0</v>
      </c>
      <c r="O94" s="400">
        <f>-O47</f>
        <v>0</v>
      </c>
      <c r="P94" s="400">
        <f>-P47</f>
        <v>0</v>
      </c>
      <c r="Q94" s="400">
        <f>-Q47</f>
        <v>0</v>
      </c>
      <c r="R94" s="400">
        <f>-R47</f>
        <v>0</v>
      </c>
      <c r="S94" s="400">
        <f>-S47</f>
        <v>0</v>
      </c>
      <c r="T94" s="400">
        <f>-T47</f>
        <v>0</v>
      </c>
      <c r="U94" s="400">
        <f>-U47</f>
        <v>0</v>
      </c>
      <c r="V94" s="400">
        <f>-V47</f>
        <v>0</v>
      </c>
      <c r="W94" s="400">
        <f>-W47</f>
        <v>0</v>
      </c>
      <c r="X94" s="400">
        <f>-X47</f>
        <v>0</v>
      </c>
      <c r="Y94" s="400">
        <f>-Y47</f>
        <v>0</v>
      </c>
      <c r="Z94" s="400">
        <f>-Z47</f>
        <v>0</v>
      </c>
      <c r="AA94" s="400">
        <f>-AA47</f>
        <v>0</v>
      </c>
      <c r="AB94" s="400">
        <f>-AB47</f>
        <v>0</v>
      </c>
      <c r="AC94" s="400">
        <f>-AC47</f>
        <v>0</v>
      </c>
      <c r="AD94" s="400">
        <f>-AD47</f>
        <v>0</v>
      </c>
      <c r="AE94" s="400">
        <f>-AE47</f>
        <v>0</v>
      </c>
      <c r="AF94" s="400">
        <f>-AF47</f>
        <v>0</v>
      </c>
      <c r="AG94" s="400">
        <f>-AG47</f>
        <v>0</v>
      </c>
      <c r="AH94" s="400">
        <f>-AH47</f>
        <v>0</v>
      </c>
      <c r="AI94" s="400">
        <f>-AI47</f>
        <v>0</v>
      </c>
      <c r="AJ94" s="400">
        <f>-AJ47</f>
        <v>0</v>
      </c>
      <c r="AK94" s="400">
        <f>-AK47</f>
        <v>0</v>
      </c>
      <c r="AL94" s="400">
        <f>-AL47</f>
        <v>0</v>
      </c>
      <c r="AM94" s="400">
        <f>-AM47</f>
        <v>0</v>
      </c>
      <c r="AN94" s="400">
        <f>-AN47</f>
        <v>0</v>
      </c>
      <c r="AO94" s="400">
        <f>-AO47</f>
        <v>0</v>
      </c>
      <c r="AP94" s="400">
        <f>-AP47</f>
        <v>0</v>
      </c>
      <c r="AQ94" s="400">
        <f>-AQ47</f>
        <v>0</v>
      </c>
      <c r="AR94" s="400">
        <f>-AR47</f>
        <v>0</v>
      </c>
      <c r="AS94" s="400">
        <f>-AS47</f>
        <v>0</v>
      </c>
      <c r="AT94" s="400">
        <f>-AT47</f>
        <v>0</v>
      </c>
      <c r="AU94" s="400">
        <f>-AU47</f>
        <v>0</v>
      </c>
      <c r="AV94" s="400">
        <f>-AV47</f>
        <v>0</v>
      </c>
      <c r="AW94" s="400">
        <f>-AW47</f>
        <v>0</v>
      </c>
      <c r="AX94" s="400">
        <f>-AX47</f>
        <v>0</v>
      </c>
      <c r="AY94" s="400">
        <f>-AY47</f>
        <v>0</v>
      </c>
      <c r="AZ94" s="400">
        <f>-AZ47</f>
        <v>-307461.75</v>
      </c>
      <c r="BA94" s="400">
        <f>-BA47</f>
        <v>-401121.75</v>
      </c>
      <c r="BB94" s="400">
        <f>-BB47</f>
        <v>-501936.75</v>
      </c>
      <c r="BC94" s="400">
        <f>-BC47</f>
        <v>-605886.75</v>
      </c>
      <c r="BD94" s="400">
        <f>-BD47</f>
        <v>-707976.75</v>
      </c>
      <c r="BE94" s="400">
        <f>-BE47</f>
        <v>-802536.75</v>
      </c>
      <c r="BF94" s="400">
        <f>-BF47</f>
        <v>-883761.75</v>
      </c>
      <c r="BG94" s="400">
        <f>-BG47</f>
        <v>-946266.75</v>
      </c>
      <c r="BH94" s="400">
        <f>-BH47</f>
        <v>-985686.75</v>
      </c>
      <c r="BI94" s="400">
        <f>-BI47</f>
        <v>-999156.75</v>
      </c>
      <c r="BJ94" s="400">
        <f>-BJ47</f>
        <v>-985686.75</v>
      </c>
      <c r="BK94" s="400">
        <f>-BK47</f>
        <v>-946266.75</v>
      </c>
      <c r="BL94" s="400">
        <f>-BL47</f>
        <v>-883761.75</v>
      </c>
      <c r="BM94" s="400">
        <f>-BM47</f>
        <v>-802536.75</v>
      </c>
      <c r="BN94" s="400">
        <f>-BN47</f>
        <v>-707976.75</v>
      </c>
      <c r="BO94" s="400">
        <f>-BO47</f>
        <v>-605886.75</v>
      </c>
      <c r="BP94" s="400">
        <f>-BP47</f>
        <v>-501936.75</v>
      </c>
      <c r="BQ94" s="400">
        <f>-BQ47</f>
        <v>-401121.75</v>
      </c>
      <c r="BR94" s="400">
        <f>-BR47</f>
        <v>-217168.5</v>
      </c>
      <c r="BS94" s="400">
        <f>-BS47</f>
        <v>0</v>
      </c>
      <c r="BT94" s="400">
        <f>-BT47</f>
        <v>0</v>
      </c>
      <c r="BU94" s="400">
        <f>-BU47</f>
        <v>0</v>
      </c>
      <c r="BV94" s="400">
        <f>-BV47</f>
        <v>0</v>
      </c>
      <c r="BW94" s="400">
        <f>-BW47</f>
        <v>0</v>
      </c>
      <c r="BX94" s="400">
        <f>-BX47</f>
        <v>0</v>
      </c>
      <c r="BY94" s="400">
        <f>-BY47</f>
        <v>0</v>
      </c>
      <c r="BZ94" s="400">
        <f>-BZ47</f>
        <v>0</v>
      </c>
      <c r="CA94" s="400">
        <f>-CA47</f>
        <v>0</v>
      </c>
      <c r="CB94" s="400">
        <f>-CB47</f>
        <v>0</v>
      </c>
      <c r="CC94" s="400">
        <f>-CC47</f>
        <v>0</v>
      </c>
      <c r="CD94" s="400">
        <f>-CD47</f>
        <v>0</v>
      </c>
      <c r="CE94" s="400">
        <f>-CE47</f>
        <v>0</v>
      </c>
      <c r="CF94" s="400">
        <f>-CF47</f>
        <v>0</v>
      </c>
      <c r="CG94" s="400">
        <f>-CG47</f>
        <v>0</v>
      </c>
      <c r="CH94" s="400">
        <f>-CH47</f>
        <v>0</v>
      </c>
      <c r="CI94" s="400">
        <f>-CI47</f>
        <v>0</v>
      </c>
      <c r="CJ94" s="400">
        <f>-CJ47</f>
        <v>0</v>
      </c>
      <c r="CK94" s="400">
        <f>-CK47</f>
        <v>0</v>
      </c>
      <c r="CL94" s="400">
        <f>-CL47</f>
        <v>0</v>
      </c>
      <c r="CM94" s="400">
        <f>-CM47</f>
        <v>0</v>
      </c>
      <c r="CN94" s="400">
        <f>-CN47</f>
        <v>0</v>
      </c>
      <c r="CO94" s="400">
        <f>-CO47</f>
        <v>0</v>
      </c>
      <c r="CP94" s="400">
        <f>-CP47</f>
        <v>0</v>
      </c>
      <c r="CQ94" s="400">
        <f>-CQ47</f>
        <v>0</v>
      </c>
      <c r="CR94" s="400">
        <f>-CR47</f>
        <v>0</v>
      </c>
      <c r="CS94" s="400">
        <f>-CS47</f>
        <v>0</v>
      </c>
      <c r="CT94" s="400">
        <f>-CT47</f>
        <v>0</v>
      </c>
      <c r="CU94" s="400">
        <f>-CU47</f>
        <v>0</v>
      </c>
      <c r="CV94" s="400">
        <f>-CV47</f>
        <v>0</v>
      </c>
      <c r="CW94" s="400">
        <f>-CW47</f>
        <v>0</v>
      </c>
      <c r="CX94" s="400">
        <f>-CX47</f>
        <v>0</v>
      </c>
      <c r="CY94" s="400">
        <f>-CY47</f>
        <v>0</v>
      </c>
      <c r="CZ94" s="400">
        <f>-CZ47</f>
        <v>0</v>
      </c>
      <c r="DA94" s="400">
        <f>-DA47</f>
        <v>0</v>
      </c>
      <c r="DB94" s="400">
        <f>-DB47</f>
        <v>0</v>
      </c>
      <c r="DC94" s="400">
        <f>-DC47</f>
        <v>0</v>
      </c>
      <c r="DD94" s="400">
        <f>-DD47</f>
        <v>0</v>
      </c>
      <c r="DE94" s="400">
        <f>-DE47</f>
        <v>0</v>
      </c>
    </row>
    <row r="95" hidden="1" outlineLevel="1" ht="15" customFormat="1" customHeight="1" s="381">
      <c r="A95" s="408" t="inlineStr">
        <is>
          <t>BD-23</t>
        </is>
      </c>
      <c r="B95" s="400" t="n">
        <v>0</v>
      </c>
      <c r="C95" s="400" t="n">
        <v>0</v>
      </c>
      <c r="D95" s="400" t="n">
        <v>0</v>
      </c>
      <c r="E95" s="400" t="n">
        <v>0</v>
      </c>
      <c r="F95" s="400">
        <f>-F48</f>
        <v>0</v>
      </c>
      <c r="G95" s="400">
        <f>-G48</f>
        <v>0</v>
      </c>
      <c r="H95" s="400">
        <f>-H48</f>
        <v>0</v>
      </c>
      <c r="I95" s="400">
        <f>-I48</f>
        <v>0</v>
      </c>
      <c r="J95" s="400">
        <f>-J48</f>
        <v>0</v>
      </c>
      <c r="K95" s="400">
        <f>-K48</f>
        <v>0</v>
      </c>
      <c r="L95" s="400">
        <f>-L48</f>
        <v>0</v>
      </c>
      <c r="M95" s="400">
        <f>-M48</f>
        <v>0</v>
      </c>
      <c r="N95" s="400">
        <f>-N48</f>
        <v>0</v>
      </c>
      <c r="O95" s="400">
        <f>-O48</f>
        <v>0</v>
      </c>
      <c r="P95" s="400">
        <f>-P48</f>
        <v>0</v>
      </c>
      <c r="Q95" s="400">
        <f>-Q48</f>
        <v>0</v>
      </c>
      <c r="R95" s="400">
        <f>-R48</f>
        <v>0</v>
      </c>
      <c r="S95" s="400">
        <f>-S48</f>
        <v>0</v>
      </c>
      <c r="T95" s="400">
        <f>-T48</f>
        <v>0</v>
      </c>
      <c r="U95" s="400">
        <f>-U48</f>
        <v>0</v>
      </c>
      <c r="V95" s="400">
        <f>-V48</f>
        <v>0</v>
      </c>
      <c r="W95" s="400">
        <f>-W48</f>
        <v>0</v>
      </c>
      <c r="X95" s="400">
        <f>-X48</f>
        <v>0</v>
      </c>
      <c r="Y95" s="400">
        <f>-Y48</f>
        <v>0</v>
      </c>
      <c r="Z95" s="400">
        <f>-Z48</f>
        <v>0</v>
      </c>
      <c r="AA95" s="400">
        <f>-AA48</f>
        <v>0</v>
      </c>
      <c r="AB95" s="400">
        <f>-AB48</f>
        <v>0</v>
      </c>
      <c r="AC95" s="400">
        <f>-AC48</f>
        <v>0</v>
      </c>
      <c r="AD95" s="400">
        <f>-AD48</f>
        <v>0</v>
      </c>
      <c r="AE95" s="400">
        <f>-AE48</f>
        <v>0</v>
      </c>
      <c r="AF95" s="400">
        <f>-AF48</f>
        <v>0</v>
      </c>
      <c r="AG95" s="400">
        <f>-AG48</f>
        <v>0</v>
      </c>
      <c r="AH95" s="400">
        <f>-AH48</f>
        <v>0</v>
      </c>
      <c r="AI95" s="400">
        <f>-AI48</f>
        <v>0</v>
      </c>
      <c r="AJ95" s="400">
        <f>-AJ48</f>
        <v>0</v>
      </c>
      <c r="AK95" s="400">
        <f>-AK48</f>
        <v>0</v>
      </c>
      <c r="AL95" s="400">
        <f>-AL48</f>
        <v>0</v>
      </c>
      <c r="AM95" s="400">
        <f>-AM48</f>
        <v>0</v>
      </c>
      <c r="AN95" s="400">
        <f>-AN48</f>
        <v>0</v>
      </c>
      <c r="AO95" s="400">
        <f>-AO48</f>
        <v>0</v>
      </c>
      <c r="AP95" s="400">
        <f>-AP48</f>
        <v>0</v>
      </c>
      <c r="AQ95" s="400">
        <f>-AQ48</f>
        <v>0</v>
      </c>
      <c r="AR95" s="400">
        <f>-AR48</f>
        <v>0</v>
      </c>
      <c r="AS95" s="400">
        <f>-AS48</f>
        <v>0</v>
      </c>
      <c r="AT95" s="400">
        <f>-AT48</f>
        <v>0</v>
      </c>
      <c r="AU95" s="400">
        <f>-AU48</f>
        <v>0</v>
      </c>
      <c r="AV95" s="400">
        <f>-AV48</f>
        <v>0</v>
      </c>
      <c r="AW95" s="400">
        <f>-AW48</f>
        <v>0</v>
      </c>
      <c r="AX95" s="400">
        <f>-AX48</f>
        <v>0</v>
      </c>
      <c r="AY95" s="400">
        <f>-AY48</f>
        <v>0</v>
      </c>
      <c r="AZ95" s="400">
        <f>-AZ48</f>
        <v>0</v>
      </c>
      <c r="BA95" s="400">
        <f>-BA48</f>
        <v>-368954.1</v>
      </c>
      <c r="BB95" s="400">
        <f>-BB48</f>
        <v>-481346.1</v>
      </c>
      <c r="BC95" s="400">
        <f>-BC48</f>
        <v>-602324.1</v>
      </c>
      <c r="BD95" s="400">
        <f>-BD48</f>
        <v>-727064.1</v>
      </c>
      <c r="BE95" s="400">
        <f>-BE48</f>
        <v>-849572.1</v>
      </c>
      <c r="BF95" s="400">
        <f>-BF48</f>
        <v>-963044.1</v>
      </c>
      <c r="BG95" s="400">
        <f>-BG48</f>
        <v>-1060514.1</v>
      </c>
      <c r="BH95" s="400">
        <f>-BH48</f>
        <v>-1135520.1</v>
      </c>
      <c r="BI95" s="400">
        <f>-BI48</f>
        <v>-1182824.1</v>
      </c>
      <c r="BJ95" s="400">
        <f>-BJ48</f>
        <v>-1198988.1</v>
      </c>
      <c r="BK95" s="400">
        <f>-BK48</f>
        <v>-1182824.1</v>
      </c>
      <c r="BL95" s="400">
        <f>-BL48</f>
        <v>-1135520.1</v>
      </c>
      <c r="BM95" s="400">
        <f>-BM48</f>
        <v>-1060514.1</v>
      </c>
      <c r="BN95" s="400">
        <f>-BN48</f>
        <v>-963044.1</v>
      </c>
      <c r="BO95" s="400">
        <f>-BO48</f>
        <v>-849572.1</v>
      </c>
      <c r="BP95" s="400">
        <f>-BP48</f>
        <v>-727064.1</v>
      </c>
      <c r="BQ95" s="400">
        <f>-BQ48</f>
        <v>-602324.1</v>
      </c>
      <c r="BR95" s="400">
        <f>-BR48</f>
        <v>-481346.1</v>
      </c>
      <c r="BS95" s="400">
        <f>-BS48</f>
        <v>-260602.2</v>
      </c>
      <c r="BT95" s="400">
        <f>-BT48</f>
        <v>0</v>
      </c>
      <c r="BU95" s="400">
        <f>-BU48</f>
        <v>0</v>
      </c>
      <c r="BV95" s="400">
        <f>-BV48</f>
        <v>0</v>
      </c>
      <c r="BW95" s="400">
        <f>-BW48</f>
        <v>0</v>
      </c>
      <c r="BX95" s="400">
        <f>-BX48</f>
        <v>0</v>
      </c>
      <c r="BY95" s="400">
        <f>-BY48</f>
        <v>0</v>
      </c>
      <c r="BZ95" s="400">
        <f>-BZ48</f>
        <v>0</v>
      </c>
      <c r="CA95" s="400">
        <f>-CA48</f>
        <v>0</v>
      </c>
      <c r="CB95" s="400">
        <f>-CB48</f>
        <v>0</v>
      </c>
      <c r="CC95" s="400">
        <f>-CC48</f>
        <v>0</v>
      </c>
      <c r="CD95" s="400">
        <f>-CD48</f>
        <v>0</v>
      </c>
      <c r="CE95" s="400">
        <f>-CE48</f>
        <v>0</v>
      </c>
      <c r="CF95" s="400">
        <f>-CF48</f>
        <v>0</v>
      </c>
      <c r="CG95" s="400">
        <f>-CG48</f>
        <v>0</v>
      </c>
      <c r="CH95" s="400">
        <f>-CH48</f>
        <v>0</v>
      </c>
      <c r="CI95" s="400">
        <f>-CI48</f>
        <v>0</v>
      </c>
      <c r="CJ95" s="400">
        <f>-CJ48</f>
        <v>0</v>
      </c>
      <c r="CK95" s="400">
        <f>-CK48</f>
        <v>0</v>
      </c>
      <c r="CL95" s="400">
        <f>-CL48</f>
        <v>0</v>
      </c>
      <c r="CM95" s="400">
        <f>-CM48</f>
        <v>0</v>
      </c>
      <c r="CN95" s="400">
        <f>-CN48</f>
        <v>0</v>
      </c>
      <c r="CO95" s="400">
        <f>-CO48</f>
        <v>0</v>
      </c>
      <c r="CP95" s="400">
        <f>-CP48</f>
        <v>0</v>
      </c>
      <c r="CQ95" s="400">
        <f>-CQ48</f>
        <v>0</v>
      </c>
      <c r="CR95" s="400">
        <f>-CR48</f>
        <v>0</v>
      </c>
      <c r="CS95" s="400">
        <f>-CS48</f>
        <v>0</v>
      </c>
      <c r="CT95" s="400">
        <f>-CT48</f>
        <v>0</v>
      </c>
      <c r="CU95" s="400">
        <f>-CU48</f>
        <v>0</v>
      </c>
      <c r="CV95" s="400">
        <f>-CV48</f>
        <v>0</v>
      </c>
      <c r="CW95" s="400">
        <f>-CW48</f>
        <v>0</v>
      </c>
      <c r="CX95" s="400">
        <f>-CX48</f>
        <v>0</v>
      </c>
      <c r="CY95" s="400">
        <f>-CY48</f>
        <v>0</v>
      </c>
      <c r="CZ95" s="400">
        <f>-CZ48</f>
        <v>0</v>
      </c>
      <c r="DA95" s="400">
        <f>-DA48</f>
        <v>0</v>
      </c>
      <c r="DB95" s="400">
        <f>-DB48</f>
        <v>0</v>
      </c>
      <c r="DC95" s="400">
        <f>-DC48</f>
        <v>0</v>
      </c>
      <c r="DD95" s="400">
        <f>-DD48</f>
        <v>0</v>
      </c>
      <c r="DE95" s="400">
        <f>-DE48</f>
        <v>0</v>
      </c>
    </row>
    <row r="96" hidden="1" outlineLevel="1" ht="15" customFormat="1" customHeight="1" s="381">
      <c r="A96" s="408" t="inlineStr">
        <is>
          <t>BD-24</t>
        </is>
      </c>
      <c r="B96" s="400" t="n">
        <v>0</v>
      </c>
      <c r="C96" s="400" t="n">
        <v>0</v>
      </c>
      <c r="D96" s="400" t="n">
        <v>0</v>
      </c>
      <c r="E96" s="400" t="n">
        <v>0</v>
      </c>
      <c r="F96" s="400">
        <f>-F49</f>
        <v>0</v>
      </c>
      <c r="G96" s="400">
        <f>-G49</f>
        <v>0</v>
      </c>
      <c r="H96" s="400">
        <f>-H49</f>
        <v>0</v>
      </c>
      <c r="I96" s="400">
        <f>-I49</f>
        <v>0</v>
      </c>
      <c r="J96" s="400">
        <f>-J49</f>
        <v>0</v>
      </c>
      <c r="K96" s="400">
        <f>-K49</f>
        <v>0</v>
      </c>
      <c r="L96" s="400">
        <f>-L49</f>
        <v>0</v>
      </c>
      <c r="M96" s="400">
        <f>-M49</f>
        <v>0</v>
      </c>
      <c r="N96" s="400">
        <f>-N49</f>
        <v>0</v>
      </c>
      <c r="O96" s="400">
        <f>-O49</f>
        <v>0</v>
      </c>
      <c r="P96" s="400">
        <f>-P49</f>
        <v>0</v>
      </c>
      <c r="Q96" s="400">
        <f>-Q49</f>
        <v>0</v>
      </c>
      <c r="R96" s="400">
        <f>-R49</f>
        <v>0</v>
      </c>
      <c r="S96" s="400">
        <f>-S49</f>
        <v>0</v>
      </c>
      <c r="T96" s="400">
        <f>-T49</f>
        <v>0</v>
      </c>
      <c r="U96" s="400">
        <f>-U49</f>
        <v>0</v>
      </c>
      <c r="V96" s="400">
        <f>-V49</f>
        <v>0</v>
      </c>
      <c r="W96" s="400">
        <f>-W49</f>
        <v>0</v>
      </c>
      <c r="X96" s="400">
        <f>-X49</f>
        <v>0</v>
      </c>
      <c r="Y96" s="400">
        <f>-Y49</f>
        <v>0</v>
      </c>
      <c r="Z96" s="400">
        <f>-Z49</f>
        <v>0</v>
      </c>
      <c r="AA96" s="400">
        <f>-AA49</f>
        <v>0</v>
      </c>
      <c r="AB96" s="400">
        <f>-AB49</f>
        <v>0</v>
      </c>
      <c r="AC96" s="400">
        <f>-AC49</f>
        <v>0</v>
      </c>
      <c r="AD96" s="400">
        <f>-AD49</f>
        <v>0</v>
      </c>
      <c r="AE96" s="400">
        <f>-AE49</f>
        <v>0</v>
      </c>
      <c r="AF96" s="400">
        <f>-AF49</f>
        <v>0</v>
      </c>
      <c r="AG96" s="400">
        <f>-AG49</f>
        <v>0</v>
      </c>
      <c r="AH96" s="400">
        <f>-AH49</f>
        <v>0</v>
      </c>
      <c r="AI96" s="400">
        <f>-AI49</f>
        <v>0</v>
      </c>
      <c r="AJ96" s="400">
        <f>-AJ49</f>
        <v>0</v>
      </c>
      <c r="AK96" s="400">
        <f>-AK49</f>
        <v>0</v>
      </c>
      <c r="AL96" s="400">
        <f>-AL49</f>
        <v>0</v>
      </c>
      <c r="AM96" s="400">
        <f>-AM49</f>
        <v>0</v>
      </c>
      <c r="AN96" s="400">
        <f>-AN49</f>
        <v>0</v>
      </c>
      <c r="AO96" s="400">
        <f>-AO49</f>
        <v>0</v>
      </c>
      <c r="AP96" s="400">
        <f>-AP49</f>
        <v>0</v>
      </c>
      <c r="AQ96" s="400">
        <f>-AQ49</f>
        <v>0</v>
      </c>
      <c r="AR96" s="400">
        <f>-AR49</f>
        <v>0</v>
      </c>
      <c r="AS96" s="400">
        <f>-AS49</f>
        <v>0</v>
      </c>
      <c r="AT96" s="400">
        <f>-AT49</f>
        <v>0</v>
      </c>
      <c r="AU96" s="400">
        <f>-AU49</f>
        <v>0</v>
      </c>
      <c r="AV96" s="400">
        <f>-AV49</f>
        <v>0</v>
      </c>
      <c r="AW96" s="400">
        <f>-AW49</f>
        <v>0</v>
      </c>
      <c r="AX96" s="400">
        <f>-AX49</f>
        <v>0</v>
      </c>
      <c r="AY96" s="400">
        <f>-AY49</f>
        <v>0</v>
      </c>
      <c r="AZ96" s="400">
        <f>-AZ49</f>
        <v>0</v>
      </c>
      <c r="BA96" s="400">
        <f>-BA49</f>
        <v>0</v>
      </c>
      <c r="BB96" s="400">
        <f>-BB49</f>
        <v>-307461.75</v>
      </c>
      <c r="BC96" s="400">
        <f>-BC49</f>
        <v>-401121.75</v>
      </c>
      <c r="BD96" s="400">
        <f>-BD49</f>
        <v>-501936.75</v>
      </c>
      <c r="BE96" s="400">
        <f>-BE49</f>
        <v>-605886.75</v>
      </c>
      <c r="BF96" s="400">
        <f>-BF49</f>
        <v>-707976.75</v>
      </c>
      <c r="BG96" s="400">
        <f>-BG49</f>
        <v>-802536.75</v>
      </c>
      <c r="BH96" s="400">
        <f>-BH49</f>
        <v>-883761.75</v>
      </c>
      <c r="BI96" s="400">
        <f>-BI49</f>
        <v>-946266.75</v>
      </c>
      <c r="BJ96" s="400">
        <f>-BJ49</f>
        <v>-985686.75</v>
      </c>
      <c r="BK96" s="400">
        <f>-BK49</f>
        <v>-999156.75</v>
      </c>
      <c r="BL96" s="400">
        <f>-BL49</f>
        <v>-985686.75</v>
      </c>
      <c r="BM96" s="400">
        <f>-BM49</f>
        <v>-946266.75</v>
      </c>
      <c r="BN96" s="400">
        <f>-BN49</f>
        <v>-883761.75</v>
      </c>
      <c r="BO96" s="400">
        <f>-BO49</f>
        <v>-802536.75</v>
      </c>
      <c r="BP96" s="400">
        <f>-BP49</f>
        <v>-707976.75</v>
      </c>
      <c r="BQ96" s="400">
        <f>-BQ49</f>
        <v>-605886.75</v>
      </c>
      <c r="BR96" s="400">
        <f>-BR49</f>
        <v>-501936.75</v>
      </c>
      <c r="BS96" s="400">
        <f>-BS49</f>
        <v>-401121.75</v>
      </c>
      <c r="BT96" s="400">
        <f>-BT49</f>
        <v>-217168.5</v>
      </c>
      <c r="BU96" s="400">
        <f>-BU49</f>
        <v>0</v>
      </c>
      <c r="BV96" s="400">
        <f>-BV49</f>
        <v>0</v>
      </c>
      <c r="BW96" s="400">
        <f>-BW49</f>
        <v>0</v>
      </c>
      <c r="BX96" s="400">
        <f>-BX49</f>
        <v>0</v>
      </c>
      <c r="BY96" s="400">
        <f>-BY49</f>
        <v>0</v>
      </c>
      <c r="BZ96" s="400">
        <f>-BZ49</f>
        <v>0</v>
      </c>
      <c r="CA96" s="400">
        <f>-CA49</f>
        <v>0</v>
      </c>
      <c r="CB96" s="400">
        <f>-CB49</f>
        <v>0</v>
      </c>
      <c r="CC96" s="400">
        <f>-CC49</f>
        <v>0</v>
      </c>
      <c r="CD96" s="400">
        <f>-CD49</f>
        <v>0</v>
      </c>
      <c r="CE96" s="400">
        <f>-CE49</f>
        <v>0</v>
      </c>
      <c r="CF96" s="400">
        <f>-CF49</f>
        <v>0</v>
      </c>
      <c r="CG96" s="400">
        <f>-CG49</f>
        <v>0</v>
      </c>
      <c r="CH96" s="400">
        <f>-CH49</f>
        <v>0</v>
      </c>
      <c r="CI96" s="400">
        <f>-CI49</f>
        <v>0</v>
      </c>
      <c r="CJ96" s="400">
        <f>-CJ49</f>
        <v>0</v>
      </c>
      <c r="CK96" s="400">
        <f>-CK49</f>
        <v>0</v>
      </c>
      <c r="CL96" s="400">
        <f>-CL49</f>
        <v>0</v>
      </c>
      <c r="CM96" s="400">
        <f>-CM49</f>
        <v>0</v>
      </c>
      <c r="CN96" s="400">
        <f>-CN49</f>
        <v>0</v>
      </c>
      <c r="CO96" s="400">
        <f>-CO49</f>
        <v>0</v>
      </c>
      <c r="CP96" s="400">
        <f>-CP49</f>
        <v>0</v>
      </c>
      <c r="CQ96" s="400">
        <f>-CQ49</f>
        <v>0</v>
      </c>
      <c r="CR96" s="400">
        <f>-CR49</f>
        <v>0</v>
      </c>
      <c r="CS96" s="400">
        <f>-CS49</f>
        <v>0</v>
      </c>
      <c r="CT96" s="400">
        <f>-CT49</f>
        <v>0</v>
      </c>
      <c r="CU96" s="400">
        <f>-CU49</f>
        <v>0</v>
      </c>
      <c r="CV96" s="400">
        <f>-CV49</f>
        <v>0</v>
      </c>
      <c r="CW96" s="400">
        <f>-CW49</f>
        <v>0</v>
      </c>
      <c r="CX96" s="400">
        <f>-CX49</f>
        <v>0</v>
      </c>
      <c r="CY96" s="400">
        <f>-CY49</f>
        <v>0</v>
      </c>
      <c r="CZ96" s="400">
        <f>-CZ49</f>
        <v>0</v>
      </c>
      <c r="DA96" s="400">
        <f>-DA49</f>
        <v>0</v>
      </c>
      <c r="DB96" s="400">
        <f>-DB49</f>
        <v>0</v>
      </c>
      <c r="DC96" s="400">
        <f>-DC49</f>
        <v>0</v>
      </c>
      <c r="DD96" s="400">
        <f>-DD49</f>
        <v>0</v>
      </c>
      <c r="DE96" s="400">
        <f>-DE49</f>
        <v>0</v>
      </c>
    </row>
    <row r="97" hidden="1" outlineLevel="1" ht="15" customFormat="1" customHeight="1" s="381">
      <c r="A97" s="408" t="inlineStr">
        <is>
          <t>BD-25</t>
        </is>
      </c>
      <c r="B97" s="400" t="n">
        <v>0</v>
      </c>
      <c r="C97" s="400" t="n">
        <v>0</v>
      </c>
      <c r="D97" s="400" t="n">
        <v>0</v>
      </c>
      <c r="E97" s="400" t="n">
        <v>0</v>
      </c>
      <c r="F97" s="400">
        <f>-F50</f>
        <v>0</v>
      </c>
      <c r="G97" s="400">
        <f>-G50</f>
        <v>0</v>
      </c>
      <c r="H97" s="400">
        <f>-H50</f>
        <v>0</v>
      </c>
      <c r="I97" s="400">
        <f>-I50</f>
        <v>0</v>
      </c>
      <c r="J97" s="400">
        <f>-J50</f>
        <v>0</v>
      </c>
      <c r="K97" s="400">
        <f>-K50</f>
        <v>0</v>
      </c>
      <c r="L97" s="400">
        <f>-L50</f>
        <v>0</v>
      </c>
      <c r="M97" s="400">
        <f>-M50</f>
        <v>0</v>
      </c>
      <c r="N97" s="400">
        <f>-N50</f>
        <v>0</v>
      </c>
      <c r="O97" s="400">
        <f>-O50</f>
        <v>0</v>
      </c>
      <c r="P97" s="400">
        <f>-P50</f>
        <v>0</v>
      </c>
      <c r="Q97" s="400">
        <f>-Q50</f>
        <v>0</v>
      </c>
      <c r="R97" s="400">
        <f>-R50</f>
        <v>0</v>
      </c>
      <c r="S97" s="400">
        <f>-S50</f>
        <v>0</v>
      </c>
      <c r="T97" s="400">
        <f>-T50</f>
        <v>0</v>
      </c>
      <c r="U97" s="400">
        <f>-U50</f>
        <v>0</v>
      </c>
      <c r="V97" s="400">
        <f>-V50</f>
        <v>0</v>
      </c>
      <c r="W97" s="400">
        <f>-W50</f>
        <v>0</v>
      </c>
      <c r="X97" s="400">
        <f>-X50</f>
        <v>0</v>
      </c>
      <c r="Y97" s="400">
        <f>-Y50</f>
        <v>0</v>
      </c>
      <c r="Z97" s="400">
        <f>-Z50</f>
        <v>0</v>
      </c>
      <c r="AA97" s="400">
        <f>-AA50</f>
        <v>0</v>
      </c>
      <c r="AB97" s="400">
        <f>-AB50</f>
        <v>0</v>
      </c>
      <c r="AC97" s="400">
        <f>-AC50</f>
        <v>0</v>
      </c>
      <c r="AD97" s="400">
        <f>-AD50</f>
        <v>0</v>
      </c>
      <c r="AE97" s="400">
        <f>-AE50</f>
        <v>0</v>
      </c>
      <c r="AF97" s="400">
        <f>-AF50</f>
        <v>0</v>
      </c>
      <c r="AG97" s="400">
        <f>-AG50</f>
        <v>0</v>
      </c>
      <c r="AH97" s="400">
        <f>-AH50</f>
        <v>0</v>
      </c>
      <c r="AI97" s="400">
        <f>-AI50</f>
        <v>0</v>
      </c>
      <c r="AJ97" s="400">
        <f>-AJ50</f>
        <v>0</v>
      </c>
      <c r="AK97" s="400">
        <f>-AK50</f>
        <v>0</v>
      </c>
      <c r="AL97" s="400">
        <f>-AL50</f>
        <v>0</v>
      </c>
      <c r="AM97" s="400">
        <f>-AM50</f>
        <v>0</v>
      </c>
      <c r="AN97" s="400">
        <f>-AN50</f>
        <v>0</v>
      </c>
      <c r="AO97" s="400">
        <f>-AO50</f>
        <v>0</v>
      </c>
      <c r="AP97" s="400">
        <f>-AP50</f>
        <v>0</v>
      </c>
      <c r="AQ97" s="400">
        <f>-AQ50</f>
        <v>0</v>
      </c>
      <c r="AR97" s="400">
        <f>-AR50</f>
        <v>0</v>
      </c>
      <c r="AS97" s="400">
        <f>-AS50</f>
        <v>0</v>
      </c>
      <c r="AT97" s="400">
        <f>-AT50</f>
        <v>0</v>
      </c>
      <c r="AU97" s="400">
        <f>-AU50</f>
        <v>0</v>
      </c>
      <c r="AV97" s="400">
        <f>-AV50</f>
        <v>0</v>
      </c>
      <c r="AW97" s="400">
        <f>-AW50</f>
        <v>0</v>
      </c>
      <c r="AX97" s="400">
        <f>-AX50</f>
        <v>0</v>
      </c>
      <c r="AY97" s="400">
        <f>-AY50</f>
        <v>0</v>
      </c>
      <c r="AZ97" s="400">
        <f>-AZ50</f>
        <v>0</v>
      </c>
      <c r="BA97" s="400">
        <f>-BA50</f>
        <v>0</v>
      </c>
      <c r="BB97" s="400">
        <f>-BB50</f>
        <v>0</v>
      </c>
      <c r="BC97" s="400">
        <f>-BC50</f>
        <v>-307461.75</v>
      </c>
      <c r="BD97" s="400">
        <f>-BD50</f>
        <v>-401121.75</v>
      </c>
      <c r="BE97" s="400">
        <f>-BE50</f>
        <v>-501936.75</v>
      </c>
      <c r="BF97" s="400">
        <f>-BF50</f>
        <v>-605886.75</v>
      </c>
      <c r="BG97" s="400">
        <f>-BG50</f>
        <v>-707976.75</v>
      </c>
      <c r="BH97" s="400">
        <f>-BH50</f>
        <v>-802536.75</v>
      </c>
      <c r="BI97" s="400">
        <f>-BI50</f>
        <v>-883761.75</v>
      </c>
      <c r="BJ97" s="400">
        <f>-BJ50</f>
        <v>-946266.75</v>
      </c>
      <c r="BK97" s="400">
        <f>-BK50</f>
        <v>-985686.75</v>
      </c>
      <c r="BL97" s="400">
        <f>-BL50</f>
        <v>-999156.75</v>
      </c>
      <c r="BM97" s="400">
        <f>-BM50</f>
        <v>-985686.75</v>
      </c>
      <c r="BN97" s="400">
        <f>-BN50</f>
        <v>-946266.75</v>
      </c>
      <c r="BO97" s="400">
        <f>-BO50</f>
        <v>-883761.75</v>
      </c>
      <c r="BP97" s="400">
        <f>-BP50</f>
        <v>-802536.75</v>
      </c>
      <c r="BQ97" s="400">
        <f>-BQ50</f>
        <v>-707976.75</v>
      </c>
      <c r="BR97" s="400">
        <f>-BR50</f>
        <v>-605886.75</v>
      </c>
      <c r="BS97" s="400">
        <f>-BS50</f>
        <v>-501936.75</v>
      </c>
      <c r="BT97" s="400">
        <f>-BT50</f>
        <v>-401121.75</v>
      </c>
      <c r="BU97" s="400">
        <f>-BU50</f>
        <v>-217168.5</v>
      </c>
      <c r="BV97" s="400">
        <f>-BV50</f>
        <v>0</v>
      </c>
      <c r="BW97" s="400">
        <f>-BW50</f>
        <v>0</v>
      </c>
      <c r="BX97" s="400">
        <f>-BX50</f>
        <v>0</v>
      </c>
      <c r="BY97" s="400">
        <f>-BY50</f>
        <v>0</v>
      </c>
      <c r="BZ97" s="400">
        <f>-BZ50</f>
        <v>0</v>
      </c>
      <c r="CA97" s="400">
        <f>-CA50</f>
        <v>0</v>
      </c>
      <c r="CB97" s="400">
        <f>-CB50</f>
        <v>0</v>
      </c>
      <c r="CC97" s="400">
        <f>-CC50</f>
        <v>0</v>
      </c>
      <c r="CD97" s="400">
        <f>-CD50</f>
        <v>0</v>
      </c>
      <c r="CE97" s="400">
        <f>-CE50</f>
        <v>0</v>
      </c>
      <c r="CF97" s="400">
        <f>-CF50</f>
        <v>0</v>
      </c>
      <c r="CG97" s="400">
        <f>-CG50</f>
        <v>0</v>
      </c>
      <c r="CH97" s="400">
        <f>-CH50</f>
        <v>0</v>
      </c>
      <c r="CI97" s="400">
        <f>-CI50</f>
        <v>0</v>
      </c>
      <c r="CJ97" s="400">
        <f>-CJ50</f>
        <v>0</v>
      </c>
      <c r="CK97" s="400">
        <f>-CK50</f>
        <v>0</v>
      </c>
      <c r="CL97" s="400">
        <f>-CL50</f>
        <v>0</v>
      </c>
      <c r="CM97" s="400">
        <f>-CM50</f>
        <v>0</v>
      </c>
      <c r="CN97" s="400">
        <f>-CN50</f>
        <v>0</v>
      </c>
      <c r="CO97" s="400">
        <f>-CO50</f>
        <v>0</v>
      </c>
      <c r="CP97" s="400">
        <f>-CP50</f>
        <v>0</v>
      </c>
      <c r="CQ97" s="400">
        <f>-CQ50</f>
        <v>0</v>
      </c>
      <c r="CR97" s="400">
        <f>-CR50</f>
        <v>0</v>
      </c>
      <c r="CS97" s="400">
        <f>-CS50</f>
        <v>0</v>
      </c>
      <c r="CT97" s="400">
        <f>-CT50</f>
        <v>0</v>
      </c>
      <c r="CU97" s="400">
        <f>-CU50</f>
        <v>0</v>
      </c>
      <c r="CV97" s="400">
        <f>-CV50</f>
        <v>0</v>
      </c>
      <c r="CW97" s="400">
        <f>-CW50</f>
        <v>0</v>
      </c>
      <c r="CX97" s="400">
        <f>-CX50</f>
        <v>0</v>
      </c>
      <c r="CY97" s="400">
        <f>-CY50</f>
        <v>0</v>
      </c>
      <c r="CZ97" s="400">
        <f>-CZ50</f>
        <v>0</v>
      </c>
      <c r="DA97" s="400">
        <f>-DA50</f>
        <v>0</v>
      </c>
      <c r="DB97" s="400">
        <f>-DB50</f>
        <v>0</v>
      </c>
      <c r="DC97" s="400">
        <f>-DC50</f>
        <v>0</v>
      </c>
      <c r="DD97" s="400">
        <f>-DD50</f>
        <v>0</v>
      </c>
      <c r="DE97" s="400">
        <f>-DE50</f>
        <v>0</v>
      </c>
    </row>
    <row r="98" hidden="1" outlineLevel="1" ht="15" customFormat="1" customHeight="1" s="381">
      <c r="A98" s="408" t="inlineStr">
        <is>
          <t>BD-26</t>
        </is>
      </c>
      <c r="B98" s="400" t="n">
        <v>0</v>
      </c>
      <c r="C98" s="400" t="n">
        <v>0</v>
      </c>
      <c r="D98" s="400" t="n">
        <v>0</v>
      </c>
      <c r="E98" s="400" t="n">
        <v>0</v>
      </c>
      <c r="F98" s="400">
        <f>-F51</f>
        <v>0</v>
      </c>
      <c r="G98" s="400">
        <f>-G51</f>
        <v>0</v>
      </c>
      <c r="H98" s="400">
        <f>-H51</f>
        <v>0</v>
      </c>
      <c r="I98" s="400">
        <f>-I51</f>
        <v>0</v>
      </c>
      <c r="J98" s="400">
        <f>-J51</f>
        <v>0</v>
      </c>
      <c r="K98" s="400">
        <f>-K51</f>
        <v>0</v>
      </c>
      <c r="L98" s="400">
        <f>-L51</f>
        <v>0</v>
      </c>
      <c r="M98" s="400">
        <f>-M51</f>
        <v>0</v>
      </c>
      <c r="N98" s="400">
        <f>-N51</f>
        <v>0</v>
      </c>
      <c r="O98" s="400">
        <f>-O51</f>
        <v>0</v>
      </c>
      <c r="P98" s="400">
        <f>-P51</f>
        <v>0</v>
      </c>
      <c r="Q98" s="400">
        <f>-Q51</f>
        <v>0</v>
      </c>
      <c r="R98" s="400">
        <f>-R51</f>
        <v>0</v>
      </c>
      <c r="S98" s="400">
        <f>-S51</f>
        <v>0</v>
      </c>
      <c r="T98" s="400">
        <f>-T51</f>
        <v>0</v>
      </c>
      <c r="U98" s="400">
        <f>-U51</f>
        <v>0</v>
      </c>
      <c r="V98" s="400">
        <f>-V51</f>
        <v>0</v>
      </c>
      <c r="W98" s="400">
        <f>-W51</f>
        <v>0</v>
      </c>
      <c r="X98" s="400">
        <f>-X51</f>
        <v>0</v>
      </c>
      <c r="Y98" s="400">
        <f>-Y51</f>
        <v>0</v>
      </c>
      <c r="Z98" s="400">
        <f>-Z51</f>
        <v>0</v>
      </c>
      <c r="AA98" s="400">
        <f>-AA51</f>
        <v>0</v>
      </c>
      <c r="AB98" s="400">
        <f>-AB51</f>
        <v>0</v>
      </c>
      <c r="AC98" s="400">
        <f>-AC51</f>
        <v>0</v>
      </c>
      <c r="AD98" s="400">
        <f>-AD51</f>
        <v>0</v>
      </c>
      <c r="AE98" s="400">
        <f>-AE51</f>
        <v>0</v>
      </c>
      <c r="AF98" s="400">
        <f>-AF51</f>
        <v>0</v>
      </c>
      <c r="AG98" s="400">
        <f>-AG51</f>
        <v>0</v>
      </c>
      <c r="AH98" s="400">
        <f>-AH51</f>
        <v>0</v>
      </c>
      <c r="AI98" s="400">
        <f>-AI51</f>
        <v>0</v>
      </c>
      <c r="AJ98" s="400">
        <f>-AJ51</f>
        <v>0</v>
      </c>
      <c r="AK98" s="400">
        <f>-AK51</f>
        <v>0</v>
      </c>
      <c r="AL98" s="400">
        <f>-AL51</f>
        <v>0</v>
      </c>
      <c r="AM98" s="400">
        <f>-AM51</f>
        <v>0</v>
      </c>
      <c r="AN98" s="400">
        <f>-AN51</f>
        <v>0</v>
      </c>
      <c r="AO98" s="400">
        <f>-AO51</f>
        <v>0</v>
      </c>
      <c r="AP98" s="400">
        <f>-AP51</f>
        <v>0</v>
      </c>
      <c r="AQ98" s="400">
        <f>-AQ51</f>
        <v>0</v>
      </c>
      <c r="AR98" s="400">
        <f>-AR51</f>
        <v>0</v>
      </c>
      <c r="AS98" s="400">
        <f>-AS51</f>
        <v>0</v>
      </c>
      <c r="AT98" s="400">
        <f>-AT51</f>
        <v>0</v>
      </c>
      <c r="AU98" s="400">
        <f>-AU51</f>
        <v>0</v>
      </c>
      <c r="AV98" s="400">
        <f>-AV51</f>
        <v>0</v>
      </c>
      <c r="AW98" s="400">
        <f>-AW51</f>
        <v>0</v>
      </c>
      <c r="AX98" s="400">
        <f>-AX51</f>
        <v>0</v>
      </c>
      <c r="AY98" s="400">
        <f>-AY51</f>
        <v>0</v>
      </c>
      <c r="AZ98" s="400">
        <f>-AZ51</f>
        <v>0</v>
      </c>
      <c r="BA98" s="400">
        <f>-BA51</f>
        <v>0</v>
      </c>
      <c r="BB98" s="400">
        <f>-BB51</f>
        <v>0</v>
      </c>
      <c r="BC98" s="400">
        <f>-BC51</f>
        <v>0</v>
      </c>
      <c r="BD98" s="400">
        <f>-BD51</f>
        <v>-368954.1</v>
      </c>
      <c r="BE98" s="400">
        <f>-BE51</f>
        <v>-481346.1</v>
      </c>
      <c r="BF98" s="400">
        <f>-BF51</f>
        <v>-602324.1</v>
      </c>
      <c r="BG98" s="400">
        <f>-BG51</f>
        <v>-727064.1</v>
      </c>
      <c r="BH98" s="400">
        <f>-BH51</f>
        <v>-849572.1</v>
      </c>
      <c r="BI98" s="400">
        <f>-BI51</f>
        <v>-963044.1</v>
      </c>
      <c r="BJ98" s="400">
        <f>-BJ51</f>
        <v>-1060514.1</v>
      </c>
      <c r="BK98" s="400">
        <f>-BK51</f>
        <v>-1135520.1</v>
      </c>
      <c r="BL98" s="400">
        <f>-BL51</f>
        <v>-1182824.1</v>
      </c>
      <c r="BM98" s="400">
        <f>-BM51</f>
        <v>-1198988.1</v>
      </c>
      <c r="BN98" s="400">
        <f>-BN51</f>
        <v>-1182824.1</v>
      </c>
      <c r="BO98" s="400">
        <f>-BO51</f>
        <v>-1135520.1</v>
      </c>
      <c r="BP98" s="400">
        <f>-BP51</f>
        <v>-1060514.1</v>
      </c>
      <c r="BQ98" s="400">
        <f>-BQ51</f>
        <v>-963044.1</v>
      </c>
      <c r="BR98" s="400">
        <f>-BR51</f>
        <v>-849572.1</v>
      </c>
      <c r="BS98" s="400">
        <f>-BS51</f>
        <v>-727064.1</v>
      </c>
      <c r="BT98" s="400">
        <f>-BT51</f>
        <v>-602324.1</v>
      </c>
      <c r="BU98" s="400">
        <f>-BU51</f>
        <v>-481346.1</v>
      </c>
      <c r="BV98" s="400">
        <f>-BV51</f>
        <v>-260602.2</v>
      </c>
      <c r="BW98" s="400">
        <f>-BW51</f>
        <v>0</v>
      </c>
      <c r="BX98" s="400">
        <f>-BX51</f>
        <v>0</v>
      </c>
      <c r="BY98" s="400">
        <f>-BY51</f>
        <v>0</v>
      </c>
      <c r="BZ98" s="400">
        <f>-BZ51</f>
        <v>0</v>
      </c>
      <c r="CA98" s="400">
        <f>-CA51</f>
        <v>0</v>
      </c>
      <c r="CB98" s="400">
        <f>-CB51</f>
        <v>0</v>
      </c>
      <c r="CC98" s="400">
        <f>-CC51</f>
        <v>0</v>
      </c>
      <c r="CD98" s="400">
        <f>-CD51</f>
        <v>0</v>
      </c>
      <c r="CE98" s="400">
        <f>-CE51</f>
        <v>0</v>
      </c>
      <c r="CF98" s="400">
        <f>-CF51</f>
        <v>0</v>
      </c>
      <c r="CG98" s="400">
        <f>-CG51</f>
        <v>0</v>
      </c>
      <c r="CH98" s="400">
        <f>-CH51</f>
        <v>0</v>
      </c>
      <c r="CI98" s="400">
        <f>-CI51</f>
        <v>0</v>
      </c>
      <c r="CJ98" s="400">
        <f>-CJ51</f>
        <v>0</v>
      </c>
      <c r="CK98" s="400">
        <f>-CK51</f>
        <v>0</v>
      </c>
      <c r="CL98" s="400">
        <f>-CL51</f>
        <v>0</v>
      </c>
      <c r="CM98" s="400">
        <f>-CM51</f>
        <v>0</v>
      </c>
      <c r="CN98" s="400">
        <f>-CN51</f>
        <v>0</v>
      </c>
      <c r="CO98" s="400">
        <f>-CO51</f>
        <v>0</v>
      </c>
      <c r="CP98" s="400">
        <f>-CP51</f>
        <v>0</v>
      </c>
      <c r="CQ98" s="400">
        <f>-CQ51</f>
        <v>0</v>
      </c>
      <c r="CR98" s="400">
        <f>-CR51</f>
        <v>0</v>
      </c>
      <c r="CS98" s="400">
        <f>-CS51</f>
        <v>0</v>
      </c>
      <c r="CT98" s="400">
        <f>-CT51</f>
        <v>0</v>
      </c>
      <c r="CU98" s="400">
        <f>-CU51</f>
        <v>0</v>
      </c>
      <c r="CV98" s="400">
        <f>-CV51</f>
        <v>0</v>
      </c>
      <c r="CW98" s="400">
        <f>-CW51</f>
        <v>0</v>
      </c>
      <c r="CX98" s="400">
        <f>-CX51</f>
        <v>0</v>
      </c>
      <c r="CY98" s="400">
        <f>-CY51</f>
        <v>0</v>
      </c>
      <c r="CZ98" s="400">
        <f>-CZ51</f>
        <v>0</v>
      </c>
      <c r="DA98" s="400">
        <f>-DA51</f>
        <v>0</v>
      </c>
      <c r="DB98" s="400">
        <f>-DB51</f>
        <v>0</v>
      </c>
      <c r="DC98" s="400">
        <f>-DC51</f>
        <v>0</v>
      </c>
      <c r="DD98" s="400">
        <f>-DD51</f>
        <v>0</v>
      </c>
      <c r="DE98" s="400">
        <f>-DE51</f>
        <v>0</v>
      </c>
    </row>
    <row r="99" hidden="1" outlineLevel="1" ht="15" customFormat="1" customHeight="1" s="381">
      <c r="A99" s="408" t="inlineStr">
        <is>
          <t>BD-27</t>
        </is>
      </c>
      <c r="B99" s="400" t="n">
        <v>0</v>
      </c>
      <c r="C99" s="400" t="n">
        <v>0</v>
      </c>
      <c r="D99" s="400" t="n">
        <v>0</v>
      </c>
      <c r="E99" s="400" t="n">
        <v>0</v>
      </c>
      <c r="F99" s="400">
        <f>-F52</f>
        <v>0</v>
      </c>
      <c r="G99" s="400">
        <f>-G52</f>
        <v>0</v>
      </c>
      <c r="H99" s="400">
        <f>-H52</f>
        <v>0</v>
      </c>
      <c r="I99" s="400">
        <f>-I52</f>
        <v>0</v>
      </c>
      <c r="J99" s="400">
        <f>-J52</f>
        <v>0</v>
      </c>
      <c r="K99" s="400">
        <f>-K52</f>
        <v>0</v>
      </c>
      <c r="L99" s="400">
        <f>-L52</f>
        <v>0</v>
      </c>
      <c r="M99" s="400">
        <f>-M52</f>
        <v>0</v>
      </c>
      <c r="N99" s="400">
        <f>-N52</f>
        <v>0</v>
      </c>
      <c r="O99" s="400">
        <f>-O52</f>
        <v>0</v>
      </c>
      <c r="P99" s="400">
        <f>-P52</f>
        <v>0</v>
      </c>
      <c r="Q99" s="400">
        <f>-Q52</f>
        <v>0</v>
      </c>
      <c r="R99" s="400">
        <f>-R52</f>
        <v>0</v>
      </c>
      <c r="S99" s="400">
        <f>-S52</f>
        <v>0</v>
      </c>
      <c r="T99" s="400">
        <f>-T52</f>
        <v>0</v>
      </c>
      <c r="U99" s="400">
        <f>-U52</f>
        <v>0</v>
      </c>
      <c r="V99" s="400">
        <f>-V52</f>
        <v>0</v>
      </c>
      <c r="W99" s="400">
        <f>-W52</f>
        <v>0</v>
      </c>
      <c r="X99" s="400">
        <f>-X52</f>
        <v>0</v>
      </c>
      <c r="Y99" s="400">
        <f>-Y52</f>
        <v>0</v>
      </c>
      <c r="Z99" s="400">
        <f>-Z52</f>
        <v>0</v>
      </c>
      <c r="AA99" s="400">
        <f>-AA52</f>
        <v>0</v>
      </c>
      <c r="AB99" s="400">
        <f>-AB52</f>
        <v>0</v>
      </c>
      <c r="AC99" s="400">
        <f>-AC52</f>
        <v>0</v>
      </c>
      <c r="AD99" s="400">
        <f>-AD52</f>
        <v>0</v>
      </c>
      <c r="AE99" s="400">
        <f>-AE52</f>
        <v>0</v>
      </c>
      <c r="AF99" s="400">
        <f>-AF52</f>
        <v>0</v>
      </c>
      <c r="AG99" s="400">
        <f>-AG52</f>
        <v>0</v>
      </c>
      <c r="AH99" s="400">
        <f>-AH52</f>
        <v>0</v>
      </c>
      <c r="AI99" s="400">
        <f>-AI52</f>
        <v>0</v>
      </c>
      <c r="AJ99" s="400">
        <f>-AJ52</f>
        <v>0</v>
      </c>
      <c r="AK99" s="400">
        <f>-AK52</f>
        <v>0</v>
      </c>
      <c r="AL99" s="400">
        <f>-AL52</f>
        <v>0</v>
      </c>
      <c r="AM99" s="400">
        <f>-AM52</f>
        <v>0</v>
      </c>
      <c r="AN99" s="400">
        <f>-AN52</f>
        <v>0</v>
      </c>
      <c r="AO99" s="400">
        <f>-AO52</f>
        <v>0</v>
      </c>
      <c r="AP99" s="400">
        <f>-AP52</f>
        <v>0</v>
      </c>
      <c r="AQ99" s="400">
        <f>-AQ52</f>
        <v>0</v>
      </c>
      <c r="AR99" s="400">
        <f>-AR52</f>
        <v>0</v>
      </c>
      <c r="AS99" s="400">
        <f>-AS52</f>
        <v>0</v>
      </c>
      <c r="AT99" s="400">
        <f>-AT52</f>
        <v>0</v>
      </c>
      <c r="AU99" s="400">
        <f>-AU52</f>
        <v>0</v>
      </c>
      <c r="AV99" s="400">
        <f>-AV52</f>
        <v>0</v>
      </c>
      <c r="AW99" s="400">
        <f>-AW52</f>
        <v>0</v>
      </c>
      <c r="AX99" s="400">
        <f>-AX52</f>
        <v>0</v>
      </c>
      <c r="AY99" s="400">
        <f>-AY52</f>
        <v>0</v>
      </c>
      <c r="AZ99" s="400">
        <f>-AZ52</f>
        <v>0</v>
      </c>
      <c r="BA99" s="400">
        <f>-BA52</f>
        <v>0</v>
      </c>
      <c r="BB99" s="400">
        <f>-BB52</f>
        <v>0</v>
      </c>
      <c r="BC99" s="400">
        <f>-BC52</f>
        <v>0</v>
      </c>
      <c r="BD99" s="400">
        <f>-BD52</f>
        <v>0</v>
      </c>
      <c r="BE99" s="400">
        <f>-BE52</f>
        <v>-307461.75</v>
      </c>
      <c r="BF99" s="400">
        <f>-BF52</f>
        <v>-401121.75</v>
      </c>
      <c r="BG99" s="400">
        <f>-BG52</f>
        <v>-501936.75</v>
      </c>
      <c r="BH99" s="400">
        <f>-BH52</f>
        <v>-605886.75</v>
      </c>
      <c r="BI99" s="400">
        <f>-BI52</f>
        <v>-707976.75</v>
      </c>
      <c r="BJ99" s="400">
        <f>-BJ52</f>
        <v>-802536.75</v>
      </c>
      <c r="BK99" s="400">
        <f>-BK52</f>
        <v>-883761.75</v>
      </c>
      <c r="BL99" s="400">
        <f>-BL52</f>
        <v>-946266.75</v>
      </c>
      <c r="BM99" s="400">
        <f>-BM52</f>
        <v>-985686.75</v>
      </c>
      <c r="BN99" s="400">
        <f>-BN52</f>
        <v>-999156.75</v>
      </c>
      <c r="BO99" s="400">
        <f>-BO52</f>
        <v>-985686.75</v>
      </c>
      <c r="BP99" s="400">
        <f>-BP52</f>
        <v>-946266.75</v>
      </c>
      <c r="BQ99" s="400">
        <f>-BQ52</f>
        <v>-883761.75</v>
      </c>
      <c r="BR99" s="400">
        <f>-BR52</f>
        <v>-802536.75</v>
      </c>
      <c r="BS99" s="400">
        <f>-BS52</f>
        <v>-707976.75</v>
      </c>
      <c r="BT99" s="400">
        <f>-BT52</f>
        <v>-605886.75</v>
      </c>
      <c r="BU99" s="400">
        <f>-BU52</f>
        <v>-501936.75</v>
      </c>
      <c r="BV99" s="400">
        <f>-BV52</f>
        <v>-401121.75</v>
      </c>
      <c r="BW99" s="400">
        <f>-BW52</f>
        <v>-217168.5</v>
      </c>
      <c r="BX99" s="400">
        <f>-BX52</f>
        <v>0</v>
      </c>
      <c r="BY99" s="400">
        <f>-BY52</f>
        <v>0</v>
      </c>
      <c r="BZ99" s="400">
        <f>-BZ52</f>
        <v>0</v>
      </c>
      <c r="CA99" s="400">
        <f>-CA52</f>
        <v>0</v>
      </c>
      <c r="CB99" s="400">
        <f>-CB52</f>
        <v>0</v>
      </c>
      <c r="CC99" s="400">
        <f>-CC52</f>
        <v>0</v>
      </c>
      <c r="CD99" s="400">
        <f>-CD52</f>
        <v>0</v>
      </c>
      <c r="CE99" s="400">
        <f>-CE52</f>
        <v>0</v>
      </c>
      <c r="CF99" s="400">
        <f>-CF52</f>
        <v>0</v>
      </c>
      <c r="CG99" s="400">
        <f>-CG52</f>
        <v>0</v>
      </c>
      <c r="CH99" s="400">
        <f>-CH52</f>
        <v>0</v>
      </c>
      <c r="CI99" s="400">
        <f>-CI52</f>
        <v>0</v>
      </c>
      <c r="CJ99" s="400">
        <f>-CJ52</f>
        <v>0</v>
      </c>
      <c r="CK99" s="400">
        <f>-CK52</f>
        <v>0</v>
      </c>
      <c r="CL99" s="400">
        <f>-CL52</f>
        <v>0</v>
      </c>
      <c r="CM99" s="400">
        <f>-CM52</f>
        <v>0</v>
      </c>
      <c r="CN99" s="400">
        <f>-CN52</f>
        <v>0</v>
      </c>
      <c r="CO99" s="400">
        <f>-CO52</f>
        <v>0</v>
      </c>
      <c r="CP99" s="400">
        <f>-CP52</f>
        <v>0</v>
      </c>
      <c r="CQ99" s="400">
        <f>-CQ52</f>
        <v>0</v>
      </c>
      <c r="CR99" s="400">
        <f>-CR52</f>
        <v>0</v>
      </c>
      <c r="CS99" s="400">
        <f>-CS52</f>
        <v>0</v>
      </c>
      <c r="CT99" s="400">
        <f>-CT52</f>
        <v>0</v>
      </c>
      <c r="CU99" s="400">
        <f>-CU52</f>
        <v>0</v>
      </c>
      <c r="CV99" s="400">
        <f>-CV52</f>
        <v>0</v>
      </c>
      <c r="CW99" s="400">
        <f>-CW52</f>
        <v>0</v>
      </c>
      <c r="CX99" s="400">
        <f>-CX52</f>
        <v>0</v>
      </c>
      <c r="CY99" s="400">
        <f>-CY52</f>
        <v>0</v>
      </c>
      <c r="CZ99" s="400">
        <f>-CZ52</f>
        <v>0</v>
      </c>
      <c r="DA99" s="400">
        <f>-DA52</f>
        <v>0</v>
      </c>
      <c r="DB99" s="400">
        <f>-DB52</f>
        <v>0</v>
      </c>
      <c r="DC99" s="400">
        <f>-DC52</f>
        <v>0</v>
      </c>
      <c r="DD99" s="400">
        <f>-DD52</f>
        <v>0</v>
      </c>
      <c r="DE99" s="400">
        <f>-DE52</f>
        <v>0</v>
      </c>
    </row>
    <row r="100" hidden="1" outlineLevel="1" ht="15" customFormat="1" customHeight="1" s="381">
      <c r="A100" s="408" t="inlineStr">
        <is>
          <t>BD-28</t>
        </is>
      </c>
      <c r="B100" s="400" t="n">
        <v>0</v>
      </c>
      <c r="C100" s="400" t="n">
        <v>0</v>
      </c>
      <c r="D100" s="400" t="n">
        <v>0</v>
      </c>
      <c r="E100" s="400" t="n">
        <v>0</v>
      </c>
      <c r="F100" s="400">
        <f>-F53</f>
        <v>0</v>
      </c>
      <c r="G100" s="400">
        <f>-G53</f>
        <v>0</v>
      </c>
      <c r="H100" s="400">
        <f>-H53</f>
        <v>0</v>
      </c>
      <c r="I100" s="400">
        <f>-I53</f>
        <v>0</v>
      </c>
      <c r="J100" s="400">
        <f>-J53</f>
        <v>0</v>
      </c>
      <c r="K100" s="400">
        <f>-K53</f>
        <v>0</v>
      </c>
      <c r="L100" s="400">
        <f>-L53</f>
        <v>0</v>
      </c>
      <c r="M100" s="400">
        <f>-M53</f>
        <v>0</v>
      </c>
      <c r="N100" s="400">
        <f>-N53</f>
        <v>0</v>
      </c>
      <c r="O100" s="400">
        <f>-O53</f>
        <v>0</v>
      </c>
      <c r="P100" s="400">
        <f>-P53</f>
        <v>0</v>
      </c>
      <c r="Q100" s="400">
        <f>-Q53</f>
        <v>0</v>
      </c>
      <c r="R100" s="400">
        <f>-R53</f>
        <v>0</v>
      </c>
      <c r="S100" s="400">
        <f>-S53</f>
        <v>0</v>
      </c>
      <c r="T100" s="400">
        <f>-T53</f>
        <v>0</v>
      </c>
      <c r="U100" s="400">
        <f>-U53</f>
        <v>0</v>
      </c>
      <c r="V100" s="400">
        <f>-V53</f>
        <v>0</v>
      </c>
      <c r="W100" s="400">
        <f>-W53</f>
        <v>0</v>
      </c>
      <c r="X100" s="400">
        <f>-X53</f>
        <v>0</v>
      </c>
      <c r="Y100" s="400">
        <f>-Y53</f>
        <v>0</v>
      </c>
      <c r="Z100" s="400">
        <f>-Z53</f>
        <v>0</v>
      </c>
      <c r="AA100" s="400">
        <f>-AA53</f>
        <v>0</v>
      </c>
      <c r="AB100" s="400">
        <f>-AB53</f>
        <v>0</v>
      </c>
      <c r="AC100" s="400">
        <f>-AC53</f>
        <v>0</v>
      </c>
      <c r="AD100" s="400">
        <f>-AD53</f>
        <v>0</v>
      </c>
      <c r="AE100" s="400">
        <f>-AE53</f>
        <v>0</v>
      </c>
      <c r="AF100" s="400">
        <f>-AF53</f>
        <v>0</v>
      </c>
      <c r="AG100" s="400">
        <f>-AG53</f>
        <v>0</v>
      </c>
      <c r="AH100" s="400">
        <f>-AH53</f>
        <v>0</v>
      </c>
      <c r="AI100" s="400">
        <f>-AI53</f>
        <v>0</v>
      </c>
      <c r="AJ100" s="400">
        <f>-AJ53</f>
        <v>0</v>
      </c>
      <c r="AK100" s="400">
        <f>-AK53</f>
        <v>0</v>
      </c>
      <c r="AL100" s="400">
        <f>-AL53</f>
        <v>0</v>
      </c>
      <c r="AM100" s="400">
        <f>-AM53</f>
        <v>0</v>
      </c>
      <c r="AN100" s="400">
        <f>-AN53</f>
        <v>0</v>
      </c>
      <c r="AO100" s="400">
        <f>-AO53</f>
        <v>0</v>
      </c>
      <c r="AP100" s="400">
        <f>-AP53</f>
        <v>0</v>
      </c>
      <c r="AQ100" s="400">
        <f>-AQ53</f>
        <v>0</v>
      </c>
      <c r="AR100" s="400">
        <f>-AR53</f>
        <v>0</v>
      </c>
      <c r="AS100" s="400">
        <f>-AS53</f>
        <v>0</v>
      </c>
      <c r="AT100" s="400">
        <f>-AT53</f>
        <v>0</v>
      </c>
      <c r="AU100" s="400">
        <f>-AU53</f>
        <v>0</v>
      </c>
      <c r="AV100" s="400">
        <f>-AV53</f>
        <v>0</v>
      </c>
      <c r="AW100" s="400">
        <f>-AW53</f>
        <v>0</v>
      </c>
      <c r="AX100" s="400">
        <f>-AX53</f>
        <v>0</v>
      </c>
      <c r="AY100" s="400">
        <f>-AY53</f>
        <v>0</v>
      </c>
      <c r="AZ100" s="400">
        <f>-AZ53</f>
        <v>0</v>
      </c>
      <c r="BA100" s="400">
        <f>-BA53</f>
        <v>0</v>
      </c>
      <c r="BB100" s="400">
        <f>-BB53</f>
        <v>0</v>
      </c>
      <c r="BC100" s="400">
        <f>-BC53</f>
        <v>0</v>
      </c>
      <c r="BD100" s="400">
        <f>-BD53</f>
        <v>0</v>
      </c>
      <c r="BE100" s="400">
        <f>-BE53</f>
        <v>0</v>
      </c>
      <c r="BF100" s="400">
        <f>-BF53</f>
        <v>-307461.75</v>
      </c>
      <c r="BG100" s="400">
        <f>-BG53</f>
        <v>-401121.75</v>
      </c>
      <c r="BH100" s="400">
        <f>-BH53</f>
        <v>-501936.75</v>
      </c>
      <c r="BI100" s="400">
        <f>-BI53</f>
        <v>-605886.75</v>
      </c>
      <c r="BJ100" s="400">
        <f>-BJ53</f>
        <v>-707976.75</v>
      </c>
      <c r="BK100" s="400">
        <f>-BK53</f>
        <v>-802536.75</v>
      </c>
      <c r="BL100" s="400">
        <f>-BL53</f>
        <v>-883761.75</v>
      </c>
      <c r="BM100" s="400">
        <f>-BM53</f>
        <v>-946266.75</v>
      </c>
      <c r="BN100" s="400">
        <f>-BN53</f>
        <v>-985686.75</v>
      </c>
      <c r="BO100" s="400">
        <f>-BO53</f>
        <v>-999156.75</v>
      </c>
      <c r="BP100" s="400">
        <f>-BP53</f>
        <v>-985686.75</v>
      </c>
      <c r="BQ100" s="400">
        <f>-BQ53</f>
        <v>-946266.75</v>
      </c>
      <c r="BR100" s="400">
        <f>-BR53</f>
        <v>-883761.75</v>
      </c>
      <c r="BS100" s="400">
        <f>-BS53</f>
        <v>-802536.75</v>
      </c>
      <c r="BT100" s="400">
        <f>-BT53</f>
        <v>-707976.75</v>
      </c>
      <c r="BU100" s="400">
        <f>-BU53</f>
        <v>-605886.75</v>
      </c>
      <c r="BV100" s="400">
        <f>-BV53</f>
        <v>-501936.75</v>
      </c>
      <c r="BW100" s="400">
        <f>-BW53</f>
        <v>-401121.75</v>
      </c>
      <c r="BX100" s="400">
        <f>-BX53</f>
        <v>-217168.5</v>
      </c>
      <c r="BY100" s="400">
        <f>-BY53</f>
        <v>0</v>
      </c>
      <c r="BZ100" s="400">
        <f>-BZ53</f>
        <v>0</v>
      </c>
      <c r="CA100" s="400">
        <f>-CA53</f>
        <v>0</v>
      </c>
      <c r="CB100" s="400">
        <f>-CB53</f>
        <v>0</v>
      </c>
      <c r="CC100" s="400">
        <f>-CC53</f>
        <v>0</v>
      </c>
      <c r="CD100" s="400">
        <f>-CD53</f>
        <v>0</v>
      </c>
      <c r="CE100" s="400">
        <f>-CE53</f>
        <v>0</v>
      </c>
      <c r="CF100" s="400">
        <f>-CF53</f>
        <v>0</v>
      </c>
      <c r="CG100" s="400">
        <f>-CG53</f>
        <v>0</v>
      </c>
      <c r="CH100" s="400">
        <f>-CH53</f>
        <v>0</v>
      </c>
      <c r="CI100" s="400">
        <f>-CI53</f>
        <v>0</v>
      </c>
      <c r="CJ100" s="400">
        <f>-CJ53</f>
        <v>0</v>
      </c>
      <c r="CK100" s="400">
        <f>-CK53</f>
        <v>0</v>
      </c>
      <c r="CL100" s="400">
        <f>-CL53</f>
        <v>0</v>
      </c>
      <c r="CM100" s="400">
        <f>-CM53</f>
        <v>0</v>
      </c>
      <c r="CN100" s="400">
        <f>-CN53</f>
        <v>0</v>
      </c>
      <c r="CO100" s="400">
        <f>-CO53</f>
        <v>0</v>
      </c>
      <c r="CP100" s="400">
        <f>-CP53</f>
        <v>0</v>
      </c>
      <c r="CQ100" s="400">
        <f>-CQ53</f>
        <v>0</v>
      </c>
      <c r="CR100" s="400">
        <f>-CR53</f>
        <v>0</v>
      </c>
      <c r="CS100" s="400">
        <f>-CS53</f>
        <v>0</v>
      </c>
      <c r="CT100" s="400">
        <f>-CT53</f>
        <v>0</v>
      </c>
      <c r="CU100" s="400">
        <f>-CU53</f>
        <v>0</v>
      </c>
      <c r="CV100" s="400">
        <f>-CV53</f>
        <v>0</v>
      </c>
      <c r="CW100" s="400">
        <f>-CW53</f>
        <v>0</v>
      </c>
      <c r="CX100" s="400">
        <f>-CX53</f>
        <v>0</v>
      </c>
      <c r="CY100" s="400">
        <f>-CY53</f>
        <v>0</v>
      </c>
      <c r="CZ100" s="400">
        <f>-CZ53</f>
        <v>0</v>
      </c>
      <c r="DA100" s="400">
        <f>-DA53</f>
        <v>0</v>
      </c>
      <c r="DB100" s="400">
        <f>-DB53</f>
        <v>0</v>
      </c>
      <c r="DC100" s="400">
        <f>-DC53</f>
        <v>0</v>
      </c>
      <c r="DD100" s="400">
        <f>-DD53</f>
        <v>0</v>
      </c>
      <c r="DE100" s="400">
        <f>-DE53</f>
        <v>0</v>
      </c>
    </row>
    <row r="101" hidden="1" outlineLevel="1" ht="15" customFormat="1" customHeight="1" s="381">
      <c r="A101" s="408" t="inlineStr">
        <is>
          <t>BD-29</t>
        </is>
      </c>
      <c r="B101" s="400" t="n">
        <v>0</v>
      </c>
      <c r="C101" s="400" t="n">
        <v>0</v>
      </c>
      <c r="D101" s="400" t="n">
        <v>0</v>
      </c>
      <c r="E101" s="400" t="n">
        <v>0</v>
      </c>
      <c r="F101" s="400">
        <f>-F54</f>
        <v>0</v>
      </c>
      <c r="G101" s="400">
        <f>-G54</f>
        <v>0</v>
      </c>
      <c r="H101" s="400">
        <f>-H54</f>
        <v>0</v>
      </c>
      <c r="I101" s="400">
        <f>-I54</f>
        <v>0</v>
      </c>
      <c r="J101" s="400">
        <f>-J54</f>
        <v>0</v>
      </c>
      <c r="K101" s="400">
        <f>-K54</f>
        <v>0</v>
      </c>
      <c r="L101" s="400">
        <f>-L54</f>
        <v>0</v>
      </c>
      <c r="M101" s="400">
        <f>-M54</f>
        <v>0</v>
      </c>
      <c r="N101" s="400">
        <f>-N54</f>
        <v>0</v>
      </c>
      <c r="O101" s="400">
        <f>-O54</f>
        <v>0</v>
      </c>
      <c r="P101" s="400">
        <f>-P54</f>
        <v>0</v>
      </c>
      <c r="Q101" s="400">
        <f>-Q54</f>
        <v>0</v>
      </c>
      <c r="R101" s="400">
        <f>-R54</f>
        <v>0</v>
      </c>
      <c r="S101" s="400">
        <f>-S54</f>
        <v>0</v>
      </c>
      <c r="T101" s="400">
        <f>-T54</f>
        <v>0</v>
      </c>
      <c r="U101" s="400">
        <f>-U54</f>
        <v>0</v>
      </c>
      <c r="V101" s="400">
        <f>-V54</f>
        <v>0</v>
      </c>
      <c r="W101" s="400">
        <f>-W54</f>
        <v>0</v>
      </c>
      <c r="X101" s="400">
        <f>-X54</f>
        <v>0</v>
      </c>
      <c r="Y101" s="400">
        <f>-Y54</f>
        <v>0</v>
      </c>
      <c r="Z101" s="400">
        <f>-Z54</f>
        <v>0</v>
      </c>
      <c r="AA101" s="400">
        <f>-AA54</f>
        <v>0</v>
      </c>
      <c r="AB101" s="400">
        <f>-AB54</f>
        <v>0</v>
      </c>
      <c r="AC101" s="400">
        <f>-AC54</f>
        <v>0</v>
      </c>
      <c r="AD101" s="400">
        <f>-AD54</f>
        <v>0</v>
      </c>
      <c r="AE101" s="400">
        <f>-AE54</f>
        <v>0</v>
      </c>
      <c r="AF101" s="400">
        <f>-AF54</f>
        <v>0</v>
      </c>
      <c r="AG101" s="400">
        <f>-AG54</f>
        <v>0</v>
      </c>
      <c r="AH101" s="400">
        <f>-AH54</f>
        <v>0</v>
      </c>
      <c r="AI101" s="400">
        <f>-AI54</f>
        <v>0</v>
      </c>
      <c r="AJ101" s="400">
        <f>-AJ54</f>
        <v>0</v>
      </c>
      <c r="AK101" s="400">
        <f>-AK54</f>
        <v>0</v>
      </c>
      <c r="AL101" s="400">
        <f>-AL54</f>
        <v>0</v>
      </c>
      <c r="AM101" s="400">
        <f>-AM54</f>
        <v>0</v>
      </c>
      <c r="AN101" s="400">
        <f>-AN54</f>
        <v>0</v>
      </c>
      <c r="AO101" s="400">
        <f>-AO54</f>
        <v>0</v>
      </c>
      <c r="AP101" s="400">
        <f>-AP54</f>
        <v>0</v>
      </c>
      <c r="AQ101" s="400">
        <f>-AQ54</f>
        <v>0</v>
      </c>
      <c r="AR101" s="400">
        <f>-AR54</f>
        <v>0</v>
      </c>
      <c r="AS101" s="400">
        <f>-AS54</f>
        <v>0</v>
      </c>
      <c r="AT101" s="400">
        <f>-AT54</f>
        <v>0</v>
      </c>
      <c r="AU101" s="400">
        <f>-AU54</f>
        <v>0</v>
      </c>
      <c r="AV101" s="400">
        <f>-AV54</f>
        <v>0</v>
      </c>
      <c r="AW101" s="400">
        <f>-AW54</f>
        <v>0</v>
      </c>
      <c r="AX101" s="400">
        <f>-AX54</f>
        <v>0</v>
      </c>
      <c r="AY101" s="400">
        <f>-AY54</f>
        <v>0</v>
      </c>
      <c r="AZ101" s="400">
        <f>-AZ54</f>
        <v>0</v>
      </c>
      <c r="BA101" s="400">
        <f>-BA54</f>
        <v>0</v>
      </c>
      <c r="BB101" s="400">
        <f>-BB54</f>
        <v>0</v>
      </c>
      <c r="BC101" s="400">
        <f>-BC54</f>
        <v>0</v>
      </c>
      <c r="BD101" s="400">
        <f>-BD54</f>
        <v>0</v>
      </c>
      <c r="BE101" s="400">
        <f>-BE54</f>
        <v>0</v>
      </c>
      <c r="BF101" s="400">
        <f>-BF54</f>
        <v>0</v>
      </c>
      <c r="BG101" s="400">
        <f>-BG54</f>
        <v>-368954.1</v>
      </c>
      <c r="BH101" s="400">
        <f>-BH54</f>
        <v>-481346.1</v>
      </c>
      <c r="BI101" s="400">
        <f>-BI54</f>
        <v>-602324.1</v>
      </c>
      <c r="BJ101" s="400">
        <f>-BJ54</f>
        <v>-727064.1</v>
      </c>
      <c r="BK101" s="400">
        <f>-BK54</f>
        <v>-849572.1</v>
      </c>
      <c r="BL101" s="400">
        <f>-BL54</f>
        <v>-963044.1</v>
      </c>
      <c r="BM101" s="400">
        <f>-BM54</f>
        <v>-1060514.1</v>
      </c>
      <c r="BN101" s="400">
        <f>-BN54</f>
        <v>-1135520.1</v>
      </c>
      <c r="BO101" s="400">
        <f>-BO54</f>
        <v>-1182824.1</v>
      </c>
      <c r="BP101" s="400">
        <f>-BP54</f>
        <v>-1198988.1</v>
      </c>
      <c r="BQ101" s="400">
        <f>-BQ54</f>
        <v>-1182824.1</v>
      </c>
      <c r="BR101" s="400">
        <f>-BR54</f>
        <v>-1135520.1</v>
      </c>
      <c r="BS101" s="400">
        <f>-BS54</f>
        <v>-1060514.1</v>
      </c>
      <c r="BT101" s="400">
        <f>-BT54</f>
        <v>-963044.1</v>
      </c>
      <c r="BU101" s="400">
        <f>-BU54</f>
        <v>-849572.1</v>
      </c>
      <c r="BV101" s="400">
        <f>-BV54</f>
        <v>-727064.1</v>
      </c>
      <c r="BW101" s="400">
        <f>-BW54</f>
        <v>-602324.1</v>
      </c>
      <c r="BX101" s="400">
        <f>-BX54</f>
        <v>-481346.1</v>
      </c>
      <c r="BY101" s="400">
        <f>-BY54</f>
        <v>-260602.2</v>
      </c>
      <c r="BZ101" s="400">
        <f>-BZ54</f>
        <v>0</v>
      </c>
      <c r="CA101" s="400">
        <f>-CA54</f>
        <v>0</v>
      </c>
      <c r="CB101" s="400">
        <f>-CB54</f>
        <v>0</v>
      </c>
      <c r="CC101" s="400">
        <f>-CC54</f>
        <v>0</v>
      </c>
      <c r="CD101" s="400">
        <f>-CD54</f>
        <v>0</v>
      </c>
      <c r="CE101" s="400">
        <f>-CE54</f>
        <v>0</v>
      </c>
      <c r="CF101" s="400">
        <f>-CF54</f>
        <v>0</v>
      </c>
      <c r="CG101" s="400">
        <f>-CG54</f>
        <v>0</v>
      </c>
      <c r="CH101" s="400">
        <f>-CH54</f>
        <v>0</v>
      </c>
      <c r="CI101" s="400">
        <f>-CI54</f>
        <v>0</v>
      </c>
      <c r="CJ101" s="400">
        <f>-CJ54</f>
        <v>0</v>
      </c>
      <c r="CK101" s="400">
        <f>-CK54</f>
        <v>0</v>
      </c>
      <c r="CL101" s="400">
        <f>-CL54</f>
        <v>0</v>
      </c>
      <c r="CM101" s="400">
        <f>-CM54</f>
        <v>0</v>
      </c>
      <c r="CN101" s="400">
        <f>-CN54</f>
        <v>0</v>
      </c>
      <c r="CO101" s="400">
        <f>-CO54</f>
        <v>0</v>
      </c>
      <c r="CP101" s="400">
        <f>-CP54</f>
        <v>0</v>
      </c>
      <c r="CQ101" s="400">
        <f>-CQ54</f>
        <v>0</v>
      </c>
      <c r="CR101" s="400">
        <f>-CR54</f>
        <v>0</v>
      </c>
      <c r="CS101" s="400">
        <f>-CS54</f>
        <v>0</v>
      </c>
      <c r="CT101" s="400">
        <f>-CT54</f>
        <v>0</v>
      </c>
      <c r="CU101" s="400">
        <f>-CU54</f>
        <v>0</v>
      </c>
      <c r="CV101" s="400">
        <f>-CV54</f>
        <v>0</v>
      </c>
      <c r="CW101" s="400">
        <f>-CW54</f>
        <v>0</v>
      </c>
      <c r="CX101" s="400">
        <f>-CX54</f>
        <v>0</v>
      </c>
      <c r="CY101" s="400">
        <f>-CY54</f>
        <v>0</v>
      </c>
      <c r="CZ101" s="400">
        <f>-CZ54</f>
        <v>0</v>
      </c>
      <c r="DA101" s="400">
        <f>-DA54</f>
        <v>0</v>
      </c>
      <c r="DB101" s="400">
        <f>-DB54</f>
        <v>0</v>
      </c>
      <c r="DC101" s="400">
        <f>-DC54</f>
        <v>0</v>
      </c>
      <c r="DD101" s="400">
        <f>-DD54</f>
        <v>0</v>
      </c>
      <c r="DE101" s="400">
        <f>-DE54</f>
        <v>0</v>
      </c>
    </row>
    <row r="102" hidden="1" outlineLevel="1" ht="15" customFormat="1" customHeight="1" s="381">
      <c r="A102" s="408" t="inlineStr">
        <is>
          <t>BD-30</t>
        </is>
      </c>
      <c r="B102" s="400" t="n">
        <v>0</v>
      </c>
      <c r="C102" s="400" t="n">
        <v>0</v>
      </c>
      <c r="D102" s="400" t="n">
        <v>0</v>
      </c>
      <c r="E102" s="400" t="n">
        <v>0</v>
      </c>
      <c r="F102" s="400">
        <f>-F55</f>
        <v>0</v>
      </c>
      <c r="G102" s="400">
        <f>-G55</f>
        <v>0</v>
      </c>
      <c r="H102" s="400">
        <f>-H55</f>
        <v>0</v>
      </c>
      <c r="I102" s="400">
        <f>-I55</f>
        <v>0</v>
      </c>
      <c r="J102" s="400">
        <f>-J55</f>
        <v>0</v>
      </c>
      <c r="K102" s="400">
        <f>-K55</f>
        <v>0</v>
      </c>
      <c r="L102" s="400">
        <f>-L55</f>
        <v>0</v>
      </c>
      <c r="M102" s="400">
        <f>-M55</f>
        <v>0</v>
      </c>
      <c r="N102" s="400">
        <f>-N55</f>
        <v>0</v>
      </c>
      <c r="O102" s="400">
        <f>-O55</f>
        <v>0</v>
      </c>
      <c r="P102" s="400">
        <f>-P55</f>
        <v>0</v>
      </c>
      <c r="Q102" s="400">
        <f>-Q55</f>
        <v>0</v>
      </c>
      <c r="R102" s="400">
        <f>-R55</f>
        <v>0</v>
      </c>
      <c r="S102" s="400">
        <f>-S55</f>
        <v>0</v>
      </c>
      <c r="T102" s="400">
        <f>-T55</f>
        <v>0</v>
      </c>
      <c r="U102" s="400">
        <f>-U55</f>
        <v>0</v>
      </c>
      <c r="V102" s="400">
        <f>-V55</f>
        <v>0</v>
      </c>
      <c r="W102" s="400">
        <f>-W55</f>
        <v>0</v>
      </c>
      <c r="X102" s="400">
        <f>-X55</f>
        <v>0</v>
      </c>
      <c r="Y102" s="400">
        <f>-Y55</f>
        <v>0</v>
      </c>
      <c r="Z102" s="400">
        <f>-Z55</f>
        <v>0</v>
      </c>
      <c r="AA102" s="400">
        <f>-AA55</f>
        <v>0</v>
      </c>
      <c r="AB102" s="400">
        <f>-AB55</f>
        <v>0</v>
      </c>
      <c r="AC102" s="400">
        <f>-AC55</f>
        <v>0</v>
      </c>
      <c r="AD102" s="400">
        <f>-AD55</f>
        <v>0</v>
      </c>
      <c r="AE102" s="400">
        <f>-AE55</f>
        <v>0</v>
      </c>
      <c r="AF102" s="400">
        <f>-AF55</f>
        <v>0</v>
      </c>
      <c r="AG102" s="400">
        <f>-AG55</f>
        <v>0</v>
      </c>
      <c r="AH102" s="400">
        <f>-AH55</f>
        <v>0</v>
      </c>
      <c r="AI102" s="400">
        <f>-AI55</f>
        <v>0</v>
      </c>
      <c r="AJ102" s="400">
        <f>-AJ55</f>
        <v>0</v>
      </c>
      <c r="AK102" s="400">
        <f>-AK55</f>
        <v>0</v>
      </c>
      <c r="AL102" s="400">
        <f>-AL55</f>
        <v>0</v>
      </c>
      <c r="AM102" s="400">
        <f>-AM55</f>
        <v>0</v>
      </c>
      <c r="AN102" s="400">
        <f>-AN55</f>
        <v>0</v>
      </c>
      <c r="AO102" s="400">
        <f>-AO55</f>
        <v>0</v>
      </c>
      <c r="AP102" s="400">
        <f>-AP55</f>
        <v>0</v>
      </c>
      <c r="AQ102" s="400">
        <f>-AQ55</f>
        <v>0</v>
      </c>
      <c r="AR102" s="400">
        <f>-AR55</f>
        <v>0</v>
      </c>
      <c r="AS102" s="400">
        <f>-AS55</f>
        <v>0</v>
      </c>
      <c r="AT102" s="400">
        <f>-AT55</f>
        <v>0</v>
      </c>
      <c r="AU102" s="400">
        <f>-AU55</f>
        <v>0</v>
      </c>
      <c r="AV102" s="400">
        <f>-AV55</f>
        <v>0</v>
      </c>
      <c r="AW102" s="400">
        <f>-AW55</f>
        <v>0</v>
      </c>
      <c r="AX102" s="400">
        <f>-AX55</f>
        <v>0</v>
      </c>
      <c r="AY102" s="400">
        <f>-AY55</f>
        <v>0</v>
      </c>
      <c r="AZ102" s="400">
        <f>-AZ55</f>
        <v>0</v>
      </c>
      <c r="BA102" s="400">
        <f>-BA55</f>
        <v>0</v>
      </c>
      <c r="BB102" s="400">
        <f>-BB55</f>
        <v>0</v>
      </c>
      <c r="BC102" s="400">
        <f>-BC55</f>
        <v>0</v>
      </c>
      <c r="BD102" s="400">
        <f>-BD55</f>
        <v>0</v>
      </c>
      <c r="BE102" s="400">
        <f>-BE55</f>
        <v>0</v>
      </c>
      <c r="BF102" s="400">
        <f>-BF55</f>
        <v>0</v>
      </c>
      <c r="BG102" s="400">
        <f>-BG55</f>
        <v>0</v>
      </c>
      <c r="BH102" s="400">
        <f>-BH55</f>
        <v>-307461.75</v>
      </c>
      <c r="BI102" s="400">
        <f>-BI55</f>
        <v>-401121.75</v>
      </c>
      <c r="BJ102" s="400">
        <f>-BJ55</f>
        <v>-501936.75</v>
      </c>
      <c r="BK102" s="400">
        <f>-BK55</f>
        <v>-605886.75</v>
      </c>
      <c r="BL102" s="400">
        <f>-BL55</f>
        <v>-707976.75</v>
      </c>
      <c r="BM102" s="400">
        <f>-BM55</f>
        <v>-802536.75</v>
      </c>
      <c r="BN102" s="400">
        <f>-BN55</f>
        <v>-883761.75</v>
      </c>
      <c r="BO102" s="400">
        <f>-BO55</f>
        <v>-946266.75</v>
      </c>
      <c r="BP102" s="400">
        <f>-BP55</f>
        <v>-985686.75</v>
      </c>
      <c r="BQ102" s="400">
        <f>-BQ55</f>
        <v>-999156.75</v>
      </c>
      <c r="BR102" s="400">
        <f>-BR55</f>
        <v>-985686.75</v>
      </c>
      <c r="BS102" s="400">
        <f>-BS55</f>
        <v>-946266.75</v>
      </c>
      <c r="BT102" s="400">
        <f>-BT55</f>
        <v>-883761.75</v>
      </c>
      <c r="BU102" s="400">
        <f>-BU55</f>
        <v>-802536.75</v>
      </c>
      <c r="BV102" s="400">
        <f>-BV55</f>
        <v>-707976.75</v>
      </c>
      <c r="BW102" s="400">
        <f>-BW55</f>
        <v>-605886.75</v>
      </c>
      <c r="BX102" s="400">
        <f>-BX55</f>
        <v>-501936.75</v>
      </c>
      <c r="BY102" s="400">
        <f>-BY55</f>
        <v>-401121.75</v>
      </c>
      <c r="BZ102" s="400">
        <f>-BZ55</f>
        <v>-217168.5</v>
      </c>
      <c r="CA102" s="400">
        <f>-CA55</f>
        <v>0</v>
      </c>
      <c r="CB102" s="400">
        <f>-CB55</f>
        <v>0</v>
      </c>
      <c r="CC102" s="400">
        <f>-CC55</f>
        <v>0</v>
      </c>
      <c r="CD102" s="400">
        <f>-CD55</f>
        <v>0</v>
      </c>
      <c r="CE102" s="400">
        <f>-CE55</f>
        <v>0</v>
      </c>
      <c r="CF102" s="400">
        <f>-CF55</f>
        <v>0</v>
      </c>
      <c r="CG102" s="400">
        <f>-CG55</f>
        <v>0</v>
      </c>
      <c r="CH102" s="400">
        <f>-CH55</f>
        <v>0</v>
      </c>
      <c r="CI102" s="400">
        <f>-CI55</f>
        <v>0</v>
      </c>
      <c r="CJ102" s="400">
        <f>-CJ55</f>
        <v>0</v>
      </c>
      <c r="CK102" s="400">
        <f>-CK55</f>
        <v>0</v>
      </c>
      <c r="CL102" s="400">
        <f>-CL55</f>
        <v>0</v>
      </c>
      <c r="CM102" s="400">
        <f>-CM55</f>
        <v>0</v>
      </c>
      <c r="CN102" s="400">
        <f>-CN55</f>
        <v>0</v>
      </c>
      <c r="CO102" s="400">
        <f>-CO55</f>
        <v>0</v>
      </c>
      <c r="CP102" s="400">
        <f>-CP55</f>
        <v>0</v>
      </c>
      <c r="CQ102" s="400">
        <f>-CQ55</f>
        <v>0</v>
      </c>
      <c r="CR102" s="400">
        <f>-CR55</f>
        <v>0</v>
      </c>
      <c r="CS102" s="400">
        <f>-CS55</f>
        <v>0</v>
      </c>
      <c r="CT102" s="400">
        <f>-CT55</f>
        <v>0</v>
      </c>
      <c r="CU102" s="400">
        <f>-CU55</f>
        <v>0</v>
      </c>
      <c r="CV102" s="400">
        <f>-CV55</f>
        <v>0</v>
      </c>
      <c r="CW102" s="400">
        <f>-CW55</f>
        <v>0</v>
      </c>
      <c r="CX102" s="400">
        <f>-CX55</f>
        <v>0</v>
      </c>
      <c r="CY102" s="400">
        <f>-CY55</f>
        <v>0</v>
      </c>
      <c r="CZ102" s="400">
        <f>-CZ55</f>
        <v>0</v>
      </c>
      <c r="DA102" s="400">
        <f>-DA55</f>
        <v>0</v>
      </c>
      <c r="DB102" s="400">
        <f>-DB55</f>
        <v>0</v>
      </c>
      <c r="DC102" s="400">
        <f>-DC55</f>
        <v>0</v>
      </c>
      <c r="DD102" s="400">
        <f>-DD55</f>
        <v>0</v>
      </c>
      <c r="DE102" s="400">
        <f>-DE55</f>
        <v>0</v>
      </c>
    </row>
    <row r="103" hidden="1" outlineLevel="1" ht="15" customFormat="1" customHeight="1" s="381">
      <c r="A103" s="408" t="inlineStr">
        <is>
          <t>Other (non-project)</t>
        </is>
      </c>
      <c r="B103" s="400" t="n">
        <v>0</v>
      </c>
      <c r="C103" s="400" t="n">
        <v>0</v>
      </c>
      <c r="D103" s="400" t="n">
        <v>0</v>
      </c>
      <c r="E103" s="400" t="n">
        <v>-260.53</v>
      </c>
      <c r="F103" s="400" t="n">
        <v>0</v>
      </c>
      <c r="G103" s="400" t="n">
        <v>0</v>
      </c>
      <c r="H103" s="400" t="n">
        <v>0</v>
      </c>
      <c r="I103" s="400" t="n">
        <v>0</v>
      </c>
      <c r="J103" s="400" t="n">
        <v>0</v>
      </c>
      <c r="K103" s="400" t="n">
        <v>0</v>
      </c>
      <c r="L103" s="400" t="n">
        <v>0</v>
      </c>
      <c r="M103" s="400" t="n">
        <v>0</v>
      </c>
      <c r="N103" s="400" t="n">
        <v>0</v>
      </c>
      <c r="O103" s="400" t="n">
        <v>0</v>
      </c>
      <c r="P103" s="400" t="n">
        <v>0</v>
      </c>
      <c r="Q103" s="400" t="n">
        <v>0</v>
      </c>
      <c r="R103" s="400" t="n">
        <v>0</v>
      </c>
      <c r="S103" s="400" t="n">
        <v>0</v>
      </c>
      <c r="T103" s="400" t="n">
        <v>0</v>
      </c>
      <c r="U103" s="400" t="n">
        <v>0</v>
      </c>
      <c r="V103" s="400" t="n">
        <v>0</v>
      </c>
      <c r="W103" s="400" t="n">
        <v>0</v>
      </c>
      <c r="X103" s="400" t="n">
        <v>0</v>
      </c>
      <c r="Y103" s="400" t="n">
        <v>0</v>
      </c>
      <c r="Z103" s="400" t="n">
        <v>0</v>
      </c>
      <c r="AA103" s="400" t="n">
        <v>0</v>
      </c>
      <c r="AB103" s="400" t="n">
        <v>0</v>
      </c>
      <c r="AC103" s="400" t="n">
        <v>0</v>
      </c>
      <c r="AD103" s="400" t="n">
        <v>0</v>
      </c>
      <c r="AE103" s="400" t="n">
        <v>0</v>
      </c>
      <c r="AF103" s="400" t="n">
        <v>0</v>
      </c>
      <c r="AG103" s="400" t="n">
        <v>0</v>
      </c>
      <c r="AH103" s="400" t="n">
        <v>0</v>
      </c>
      <c r="AI103" s="400" t="n">
        <v>0</v>
      </c>
      <c r="AJ103" s="400" t="n">
        <v>0</v>
      </c>
      <c r="AK103" s="400" t="n">
        <v>0</v>
      </c>
      <c r="AL103" s="400" t="n">
        <v>0</v>
      </c>
      <c r="AM103" s="400" t="n">
        <v>0</v>
      </c>
      <c r="AN103" s="400" t="n">
        <v>0</v>
      </c>
      <c r="AO103" s="400" t="n">
        <v>0</v>
      </c>
      <c r="AP103" s="400" t="n">
        <v>0</v>
      </c>
      <c r="AQ103" s="400" t="n">
        <v>0</v>
      </c>
      <c r="AR103" s="400" t="n">
        <v>0</v>
      </c>
      <c r="AS103" s="400" t="n">
        <v>0</v>
      </c>
      <c r="AT103" s="400" t="n">
        <v>0</v>
      </c>
      <c r="AU103" s="400" t="n">
        <v>0</v>
      </c>
      <c r="AV103" s="400" t="n">
        <v>0</v>
      </c>
      <c r="AW103" s="400" t="n">
        <v>0</v>
      </c>
      <c r="AX103" s="400" t="n">
        <v>0</v>
      </c>
      <c r="AY103" s="400" t="n">
        <v>0</v>
      </c>
      <c r="AZ103" s="400" t="n">
        <v>0</v>
      </c>
      <c r="BA103" s="400" t="n">
        <v>0</v>
      </c>
      <c r="BB103" s="400" t="n">
        <v>0</v>
      </c>
      <c r="BC103" s="400" t="n">
        <v>0</v>
      </c>
      <c r="BD103" s="400" t="n">
        <v>0</v>
      </c>
      <c r="BE103" s="400" t="n">
        <v>0</v>
      </c>
      <c r="BF103" s="400" t="n">
        <v>0</v>
      </c>
      <c r="BG103" s="400" t="n">
        <v>0</v>
      </c>
      <c r="BH103" s="400" t="n">
        <v>0</v>
      </c>
      <c r="BI103" s="400" t="n">
        <v>0</v>
      </c>
      <c r="BJ103" s="400" t="n">
        <v>0</v>
      </c>
      <c r="BK103" s="400" t="n">
        <v>0</v>
      </c>
      <c r="BL103" s="400" t="n">
        <v>0</v>
      </c>
      <c r="BM103" s="400" t="n">
        <v>0</v>
      </c>
      <c r="BN103" s="400" t="n">
        <v>0</v>
      </c>
      <c r="BO103" s="400" t="n">
        <v>0</v>
      </c>
      <c r="BP103" s="400" t="n">
        <v>0</v>
      </c>
      <c r="BQ103" s="400" t="n">
        <v>0</v>
      </c>
      <c r="BR103" s="400" t="n">
        <v>0</v>
      </c>
      <c r="BS103" s="400" t="n">
        <v>0</v>
      </c>
      <c r="BT103" s="400" t="n">
        <v>0</v>
      </c>
      <c r="BU103" s="400" t="n">
        <v>0</v>
      </c>
      <c r="BV103" s="400" t="n">
        <v>0</v>
      </c>
      <c r="BW103" s="400" t="n">
        <v>0</v>
      </c>
      <c r="BX103" s="400" t="n">
        <v>0</v>
      </c>
      <c r="BY103" s="400" t="n">
        <v>0</v>
      </c>
      <c r="BZ103" s="400" t="n">
        <v>0</v>
      </c>
      <c r="CA103" s="400" t="n">
        <v>0</v>
      </c>
      <c r="CB103" s="400" t="n">
        <v>0</v>
      </c>
      <c r="CC103" s="400" t="n">
        <v>0</v>
      </c>
      <c r="CD103" s="400" t="n">
        <v>0</v>
      </c>
      <c r="CE103" s="400" t="n">
        <v>0</v>
      </c>
      <c r="CF103" s="400" t="n">
        <v>0</v>
      </c>
      <c r="CG103" s="400" t="n">
        <v>0</v>
      </c>
      <c r="CH103" s="400" t="n">
        <v>0</v>
      </c>
      <c r="CI103" s="400" t="n">
        <v>0</v>
      </c>
      <c r="CJ103" s="400" t="n">
        <v>0</v>
      </c>
      <c r="CK103" s="400" t="n">
        <v>0</v>
      </c>
      <c r="CL103" s="400" t="n">
        <v>0</v>
      </c>
      <c r="CM103" s="400" t="n">
        <v>0</v>
      </c>
      <c r="CN103" s="400" t="n">
        <v>0</v>
      </c>
      <c r="CO103" s="400" t="n">
        <v>0</v>
      </c>
      <c r="CP103" s="400" t="n">
        <v>0</v>
      </c>
      <c r="CQ103" s="400" t="n">
        <v>0</v>
      </c>
      <c r="CR103" s="400" t="n">
        <v>0</v>
      </c>
      <c r="CS103" s="400" t="n">
        <v>0</v>
      </c>
      <c r="CT103" s="400" t="n">
        <v>0</v>
      </c>
      <c r="CU103" s="400" t="n">
        <v>0</v>
      </c>
      <c r="CV103" s="400" t="n">
        <v>0</v>
      </c>
      <c r="CW103" s="400" t="n">
        <v>0</v>
      </c>
      <c r="CX103" s="400" t="n">
        <v>0</v>
      </c>
      <c r="CY103" s="400" t="n">
        <v>0</v>
      </c>
      <c r="CZ103" s="400" t="n">
        <v>0</v>
      </c>
      <c r="DA103" s="400" t="n">
        <v>0</v>
      </c>
      <c r="DB103" s="400" t="n">
        <v>0</v>
      </c>
      <c r="DC103" s="400" t="n">
        <v>0</v>
      </c>
      <c r="DD103" s="400" t="n">
        <v>0</v>
      </c>
      <c r="DE103" s="400" t="n">
        <v>0</v>
      </c>
    </row>
    <row r="104" ht="15" customFormat="1" customHeight="1" s="381">
      <c r="A104" s="409" t="inlineStr">
        <is>
          <t>Total COGS - Trade and Site Costs</t>
        </is>
      </c>
      <c r="B104" s="410">
        <f>SUM(B60:B103)</f>
        <v>-1233067.43</v>
      </c>
      <c r="C104" s="410">
        <f>SUM(C60:C103)</f>
        <v>-3073522.36</v>
      </c>
      <c r="D104" s="410">
        <f>SUM(D60:D103)</f>
        <v>-2078031.64</v>
      </c>
      <c r="E104" s="410">
        <f>SUM(E60:E103)</f>
        <v>-3244999.65</v>
      </c>
      <c r="F104" s="410">
        <f>SUM(F60:F103)</f>
        <v>-3942274.93</v>
      </c>
      <c r="G104" s="410">
        <f>SUM(G60:G103)</f>
        <v>-5600617.85</v>
      </c>
      <c r="H104" s="410">
        <f>SUM(H60:H103)</f>
        <v>-4479813.60450137</v>
      </c>
      <c r="I104" s="410">
        <f>SUM(I60:I103)</f>
        <v>-5408554.72146914</v>
      </c>
      <c r="J104" s="410">
        <f>SUM(J60:J103)</f>
        <v>-5520499.4744891</v>
      </c>
      <c r="K104" s="410">
        <f>SUM(K60:K103)</f>
        <v>-5581458.07663002</v>
      </c>
      <c r="L104" s="410">
        <f>SUM(L60:L103)</f>
        <v>-5925857.6965389</v>
      </c>
      <c r="M104" s="410">
        <f>SUM(M60:M103)</f>
        <v>-5472165.97606352</v>
      </c>
      <c r="N104" s="410">
        <f>SUM(N60:N103)</f>
        <v>-6229526.83447088</v>
      </c>
      <c r="O104" s="410">
        <f>SUM(O60:O103)</f>
        <v>-6479289.61022316</v>
      </c>
      <c r="P104" s="410">
        <f>SUM(P60:P103)</f>
        <v>-6701045.43938829</v>
      </c>
      <c r="Q104" s="410">
        <f>SUM(Q60:Q103)</f>
        <v>-6890136.01820683</v>
      </c>
      <c r="R104" s="410">
        <f>SUM(R60:R103)</f>
        <v>-7909768.10073129</v>
      </c>
      <c r="S104" s="410">
        <f>SUM(S60:S103)</f>
        <v>-8447716.01579931</v>
      </c>
      <c r="T104" s="410">
        <f>SUM(T60:T103)</f>
        <v>-8606240.81908872</v>
      </c>
      <c r="U104" s="410">
        <f>SUM(U60:U103)</f>
        <v>-8697937.95170024</v>
      </c>
      <c r="V104" s="410">
        <f>SUM(V60:V103)</f>
        <v>-9214562.21091917</v>
      </c>
      <c r="W104" s="410">
        <f>SUM(W60:W103)</f>
        <v>-9617607.09206563</v>
      </c>
      <c r="X104" s="410">
        <f>SUM(X60:X103)</f>
        <v>-10378453.0999168</v>
      </c>
      <c r="Y104" s="410">
        <f>SUM(Y60:Y103)</f>
        <v>-10676973.7524712</v>
      </c>
      <c r="Z104" s="410">
        <f>SUM(Z60:Z103)</f>
        <v>-10836062.1466371</v>
      </c>
      <c r="AA104" s="410">
        <f>SUM(AA60:AA103)</f>
        <v>-10771208.0348708</v>
      </c>
      <c r="AB104" s="410">
        <f>SUM(AB60:AB103)</f>
        <v>-10891134.6973212</v>
      </c>
      <c r="AC104" s="410">
        <f>SUM(AC60:AC103)</f>
        <v>-10790115.9622285</v>
      </c>
      <c r="AD104" s="410">
        <f>SUM(AD60:AD103)</f>
        <v>-10554322.7945673</v>
      </c>
      <c r="AE104" s="410">
        <f>SUM(AE60:AE103)</f>
        <v>-10701718.4708512</v>
      </c>
      <c r="AF104" s="410">
        <f>SUM(AF60:AF103)</f>
        <v>-10134612.1009868</v>
      </c>
      <c r="AG104" s="410">
        <f>SUM(AG60:AG103)</f>
        <v>-9753644.82167201</v>
      </c>
      <c r="AH104" s="410">
        <f>SUM(AH60:AH103)</f>
        <v>-9854294.86036177</v>
      </c>
      <c r="AI104" s="410">
        <f>SUM(AI60:AI103)</f>
        <v>-9803530.60738018</v>
      </c>
      <c r="AJ104" s="410">
        <f>SUM(AJ60:AJ103)</f>
        <v>-9697357.93622615</v>
      </c>
      <c r="AK104" s="410">
        <f>SUM(AK60:AK103)</f>
        <v>-9733253.661039</v>
      </c>
      <c r="AL104" s="410">
        <f>SUM(AL60:AL103)</f>
        <v>-9547830.67652574</v>
      </c>
      <c r="AM104" s="410">
        <f>SUM(AM60:AM103)</f>
        <v>-9685273.23623228</v>
      </c>
      <c r="AN104" s="410">
        <f>SUM(AN60:AN103)</f>
        <v>-10411882.7727189</v>
      </c>
      <c r="AO104" s="410">
        <f>SUM(AO60:AO103)</f>
        <v>-11135409.1180547</v>
      </c>
      <c r="AP104" s="410">
        <f>SUM(AP60:AP103)</f>
        <v>-11902936.2473552</v>
      </c>
      <c r="AQ104" s="410">
        <f>SUM(AQ60:AQ103)</f>
        <v>-12069943.4395813</v>
      </c>
      <c r="AR104" s="410">
        <f>SUM(AR60:AR103)</f>
        <v>-12524697.7896413</v>
      </c>
      <c r="AS104" s="410">
        <f>SUM(AS60:AS103)</f>
        <v>-12800322.3122453</v>
      </c>
      <c r="AT104" s="410">
        <f>SUM(AT60:AT103)</f>
        <v>-12768061.0801153</v>
      </c>
      <c r="AU104" s="410">
        <f>SUM(AU60:AU103)</f>
        <v>-12418700.296605</v>
      </c>
      <c r="AV104" s="410">
        <f>SUM(AV60:AV103)</f>
        <v>-12664983.0565475</v>
      </c>
      <c r="AW104" s="410">
        <f>SUM(AW60:AW103)</f>
        <v>-12493114.6515715</v>
      </c>
      <c r="AX104" s="410">
        <f>SUM(AX60:AX103)</f>
        <v>-12124939.1956995</v>
      </c>
      <c r="AY104" s="410">
        <f>SUM(AY60:AY103)</f>
        <v>-11471712.4566355</v>
      </c>
      <c r="AZ104" s="410">
        <f>SUM(AZ60:AZ103)</f>
        <v>-10814646.3891395</v>
      </c>
      <c r="BA104" s="410">
        <f>SUM(BA60:BA103)</f>
        <v>-10295814.4303955</v>
      </c>
      <c r="BB104" s="410">
        <f>SUM(BB60:BB103)</f>
        <v>-9843691.56295545</v>
      </c>
      <c r="BC104" s="410">
        <f>SUM(BC60:BC103)</f>
        <v>-9482151.13326745</v>
      </c>
      <c r="BD104" s="410">
        <f>SUM(BD60:BD103)</f>
        <v>-9289860.76925145</v>
      </c>
      <c r="BE104" s="410">
        <f>SUM(BE60:BE103)</f>
        <v>-9154886.62566745</v>
      </c>
      <c r="BF104" s="410">
        <f>SUM(BF60:BF103)</f>
        <v>-9133670.38411545</v>
      </c>
      <c r="BG104" s="410">
        <f>SUM(BG60:BG103)</f>
        <v>-9331748.68450745</v>
      </c>
      <c r="BH104" s="410">
        <f>SUM(BH60:BH103)</f>
        <v>-9321493.61390785</v>
      </c>
      <c r="BI104" s="410">
        <f>SUM(BI60:BI103)</f>
        <v>-9161640.15</v>
      </c>
      <c r="BJ104" s="410">
        <f>SUM(BJ60:BJ103)</f>
        <v>-9351697.65</v>
      </c>
      <c r="BK104" s="410">
        <f>SUM(BK60:BK103)</f>
        <v>-9599422.65</v>
      </c>
      <c r="BL104" s="410">
        <f>SUM(BL60:BL103)</f>
        <v>-9671281.65</v>
      </c>
      <c r="BM104" s="410">
        <f>SUM(BM60:BM103)</f>
        <v>-9450720.75</v>
      </c>
      <c r="BN104" s="410">
        <f>SUM(BN60:BN103)</f>
        <v>-8905167.3</v>
      </c>
      <c r="BO104" s="410">
        <f>SUM(BO60:BO103)</f>
        <v>-8391211.8</v>
      </c>
      <c r="BP104" s="410">
        <f>SUM(BP60:BP103)</f>
        <v>-7916656.8</v>
      </c>
      <c r="BQ104" s="410">
        <f>SUM(BQ60:BQ103)</f>
        <v>-7292362.8</v>
      </c>
      <c r="BR104" s="410">
        <f>SUM(BR60:BR103)</f>
        <v>-6463415.55</v>
      </c>
      <c r="BS104" s="410">
        <f>SUM(BS60:BS103)</f>
        <v>-5408019.15</v>
      </c>
      <c r="BT104" s="410">
        <f>SUM(BT60:BT103)</f>
        <v>-4381283.7</v>
      </c>
      <c r="BU104" s="410">
        <f>SUM(BU60:BU103)</f>
        <v>-3458446.95</v>
      </c>
      <c r="BV104" s="410">
        <f>SUM(BV60:BV103)</f>
        <v>-2598701.55</v>
      </c>
      <c r="BW104" s="410">
        <f>SUM(BW60:BW103)</f>
        <v>-1826501.1</v>
      </c>
      <c r="BX104" s="410">
        <f>SUM(BX60:BX103)</f>
        <v>-1200451.35</v>
      </c>
      <c r="BY104" s="410">
        <f>SUM(BY60:BY103)</f>
        <v>-661723.95</v>
      </c>
      <c r="BZ104" s="410">
        <f>SUM(BZ60:BZ103)</f>
        <v>-217168.5</v>
      </c>
      <c r="CA104" s="410">
        <f>SUM(CA60:CA103)</f>
        <v>0</v>
      </c>
      <c r="CB104" s="410">
        <f>SUM(CB60:CB103)</f>
        <v>0</v>
      </c>
      <c r="CC104" s="410">
        <f>SUM(CC60:CC103)</f>
        <v>0</v>
      </c>
      <c r="CD104" s="410">
        <f>SUM(CD60:CD103)</f>
        <v>0</v>
      </c>
      <c r="CE104" s="410">
        <f>SUM(CE60:CE103)</f>
        <v>0</v>
      </c>
      <c r="CF104" s="410">
        <f>SUM(CF60:CF103)</f>
        <v>0</v>
      </c>
      <c r="CG104" s="410">
        <f>SUM(CG60:CG103)</f>
        <v>0</v>
      </c>
      <c r="CH104" s="410">
        <f>SUM(CH60:CH103)</f>
        <v>0</v>
      </c>
      <c r="CI104" s="410">
        <f>SUM(CI60:CI103)</f>
        <v>0</v>
      </c>
      <c r="CJ104" s="410">
        <f>SUM(CJ60:CJ103)</f>
        <v>0</v>
      </c>
      <c r="CK104" s="410">
        <f>SUM(CK60:CK103)</f>
        <v>0</v>
      </c>
      <c r="CL104" s="410">
        <f>SUM(CL60:CL103)</f>
        <v>0</v>
      </c>
      <c r="CM104" s="410">
        <f>SUM(CM60:CM103)</f>
        <v>0</v>
      </c>
      <c r="CN104" s="410">
        <f>SUM(CN60:CN103)</f>
        <v>0</v>
      </c>
      <c r="CO104" s="410">
        <f>SUM(CO60:CO103)</f>
        <v>0</v>
      </c>
      <c r="CP104" s="410">
        <f>SUM(CP60:CP103)</f>
        <v>0</v>
      </c>
      <c r="CQ104" s="410">
        <f>SUM(CQ60:CQ103)</f>
        <v>0</v>
      </c>
      <c r="CR104" s="410">
        <f>SUM(CR60:CR103)</f>
        <v>0</v>
      </c>
      <c r="CS104" s="410">
        <f>SUM(CS60:CS103)</f>
        <v>0</v>
      </c>
      <c r="CT104" s="410">
        <f>SUM(CT60:CT103)</f>
        <v>0</v>
      </c>
      <c r="CU104" s="410">
        <f>SUM(CU60:CU103)</f>
        <v>0</v>
      </c>
      <c r="CV104" s="410">
        <f>SUM(CV60:CV103)</f>
        <v>0</v>
      </c>
      <c r="CW104" s="410">
        <f>SUM(CW60:CW103)</f>
        <v>0</v>
      </c>
      <c r="CX104" s="410">
        <f>SUM(CX60:CX103)</f>
        <v>0</v>
      </c>
      <c r="CY104" s="410">
        <f>SUM(CY60:CY103)</f>
        <v>0</v>
      </c>
      <c r="CZ104" s="410">
        <f>SUM(CZ60:CZ103)</f>
        <v>0</v>
      </c>
      <c r="DA104" s="410">
        <f>SUM(DA60:DA103)</f>
        <v>0</v>
      </c>
      <c r="DB104" s="410">
        <f>SUM(DB60:DB103)</f>
        <v>0</v>
      </c>
      <c r="DC104" s="410">
        <f>SUM(DC60:DC103)</f>
        <v>0</v>
      </c>
      <c r="DD104" s="410">
        <f>SUM(DD60:DD103)</f>
        <v>0</v>
      </c>
      <c r="DE104" s="410">
        <f>SUM(DE60:DE103)</f>
        <v>0</v>
      </c>
    </row>
    <row r="105" ht="15" customFormat="1" customHeight="1" s="381">
      <c r="A105" s="398" t="inlineStr">
        <is>
          <t>Bonding Revenue</t>
        </is>
      </c>
      <c r="B105" s="393">
        <f>IF(ISBLANK(Actuals!C15),0,Actuals!C15)</f>
        <v>0</v>
      </c>
      <c r="C105" s="393">
        <f>IF(ISBLANK(Actuals!D15),0,Actuals!D15)</f>
        <v>0</v>
      </c>
      <c r="D105" s="393">
        <f>IF(ISBLANK(Actuals!E15),0,Actuals!E15)</f>
        <v>0</v>
      </c>
      <c r="E105" s="393">
        <f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393">
        <f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393">
        <f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393">
        <f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393">
        <f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1243016.26</v>
      </c>
      <c r="J105" s="393">
        <f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0</v>
      </c>
      <c r="K105" s="393">
        <f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393">
        <f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393">
        <f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393">
        <f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393">
        <f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393">
        <f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393">
        <f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393">
        <f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393">
        <f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393">
        <f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393">
        <f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393">
        <f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393">
        <f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393">
        <f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393">
        <f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393">
        <f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393">
        <f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393">
        <f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393">
        <f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393">
        <f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393">
        <f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393">
        <f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393">
        <f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393">
        <f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393">
        <f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393">
        <f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393">
        <f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393">
        <f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0</v>
      </c>
      <c r="AM105" s="393">
        <f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393">
        <f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393">
        <f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393">
        <f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393">
        <f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393">
        <f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393">
        <f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393">
        <f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393">
        <f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393">
        <f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393">
        <f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393">
        <f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393">
        <f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393">
        <f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393">
        <f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393">
        <f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393">
        <f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393">
        <f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393">
        <f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393">
        <f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393">
        <f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393">
        <f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393">
        <f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393">
        <f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0</v>
      </c>
      <c r="BK105" s="393">
        <f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393">
        <f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393">
        <f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393">
        <f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393">
        <f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393">
        <f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393">
        <f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393">
        <f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393">
        <f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393">
        <f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393">
        <f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393">
        <f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393">
        <f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393">
        <f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393">
        <f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393">
        <f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393">
        <f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393">
        <f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393">
        <f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393">
        <f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393">
        <f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393">
        <f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393">
        <f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393">
        <f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0</v>
      </c>
      <c r="CI105" s="393">
        <f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393">
        <f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393">
        <f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393">
        <f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393">
        <f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393">
        <f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393">
        <f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393">
        <f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393">
        <f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393">
        <f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393">
        <f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393">
        <f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393">
        <f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393">
        <f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393">
        <f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393">
        <f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393">
        <f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393">
        <f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393">
        <f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393">
        <f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393">
        <f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393">
        <f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393">
        <f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ht="15" customFormat="1" customHeight="1" s="381">
      <c r="A106" s="398" t="inlineStr">
        <is>
          <t>Bonding Costs</t>
        </is>
      </c>
      <c r="B106" s="393">
        <f>IF(ISBLANK(Actuals!C16),0,Actuals!C16)</f>
        <v>-1966.5</v>
      </c>
      <c r="C106" s="393">
        <f>IF(ISBLANK(Actuals!D16),0,Actuals!D16)</f>
        <v>0</v>
      </c>
      <c r="D106" s="393">
        <f>IF(ISBLANK(Actuals!E16),0,Actuals!E16)</f>
        <v>0</v>
      </c>
      <c r="E106" s="393">
        <f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393">
        <f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393">
        <f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393">
        <f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393">
        <f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-1205611.92330814</v>
      </c>
      <c r="J106" s="393">
        <f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0</v>
      </c>
      <c r="K106" s="393">
        <f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0</v>
      </c>
      <c r="L106" s="393">
        <f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393">
        <f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0</v>
      </c>
      <c r="N106" s="393">
        <f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0</v>
      </c>
      <c r="O106" s="393">
        <f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0</v>
      </c>
      <c r="P106" s="393">
        <f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0</v>
      </c>
      <c r="Q106" s="393">
        <f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0</v>
      </c>
      <c r="R106" s="393">
        <f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393">
        <f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393">
        <f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393">
        <f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0</v>
      </c>
      <c r="V106" s="393">
        <f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0</v>
      </c>
      <c r="W106" s="393">
        <f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0</v>
      </c>
      <c r="X106" s="393">
        <f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0</v>
      </c>
      <c r="Y106" s="393">
        <f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0</v>
      </c>
      <c r="Z106" s="393">
        <f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0</v>
      </c>
      <c r="AA106" s="393">
        <f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0</v>
      </c>
      <c r="AB106" s="393">
        <f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0</v>
      </c>
      <c r="AC106" s="393">
        <f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0</v>
      </c>
      <c r="AD106" s="393">
        <f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0</v>
      </c>
      <c r="AE106" s="393">
        <f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393">
        <f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0</v>
      </c>
      <c r="AG106" s="393">
        <f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0</v>
      </c>
      <c r="AH106" s="393">
        <f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0</v>
      </c>
      <c r="AI106" s="393">
        <f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0</v>
      </c>
      <c r="AJ106" s="393">
        <f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0</v>
      </c>
      <c r="AK106" s="393">
        <f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0</v>
      </c>
      <c r="AL106" s="393">
        <f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0</v>
      </c>
      <c r="AM106" s="393">
        <f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0</v>
      </c>
      <c r="AN106" s="393">
        <f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0</v>
      </c>
      <c r="AO106" s="393">
        <f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0</v>
      </c>
      <c r="AP106" s="393">
        <f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0</v>
      </c>
      <c r="AQ106" s="393">
        <f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0</v>
      </c>
      <c r="AR106" s="393">
        <f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0</v>
      </c>
      <c r="AS106" s="393">
        <f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0</v>
      </c>
      <c r="AT106" s="393">
        <f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0</v>
      </c>
      <c r="AU106" s="393">
        <f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0</v>
      </c>
      <c r="AV106" s="393">
        <f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0</v>
      </c>
      <c r="AW106" s="393">
        <f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0</v>
      </c>
      <c r="AX106" s="393">
        <f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0</v>
      </c>
      <c r="AY106" s="393">
        <f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0</v>
      </c>
      <c r="AZ106" s="393">
        <f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0</v>
      </c>
      <c r="BA106" s="393">
        <f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0</v>
      </c>
      <c r="BB106" s="393">
        <f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0</v>
      </c>
      <c r="BC106" s="393">
        <f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0</v>
      </c>
      <c r="BD106" s="393">
        <f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0</v>
      </c>
      <c r="BE106" s="393">
        <f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0</v>
      </c>
      <c r="BF106" s="393">
        <f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0</v>
      </c>
      <c r="BG106" s="393">
        <f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0</v>
      </c>
      <c r="BH106" s="393">
        <f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0</v>
      </c>
      <c r="BI106" s="393">
        <f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0</v>
      </c>
      <c r="BJ106" s="393">
        <f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0</v>
      </c>
      <c r="BK106" s="393">
        <f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0</v>
      </c>
      <c r="BL106" s="393">
        <f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0</v>
      </c>
      <c r="BM106" s="393">
        <f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0</v>
      </c>
      <c r="BN106" s="393">
        <f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0</v>
      </c>
      <c r="BO106" s="393">
        <f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0</v>
      </c>
      <c r="BP106" s="393">
        <f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0</v>
      </c>
      <c r="BQ106" s="393">
        <f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0</v>
      </c>
      <c r="BR106" s="393">
        <f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0</v>
      </c>
      <c r="BS106" s="393">
        <f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0</v>
      </c>
      <c r="BT106" s="393">
        <f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0</v>
      </c>
      <c r="BU106" s="393">
        <f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0</v>
      </c>
      <c r="BV106" s="393">
        <f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0</v>
      </c>
      <c r="BW106" s="393">
        <f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0</v>
      </c>
      <c r="BX106" s="393">
        <f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0</v>
      </c>
      <c r="BY106" s="393">
        <f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0</v>
      </c>
      <c r="BZ106" s="393">
        <f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0</v>
      </c>
      <c r="CA106" s="393">
        <f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0</v>
      </c>
      <c r="CB106" s="393">
        <f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0</v>
      </c>
      <c r="CC106" s="393">
        <f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0</v>
      </c>
      <c r="CD106" s="393">
        <f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0</v>
      </c>
      <c r="CE106" s="393">
        <f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0</v>
      </c>
      <c r="CF106" s="393">
        <f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0</v>
      </c>
      <c r="CG106" s="393">
        <f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0</v>
      </c>
      <c r="CH106" s="393">
        <f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0</v>
      </c>
      <c r="CI106" s="393">
        <f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0</v>
      </c>
      <c r="CJ106" s="393">
        <f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0</v>
      </c>
      <c r="CK106" s="393">
        <f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0</v>
      </c>
      <c r="CL106" s="393">
        <f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0</v>
      </c>
      <c r="CM106" s="393">
        <f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0</v>
      </c>
      <c r="CN106" s="393">
        <f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0</v>
      </c>
      <c r="CO106" s="393">
        <f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0</v>
      </c>
      <c r="CP106" s="393">
        <f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0</v>
      </c>
      <c r="CQ106" s="393">
        <f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0</v>
      </c>
      <c r="CR106" s="393">
        <f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0</v>
      </c>
      <c r="CS106" s="393">
        <f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0</v>
      </c>
      <c r="CT106" s="393">
        <f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0</v>
      </c>
      <c r="CU106" s="393">
        <f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0</v>
      </c>
      <c r="CV106" s="393">
        <f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0</v>
      </c>
      <c r="CW106" s="393">
        <f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0</v>
      </c>
      <c r="CX106" s="393">
        <f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0</v>
      </c>
      <c r="CY106" s="393">
        <f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0</v>
      </c>
      <c r="CZ106" s="393">
        <f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0</v>
      </c>
      <c r="DA106" s="393">
        <f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0</v>
      </c>
      <c r="DB106" s="393">
        <f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0</v>
      </c>
      <c r="DC106" s="393">
        <f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0</v>
      </c>
      <c r="DD106" s="393">
        <f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0</v>
      </c>
      <c r="DE106" s="393">
        <f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0</v>
      </c>
    </row>
    <row r="107" ht="15" customFormat="1" customHeight="1" s="381">
      <c r="A107" s="411" t="inlineStr">
        <is>
          <t>Gross Profit</t>
        </is>
      </c>
      <c r="B107" s="412">
        <f>B10+B11+B57+B104+B105+B106</f>
        <v>218756.86</v>
      </c>
      <c r="C107" s="412">
        <f>C10+C11+C57+C104+C105+C106</f>
        <v>-51000.77</v>
      </c>
      <c r="D107" s="412">
        <f>D10+D11+D57+D104+D105+D106</f>
        <v>594184.52</v>
      </c>
      <c r="E107" s="412">
        <f>E10+E11+E57+E104+E105+E106</f>
        <v>447358.25</v>
      </c>
      <c r="F107" s="412">
        <f>F10+F11+F57+F104+F105+F106</f>
        <v>473786.7</v>
      </c>
      <c r="G107" s="412">
        <f>G10+G11+G57+G104+G105+G106</f>
        <v>651645.13</v>
      </c>
      <c r="H107" s="412">
        <f>H10+H11+H57+H104+H105+H106</f>
        <v>453210.539583304</v>
      </c>
      <c r="I107" s="412">
        <f>I10+I11+I57+I104+I105+I106</f>
        <v>780640.358165302</v>
      </c>
      <c r="J107" s="412">
        <f>J10+J11+J57+J104+J105+J106</f>
        <v>730968.477978079</v>
      </c>
      <c r="K107" s="412">
        <f>K10+K11+K57+K104+K105+K106</f>
        <v>712627.123752175</v>
      </c>
      <c r="L107" s="412">
        <f>L10+L11+L57+L104+L105+L106</f>
        <v>417941.451693256</v>
      </c>
      <c r="M107" s="412">
        <f>M10+M11+M57+M104+M105+M106</f>
        <v>701941.532727534</v>
      </c>
      <c r="N107" s="412">
        <f>N10+N11+N57+N104+N105+N106</f>
        <v>874494.087548112</v>
      </c>
      <c r="O107" s="412">
        <f>O10+O11+O57+O104+O105+O106</f>
        <v>848897.413030368</v>
      </c>
      <c r="P107" s="412">
        <f>P10+P11+P57+P104+P105+P106</f>
        <v>820970.788388162</v>
      </c>
      <c r="Q107" s="412">
        <f>Q10+Q11+Q57+Q104+Q105+Q106</f>
        <v>792044.960196431</v>
      </c>
      <c r="R107" s="412">
        <f>R10+R11+R57+R104+R105+R106</f>
        <v>-32092.5482680374</v>
      </c>
      <c r="S107" s="412">
        <f>S10+S11+S57+S104+S105+S106</f>
        <v>870740.169089858</v>
      </c>
      <c r="T107" s="412">
        <f>T10+T11+T57+T104+T105+T106</f>
        <v>781927.980723498</v>
      </c>
      <c r="U107" s="412">
        <f>U10+U11+U57+U104+U105+U106</f>
        <v>1052118.10314294</v>
      </c>
      <c r="V107" s="412">
        <f>V10+V11+V57+V104+V105+V106</f>
        <v>1049335.2024853</v>
      </c>
      <c r="W107" s="412">
        <f>W10+W11+W57+W104+W105+W106</f>
        <v>1046749.8086888</v>
      </c>
      <c r="X107" s="412">
        <f>X10+X11+X57+X104+X105+X106</f>
        <v>1155032.57112269</v>
      </c>
      <c r="Y107" s="412">
        <f>Y10+Y11+Y57+Y104+Y105+Y106</f>
        <v>1155032.57112269</v>
      </c>
      <c r="Z107" s="412">
        <f>Z10+Z11+Z57+Z104+Z105+Z106</f>
        <v>1155032.57112269</v>
      </c>
      <c r="AA107" s="412">
        <f>AA10+AA11+AA57+AA104+AA105+AA106</f>
        <v>1233249.25574446</v>
      </c>
      <c r="AB107" s="412">
        <f>AB10+AB11+AB57+AB104+AB105+AB106</f>
        <v>1185167.78650091</v>
      </c>
      <c r="AC107" s="412">
        <f>AC10+AC11+AC57+AC104+AC105+AC106</f>
        <v>1185167.78650091</v>
      </c>
      <c r="AD107" s="412">
        <f>AD10+AD11+AD57+AD104+AD105+AD106</f>
        <v>1185167.78650091</v>
      </c>
      <c r="AE107" s="412">
        <f>AE10+AE11+AE57+AE104+AE105+AE106</f>
        <v>619121.367369457</v>
      </c>
      <c r="AF107" s="412">
        <f>AF10+AF11+AF57+AF104+AF105+AF106</f>
        <v>1537330.04796512</v>
      </c>
      <c r="AG107" s="412">
        <f>AG10+AG11+AG57+AG104+AG105+AG106</f>
        <v>1256676.70677379</v>
      </c>
      <c r="AH107" s="412">
        <f>AH10+AH11+AH57+AH104+AH105+AH106</f>
        <v>1365028.60677379</v>
      </c>
      <c r="AI107" s="412">
        <f>AI10+AI11+AI57+AI104+AI105+AI106</f>
        <v>1583317.98634154</v>
      </c>
      <c r="AJ107" s="412">
        <f>AJ10+AJ11+AJ57+AJ104+AJ105+AJ106</f>
        <v>1536480.35562591</v>
      </c>
      <c r="AK107" s="412">
        <f>AK10+AK11+AK57+AK104+AK105+AK106</f>
        <v>1510508.13431616</v>
      </c>
      <c r="AL107" s="412">
        <f>AL10+AL11+AL57+AL104+AL105+AL106</f>
        <v>1919475.0057135</v>
      </c>
      <c r="AM107" s="412">
        <f>AM10+AM11+AM57+AM104+AM105+AM106</f>
        <v>1244076.84978468</v>
      </c>
      <c r="AN107" s="412">
        <f>AN10+AN11+AN57+AN104+AN105+AN106</f>
        <v>1334370.09978468</v>
      </c>
      <c r="AO107" s="412">
        <f>AO10+AO11+AO57+AO104+AO105+AO106</f>
        <v>1424663.34978468</v>
      </c>
      <c r="AP107" s="412">
        <f>AP10+AP11+AP57+AP104+AP105+AP106</f>
        <v>1533015.24978468</v>
      </c>
      <c r="AQ107" s="412">
        <f>AQ10+AQ11+AQ57+AQ104+AQ105+AQ106</f>
        <v>1623308.49978468</v>
      </c>
      <c r="AR107" s="412">
        <f>AR10+AR11+AR57+AR104+AR105+AR106</f>
        <v>1623308.49978468</v>
      </c>
      <c r="AS107" s="412">
        <f>AS10+AS11+AS57+AS104+AS105+AS106</f>
        <v>1623308.49978468</v>
      </c>
      <c r="AT107" s="412">
        <f>AT10+AT11+AT57+AT104+AT105+AT106</f>
        <v>1731660.39978468</v>
      </c>
      <c r="AU107" s="412">
        <f>AU10+AU11+AU57+AU104+AU105+AU106</f>
        <v>2046441.33338102</v>
      </c>
      <c r="AV107" s="412">
        <f>AV10+AV11+AV57+AV104+AV105+AV106</f>
        <v>1421765.14086855</v>
      </c>
      <c r="AW107" s="412">
        <f>AW10+AW11+AW57+AW104+AW105+AW106</f>
        <v>1421765.14086855</v>
      </c>
      <c r="AX107" s="412">
        <f>AX10+AX11+AX57+AX104+AX105+AX106</f>
        <v>1421765.14086855</v>
      </c>
      <c r="AY107" s="412">
        <f>AY10+AY11+AY57+AY104+AY105+AY106</f>
        <v>1530117.04086855</v>
      </c>
      <c r="AZ107" s="412">
        <f>AZ10+AZ11+AZ57+AZ104+AZ105+AZ106</f>
        <v>1512058.39086855</v>
      </c>
      <c r="BA107" s="412">
        <f>BA10+BA11+BA57+BA104+BA105+BA106</f>
        <v>1493999.74086855</v>
      </c>
      <c r="BB107" s="412">
        <f>BB10+BB11+BB57+BB104+BB105+BB106</f>
        <v>1493999.74086855</v>
      </c>
      <c r="BC107" s="412">
        <f>BC10+BC11+BC57+BC104+BC105+BC106</f>
        <v>1493999.74086855</v>
      </c>
      <c r="BD107" s="412">
        <f>BD10+BD11+BD57+BD104+BD105+BD106</f>
        <v>1512058.39086855</v>
      </c>
      <c r="BE107" s="412">
        <f>BE10+BE11+BE57+BE104+BE105+BE106</f>
        <v>1530117.04086855</v>
      </c>
      <c r="BF107" s="412">
        <f>BF10+BF11+BF57+BF104+BF105+BF106</f>
        <v>1493999.74086855</v>
      </c>
      <c r="BG107" s="412">
        <f>BG10+BG11+BG57+BG104+BG105+BG106</f>
        <v>1512058.39086855</v>
      </c>
      <c r="BH107" s="412">
        <f>BH10+BH11+BH57+BH104+BH105+BH106</f>
        <v>1779053.31592415</v>
      </c>
      <c r="BI107" s="412">
        <f>BI10+BI11+BI57+BI104+BI105+BI106</f>
        <v>1246046.85</v>
      </c>
      <c r="BJ107" s="412">
        <f>BJ10+BJ11+BJ57+BJ104+BJ105+BJ106</f>
        <v>1065460.35</v>
      </c>
      <c r="BK107" s="412">
        <f>BK10+BK11+BK57+BK104+BK105+BK106</f>
        <v>1065460.35</v>
      </c>
      <c r="BL107" s="412">
        <f>BL10+BL11+BL57+BL104+BL105+BL106</f>
        <v>1065460.35</v>
      </c>
      <c r="BM107" s="412">
        <f>BM10+BM11+BM57+BM104+BM105+BM106</f>
        <v>1173812.25</v>
      </c>
      <c r="BN107" s="412">
        <f>BN10+BN11+BN57+BN104+BN105+BN106</f>
        <v>1047401.7</v>
      </c>
      <c r="BO107" s="412">
        <f>BO10+BO11+BO57+BO104+BO105+BO106</f>
        <v>866815.199999999</v>
      </c>
      <c r="BP107" s="412">
        <f>BP10+BP11+BP57+BP104+BP105+BP106</f>
        <v>866815.2</v>
      </c>
      <c r="BQ107" s="412">
        <f>BQ10+BQ11+BQ57+BQ104+BQ105+BQ106</f>
        <v>866815.2</v>
      </c>
      <c r="BR107" s="412">
        <f>BR10+BR11+BR57+BR104+BR105+BR106</f>
        <v>957108.45</v>
      </c>
      <c r="BS107" s="412">
        <f>BS10+BS11+BS57+BS104+BS105+BS106</f>
        <v>884873.85</v>
      </c>
      <c r="BT107" s="412">
        <f>BT10+BT11+BT57+BT104+BT105+BT106</f>
        <v>758463.3</v>
      </c>
      <c r="BU107" s="412">
        <f>BU10+BU11+BU57+BU104+BU105+BU106</f>
        <v>668170.05</v>
      </c>
      <c r="BV107" s="412">
        <f>BV10+BV11+BV57+BV104+BV105+BV106</f>
        <v>595935.45</v>
      </c>
      <c r="BW107" s="412">
        <f>BW10+BW11+BW57+BW104+BW105+BW106</f>
        <v>469524.9</v>
      </c>
      <c r="BX107" s="412">
        <f>BX10+BX11+BX57+BX104+BX105+BX106</f>
        <v>379231.65</v>
      </c>
      <c r="BY107" s="412">
        <f>BY10+BY11+BY57+BY104+BY105+BY106</f>
        <v>306997.05</v>
      </c>
      <c r="BZ107" s="412">
        <f>BZ10+BZ11+BZ57+BZ104+BZ105+BZ106</f>
        <v>180586.5</v>
      </c>
      <c r="CA107" s="412">
        <f>CA10+CA11+CA57+CA104+CA105+CA106</f>
        <v>0</v>
      </c>
      <c r="CB107" s="412">
        <f>CB10+CB11+CB57+CB104+CB105+CB106</f>
        <v>0</v>
      </c>
      <c r="CC107" s="412">
        <f>CC10+CC11+CC57+CC104+CC105+CC106</f>
        <v>0</v>
      </c>
      <c r="CD107" s="412">
        <f>CD10+CD11+CD57+CD104+CD105+CD106</f>
        <v>0</v>
      </c>
      <c r="CE107" s="412">
        <f>CE10+CE11+CE57+CE104+CE105+CE106</f>
        <v>0</v>
      </c>
      <c r="CF107" s="412">
        <f>CF10+CF11+CF57+CF104+CF105+CF106</f>
        <v>0</v>
      </c>
      <c r="CG107" s="412">
        <f>CG10+CG11+CG57+CG104+CG105+CG106</f>
        <v>0</v>
      </c>
      <c r="CH107" s="412">
        <f>CH10+CH11+CH57+CH104+CH105+CH106</f>
        <v>0</v>
      </c>
      <c r="CI107" s="412">
        <f>CI10+CI11+CI57+CI104+CI105+CI106</f>
        <v>0</v>
      </c>
      <c r="CJ107" s="412">
        <f>CJ10+CJ11+CJ57+CJ104+CJ105+CJ106</f>
        <v>0</v>
      </c>
      <c r="CK107" s="412">
        <f>CK10+CK11+CK57+CK104+CK105+CK106</f>
        <v>0</v>
      </c>
      <c r="CL107" s="412">
        <f>CL10+CL11+CL57+CL104+CL105+CL106</f>
        <v>0</v>
      </c>
      <c r="CM107" s="412">
        <f>CM10+CM11+CM57+CM104+CM105+CM106</f>
        <v>0</v>
      </c>
      <c r="CN107" s="412">
        <f>CN10+CN11+CN57+CN104+CN105+CN106</f>
        <v>0</v>
      </c>
      <c r="CO107" s="412">
        <f>CO10+CO11+CO57+CO104+CO105+CO106</f>
        <v>0</v>
      </c>
      <c r="CP107" s="412">
        <f>CP10+CP11+CP57+CP104+CP105+CP106</f>
        <v>0</v>
      </c>
      <c r="CQ107" s="412">
        <f>CQ10+CQ11+CQ57+CQ104+CQ105+CQ106</f>
        <v>0</v>
      </c>
      <c r="CR107" s="412">
        <f>CR10+CR11+CR57+CR104+CR105+CR106</f>
        <v>0</v>
      </c>
      <c r="CS107" s="412">
        <f>CS10+CS11+CS57+CS104+CS105+CS106</f>
        <v>0</v>
      </c>
      <c r="CT107" s="412">
        <f>CT10+CT11+CT57+CT104+CT105+CT106</f>
        <v>0</v>
      </c>
      <c r="CU107" s="412">
        <f>CU10+CU11+CU57+CU104+CU105+CU106</f>
        <v>0</v>
      </c>
      <c r="CV107" s="412">
        <f>CV10+CV11+CV57+CV104+CV105+CV106</f>
        <v>0</v>
      </c>
      <c r="CW107" s="412">
        <f>CW10+CW11+CW57+CW104+CW105+CW106</f>
        <v>0</v>
      </c>
      <c r="CX107" s="412">
        <f>CX10+CX11+CX57+CX104+CX105+CX106</f>
        <v>0</v>
      </c>
      <c r="CY107" s="412">
        <f>CY10+CY11+CY57+CY104+CY105+CY106</f>
        <v>0</v>
      </c>
      <c r="CZ107" s="412">
        <f>CZ10+CZ11+CZ57+CZ104+CZ105+CZ106</f>
        <v>0</v>
      </c>
      <c r="DA107" s="412">
        <f>DA10+DA11+DA57+DA104+DA105+DA106</f>
        <v>0</v>
      </c>
      <c r="DB107" s="412">
        <f>DB10+DB11+DB57+DB104+DB105+DB106</f>
        <v>0</v>
      </c>
      <c r="DC107" s="412">
        <f>DC10+DC11+DC57+DC104+DC105+DC106</f>
        <v>0</v>
      </c>
      <c r="DD107" s="412">
        <f>DD10+DD11+DD57+DD104+DD105+DD106</f>
        <v>0</v>
      </c>
      <c r="DE107" s="412">
        <f>DE10+DE11+DE57+DE104+DE105+DE106</f>
        <v>0</v>
      </c>
    </row>
    <row r="108" ht="15" customFormat="1" customHeight="1" s="381">
      <c r="A108" s="398" t="inlineStr">
        <is>
          <t>GC Gross Profit Margin %</t>
        </is>
      </c>
      <c r="B108" s="413">
        <f>IFERROR(B107/B58,0)</f>
        <v>0.150473411652305</v>
      </c>
      <c r="C108" s="413">
        <f>IFERROR(C107/C58,0)</f>
        <v>-0.0168735833579273</v>
      </c>
      <c r="D108" s="413">
        <f>IFERROR(D107/D58,0)</f>
        <v>0.222356457869786</v>
      </c>
      <c r="E108" s="413">
        <f>IFERROR(E107/E58,0)</f>
        <v>0.121157878546931</v>
      </c>
      <c r="F108" s="413">
        <f>IFERROR(F107/F58,0)</f>
        <v>0.107287157584347</v>
      </c>
      <c r="G108" s="413">
        <f>IFERROR(G107/G58,0)</f>
        <v>0.104225483170575</v>
      </c>
      <c r="H108" s="413">
        <f>IFERROR(H107/H58,0)</f>
        <v>0.0918727592539278</v>
      </c>
      <c r="I108" s="413">
        <f>IFERROR(I107/I58,0)</f>
        <v>0.126896442155622</v>
      </c>
      <c r="J108" s="413">
        <f>IFERROR(J107/J58,0)</f>
        <v>0.116927493436097</v>
      </c>
      <c r="K108" s="413">
        <f>IFERROR(K107/K58,0)</f>
        <v>0.113221715478034</v>
      </c>
      <c r="L108" s="413">
        <f>IFERROR(L107/L58,0)</f>
        <v>0.0622315561659717</v>
      </c>
      <c r="M108" s="413">
        <f>IFERROR(M107/M58,0)</f>
        <v>0.113691174267385</v>
      </c>
      <c r="N108" s="413">
        <f>IFERROR(N107/N58,0)</f>
        <v>0.123098467353553</v>
      </c>
      <c r="O108" s="413">
        <f>IFERROR(O107/O58,0)</f>
        <v>0.115840031147769</v>
      </c>
      <c r="P108" s="413">
        <f>IFERROR(P107/P58,0)</f>
        <v>0.109142384638386</v>
      </c>
      <c r="Q108" s="413">
        <f>IFERROR(Q107/Q58,0)</f>
        <v>0.103101575245765</v>
      </c>
      <c r="R108" s="413">
        <f>IFERROR(R107/R58,0)</f>
        <v>-0.00359062426108136</v>
      </c>
      <c r="S108" s="413">
        <f>IFERROR(S107/S58,0)</f>
        <v>0.0914978422175946</v>
      </c>
      <c r="T108" s="413">
        <f>IFERROR(T107/T58,0)</f>
        <v>0.0805205069721621</v>
      </c>
      <c r="U108" s="413">
        <f>IFERROR(U107/U58,0)</f>
        <v>0.107908928648704</v>
      </c>
      <c r="V108" s="413">
        <f>IFERROR(V107/V58,0)</f>
        <v>0.10223555051465</v>
      </c>
      <c r="W108" s="413">
        <f>IFERROR(W107/W58,0)</f>
        <v>0.0981540488967271</v>
      </c>
      <c r="X108" s="413">
        <f>IFERROR(X107/X58,0)</f>
        <v>0.100146009980571</v>
      </c>
      <c r="Y108" s="413">
        <f>IFERROR(Y107/Y58,0)</f>
        <v>0.0976193334869563</v>
      </c>
      <c r="Z108" s="413">
        <f>IFERROR(Z107/Z58,0)</f>
        <v>0.0963241971070408</v>
      </c>
      <c r="AA108" s="413">
        <f>IFERROR(AA107/AA58,0)</f>
        <v>0.102732612219678</v>
      </c>
      <c r="AB108" s="413">
        <f>IFERROR(AB107/AB58,0)</f>
        <v>0.0981399553454878</v>
      </c>
      <c r="AC108" s="413">
        <f>IFERROR(AC107/AC58,0)</f>
        <v>0.0989678250109657</v>
      </c>
      <c r="AD108" s="413">
        <f>IFERROR(AD107/AD58,0)</f>
        <v>0.100955640137587</v>
      </c>
      <c r="AE108" s="413">
        <f>IFERROR(AE107/AE58,0)</f>
        <v>0.051402632577532</v>
      </c>
      <c r="AF108" s="413">
        <f>IFERROR(AF107/AF58,0)</f>
        <v>0.131711589069448</v>
      </c>
      <c r="AG108" s="413">
        <f>IFERROR(AG107/AG58,0)</f>
        <v>0.114136240574546</v>
      </c>
      <c r="AH108" s="413">
        <f>IFERROR(AH107/AH58,0)</f>
        <v>0.121667639833394</v>
      </c>
      <c r="AI108" s="413">
        <f>IFERROR(AI107/AI58,0)</f>
        <v>0.139047952847509</v>
      </c>
      <c r="AJ108" s="413">
        <f>IFERROR(AJ107/AJ58,0)</f>
        <v>0.136772518502454</v>
      </c>
      <c r="AK108" s="413">
        <f>IFERROR(AK107/AK58,0)</f>
        <v>0.134341883242329</v>
      </c>
      <c r="AL108" s="413">
        <f>IFERROR(AL107/AL58,0)</f>
        <v>0.16738674793386</v>
      </c>
      <c r="AM108" s="413">
        <f>IFERROR(AM107/AM58,0)</f>
        <v>0.113828987084635</v>
      </c>
      <c r="AN108" s="413">
        <f>IFERROR(AN107/AN58,0)</f>
        <v>0.113599640180424</v>
      </c>
      <c r="AO108" s="413">
        <f>IFERROR(AO107/AO58,0)</f>
        <v>0.113427956202688</v>
      </c>
      <c r="AP108" s="413">
        <f>IFERROR(AP107/AP58,0)</f>
        <v>0.114098004157801</v>
      </c>
      <c r="AQ108" s="413">
        <f>IFERROR(AQ107/AQ58,0)</f>
        <v>0.118548063452913</v>
      </c>
      <c r="AR108" s="413">
        <f>IFERROR(AR107/AR58,0)</f>
        <v>0.114737615079936</v>
      </c>
      <c r="AS108" s="413">
        <f>IFERROR(AS107/AS58,0)</f>
        <v>0.112545067253854</v>
      </c>
      <c r="AT108" s="413">
        <f>IFERROR(AT107/AT58,0)</f>
        <v>0.119427149148014</v>
      </c>
      <c r="AU108" s="413">
        <f>IFERROR(AU107/AU58,0)</f>
        <v>0.141473992148046</v>
      </c>
      <c r="AV108" s="413">
        <f>IFERROR(AV107/AV58,0)</f>
        <v>0.100929264933503</v>
      </c>
      <c r="AW108" s="413">
        <f>IFERROR(AW107/AW58,0)</f>
        <v>0.102175883807562</v>
      </c>
      <c r="AX108" s="413">
        <f>IFERROR(AX107/AX58,0)</f>
        <v>0.104952843551079</v>
      </c>
      <c r="AY108" s="413">
        <f>IFERROR(AY107/AY58,0)</f>
        <v>0.117684748993385</v>
      </c>
      <c r="AZ108" s="413">
        <f>IFERROR(AZ107/AZ58,0)</f>
        <v>0.122665255463964</v>
      </c>
      <c r="BA108" s="413">
        <f>IFERROR(BA107/BA58,0)</f>
        <v>0.126719532569899</v>
      </c>
      <c r="BB108" s="413">
        <f>IFERROR(BB107/BB58,0)</f>
        <v>0.131772836359078</v>
      </c>
      <c r="BC108" s="413">
        <f>IFERROR(BC107/BC58,0)</f>
        <v>0.136113265752294</v>
      </c>
      <c r="BD108" s="413">
        <f>IFERROR(BD107/BD58,0)</f>
        <v>0.139980532019807</v>
      </c>
      <c r="BE108" s="413">
        <f>IFERROR(BE107/BE58,0)</f>
        <v>0.143202294413868</v>
      </c>
      <c r="BF108" s="413">
        <f>IFERROR(BF107/BF58,0)</f>
        <v>0.140576412637835</v>
      </c>
      <c r="BG108" s="413">
        <f>IFERROR(BG107/BG58,0)</f>
        <v>0.139439809317718</v>
      </c>
      <c r="BH108" s="413">
        <f>IFERROR(BH107/BH58,0)</f>
        <v>0.160267176668841</v>
      </c>
      <c r="BI108" s="413">
        <f>IFERROR(BI107/BI58,0)</f>
        <v>0.119723705180603</v>
      </c>
      <c r="BJ108" s="413">
        <f>IFERROR(BJ107/BJ58,0)</f>
        <v>0.102279369286709</v>
      </c>
      <c r="BK108" s="413">
        <f>IFERROR(BK107/BK58,0)</f>
        <v>0.0999036135698816</v>
      </c>
      <c r="BL108" s="413">
        <f>IFERROR(BL107/BL58,0)</f>
        <v>0.099234977426113</v>
      </c>
      <c r="BM108" s="413">
        <f>IFERROR(BM107/BM58,0)</f>
        <v>0.110481303037037</v>
      </c>
      <c r="BN108" s="413">
        <f>IFERROR(BN107/BN58,0)</f>
        <v>0.105239330669297</v>
      </c>
      <c r="BO108" s="413">
        <f>IFERROR(BO107/BO58,0)</f>
        <v>0.0936285020555675</v>
      </c>
      <c r="BP108" s="413">
        <f>IFERROR(BP107/BP58,0)</f>
        <v>0.0986870795512299</v>
      </c>
      <c r="BQ108" s="413">
        <f>IFERROR(BQ107/BQ58,0)</f>
        <v>0.10623805486288</v>
      </c>
      <c r="BR108" s="413">
        <f>IFERROR(BR107/BR58,0)</f>
        <v>0.128981248494042</v>
      </c>
      <c r="BS108" s="413">
        <f>IFERROR(BS107/BS58,0)</f>
        <v>0.140614793545671</v>
      </c>
      <c r="BT108" s="413">
        <f>IFERROR(BT107/BT58,0)</f>
        <v>0.147568216879158</v>
      </c>
      <c r="BU108" s="413">
        <f>IFERROR(BU107/BU58,0)</f>
        <v>0.161917146660327</v>
      </c>
      <c r="BV108" s="413">
        <f>IFERROR(BV107/BV58,0)</f>
        <v>0.186542461631791</v>
      </c>
      <c r="BW108" s="413">
        <f>IFERROR(BW107/BW58,0)</f>
        <v>0.204494591960196</v>
      </c>
      <c r="BX108" s="413">
        <f>IFERROR(BX107/BX58,0)</f>
        <v>0.240068197226912</v>
      </c>
      <c r="BY108" s="413">
        <f>IFERROR(BY107/BY58,0)</f>
        <v>0.316909667489401</v>
      </c>
      <c r="BZ108" s="413">
        <f>IFERROR(BZ107/BZ58,0)</f>
        <v>0.454014405852849</v>
      </c>
      <c r="CA108" s="413">
        <f>IFERROR(CA107/CA58,0)</f>
        <v>0</v>
      </c>
      <c r="CB108" s="413">
        <f>IFERROR(CB107/CB58,0)</f>
        <v>0</v>
      </c>
      <c r="CC108" s="413">
        <f>IFERROR(CC107/CC58,0)</f>
        <v>0</v>
      </c>
      <c r="CD108" s="413">
        <f>IFERROR(CD107/CD58,0)</f>
        <v>0</v>
      </c>
      <c r="CE108" s="413">
        <f>IFERROR(CE107/CE58,0)</f>
        <v>0</v>
      </c>
      <c r="CF108" s="413">
        <f>IFERROR(CF107/CF58,0)</f>
        <v>0</v>
      </c>
      <c r="CG108" s="413">
        <f>IFERROR(CG107/CG58,0)</f>
        <v>0</v>
      </c>
      <c r="CH108" s="413">
        <f>IFERROR(CH107/CH58,0)</f>
        <v>0</v>
      </c>
      <c r="CI108" s="413">
        <f>IFERROR(CI107/CI58,0)</f>
        <v>0</v>
      </c>
      <c r="CJ108" s="413">
        <f>IFERROR(CJ107/CJ58,0)</f>
        <v>0</v>
      </c>
      <c r="CK108" s="413">
        <f>IFERROR(CK107/CK58,0)</f>
        <v>0</v>
      </c>
      <c r="CL108" s="413">
        <f>IFERROR(CL107/CL58,0)</f>
        <v>0</v>
      </c>
      <c r="CM108" s="413">
        <f>IFERROR(CM107/CM58,0)</f>
        <v>0</v>
      </c>
      <c r="CN108" s="413">
        <f>IFERROR(CN107/CN58,0)</f>
        <v>0</v>
      </c>
      <c r="CO108" s="413">
        <f>IFERROR(CO107/CO58,0)</f>
        <v>0</v>
      </c>
      <c r="CP108" s="413">
        <f>IFERROR(CP107/CP58,0)</f>
        <v>0</v>
      </c>
      <c r="CQ108" s="413">
        <f>IFERROR(CQ107/CQ58,0)</f>
        <v>0</v>
      </c>
      <c r="CR108" s="413">
        <f>IFERROR(CR107/CR58,0)</f>
        <v>0</v>
      </c>
      <c r="CS108" s="413">
        <f>IFERROR(CS107/CS58,0)</f>
        <v>0</v>
      </c>
      <c r="CT108" s="413">
        <f>IFERROR(CT107/CT58,0)</f>
        <v>0</v>
      </c>
      <c r="CU108" s="413">
        <f>IFERROR(CU107/CU58,0)</f>
        <v>0</v>
      </c>
      <c r="CV108" s="413">
        <f>IFERROR(CV107/CV58,0)</f>
        <v>0</v>
      </c>
      <c r="CW108" s="413">
        <f>IFERROR(CW107/CW58,0)</f>
        <v>0</v>
      </c>
      <c r="CX108" s="413">
        <f>IFERROR(CX107/CX58,0)</f>
        <v>0</v>
      </c>
      <c r="CY108" s="413">
        <f>IFERROR(CY107/CY58,0)</f>
        <v>0</v>
      </c>
      <c r="CZ108" s="413">
        <f>IFERROR(CZ107/CZ58,0)</f>
        <v>0</v>
      </c>
      <c r="DA108" s="413">
        <f>IFERROR(DA107/DA58,0)</f>
        <v>0</v>
      </c>
      <c r="DB108" s="413">
        <f>IFERROR(DB107/DB58,0)</f>
        <v>0</v>
      </c>
      <c r="DC108" s="413">
        <f>IFERROR(DC107/DC58,0)</f>
        <v>0</v>
      </c>
      <c r="DD108" s="413">
        <f>IFERROR(DD107/DD58,0)</f>
        <v>0</v>
      </c>
      <c r="DE108" s="413">
        <f>IFERROR(DE107/DE58,0)</f>
        <v>0</v>
      </c>
    </row>
    <row r="109" ht="15" customFormat="1" customHeight="1" s="381">
      <c r="A109" s="383" t="n"/>
      <c r="B109" s="393" t="n"/>
      <c r="C109" s="393" t="n"/>
      <c r="D109" s="393" t="n"/>
      <c r="E109" s="393" t="n"/>
      <c r="F109" s="393" t="n"/>
      <c r="G109" s="393" t="n"/>
      <c r="H109" s="393" t="n"/>
      <c r="I109" s="393" t="n"/>
      <c r="J109" s="393" t="n"/>
      <c r="K109" s="393" t="n"/>
      <c r="L109" s="393" t="n"/>
      <c r="M109" s="393" t="n"/>
      <c r="N109" s="393" t="n"/>
      <c r="O109" s="393" t="n"/>
      <c r="P109" s="393" t="n"/>
      <c r="Q109" s="393" t="n"/>
      <c r="R109" s="393" t="n"/>
      <c r="S109" s="393" t="n"/>
      <c r="T109" s="393" t="n"/>
      <c r="U109" s="393" t="n"/>
      <c r="V109" s="393" t="n"/>
      <c r="W109" s="393" t="n"/>
      <c r="X109" s="393" t="n"/>
      <c r="Y109" s="393" t="n"/>
      <c r="Z109" s="393" t="n"/>
      <c r="AA109" s="393" t="n"/>
      <c r="AB109" s="393" t="n"/>
      <c r="AC109" s="393" t="n"/>
      <c r="AD109" s="393" t="n"/>
      <c r="AE109" s="393" t="n"/>
      <c r="AF109" s="393" t="n"/>
      <c r="AG109" s="393" t="n"/>
      <c r="AH109" s="393" t="n"/>
      <c r="AI109" s="393" t="n"/>
      <c r="AJ109" s="393" t="n"/>
      <c r="AK109" s="393" t="n"/>
      <c r="AL109" s="393" t="n"/>
      <c r="AM109" s="393" t="n"/>
      <c r="AN109" s="393" t="n"/>
      <c r="AO109" s="393" t="n"/>
      <c r="AP109" s="393" t="n"/>
      <c r="AQ109" s="393" t="n"/>
      <c r="AR109" s="393" t="n"/>
      <c r="AS109" s="393" t="n"/>
      <c r="AT109" s="393" t="n"/>
      <c r="AU109" s="393" t="n"/>
      <c r="AV109" s="393" t="n"/>
      <c r="AW109" s="393" t="n"/>
      <c r="AX109" s="393" t="n"/>
      <c r="AY109" s="393" t="n"/>
      <c r="AZ109" s="393" t="n"/>
      <c r="BA109" s="393" t="n"/>
      <c r="BB109" s="393" t="n"/>
      <c r="BC109" s="393" t="n"/>
      <c r="BD109" s="393" t="n"/>
      <c r="BE109" s="393" t="n"/>
      <c r="BF109" s="393" t="n"/>
      <c r="BG109" s="393" t="n"/>
      <c r="BH109" s="393" t="n"/>
      <c r="BI109" s="393" t="n"/>
      <c r="BJ109" s="393" t="n"/>
      <c r="BK109" s="393" t="n"/>
      <c r="BL109" s="393" t="n"/>
      <c r="BM109" s="393" t="n"/>
      <c r="BN109" s="393" t="n"/>
      <c r="BO109" s="393" t="n"/>
      <c r="BP109" s="393" t="n"/>
      <c r="BQ109" s="393" t="n"/>
      <c r="BR109" s="393" t="n"/>
      <c r="BS109" s="393" t="n"/>
      <c r="BT109" s="393" t="n"/>
      <c r="BU109" s="393" t="n"/>
      <c r="BV109" s="393" t="n"/>
      <c r="BW109" s="393" t="n"/>
      <c r="BX109" s="393" t="n"/>
      <c r="BY109" s="393" t="n"/>
      <c r="BZ109" s="393" t="n"/>
      <c r="CA109" s="393" t="n"/>
      <c r="CB109" s="393" t="n"/>
      <c r="CC109" s="393" t="n"/>
      <c r="CD109" s="393" t="n"/>
      <c r="CE109" s="393" t="n"/>
      <c r="CF109" s="393" t="n"/>
      <c r="CG109" s="393" t="n"/>
      <c r="CH109" s="393" t="n"/>
      <c r="CI109" s="393" t="n"/>
      <c r="CJ109" s="393" t="n"/>
      <c r="CK109" s="393" t="n"/>
      <c r="CL109" s="393" t="n"/>
      <c r="CM109" s="393" t="n"/>
      <c r="CN109" s="393" t="n"/>
      <c r="CO109" s="393" t="n"/>
      <c r="CP109" s="393" t="n"/>
      <c r="CQ109" s="393" t="n"/>
      <c r="CR109" s="393" t="n"/>
      <c r="CS109" s="393" t="n"/>
      <c r="CT109" s="393" t="n"/>
      <c r="CU109" s="393" t="n"/>
      <c r="CV109" s="393" t="n"/>
      <c r="CW109" s="393" t="n"/>
      <c r="CX109" s="393" t="n"/>
      <c r="CY109" s="393" t="n"/>
      <c r="CZ109" s="393" t="n"/>
      <c r="DA109" s="393" t="n"/>
      <c r="DB109" s="393" t="n"/>
      <c r="DC109" s="393" t="n"/>
      <c r="DD109" s="393" t="n"/>
      <c r="DE109" s="393" t="n"/>
    </row>
    <row r="110" ht="15" customFormat="1" customHeight="1" s="381">
      <c r="A110" s="403" t="inlineStr">
        <is>
          <t>GC Costs</t>
        </is>
      </c>
      <c r="B110" s="414" t="n"/>
      <c r="C110" s="414" t="n"/>
      <c r="D110" s="414" t="n"/>
      <c r="E110" s="414" t="n"/>
      <c r="F110" s="414" t="n"/>
      <c r="G110" s="414" t="n"/>
      <c r="H110" s="414" t="n"/>
      <c r="I110" s="414" t="n"/>
      <c r="J110" s="414" t="n"/>
      <c r="K110" s="414" t="n"/>
      <c r="L110" s="414" t="n"/>
      <c r="M110" s="414" t="n"/>
      <c r="N110" s="414" t="n"/>
      <c r="O110" s="414" t="n"/>
      <c r="P110" s="414" t="n"/>
      <c r="Q110" s="414" t="n"/>
      <c r="R110" s="414" t="n"/>
      <c r="S110" s="414" t="n"/>
      <c r="T110" s="414" t="n"/>
      <c r="U110" s="414" t="n"/>
      <c r="V110" s="414" t="n"/>
      <c r="W110" s="414" t="n"/>
      <c r="X110" s="414" t="n"/>
      <c r="Y110" s="414" t="n"/>
      <c r="Z110" s="414" t="n"/>
      <c r="AA110" s="414" t="n"/>
      <c r="AB110" s="414" t="n"/>
      <c r="AC110" s="414" t="n"/>
      <c r="AD110" s="414" t="n"/>
      <c r="AE110" s="414" t="n"/>
      <c r="AF110" s="414" t="n"/>
      <c r="AG110" s="414" t="n"/>
      <c r="AH110" s="414" t="n"/>
      <c r="AI110" s="414" t="n"/>
      <c r="AJ110" s="414" t="n"/>
      <c r="AK110" s="414" t="n"/>
      <c r="AL110" s="414" t="n"/>
      <c r="AM110" s="414" t="n"/>
      <c r="AN110" s="414" t="n"/>
      <c r="AO110" s="414" t="n"/>
      <c r="AP110" s="414" t="n"/>
      <c r="AQ110" s="414" t="n"/>
      <c r="AR110" s="414" t="n"/>
      <c r="AS110" s="414" t="n"/>
      <c r="AT110" s="414" t="n"/>
      <c r="AU110" s="414" t="n"/>
      <c r="AV110" s="414" t="n"/>
      <c r="AW110" s="414" t="n"/>
      <c r="AX110" s="414" t="n"/>
      <c r="AY110" s="414" t="n"/>
      <c r="AZ110" s="414" t="n"/>
      <c r="BA110" s="414" t="n"/>
      <c r="BB110" s="414" t="n"/>
      <c r="BC110" s="414" t="n"/>
      <c r="BD110" s="414" t="n"/>
      <c r="BE110" s="414" t="n"/>
      <c r="BF110" s="414" t="n"/>
      <c r="BG110" s="414" t="n"/>
      <c r="BH110" s="414" t="n"/>
      <c r="BI110" s="414" t="n"/>
      <c r="BJ110" s="414" t="n"/>
      <c r="BK110" s="414" t="n"/>
      <c r="BL110" s="414" t="n"/>
      <c r="BM110" s="414" t="n"/>
      <c r="BN110" s="414" t="n"/>
      <c r="BO110" s="414" t="n"/>
      <c r="BP110" s="414" t="n"/>
      <c r="BQ110" s="414" t="n"/>
      <c r="BR110" s="414" t="n"/>
      <c r="BS110" s="414" t="n"/>
      <c r="BT110" s="414" t="n"/>
      <c r="BU110" s="414" t="n"/>
      <c r="BV110" s="414" t="n"/>
      <c r="BW110" s="414" t="n"/>
      <c r="BX110" s="414" t="n"/>
      <c r="BY110" s="414" t="n"/>
      <c r="BZ110" s="414" t="n"/>
      <c r="CA110" s="414" t="n"/>
      <c r="CB110" s="414" t="n"/>
      <c r="CC110" s="414" t="n"/>
      <c r="CD110" s="414" t="n"/>
      <c r="CE110" s="414" t="n"/>
      <c r="CF110" s="414" t="n"/>
      <c r="CG110" s="414" t="n"/>
      <c r="CH110" s="414" t="n"/>
      <c r="CI110" s="414" t="n"/>
      <c r="CJ110" s="414" t="n"/>
      <c r="CK110" s="414" t="n"/>
      <c r="CL110" s="414" t="n"/>
      <c r="CM110" s="414" t="n"/>
      <c r="CN110" s="414" t="n"/>
      <c r="CO110" s="414" t="n"/>
      <c r="CP110" s="414" t="n"/>
      <c r="CQ110" s="414" t="n"/>
      <c r="CR110" s="414" t="n"/>
      <c r="CS110" s="414" t="n"/>
      <c r="CT110" s="414" t="n"/>
      <c r="CU110" s="414" t="n"/>
      <c r="CV110" s="414" t="n"/>
      <c r="CW110" s="414" t="n"/>
      <c r="CX110" s="414" t="n"/>
      <c r="CY110" s="414" t="n"/>
      <c r="CZ110" s="414" t="n"/>
      <c r="DA110" s="414" t="n"/>
      <c r="DB110" s="414" t="n"/>
      <c r="DC110" s="414" t="n"/>
      <c r="DD110" s="414" t="n"/>
      <c r="DE110" s="414" t="n"/>
    </row>
    <row r="111" ht="15" customFormat="1" customHeight="1" s="381">
      <c r="A111" s="398" t="inlineStr">
        <is>
          <t>5000-1000 Payroll</t>
        </is>
      </c>
      <c r="B111" s="393">
        <f>IF(ISBLANK(Actuals!C21),0,Actuals!C21)</f>
        <v>-144550.9</v>
      </c>
      <c r="C111" s="393">
        <f>IF(ISBLANK(Actuals!D21),0,Actuals!D21)</f>
        <v>-150672.84</v>
      </c>
      <c r="D111" s="393">
        <f>IF(ISBLANK(Actuals!E21),0,Actuals!E21)</f>
        <v>-178867.86</v>
      </c>
      <c r="E111" s="393">
        <f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1" s="393">
        <f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1" s="393">
        <f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1" s="393">
        <f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-245625</v>
      </c>
      <c r="I111" s="393">
        <f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1" s="393">
        <f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1" s="393">
        <f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1" s="393">
        <f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1" s="393">
        <f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1" s="393">
        <f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1" s="393">
        <f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1" s="393">
        <f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1" s="393">
        <f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1" s="393">
        <f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1" s="393">
        <f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1" s="393">
        <f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1" s="393">
        <f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1" s="393">
        <f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1" s="393">
        <f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1" s="393">
        <f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1" s="393">
        <f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1" s="393">
        <f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1" s="393">
        <f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1" s="393">
        <f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1" s="393">
        <f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1" s="393">
        <f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1" s="393">
        <f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1" s="393">
        <f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1" s="393">
        <f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1" s="393">
        <f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1" s="393">
        <f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1" s="393">
        <f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1" s="393">
        <f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1" s="393">
        <f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1" s="393">
        <f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1" s="393">
        <f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1" s="393">
        <f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1" s="393">
        <f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1" s="393">
        <f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1" s="393">
        <f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1" s="393">
        <f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1" s="393">
        <f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1" s="393">
        <f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1" s="393">
        <f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1" s="393">
        <f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1" s="393">
        <f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1" s="393">
        <f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1" s="393">
        <f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1" s="393">
        <f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1" s="393">
        <f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1" s="393">
        <f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1" s="393">
        <f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1" s="393">
        <f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1" s="393">
        <f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1" s="393">
        <f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1" s="393">
        <f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1" s="393">
        <f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1" s="393">
        <f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1" s="393">
        <f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1" s="393">
        <f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1" s="393">
        <f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1" s="393">
        <f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1" s="393">
        <f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1" s="393">
        <f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1" s="393">
        <f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1" s="393">
        <f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1" s="393">
        <f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1" s="393">
        <f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1" s="393">
        <f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1" s="393">
        <f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1" s="393">
        <f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1" s="393">
        <f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1" s="393">
        <f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1" s="393">
        <f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1" s="393">
        <f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1" s="393">
        <f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1" s="393">
        <f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1" s="393">
        <f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1" s="393">
        <f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1" s="393">
        <f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1" s="393">
        <f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1" s="393">
        <f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1" s="393">
        <f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1" s="393">
        <f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1" s="393">
        <f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1" s="393">
        <f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1" s="393">
        <f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1" s="393">
        <f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1" s="393">
        <f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1" s="393">
        <f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1" s="393">
        <f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1" s="393">
        <f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1" s="393">
        <f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1" s="393">
        <f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1" s="393">
        <f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1" s="393">
        <f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1" s="393">
        <f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1" s="393">
        <f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1" s="393">
        <f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1" s="393">
        <f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1" s="393">
        <f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1" s="393">
        <f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1" s="393">
        <f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1" s="393">
        <f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1" s="393">
        <f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2" ht="15" customFormat="1" customHeight="1" s="381">
      <c r="A112" s="398" t="inlineStr">
        <is>
          <t>5000-1001 Payroll Taxes</t>
        </is>
      </c>
      <c r="B112" s="393">
        <f>IF(ISBLANK(Actuals!C22),0,Actuals!C22)</f>
        <v>-7450.37</v>
      </c>
      <c r="C112" s="393">
        <f>IF(ISBLANK(Actuals!D22),0,Actuals!D22)</f>
        <v>-10567.2</v>
      </c>
      <c r="D112" s="393">
        <f>IF(ISBLANK(Actuals!E22),0,Actuals!E22)</f>
        <v>-17033.3</v>
      </c>
      <c r="E112" s="393">
        <f>IF(ISBLANK(Actuals!F22),-Helpers!C4*Assumptions!$B$20,Actuals!F22)</f>
        <v>-14599.57</v>
      </c>
      <c r="F112" s="393">
        <f>IF(ISBLANK(Actuals!G22),-Helpers!D4*Assumptions!$B$20,Actuals!G22)</f>
        <v>-23689.02</v>
      </c>
      <c r="G112" s="393">
        <f>IF(ISBLANK(Actuals!H22),-Helpers!E4*Assumptions!$B$20,Actuals!H22)</f>
        <v>-14793.67</v>
      </c>
      <c r="H112" s="393">
        <f>IF(ISBLANK(Actuals!I22),-Helpers!F4*Assumptions!$B$20,Actuals!I22)</f>
        <v>-20985.4166666667</v>
      </c>
      <c r="I112" s="393">
        <f>IF(ISBLANK(Actuals!J22),-Helpers!G4*Assumptions!$B$20,Actuals!J22)</f>
        <v>-20985.4166666667</v>
      </c>
      <c r="J112" s="393">
        <f>IF(ISBLANK(Actuals!K22),-Helpers!H4*Assumptions!$B$20,Actuals!K22)</f>
        <v>-20985.4166666667</v>
      </c>
      <c r="K112" s="393">
        <f>IF(ISBLANK(Actuals!L22),-Helpers!I4*Assumptions!$B$20,Actuals!L22)</f>
        <v>-20985.4166666667</v>
      </c>
      <c r="L112" s="393">
        <f>IF(ISBLANK(Actuals!M22),-Helpers!J4*Assumptions!$B$20,Actuals!M22)</f>
        <v>-21918.75</v>
      </c>
      <c r="M112" s="393">
        <f>IF(ISBLANK(Actuals!N22),-Helpers!K4*Assumptions!$B$20,Actuals!N22)</f>
        <v>-22677.0833333333</v>
      </c>
      <c r="N112" s="393">
        <f>IF(ISBLANK(Actuals!O22),-Helpers!L4*Assumptions!$B$20,Actuals!O22)</f>
        <v>-24339.5833333333</v>
      </c>
      <c r="O112" s="393">
        <f>IF(ISBLANK(Actuals!P22),-Helpers!M4*Assumptions!$B$20,Actuals!P22)</f>
        <v>-24339.5833333333</v>
      </c>
      <c r="P112" s="393">
        <f>IF(ISBLANK(Actuals!Q22),-Helpers!N4*Assumptions!$B$20,Actuals!Q22)</f>
        <v>-24339.5833333333</v>
      </c>
      <c r="Q112" s="393">
        <f>IF(ISBLANK(Actuals!R22),-Helpers!O4*Assumptions!$B$20,Actuals!R22)</f>
        <v>-24826.375</v>
      </c>
      <c r="R112" s="393">
        <f>IF(ISBLANK(Actuals!S22),-Helpers!P4*Assumptions!$B$20,Actuals!S22)</f>
        <v>-27474.125</v>
      </c>
      <c r="S112" s="393">
        <f>IF(ISBLANK(Actuals!T22),-Helpers!Q4*Assumptions!$B$20,Actuals!T22)</f>
        <v>-27474.125</v>
      </c>
      <c r="T112" s="393">
        <f>IF(ISBLANK(Actuals!U22),-Helpers!R4*Assumptions!$B$20,Actuals!U22)</f>
        <v>-27474.125</v>
      </c>
      <c r="U112" s="393">
        <f>IF(ISBLANK(Actuals!V22),-Helpers!S4*Assumptions!$B$20,Actuals!V22)</f>
        <v>-27474.125</v>
      </c>
      <c r="V112" s="393">
        <f>IF(ISBLANK(Actuals!W22),-Helpers!T4*Assumptions!$B$20,Actuals!W22)</f>
        <v>-27474.125</v>
      </c>
      <c r="W112" s="393">
        <f>IF(ISBLANK(Actuals!X22),-Helpers!U4*Assumptions!$B$20,Actuals!X22)</f>
        <v>-27474.125</v>
      </c>
      <c r="X112" s="393">
        <f>IF(ISBLANK(Actuals!Y22),-Helpers!V4*Assumptions!$B$20,Actuals!Y22)</f>
        <v>-27474.125</v>
      </c>
      <c r="Y112" s="393">
        <f>IF(ISBLANK(Actuals!Z22),-Helpers!W4*Assumptions!$B$20,Actuals!Z22)</f>
        <v>-27474.125</v>
      </c>
      <c r="Z112" s="393">
        <f>IF(ISBLANK(Actuals!AA22),-Helpers!X4*Assumptions!$B$20,Actuals!AA22)</f>
        <v>-27474.125</v>
      </c>
      <c r="AA112" s="393">
        <f>IF(ISBLANK(Actuals!AB22),-Helpers!Y4*Assumptions!$B$20,Actuals!AB22)</f>
        <v>-27474.125</v>
      </c>
      <c r="AB112" s="393">
        <f>IF(ISBLANK(Actuals!AC22),-Helpers!Z4*Assumptions!$B$20,Actuals!AC22)</f>
        <v>-27474.125</v>
      </c>
      <c r="AC112" s="393">
        <f>IF(ISBLANK(Actuals!AD22),-Helpers!AA4*Assumptions!$B$20,Actuals!AD22)</f>
        <v>-28023.6075</v>
      </c>
      <c r="AD112" s="393">
        <f>IF(ISBLANK(Actuals!AE22),-Helpers!AB4*Assumptions!$B$20,Actuals!AE22)</f>
        <v>-28023.6075</v>
      </c>
      <c r="AE112" s="393">
        <f>IF(ISBLANK(Actuals!AF22),-Helpers!AC4*Assumptions!$B$20,Actuals!AF22)</f>
        <v>-28023.6075</v>
      </c>
      <c r="AF112" s="393">
        <f>IF(ISBLANK(Actuals!AG22),-Helpers!AD4*Assumptions!$B$20,Actuals!AG22)</f>
        <v>-28023.6075</v>
      </c>
      <c r="AG112" s="393">
        <f>IF(ISBLANK(Actuals!AH22),-Helpers!AE4*Assumptions!$B$20,Actuals!AH22)</f>
        <v>-28023.6075</v>
      </c>
      <c r="AH112" s="393">
        <f>IF(ISBLANK(Actuals!AI22),-Helpers!AF4*Assumptions!$B$20,Actuals!AI22)</f>
        <v>-28023.6075</v>
      </c>
      <c r="AI112" s="393">
        <f>IF(ISBLANK(Actuals!AJ22),-Helpers!AG4*Assumptions!$B$20,Actuals!AJ22)</f>
        <v>-28023.6075</v>
      </c>
      <c r="AJ112" s="393">
        <f>IF(ISBLANK(Actuals!AK22),-Helpers!AH4*Assumptions!$B$20,Actuals!AK22)</f>
        <v>-28023.6075</v>
      </c>
      <c r="AK112" s="393">
        <f>IF(ISBLANK(Actuals!AL22),-Helpers!AI4*Assumptions!$B$20,Actuals!AL22)</f>
        <v>-28023.6075</v>
      </c>
      <c r="AL112" s="393">
        <f>IF(ISBLANK(Actuals!AM22),-Helpers!AJ4*Assumptions!$B$20,Actuals!AM22)</f>
        <v>-28023.6075</v>
      </c>
      <c r="AM112" s="393">
        <f>IF(ISBLANK(Actuals!AN22),-Helpers!AK4*Assumptions!$B$20,Actuals!AN22)</f>
        <v>-28023.6075</v>
      </c>
      <c r="AN112" s="393">
        <f>IF(ISBLANK(Actuals!AO22),-Helpers!AL4*Assumptions!$B$20,Actuals!AO22)</f>
        <v>-28023.6075</v>
      </c>
      <c r="AO112" s="393">
        <f>IF(ISBLANK(Actuals!AP22),-Helpers!AM4*Assumptions!$B$20,Actuals!AP22)</f>
        <v>-28584.07965</v>
      </c>
      <c r="AP112" s="393">
        <f>IF(ISBLANK(Actuals!AQ22),-Helpers!AN4*Assumptions!$B$20,Actuals!AQ22)</f>
        <v>-28584.07965</v>
      </c>
      <c r="AQ112" s="393">
        <f>IF(ISBLANK(Actuals!AR22),-Helpers!AO4*Assumptions!$B$20,Actuals!AR22)</f>
        <v>-28584.07965</v>
      </c>
      <c r="AR112" s="393">
        <f>IF(ISBLANK(Actuals!AS22),-Helpers!AP4*Assumptions!$B$20,Actuals!AS22)</f>
        <v>-28584.07965</v>
      </c>
      <c r="AS112" s="393">
        <f>IF(ISBLANK(Actuals!AT22),-Helpers!AQ4*Assumptions!$B$20,Actuals!AT22)</f>
        <v>-28584.07965</v>
      </c>
      <c r="AT112" s="393">
        <f>IF(ISBLANK(Actuals!AU22),-Helpers!AR4*Assumptions!$B$20,Actuals!AU22)</f>
        <v>-28584.07965</v>
      </c>
      <c r="AU112" s="393">
        <f>IF(ISBLANK(Actuals!AV22),-Helpers!AS4*Assumptions!$B$20,Actuals!AV22)</f>
        <v>-28584.07965</v>
      </c>
      <c r="AV112" s="393">
        <f>IF(ISBLANK(Actuals!AW22),-Helpers!AT4*Assumptions!$B$20,Actuals!AW22)</f>
        <v>-28584.07965</v>
      </c>
      <c r="AW112" s="393">
        <f>IF(ISBLANK(Actuals!AX22),-Helpers!AU4*Assumptions!$B$20,Actuals!AX22)</f>
        <v>-28584.07965</v>
      </c>
      <c r="AX112" s="393">
        <f>IF(ISBLANK(Actuals!AY22),-Helpers!AV4*Assumptions!$B$20,Actuals!AY22)</f>
        <v>-28584.07965</v>
      </c>
      <c r="AY112" s="393">
        <f>IF(ISBLANK(Actuals!AZ22),-Helpers!AW4*Assumptions!$B$20,Actuals!AZ22)</f>
        <v>-28584.07965</v>
      </c>
      <c r="AZ112" s="393">
        <f>IF(ISBLANK(Actuals!BA22),-Helpers!AX4*Assumptions!$B$20,Actuals!BA22)</f>
        <v>-28584.07965</v>
      </c>
      <c r="BA112" s="393">
        <f>IF(ISBLANK(Actuals!BB22),-Helpers!AY4*Assumptions!$B$20,Actuals!BB22)</f>
        <v>-29155.761243</v>
      </c>
      <c r="BB112" s="393">
        <f>IF(ISBLANK(Actuals!BC22),-Helpers!AZ4*Assumptions!$B$20,Actuals!BC22)</f>
        <v>-29155.761243</v>
      </c>
      <c r="BC112" s="393">
        <f>IF(ISBLANK(Actuals!BD22),-Helpers!BA4*Assumptions!$B$20,Actuals!BD22)</f>
        <v>-29155.761243</v>
      </c>
      <c r="BD112" s="393">
        <f>IF(ISBLANK(Actuals!BE22),-Helpers!BB4*Assumptions!$B$20,Actuals!BE22)</f>
        <v>-29155.761243</v>
      </c>
      <c r="BE112" s="393">
        <f>IF(ISBLANK(Actuals!BF22),-Helpers!BC4*Assumptions!$B$20,Actuals!BF22)</f>
        <v>-29155.761243</v>
      </c>
      <c r="BF112" s="393">
        <f>IF(ISBLANK(Actuals!BG22),-Helpers!BD4*Assumptions!$B$20,Actuals!BG22)</f>
        <v>-29155.761243</v>
      </c>
      <c r="BG112" s="393">
        <f>IF(ISBLANK(Actuals!BH22),-Helpers!BE4*Assumptions!$B$20,Actuals!BH22)</f>
        <v>-29155.761243</v>
      </c>
      <c r="BH112" s="393">
        <f>IF(ISBLANK(Actuals!BI22),-Helpers!BF4*Assumptions!$B$20,Actuals!BI22)</f>
        <v>-29155.761243</v>
      </c>
      <c r="BI112" s="393">
        <f>IF(ISBLANK(Actuals!BJ22),-Helpers!BG4*Assumptions!$B$20,Actuals!BJ22)</f>
        <v>-29155.761243</v>
      </c>
      <c r="BJ112" s="393">
        <f>IF(ISBLANK(Actuals!BK22),-Helpers!BH4*Assumptions!$B$20,Actuals!BK22)</f>
        <v>-29155.761243</v>
      </c>
      <c r="BK112" s="393">
        <f>IF(ISBLANK(Actuals!BL22),-Helpers!BI4*Assumptions!$B$20,Actuals!BL22)</f>
        <v>-29155.761243</v>
      </c>
      <c r="BL112" s="393">
        <f>IF(ISBLANK(Actuals!BM22),-Helpers!BJ4*Assumptions!$B$20,Actuals!BM22)</f>
        <v>-29155.761243</v>
      </c>
      <c r="BM112" s="393">
        <f>IF(ISBLANK(Actuals!BN22),-Helpers!BK4*Assumptions!$B$20,Actuals!BN22)</f>
        <v>-29738.87646786</v>
      </c>
      <c r="BN112" s="393">
        <f>IF(ISBLANK(Actuals!BO22),-Helpers!BL4*Assumptions!$B$20,Actuals!BO22)</f>
        <v>-29738.87646786</v>
      </c>
      <c r="BO112" s="393">
        <f>IF(ISBLANK(Actuals!BP22),-Helpers!BM4*Assumptions!$B$20,Actuals!BP22)</f>
        <v>-29738.87646786</v>
      </c>
      <c r="BP112" s="393">
        <f>IF(ISBLANK(Actuals!BQ22),-Helpers!BN4*Assumptions!$B$20,Actuals!BQ22)</f>
        <v>-29738.87646786</v>
      </c>
      <c r="BQ112" s="393">
        <f>IF(ISBLANK(Actuals!BR22),-Helpers!BO4*Assumptions!$B$20,Actuals!BR22)</f>
        <v>-29738.87646786</v>
      </c>
      <c r="BR112" s="393">
        <f>IF(ISBLANK(Actuals!BS22),-Helpers!BP4*Assumptions!$B$20,Actuals!BS22)</f>
        <v>-29738.87646786</v>
      </c>
      <c r="BS112" s="393">
        <f>IF(ISBLANK(Actuals!BT22),-Helpers!BQ4*Assumptions!$B$20,Actuals!BT22)</f>
        <v>-29738.87646786</v>
      </c>
      <c r="BT112" s="393">
        <f>IF(ISBLANK(Actuals!BU22),-Helpers!BR4*Assumptions!$B$20,Actuals!BU22)</f>
        <v>-29738.87646786</v>
      </c>
      <c r="BU112" s="393">
        <f>IF(ISBLANK(Actuals!BV22),-Helpers!BS4*Assumptions!$B$20,Actuals!BV22)</f>
        <v>-29738.87646786</v>
      </c>
      <c r="BV112" s="393">
        <f>IF(ISBLANK(Actuals!BW22),-Helpers!BT4*Assumptions!$B$20,Actuals!BW22)</f>
        <v>-29738.87646786</v>
      </c>
      <c r="BW112" s="393">
        <f>IF(ISBLANK(Actuals!BX22),-Helpers!BU4*Assumptions!$B$20,Actuals!BX22)</f>
        <v>-29738.87646786</v>
      </c>
      <c r="BX112" s="393">
        <f>IF(ISBLANK(Actuals!BY22),-Helpers!BV4*Assumptions!$B$20,Actuals!BY22)</f>
        <v>-29738.87646786</v>
      </c>
      <c r="BY112" s="393">
        <f>IF(ISBLANK(Actuals!BZ22),-Helpers!BW4*Assumptions!$B$20,Actuals!BZ22)</f>
        <v>-30333.6539972172</v>
      </c>
      <c r="BZ112" s="393">
        <f>IF(ISBLANK(Actuals!CA22),-Helpers!BX4*Assumptions!$B$20,Actuals!CA22)</f>
        <v>-30333.6539972172</v>
      </c>
      <c r="CA112" s="393">
        <f>IF(ISBLANK(Actuals!CB22),-Helpers!BY4*Assumptions!$B$20,Actuals!CB22)</f>
        <v>-30333.6539972172</v>
      </c>
      <c r="CB112" s="393">
        <f>IF(ISBLANK(Actuals!CC22),-Helpers!BZ4*Assumptions!$B$20,Actuals!CC22)</f>
        <v>-30333.6539972172</v>
      </c>
      <c r="CC112" s="393">
        <f>IF(ISBLANK(Actuals!CD22),-Helpers!CA4*Assumptions!$B$20,Actuals!CD22)</f>
        <v>-30333.6539972172</v>
      </c>
      <c r="CD112" s="393">
        <f>IF(ISBLANK(Actuals!CE22),-Helpers!CB4*Assumptions!$B$20,Actuals!CE22)</f>
        <v>-30333.6539972172</v>
      </c>
      <c r="CE112" s="393">
        <f>IF(ISBLANK(Actuals!CF22),-Helpers!CC4*Assumptions!$B$20,Actuals!CF22)</f>
        <v>-30333.6539972172</v>
      </c>
      <c r="CF112" s="393">
        <f>IF(ISBLANK(Actuals!CG22),-Helpers!CD4*Assumptions!$B$20,Actuals!CG22)</f>
        <v>-30333.6539972172</v>
      </c>
      <c r="CG112" s="393">
        <f>IF(ISBLANK(Actuals!CH22),-Helpers!CE4*Assumptions!$B$20,Actuals!CH22)</f>
        <v>-30333.6539972172</v>
      </c>
      <c r="CH112" s="393">
        <f>IF(ISBLANK(Actuals!CI22),-Helpers!CF4*Assumptions!$B$20,Actuals!CI22)</f>
        <v>-30333.6539972172</v>
      </c>
      <c r="CI112" s="393">
        <f>IF(ISBLANK(Actuals!CJ22),-Helpers!CG4*Assumptions!$B$20,Actuals!CJ22)</f>
        <v>-30333.6539972172</v>
      </c>
      <c r="CJ112" s="393">
        <f>IF(ISBLANK(Actuals!CK22),-Helpers!CH4*Assumptions!$B$20,Actuals!CK22)</f>
        <v>-30333.6539972172</v>
      </c>
      <c r="CK112" s="393">
        <f>IF(ISBLANK(Actuals!CL22),-Helpers!CI4*Assumptions!$B$20,Actuals!CL22)</f>
        <v>-30940.3270771615</v>
      </c>
      <c r="CL112" s="393">
        <f>IF(ISBLANK(Actuals!CM22),-Helpers!CJ4*Assumptions!$B$20,Actuals!CM22)</f>
        <v>-30940.3270771615</v>
      </c>
      <c r="CM112" s="393">
        <f>IF(ISBLANK(Actuals!CN22),-Helpers!CK4*Assumptions!$B$20,Actuals!CN22)</f>
        <v>-30940.3270771615</v>
      </c>
      <c r="CN112" s="393">
        <f>IF(ISBLANK(Actuals!CO22),-Helpers!CL4*Assumptions!$B$20,Actuals!CO22)</f>
        <v>-30940.3270771615</v>
      </c>
      <c r="CO112" s="393">
        <f>IF(ISBLANK(Actuals!CP22),-Helpers!CM4*Assumptions!$B$20,Actuals!CP22)</f>
        <v>-30940.3270771615</v>
      </c>
      <c r="CP112" s="393">
        <f>IF(ISBLANK(Actuals!CQ22),-Helpers!CN4*Assumptions!$B$20,Actuals!CQ22)</f>
        <v>-30940.3270771615</v>
      </c>
      <c r="CQ112" s="393">
        <f>IF(ISBLANK(Actuals!CR22),-Helpers!CO4*Assumptions!$B$20,Actuals!CR22)</f>
        <v>-30940.3270771615</v>
      </c>
      <c r="CR112" s="393">
        <f>IF(ISBLANK(Actuals!CS22),-Helpers!CP4*Assumptions!$B$20,Actuals!CS22)</f>
        <v>-30940.3270771615</v>
      </c>
      <c r="CS112" s="393">
        <f>IF(ISBLANK(Actuals!CT22),-Helpers!CQ4*Assumptions!$B$20,Actuals!CT22)</f>
        <v>-30940.3270771615</v>
      </c>
      <c r="CT112" s="393">
        <f>IF(ISBLANK(Actuals!CU22),-Helpers!CR4*Assumptions!$B$20,Actuals!CU22)</f>
        <v>0</v>
      </c>
      <c r="CU112" s="393">
        <f>IF(ISBLANK(Actuals!CV22),-Helpers!CS4*Assumptions!$B$20,Actuals!CV22)</f>
        <v>0</v>
      </c>
      <c r="CV112" s="393">
        <f>IF(ISBLANK(Actuals!CW22),-Helpers!CT4*Assumptions!$B$20,Actuals!CW22)</f>
        <v>0</v>
      </c>
      <c r="CW112" s="393">
        <f>IF(ISBLANK(Actuals!CX22),-Helpers!CU4*Assumptions!$B$20,Actuals!CX22)</f>
        <v>0</v>
      </c>
      <c r="CX112" s="393">
        <f>IF(ISBLANK(Actuals!CY22),-Helpers!CV4*Assumptions!$B$20,Actuals!CY22)</f>
        <v>0</v>
      </c>
      <c r="CY112" s="393">
        <f>IF(ISBLANK(Actuals!CZ22),-Helpers!CW4*Assumptions!$B$20,Actuals!CZ22)</f>
        <v>0</v>
      </c>
      <c r="CZ112" s="393">
        <f>IF(ISBLANK(Actuals!DA22),-Helpers!CX4*Assumptions!$B$20,Actuals!DA22)</f>
        <v>0</v>
      </c>
      <c r="DA112" s="393">
        <f>IF(ISBLANK(Actuals!DB22),-Helpers!CY4*Assumptions!$B$20,Actuals!DB22)</f>
        <v>0</v>
      </c>
      <c r="DB112" s="393">
        <f>IF(ISBLANK(Actuals!DC22),-Helpers!CZ4*Assumptions!$B$20,Actuals!DC22)</f>
        <v>0</v>
      </c>
      <c r="DC112" s="393">
        <f>IF(ISBLANK(Actuals!DD22),-Helpers!DA4*Assumptions!$B$20,Actuals!DD22)</f>
        <v>0</v>
      </c>
      <c r="DD112" s="393">
        <f>IF(ISBLANK(Actuals!DE22),-Helpers!DB4*Assumptions!$B$20,Actuals!DE22)</f>
        <v>0</v>
      </c>
      <c r="DE112" s="393">
        <f>IF(ISBLANK(Actuals!DF22),-Helpers!DC4*Assumptions!$B$20,Actuals!DF22)</f>
        <v>0</v>
      </c>
    </row>
    <row r="113" ht="15" customFormat="1" customHeight="1" s="381">
      <c r="A113" s="398" t="inlineStr">
        <is>
          <t>SP Allocated to LV</t>
        </is>
      </c>
      <c r="B113" s="393">
        <f>IF(ISBLANK(Actuals!C23),0,Actuals!C23)</f>
        <v>0</v>
      </c>
      <c r="C113" s="393">
        <f>IF(ISBLANK(Actuals!D23),0,Actuals!D23)</f>
        <v>0</v>
      </c>
      <c r="D113" s="393">
        <f>IF(ISBLANK(Actuals!E23),0,Actuals!E23)</f>
        <v>0</v>
      </c>
      <c r="E113" s="393">
        <f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393">
        <f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393">
        <f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3" s="393">
        <f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393">
        <f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393">
        <f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393">
        <f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393">
        <f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393">
        <f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393">
        <f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393">
        <f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393">
        <f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393">
        <f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393">
        <f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393">
        <f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393">
        <f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393">
        <f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393">
        <f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393">
        <f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393">
        <f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393">
        <f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393">
        <f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393">
        <f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393">
        <f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393">
        <f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393">
        <f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393">
        <f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393">
        <f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393">
        <f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393">
        <f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393">
        <f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393">
        <f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393">
        <f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393">
        <f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393">
        <f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393">
        <f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393">
        <f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393">
        <f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393">
        <f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393">
        <f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393">
        <f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393">
        <f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393">
        <f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393">
        <f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393">
        <f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393">
        <f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393">
        <f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393">
        <f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393">
        <f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393">
        <f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393">
        <f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393">
        <f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393">
        <f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393">
        <f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393">
        <f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393">
        <f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393">
        <f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393">
        <f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393">
        <f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393">
        <f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393">
        <f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393">
        <f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393">
        <f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393">
        <f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393">
        <f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393">
        <f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393">
        <f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393">
        <f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393">
        <f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393">
        <f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393">
        <f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393">
        <f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393">
        <f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393">
        <f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393">
        <f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393">
        <f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393">
        <f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393">
        <f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393">
        <f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393">
        <f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393">
        <f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393">
        <f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393">
        <f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393">
        <f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393">
        <f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393">
        <f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393">
        <f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393">
        <f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393">
        <f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393">
        <f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393">
        <f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393">
        <f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393">
        <f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393">
        <f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393">
        <f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393">
        <f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393">
        <f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393">
        <f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393">
        <f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393">
        <f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393">
        <f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393">
        <f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393">
        <f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393">
        <f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393">
        <f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ht="15" customFormat="1" customHeight="1" s="381">
      <c r="A114" s="398" t="inlineStr">
        <is>
          <t>5000-1002 Employee Benefits</t>
        </is>
      </c>
      <c r="B114" s="393">
        <f>IF(ISBLANK(Actuals!C24),0,Actuals!C24)</f>
        <v>-9482.97</v>
      </c>
      <c r="C114" s="393">
        <f>IF(ISBLANK(Actuals!D24),0,Actuals!D24)</f>
        <v>-10343.29</v>
      </c>
      <c r="D114" s="393">
        <f>IF(ISBLANK(Actuals!E24),0,Actuals!E24)</f>
        <v>-3729.48</v>
      </c>
      <c r="E114" s="393">
        <f>IF(ISBLANK(Actuals!F24),-Helpers!C4*Assumptions!$B$22,Actuals!F24)</f>
        <v>-3206.79</v>
      </c>
      <c r="F114" s="393">
        <f>IF(ISBLANK(Actuals!G24),-Helpers!D4*Assumptions!$B$22,Actuals!G24)</f>
        <v>10942.55</v>
      </c>
      <c r="G114" s="393">
        <f>IF(ISBLANK(Actuals!H24),-Helpers!E4*Assumptions!$B$22,Actuals!H24)</f>
        <v>-8982.91</v>
      </c>
      <c r="H114" s="393">
        <f>IF(ISBLANK(Actuals!I24),-Helpers!F4*Assumptions!$B$22,Actuals!I24)</f>
        <v>-14989.5833333333</v>
      </c>
      <c r="I114" s="393">
        <f>IF(ISBLANK(Actuals!J24),-Helpers!G4*Assumptions!$B$22,Actuals!J24)</f>
        <v>-14989.5833333333</v>
      </c>
      <c r="J114" s="393">
        <f>IF(ISBLANK(Actuals!K24),-Helpers!H4*Assumptions!$B$22,Actuals!K24)</f>
        <v>-14989.5833333333</v>
      </c>
      <c r="K114" s="393">
        <f>IF(ISBLANK(Actuals!L24),-Helpers!I4*Assumptions!$B$22,Actuals!L24)</f>
        <v>-14989.5833333333</v>
      </c>
      <c r="L114" s="393">
        <f>IF(ISBLANK(Actuals!M24),-Helpers!J4*Assumptions!$B$22,Actuals!M24)</f>
        <v>-15656.25</v>
      </c>
      <c r="M114" s="393">
        <f>IF(ISBLANK(Actuals!N24),-Helpers!K4*Assumptions!$B$22,Actuals!N24)</f>
        <v>-16197.9166666667</v>
      </c>
      <c r="N114" s="393">
        <f>IF(ISBLANK(Actuals!O24),-Helpers!L4*Assumptions!$B$22,Actuals!O24)</f>
        <v>-17385.4166666667</v>
      </c>
      <c r="O114" s="393">
        <f>IF(ISBLANK(Actuals!P24),-Helpers!M4*Assumptions!$B$22,Actuals!P24)</f>
        <v>-17385.4166666667</v>
      </c>
      <c r="P114" s="393">
        <f>IF(ISBLANK(Actuals!Q24),-Helpers!N4*Assumptions!$B$22,Actuals!Q24)</f>
        <v>-17385.4166666667</v>
      </c>
      <c r="Q114" s="393">
        <f>IF(ISBLANK(Actuals!R24),-Helpers!O4*Assumptions!$B$22,Actuals!R24)</f>
        <v>-17733.125</v>
      </c>
      <c r="R114" s="393">
        <f>IF(ISBLANK(Actuals!S24),-Helpers!P4*Assumptions!$B$22,Actuals!S24)</f>
        <v>-19624.375</v>
      </c>
      <c r="S114" s="393">
        <f>IF(ISBLANK(Actuals!T24),-Helpers!Q4*Assumptions!$B$22,Actuals!T24)</f>
        <v>-19624.375</v>
      </c>
      <c r="T114" s="393">
        <f>IF(ISBLANK(Actuals!U24),-Helpers!R4*Assumptions!$B$22,Actuals!U24)</f>
        <v>-19624.375</v>
      </c>
      <c r="U114" s="393">
        <f>IF(ISBLANK(Actuals!V24),-Helpers!S4*Assumptions!$B$22,Actuals!V24)</f>
        <v>-19624.375</v>
      </c>
      <c r="V114" s="393">
        <f>IF(ISBLANK(Actuals!W24),-Helpers!T4*Assumptions!$B$22,Actuals!W24)</f>
        <v>-19624.375</v>
      </c>
      <c r="W114" s="393">
        <f>IF(ISBLANK(Actuals!X24),-Helpers!U4*Assumptions!$B$22,Actuals!X24)</f>
        <v>-19624.375</v>
      </c>
      <c r="X114" s="393">
        <f>IF(ISBLANK(Actuals!Y24),-Helpers!V4*Assumptions!$B$22,Actuals!Y24)</f>
        <v>-19624.375</v>
      </c>
      <c r="Y114" s="393">
        <f>IF(ISBLANK(Actuals!Z24),-Helpers!W4*Assumptions!$B$22,Actuals!Z24)</f>
        <v>-19624.375</v>
      </c>
      <c r="Z114" s="393">
        <f>IF(ISBLANK(Actuals!AA24),-Helpers!X4*Assumptions!$B$22,Actuals!AA24)</f>
        <v>-19624.375</v>
      </c>
      <c r="AA114" s="393">
        <f>IF(ISBLANK(Actuals!AB24),-Helpers!Y4*Assumptions!$B$22,Actuals!AB24)</f>
        <v>-19624.375</v>
      </c>
      <c r="AB114" s="393">
        <f>IF(ISBLANK(Actuals!AC24),-Helpers!Z4*Assumptions!$B$22,Actuals!AC24)</f>
        <v>-19624.375</v>
      </c>
      <c r="AC114" s="393">
        <f>IF(ISBLANK(Actuals!AD24),-Helpers!AA4*Assumptions!$B$22,Actuals!AD24)</f>
        <v>-20016.8625</v>
      </c>
      <c r="AD114" s="393">
        <f>IF(ISBLANK(Actuals!AE24),-Helpers!AB4*Assumptions!$B$22,Actuals!AE24)</f>
        <v>-20016.8625</v>
      </c>
      <c r="AE114" s="393">
        <f>IF(ISBLANK(Actuals!AF24),-Helpers!AC4*Assumptions!$B$22,Actuals!AF24)</f>
        <v>-20016.8625</v>
      </c>
      <c r="AF114" s="393">
        <f>IF(ISBLANK(Actuals!AG24),-Helpers!AD4*Assumptions!$B$22,Actuals!AG24)</f>
        <v>-20016.8625</v>
      </c>
      <c r="AG114" s="393">
        <f>IF(ISBLANK(Actuals!AH24),-Helpers!AE4*Assumptions!$B$22,Actuals!AH24)</f>
        <v>-20016.8625</v>
      </c>
      <c r="AH114" s="393">
        <f>IF(ISBLANK(Actuals!AI24),-Helpers!AF4*Assumptions!$B$22,Actuals!AI24)</f>
        <v>-20016.8625</v>
      </c>
      <c r="AI114" s="393">
        <f>IF(ISBLANK(Actuals!AJ24),-Helpers!AG4*Assumptions!$B$22,Actuals!AJ24)</f>
        <v>-20016.8625</v>
      </c>
      <c r="AJ114" s="393">
        <f>IF(ISBLANK(Actuals!AK24),-Helpers!AH4*Assumptions!$B$22,Actuals!AK24)</f>
        <v>-20016.8625</v>
      </c>
      <c r="AK114" s="393">
        <f>IF(ISBLANK(Actuals!AL24),-Helpers!AI4*Assumptions!$B$22,Actuals!AL24)</f>
        <v>-20016.8625</v>
      </c>
      <c r="AL114" s="393">
        <f>IF(ISBLANK(Actuals!AM24),-Helpers!AJ4*Assumptions!$B$22,Actuals!AM24)</f>
        <v>-20016.8625</v>
      </c>
      <c r="AM114" s="393">
        <f>IF(ISBLANK(Actuals!AN24),-Helpers!AK4*Assumptions!$B$22,Actuals!AN24)</f>
        <v>-20016.8625</v>
      </c>
      <c r="AN114" s="393">
        <f>IF(ISBLANK(Actuals!AO24),-Helpers!AL4*Assumptions!$B$22,Actuals!AO24)</f>
        <v>-20016.8625</v>
      </c>
      <c r="AO114" s="393">
        <f>IF(ISBLANK(Actuals!AP24),-Helpers!AM4*Assumptions!$B$22,Actuals!AP24)</f>
        <v>-20417.19975</v>
      </c>
      <c r="AP114" s="393">
        <f>IF(ISBLANK(Actuals!AQ24),-Helpers!AN4*Assumptions!$B$22,Actuals!AQ24)</f>
        <v>-20417.19975</v>
      </c>
      <c r="AQ114" s="393">
        <f>IF(ISBLANK(Actuals!AR24),-Helpers!AO4*Assumptions!$B$22,Actuals!AR24)</f>
        <v>-20417.19975</v>
      </c>
      <c r="AR114" s="393">
        <f>IF(ISBLANK(Actuals!AS24),-Helpers!AP4*Assumptions!$B$22,Actuals!AS24)</f>
        <v>-20417.19975</v>
      </c>
      <c r="AS114" s="393">
        <f>IF(ISBLANK(Actuals!AT24),-Helpers!AQ4*Assumptions!$B$22,Actuals!AT24)</f>
        <v>-20417.19975</v>
      </c>
      <c r="AT114" s="393">
        <f>IF(ISBLANK(Actuals!AU24),-Helpers!AR4*Assumptions!$B$22,Actuals!AU24)</f>
        <v>-20417.19975</v>
      </c>
      <c r="AU114" s="393">
        <f>IF(ISBLANK(Actuals!AV24),-Helpers!AS4*Assumptions!$B$22,Actuals!AV24)</f>
        <v>-20417.19975</v>
      </c>
      <c r="AV114" s="393">
        <f>IF(ISBLANK(Actuals!AW24),-Helpers!AT4*Assumptions!$B$22,Actuals!AW24)</f>
        <v>-20417.19975</v>
      </c>
      <c r="AW114" s="393">
        <f>IF(ISBLANK(Actuals!AX24),-Helpers!AU4*Assumptions!$B$22,Actuals!AX24)</f>
        <v>-20417.19975</v>
      </c>
      <c r="AX114" s="393">
        <f>IF(ISBLANK(Actuals!AY24),-Helpers!AV4*Assumptions!$B$22,Actuals!AY24)</f>
        <v>-20417.19975</v>
      </c>
      <c r="AY114" s="393">
        <f>IF(ISBLANK(Actuals!AZ24),-Helpers!AW4*Assumptions!$B$22,Actuals!AZ24)</f>
        <v>-20417.19975</v>
      </c>
      <c r="AZ114" s="393">
        <f>IF(ISBLANK(Actuals!BA24),-Helpers!AX4*Assumptions!$B$22,Actuals!BA24)</f>
        <v>-20417.19975</v>
      </c>
      <c r="BA114" s="393">
        <f>IF(ISBLANK(Actuals!BB24),-Helpers!AY4*Assumptions!$B$22,Actuals!BB24)</f>
        <v>-20825.543745</v>
      </c>
      <c r="BB114" s="393">
        <f>IF(ISBLANK(Actuals!BC24),-Helpers!AZ4*Assumptions!$B$22,Actuals!BC24)</f>
        <v>-20825.543745</v>
      </c>
      <c r="BC114" s="393">
        <f>IF(ISBLANK(Actuals!BD24),-Helpers!BA4*Assumptions!$B$22,Actuals!BD24)</f>
        <v>-20825.543745</v>
      </c>
      <c r="BD114" s="393">
        <f>IF(ISBLANK(Actuals!BE24),-Helpers!BB4*Assumptions!$B$22,Actuals!BE24)</f>
        <v>-20825.543745</v>
      </c>
      <c r="BE114" s="393">
        <f>IF(ISBLANK(Actuals!BF24),-Helpers!BC4*Assumptions!$B$22,Actuals!BF24)</f>
        <v>-20825.543745</v>
      </c>
      <c r="BF114" s="393">
        <f>IF(ISBLANK(Actuals!BG24),-Helpers!BD4*Assumptions!$B$22,Actuals!BG24)</f>
        <v>-20825.543745</v>
      </c>
      <c r="BG114" s="393">
        <f>IF(ISBLANK(Actuals!BH24),-Helpers!BE4*Assumptions!$B$22,Actuals!BH24)</f>
        <v>-20825.543745</v>
      </c>
      <c r="BH114" s="393">
        <f>IF(ISBLANK(Actuals!BI24),-Helpers!BF4*Assumptions!$B$22,Actuals!BI24)</f>
        <v>-20825.543745</v>
      </c>
      <c r="BI114" s="393">
        <f>IF(ISBLANK(Actuals!BJ24),-Helpers!BG4*Assumptions!$B$22,Actuals!BJ24)</f>
        <v>-20825.543745</v>
      </c>
      <c r="BJ114" s="393">
        <f>IF(ISBLANK(Actuals!BK24),-Helpers!BH4*Assumptions!$B$22,Actuals!BK24)</f>
        <v>-20825.543745</v>
      </c>
      <c r="BK114" s="393">
        <f>IF(ISBLANK(Actuals!BL24),-Helpers!BI4*Assumptions!$B$22,Actuals!BL24)</f>
        <v>-20825.543745</v>
      </c>
      <c r="BL114" s="393">
        <f>IF(ISBLANK(Actuals!BM24),-Helpers!BJ4*Assumptions!$B$22,Actuals!BM24)</f>
        <v>-20825.543745</v>
      </c>
      <c r="BM114" s="393">
        <f>IF(ISBLANK(Actuals!BN24),-Helpers!BK4*Assumptions!$B$22,Actuals!BN24)</f>
        <v>-21242.0546199</v>
      </c>
      <c r="BN114" s="393">
        <f>IF(ISBLANK(Actuals!BO24),-Helpers!BL4*Assumptions!$B$22,Actuals!BO24)</f>
        <v>-21242.0546199</v>
      </c>
      <c r="BO114" s="393">
        <f>IF(ISBLANK(Actuals!BP24),-Helpers!BM4*Assumptions!$B$22,Actuals!BP24)</f>
        <v>-21242.0546199</v>
      </c>
      <c r="BP114" s="393">
        <f>IF(ISBLANK(Actuals!BQ24),-Helpers!BN4*Assumptions!$B$22,Actuals!BQ24)</f>
        <v>-21242.0546199</v>
      </c>
      <c r="BQ114" s="393">
        <f>IF(ISBLANK(Actuals!BR24),-Helpers!BO4*Assumptions!$B$22,Actuals!BR24)</f>
        <v>-21242.0546199</v>
      </c>
      <c r="BR114" s="393">
        <f>IF(ISBLANK(Actuals!BS24),-Helpers!BP4*Assumptions!$B$22,Actuals!BS24)</f>
        <v>-21242.0546199</v>
      </c>
      <c r="BS114" s="393">
        <f>IF(ISBLANK(Actuals!BT24),-Helpers!BQ4*Assumptions!$B$22,Actuals!BT24)</f>
        <v>-21242.0546199</v>
      </c>
      <c r="BT114" s="393">
        <f>IF(ISBLANK(Actuals!BU24),-Helpers!BR4*Assumptions!$B$22,Actuals!BU24)</f>
        <v>-21242.0546199</v>
      </c>
      <c r="BU114" s="393">
        <f>IF(ISBLANK(Actuals!BV24),-Helpers!BS4*Assumptions!$B$22,Actuals!BV24)</f>
        <v>-21242.0546199</v>
      </c>
      <c r="BV114" s="393">
        <f>IF(ISBLANK(Actuals!BW24),-Helpers!BT4*Assumptions!$B$22,Actuals!BW24)</f>
        <v>-21242.0546199</v>
      </c>
      <c r="BW114" s="393">
        <f>IF(ISBLANK(Actuals!BX24),-Helpers!BU4*Assumptions!$B$22,Actuals!BX24)</f>
        <v>-21242.0546199</v>
      </c>
      <c r="BX114" s="393">
        <f>IF(ISBLANK(Actuals!BY24),-Helpers!BV4*Assumptions!$B$22,Actuals!BY24)</f>
        <v>-21242.0546199</v>
      </c>
      <c r="BY114" s="393">
        <f>IF(ISBLANK(Actuals!BZ24),-Helpers!BW4*Assumptions!$B$22,Actuals!BZ24)</f>
        <v>-21666.895712298</v>
      </c>
      <c r="BZ114" s="393">
        <f>IF(ISBLANK(Actuals!CA24),-Helpers!BX4*Assumptions!$B$22,Actuals!CA24)</f>
        <v>-21666.895712298</v>
      </c>
      <c r="CA114" s="393">
        <f>IF(ISBLANK(Actuals!CB24),-Helpers!BY4*Assumptions!$B$22,Actuals!CB24)</f>
        <v>-21666.895712298</v>
      </c>
      <c r="CB114" s="393">
        <f>IF(ISBLANK(Actuals!CC24),-Helpers!BZ4*Assumptions!$B$22,Actuals!CC24)</f>
        <v>-21666.895712298</v>
      </c>
      <c r="CC114" s="393">
        <f>IF(ISBLANK(Actuals!CD24),-Helpers!CA4*Assumptions!$B$22,Actuals!CD24)</f>
        <v>-21666.895712298</v>
      </c>
      <c r="CD114" s="393">
        <f>IF(ISBLANK(Actuals!CE24),-Helpers!CB4*Assumptions!$B$22,Actuals!CE24)</f>
        <v>-21666.895712298</v>
      </c>
      <c r="CE114" s="393">
        <f>IF(ISBLANK(Actuals!CF24),-Helpers!CC4*Assumptions!$B$22,Actuals!CF24)</f>
        <v>-21666.895712298</v>
      </c>
      <c r="CF114" s="393">
        <f>IF(ISBLANK(Actuals!CG24),-Helpers!CD4*Assumptions!$B$22,Actuals!CG24)</f>
        <v>-21666.895712298</v>
      </c>
      <c r="CG114" s="393">
        <f>IF(ISBLANK(Actuals!CH24),-Helpers!CE4*Assumptions!$B$22,Actuals!CH24)</f>
        <v>-21666.895712298</v>
      </c>
      <c r="CH114" s="393">
        <f>IF(ISBLANK(Actuals!CI24),-Helpers!CF4*Assumptions!$B$22,Actuals!CI24)</f>
        <v>-21666.895712298</v>
      </c>
      <c r="CI114" s="393">
        <f>IF(ISBLANK(Actuals!CJ24),-Helpers!CG4*Assumptions!$B$22,Actuals!CJ24)</f>
        <v>-21666.895712298</v>
      </c>
      <c r="CJ114" s="393">
        <f>IF(ISBLANK(Actuals!CK24),-Helpers!CH4*Assumptions!$B$22,Actuals!CK24)</f>
        <v>-21666.895712298</v>
      </c>
      <c r="CK114" s="393">
        <f>IF(ISBLANK(Actuals!CL24),-Helpers!CI4*Assumptions!$B$22,Actuals!CL24)</f>
        <v>-22100.233626544</v>
      </c>
      <c r="CL114" s="393">
        <f>IF(ISBLANK(Actuals!CM24),-Helpers!CJ4*Assumptions!$B$22,Actuals!CM24)</f>
        <v>-22100.233626544</v>
      </c>
      <c r="CM114" s="393">
        <f>IF(ISBLANK(Actuals!CN24),-Helpers!CK4*Assumptions!$B$22,Actuals!CN24)</f>
        <v>-22100.233626544</v>
      </c>
      <c r="CN114" s="393">
        <f>IF(ISBLANK(Actuals!CO24),-Helpers!CL4*Assumptions!$B$22,Actuals!CO24)</f>
        <v>-22100.233626544</v>
      </c>
      <c r="CO114" s="393">
        <f>IF(ISBLANK(Actuals!CP24),-Helpers!CM4*Assumptions!$B$22,Actuals!CP24)</f>
        <v>-22100.233626544</v>
      </c>
      <c r="CP114" s="393">
        <f>IF(ISBLANK(Actuals!CQ24),-Helpers!CN4*Assumptions!$B$22,Actuals!CQ24)</f>
        <v>-22100.233626544</v>
      </c>
      <c r="CQ114" s="393">
        <f>IF(ISBLANK(Actuals!CR24),-Helpers!CO4*Assumptions!$B$22,Actuals!CR24)</f>
        <v>-22100.233626544</v>
      </c>
      <c r="CR114" s="393">
        <f>IF(ISBLANK(Actuals!CS24),-Helpers!CP4*Assumptions!$B$22,Actuals!CS24)</f>
        <v>-22100.233626544</v>
      </c>
      <c r="CS114" s="393">
        <f>IF(ISBLANK(Actuals!CT24),-Helpers!CQ4*Assumptions!$B$22,Actuals!CT24)</f>
        <v>-22100.233626544</v>
      </c>
      <c r="CT114" s="393">
        <f>IF(ISBLANK(Actuals!CU24),-Helpers!CR4*Assumptions!$B$22,Actuals!CU24)</f>
        <v>0</v>
      </c>
      <c r="CU114" s="393">
        <f>IF(ISBLANK(Actuals!CV24),-Helpers!CS4*Assumptions!$B$22,Actuals!CV24)</f>
        <v>0</v>
      </c>
      <c r="CV114" s="393">
        <f>IF(ISBLANK(Actuals!CW24),-Helpers!CT4*Assumptions!$B$22,Actuals!CW24)</f>
        <v>0</v>
      </c>
      <c r="CW114" s="393">
        <f>IF(ISBLANK(Actuals!CX24),-Helpers!CU4*Assumptions!$B$22,Actuals!CX24)</f>
        <v>0</v>
      </c>
      <c r="CX114" s="393">
        <f>IF(ISBLANK(Actuals!CY24),-Helpers!CV4*Assumptions!$B$22,Actuals!CY24)</f>
        <v>0</v>
      </c>
      <c r="CY114" s="393">
        <f>IF(ISBLANK(Actuals!CZ24),-Helpers!CW4*Assumptions!$B$22,Actuals!CZ24)</f>
        <v>0</v>
      </c>
      <c r="CZ114" s="393">
        <f>IF(ISBLANK(Actuals!DA24),-Helpers!CX4*Assumptions!$B$22,Actuals!DA24)</f>
        <v>0</v>
      </c>
      <c r="DA114" s="393">
        <f>IF(ISBLANK(Actuals!DB24),-Helpers!CY4*Assumptions!$B$22,Actuals!DB24)</f>
        <v>0</v>
      </c>
      <c r="DB114" s="393">
        <f>IF(ISBLANK(Actuals!DC24),-Helpers!CZ4*Assumptions!$B$22,Actuals!DC24)</f>
        <v>0</v>
      </c>
      <c r="DC114" s="393">
        <f>IF(ISBLANK(Actuals!DD24),-Helpers!DA4*Assumptions!$B$22,Actuals!DD24)</f>
        <v>0</v>
      </c>
      <c r="DD114" s="393">
        <f>IF(ISBLANK(Actuals!DE24),-Helpers!DB4*Assumptions!$B$22,Actuals!DE24)</f>
        <v>0</v>
      </c>
      <c r="DE114" s="393">
        <f>IF(ISBLANK(Actuals!DF24),-Helpers!DC4*Assumptions!$B$22,Actuals!DF24)</f>
        <v>0</v>
      </c>
    </row>
    <row r="115" ht="15" customFormat="1" customHeight="1" s="381">
      <c r="A115" s="398" t="inlineStr">
        <is>
          <t>5000-1003 Workers Comp</t>
        </is>
      </c>
      <c r="B115" s="393">
        <f>IF(ISBLANK(Actuals!C25),0,Actuals!C25)</f>
        <v>-2542.47</v>
      </c>
      <c r="C115" s="393">
        <f>IF(ISBLANK(Actuals!D25),0,Actuals!D25)</f>
        <v>-1618.75</v>
      </c>
      <c r="D115" s="393">
        <f>IF(ISBLANK(Actuals!E25),0,Actuals!E25)</f>
        <v>3406.77</v>
      </c>
      <c r="E115" s="393">
        <f>IF(ISBLANK(Actuals!F25),-Helpers!C4*Assumptions!$B$23,Actuals!F25)</f>
        <v>2575.42</v>
      </c>
      <c r="F115" s="393">
        <f>IF(ISBLANK(Actuals!G25),-Helpers!D4*Assumptions!$B$23,Actuals!G25)</f>
        <v>-1896.11</v>
      </c>
      <c r="G115" s="393">
        <f>IF(ISBLANK(Actuals!H25),-Helpers!E4*Assumptions!$B$23,Actuals!H25)</f>
        <v>-2888.37</v>
      </c>
      <c r="H115" s="393">
        <f>IF(ISBLANK(Actuals!I25),-Helpers!F4*Assumptions!$B$23,Actuals!I25)</f>
        <v>-5995.83333333333</v>
      </c>
      <c r="I115" s="393">
        <f>IF(ISBLANK(Actuals!J25),-Helpers!G4*Assumptions!$B$23,Actuals!J25)</f>
        <v>-5995.83333333333</v>
      </c>
      <c r="J115" s="393">
        <f>IF(ISBLANK(Actuals!K25),-Helpers!H4*Assumptions!$B$23,Actuals!K25)</f>
        <v>-5995.83333333333</v>
      </c>
      <c r="K115" s="393">
        <f>IF(ISBLANK(Actuals!L25),-Helpers!I4*Assumptions!$B$23,Actuals!L25)</f>
        <v>-5995.83333333333</v>
      </c>
      <c r="L115" s="393">
        <f>IF(ISBLANK(Actuals!M25),-Helpers!J4*Assumptions!$B$23,Actuals!M25)</f>
        <v>-6262.5</v>
      </c>
      <c r="M115" s="393">
        <f>IF(ISBLANK(Actuals!N25),-Helpers!K4*Assumptions!$B$23,Actuals!N25)</f>
        <v>-6479.16666666667</v>
      </c>
      <c r="N115" s="393">
        <f>IF(ISBLANK(Actuals!O25),-Helpers!L4*Assumptions!$B$23,Actuals!O25)</f>
        <v>-6954.16666666667</v>
      </c>
      <c r="O115" s="393">
        <f>IF(ISBLANK(Actuals!P25),-Helpers!M4*Assumptions!$B$23,Actuals!P25)</f>
        <v>-6954.16666666667</v>
      </c>
      <c r="P115" s="393">
        <f>IF(ISBLANK(Actuals!Q25),-Helpers!N4*Assumptions!$B$23,Actuals!Q25)</f>
        <v>-6954.16666666667</v>
      </c>
      <c r="Q115" s="393">
        <f>IF(ISBLANK(Actuals!R25),-Helpers!O4*Assumptions!$B$23,Actuals!R25)</f>
        <v>-7093.25</v>
      </c>
      <c r="R115" s="393">
        <f>IF(ISBLANK(Actuals!S25),-Helpers!P4*Assumptions!$B$23,Actuals!S25)</f>
        <v>-7849.75</v>
      </c>
      <c r="S115" s="393">
        <f>IF(ISBLANK(Actuals!T25),-Helpers!Q4*Assumptions!$B$23,Actuals!T25)</f>
        <v>-7849.75</v>
      </c>
      <c r="T115" s="393">
        <f>IF(ISBLANK(Actuals!U25),-Helpers!R4*Assumptions!$B$23,Actuals!U25)</f>
        <v>-7849.75</v>
      </c>
      <c r="U115" s="393">
        <f>IF(ISBLANK(Actuals!V25),-Helpers!S4*Assumptions!$B$23,Actuals!V25)</f>
        <v>-7849.75</v>
      </c>
      <c r="V115" s="393">
        <f>IF(ISBLANK(Actuals!W25),-Helpers!T4*Assumptions!$B$23,Actuals!W25)</f>
        <v>-7849.75</v>
      </c>
      <c r="W115" s="393">
        <f>IF(ISBLANK(Actuals!X25),-Helpers!U4*Assumptions!$B$23,Actuals!X25)</f>
        <v>-7849.75</v>
      </c>
      <c r="X115" s="393">
        <f>IF(ISBLANK(Actuals!Y25),-Helpers!V4*Assumptions!$B$23,Actuals!Y25)</f>
        <v>-7849.75</v>
      </c>
      <c r="Y115" s="393">
        <f>IF(ISBLANK(Actuals!Z25),-Helpers!W4*Assumptions!$B$23,Actuals!Z25)</f>
        <v>-7849.75</v>
      </c>
      <c r="Z115" s="393">
        <f>IF(ISBLANK(Actuals!AA25),-Helpers!X4*Assumptions!$B$23,Actuals!AA25)</f>
        <v>-7849.75</v>
      </c>
      <c r="AA115" s="393">
        <f>IF(ISBLANK(Actuals!AB25),-Helpers!Y4*Assumptions!$B$23,Actuals!AB25)</f>
        <v>-7849.75</v>
      </c>
      <c r="AB115" s="393">
        <f>IF(ISBLANK(Actuals!AC25),-Helpers!Z4*Assumptions!$B$23,Actuals!AC25)</f>
        <v>-7849.75</v>
      </c>
      <c r="AC115" s="393">
        <f>IF(ISBLANK(Actuals!AD25),-Helpers!AA4*Assumptions!$B$23,Actuals!AD25)</f>
        <v>-8006.745</v>
      </c>
      <c r="AD115" s="393">
        <f>IF(ISBLANK(Actuals!AE25),-Helpers!AB4*Assumptions!$B$23,Actuals!AE25)</f>
        <v>-8006.745</v>
      </c>
      <c r="AE115" s="393">
        <f>IF(ISBLANK(Actuals!AF25),-Helpers!AC4*Assumptions!$B$23,Actuals!AF25)</f>
        <v>-8006.745</v>
      </c>
      <c r="AF115" s="393">
        <f>IF(ISBLANK(Actuals!AG25),-Helpers!AD4*Assumptions!$B$23,Actuals!AG25)</f>
        <v>-8006.745</v>
      </c>
      <c r="AG115" s="393">
        <f>IF(ISBLANK(Actuals!AH25),-Helpers!AE4*Assumptions!$B$23,Actuals!AH25)</f>
        <v>-8006.745</v>
      </c>
      <c r="AH115" s="393">
        <f>IF(ISBLANK(Actuals!AI25),-Helpers!AF4*Assumptions!$B$23,Actuals!AI25)</f>
        <v>-8006.745</v>
      </c>
      <c r="AI115" s="393">
        <f>IF(ISBLANK(Actuals!AJ25),-Helpers!AG4*Assumptions!$B$23,Actuals!AJ25)</f>
        <v>-8006.745</v>
      </c>
      <c r="AJ115" s="393">
        <f>IF(ISBLANK(Actuals!AK25),-Helpers!AH4*Assumptions!$B$23,Actuals!AK25)</f>
        <v>-8006.745</v>
      </c>
      <c r="AK115" s="393">
        <f>IF(ISBLANK(Actuals!AL25),-Helpers!AI4*Assumptions!$B$23,Actuals!AL25)</f>
        <v>-8006.745</v>
      </c>
      <c r="AL115" s="393">
        <f>IF(ISBLANK(Actuals!AM25),-Helpers!AJ4*Assumptions!$B$23,Actuals!AM25)</f>
        <v>-8006.745</v>
      </c>
      <c r="AM115" s="393">
        <f>IF(ISBLANK(Actuals!AN25),-Helpers!AK4*Assumptions!$B$23,Actuals!AN25)</f>
        <v>-8006.745</v>
      </c>
      <c r="AN115" s="393">
        <f>IF(ISBLANK(Actuals!AO25),-Helpers!AL4*Assumptions!$B$23,Actuals!AO25)</f>
        <v>-8006.745</v>
      </c>
      <c r="AO115" s="393">
        <f>IF(ISBLANK(Actuals!AP25),-Helpers!AM4*Assumptions!$B$23,Actuals!AP25)</f>
        <v>-8166.8799</v>
      </c>
      <c r="AP115" s="393">
        <f>IF(ISBLANK(Actuals!AQ25),-Helpers!AN4*Assumptions!$B$23,Actuals!AQ25)</f>
        <v>-8166.8799</v>
      </c>
      <c r="AQ115" s="393">
        <f>IF(ISBLANK(Actuals!AR25),-Helpers!AO4*Assumptions!$B$23,Actuals!AR25)</f>
        <v>-8166.8799</v>
      </c>
      <c r="AR115" s="393">
        <f>IF(ISBLANK(Actuals!AS25),-Helpers!AP4*Assumptions!$B$23,Actuals!AS25)</f>
        <v>-8166.8799</v>
      </c>
      <c r="AS115" s="393">
        <f>IF(ISBLANK(Actuals!AT25),-Helpers!AQ4*Assumptions!$B$23,Actuals!AT25)</f>
        <v>-8166.8799</v>
      </c>
      <c r="AT115" s="393">
        <f>IF(ISBLANK(Actuals!AU25),-Helpers!AR4*Assumptions!$B$23,Actuals!AU25)</f>
        <v>-8166.8799</v>
      </c>
      <c r="AU115" s="393">
        <f>IF(ISBLANK(Actuals!AV25),-Helpers!AS4*Assumptions!$B$23,Actuals!AV25)</f>
        <v>-8166.8799</v>
      </c>
      <c r="AV115" s="393">
        <f>IF(ISBLANK(Actuals!AW25),-Helpers!AT4*Assumptions!$B$23,Actuals!AW25)</f>
        <v>-8166.8799</v>
      </c>
      <c r="AW115" s="393">
        <f>IF(ISBLANK(Actuals!AX25),-Helpers!AU4*Assumptions!$B$23,Actuals!AX25)</f>
        <v>-8166.8799</v>
      </c>
      <c r="AX115" s="393">
        <f>IF(ISBLANK(Actuals!AY25),-Helpers!AV4*Assumptions!$B$23,Actuals!AY25)</f>
        <v>-8166.8799</v>
      </c>
      <c r="AY115" s="393">
        <f>IF(ISBLANK(Actuals!AZ25),-Helpers!AW4*Assumptions!$B$23,Actuals!AZ25)</f>
        <v>-8166.8799</v>
      </c>
      <c r="AZ115" s="393">
        <f>IF(ISBLANK(Actuals!BA25),-Helpers!AX4*Assumptions!$B$23,Actuals!BA25)</f>
        <v>-8166.8799</v>
      </c>
      <c r="BA115" s="393">
        <f>IF(ISBLANK(Actuals!BB25),-Helpers!AY4*Assumptions!$B$23,Actuals!BB25)</f>
        <v>-8330.217498</v>
      </c>
      <c r="BB115" s="393">
        <f>IF(ISBLANK(Actuals!BC25),-Helpers!AZ4*Assumptions!$B$23,Actuals!BC25)</f>
        <v>-8330.217498</v>
      </c>
      <c r="BC115" s="393">
        <f>IF(ISBLANK(Actuals!BD25),-Helpers!BA4*Assumptions!$B$23,Actuals!BD25)</f>
        <v>-8330.217498</v>
      </c>
      <c r="BD115" s="393">
        <f>IF(ISBLANK(Actuals!BE25),-Helpers!BB4*Assumptions!$B$23,Actuals!BE25)</f>
        <v>-8330.217498</v>
      </c>
      <c r="BE115" s="393">
        <f>IF(ISBLANK(Actuals!BF25),-Helpers!BC4*Assumptions!$B$23,Actuals!BF25)</f>
        <v>-8330.217498</v>
      </c>
      <c r="BF115" s="393">
        <f>IF(ISBLANK(Actuals!BG25),-Helpers!BD4*Assumptions!$B$23,Actuals!BG25)</f>
        <v>-8330.217498</v>
      </c>
      <c r="BG115" s="393">
        <f>IF(ISBLANK(Actuals!BH25),-Helpers!BE4*Assumptions!$B$23,Actuals!BH25)</f>
        <v>-8330.217498</v>
      </c>
      <c r="BH115" s="393">
        <f>IF(ISBLANK(Actuals!BI25),-Helpers!BF4*Assumptions!$B$23,Actuals!BI25)</f>
        <v>-8330.217498</v>
      </c>
      <c r="BI115" s="393">
        <f>IF(ISBLANK(Actuals!BJ25),-Helpers!BG4*Assumptions!$B$23,Actuals!BJ25)</f>
        <v>-8330.217498</v>
      </c>
      <c r="BJ115" s="393">
        <f>IF(ISBLANK(Actuals!BK25),-Helpers!BH4*Assumptions!$B$23,Actuals!BK25)</f>
        <v>-8330.217498</v>
      </c>
      <c r="BK115" s="393">
        <f>IF(ISBLANK(Actuals!BL25),-Helpers!BI4*Assumptions!$B$23,Actuals!BL25)</f>
        <v>-8330.217498</v>
      </c>
      <c r="BL115" s="393">
        <f>IF(ISBLANK(Actuals!BM25),-Helpers!BJ4*Assumptions!$B$23,Actuals!BM25)</f>
        <v>-8330.217498</v>
      </c>
      <c r="BM115" s="393">
        <f>IF(ISBLANK(Actuals!BN25),-Helpers!BK4*Assumptions!$B$23,Actuals!BN25)</f>
        <v>-8496.82184796</v>
      </c>
      <c r="BN115" s="393">
        <f>IF(ISBLANK(Actuals!BO25),-Helpers!BL4*Assumptions!$B$23,Actuals!BO25)</f>
        <v>-8496.82184796</v>
      </c>
      <c r="BO115" s="393">
        <f>IF(ISBLANK(Actuals!BP25),-Helpers!BM4*Assumptions!$B$23,Actuals!BP25)</f>
        <v>-8496.82184796</v>
      </c>
      <c r="BP115" s="393">
        <f>IF(ISBLANK(Actuals!BQ25),-Helpers!BN4*Assumptions!$B$23,Actuals!BQ25)</f>
        <v>-8496.82184796</v>
      </c>
      <c r="BQ115" s="393">
        <f>IF(ISBLANK(Actuals!BR25),-Helpers!BO4*Assumptions!$B$23,Actuals!BR25)</f>
        <v>-8496.82184796</v>
      </c>
      <c r="BR115" s="393">
        <f>IF(ISBLANK(Actuals!BS25),-Helpers!BP4*Assumptions!$B$23,Actuals!BS25)</f>
        <v>-8496.82184796</v>
      </c>
      <c r="BS115" s="393">
        <f>IF(ISBLANK(Actuals!BT25),-Helpers!BQ4*Assumptions!$B$23,Actuals!BT25)</f>
        <v>-8496.82184796</v>
      </c>
      <c r="BT115" s="393">
        <f>IF(ISBLANK(Actuals!BU25),-Helpers!BR4*Assumptions!$B$23,Actuals!BU25)</f>
        <v>-8496.82184796</v>
      </c>
      <c r="BU115" s="393">
        <f>IF(ISBLANK(Actuals!BV25),-Helpers!BS4*Assumptions!$B$23,Actuals!BV25)</f>
        <v>-8496.82184796</v>
      </c>
      <c r="BV115" s="393">
        <f>IF(ISBLANK(Actuals!BW25),-Helpers!BT4*Assumptions!$B$23,Actuals!BW25)</f>
        <v>-8496.82184796</v>
      </c>
      <c r="BW115" s="393">
        <f>IF(ISBLANK(Actuals!BX25),-Helpers!BU4*Assumptions!$B$23,Actuals!BX25)</f>
        <v>-8496.82184796</v>
      </c>
      <c r="BX115" s="393">
        <f>IF(ISBLANK(Actuals!BY25),-Helpers!BV4*Assumptions!$B$23,Actuals!BY25)</f>
        <v>-8496.82184796</v>
      </c>
      <c r="BY115" s="393">
        <f>IF(ISBLANK(Actuals!BZ25),-Helpers!BW4*Assumptions!$B$23,Actuals!BZ25)</f>
        <v>-8666.7582849192</v>
      </c>
      <c r="BZ115" s="393">
        <f>IF(ISBLANK(Actuals!CA25),-Helpers!BX4*Assumptions!$B$23,Actuals!CA25)</f>
        <v>-8666.7582849192</v>
      </c>
      <c r="CA115" s="393">
        <f>IF(ISBLANK(Actuals!CB25),-Helpers!BY4*Assumptions!$B$23,Actuals!CB25)</f>
        <v>-8666.7582849192</v>
      </c>
      <c r="CB115" s="393">
        <f>IF(ISBLANK(Actuals!CC25),-Helpers!BZ4*Assumptions!$B$23,Actuals!CC25)</f>
        <v>-8666.7582849192</v>
      </c>
      <c r="CC115" s="393">
        <f>IF(ISBLANK(Actuals!CD25),-Helpers!CA4*Assumptions!$B$23,Actuals!CD25)</f>
        <v>-8666.7582849192</v>
      </c>
      <c r="CD115" s="393">
        <f>IF(ISBLANK(Actuals!CE25),-Helpers!CB4*Assumptions!$B$23,Actuals!CE25)</f>
        <v>-8666.7582849192</v>
      </c>
      <c r="CE115" s="393">
        <f>IF(ISBLANK(Actuals!CF25),-Helpers!CC4*Assumptions!$B$23,Actuals!CF25)</f>
        <v>-8666.7582849192</v>
      </c>
      <c r="CF115" s="393">
        <f>IF(ISBLANK(Actuals!CG25),-Helpers!CD4*Assumptions!$B$23,Actuals!CG25)</f>
        <v>-8666.7582849192</v>
      </c>
      <c r="CG115" s="393">
        <f>IF(ISBLANK(Actuals!CH25),-Helpers!CE4*Assumptions!$B$23,Actuals!CH25)</f>
        <v>-8666.7582849192</v>
      </c>
      <c r="CH115" s="393">
        <f>IF(ISBLANK(Actuals!CI25),-Helpers!CF4*Assumptions!$B$23,Actuals!CI25)</f>
        <v>-8666.7582849192</v>
      </c>
      <c r="CI115" s="393">
        <f>IF(ISBLANK(Actuals!CJ25),-Helpers!CG4*Assumptions!$B$23,Actuals!CJ25)</f>
        <v>-8666.7582849192</v>
      </c>
      <c r="CJ115" s="393">
        <f>IF(ISBLANK(Actuals!CK25),-Helpers!CH4*Assumptions!$B$23,Actuals!CK25)</f>
        <v>-8666.7582849192</v>
      </c>
      <c r="CK115" s="393">
        <f>IF(ISBLANK(Actuals!CL25),-Helpers!CI4*Assumptions!$B$23,Actuals!CL25)</f>
        <v>-8840.09345061758</v>
      </c>
      <c r="CL115" s="393">
        <f>IF(ISBLANK(Actuals!CM25),-Helpers!CJ4*Assumptions!$B$23,Actuals!CM25)</f>
        <v>-8840.09345061758</v>
      </c>
      <c r="CM115" s="393">
        <f>IF(ISBLANK(Actuals!CN25),-Helpers!CK4*Assumptions!$B$23,Actuals!CN25)</f>
        <v>-8840.09345061758</v>
      </c>
      <c r="CN115" s="393">
        <f>IF(ISBLANK(Actuals!CO25),-Helpers!CL4*Assumptions!$B$23,Actuals!CO25)</f>
        <v>-8840.09345061758</v>
      </c>
      <c r="CO115" s="393">
        <f>IF(ISBLANK(Actuals!CP25),-Helpers!CM4*Assumptions!$B$23,Actuals!CP25)</f>
        <v>-8840.09345061758</v>
      </c>
      <c r="CP115" s="393">
        <f>IF(ISBLANK(Actuals!CQ25),-Helpers!CN4*Assumptions!$B$23,Actuals!CQ25)</f>
        <v>-8840.09345061758</v>
      </c>
      <c r="CQ115" s="393">
        <f>IF(ISBLANK(Actuals!CR25),-Helpers!CO4*Assumptions!$B$23,Actuals!CR25)</f>
        <v>-8840.09345061758</v>
      </c>
      <c r="CR115" s="393">
        <f>IF(ISBLANK(Actuals!CS25),-Helpers!CP4*Assumptions!$B$23,Actuals!CS25)</f>
        <v>-8840.09345061758</v>
      </c>
      <c r="CS115" s="393">
        <f>IF(ISBLANK(Actuals!CT25),-Helpers!CQ4*Assumptions!$B$23,Actuals!CT25)</f>
        <v>-8840.09345061758</v>
      </c>
      <c r="CT115" s="393">
        <f>IF(ISBLANK(Actuals!CU25),-Helpers!CR4*Assumptions!$B$23,Actuals!CU25)</f>
        <v>0</v>
      </c>
      <c r="CU115" s="393">
        <f>IF(ISBLANK(Actuals!CV25),-Helpers!CS4*Assumptions!$B$23,Actuals!CV25)</f>
        <v>0</v>
      </c>
      <c r="CV115" s="393">
        <f>IF(ISBLANK(Actuals!CW25),-Helpers!CT4*Assumptions!$B$23,Actuals!CW25)</f>
        <v>0</v>
      </c>
      <c r="CW115" s="393">
        <f>IF(ISBLANK(Actuals!CX25),-Helpers!CU4*Assumptions!$B$23,Actuals!CX25)</f>
        <v>0</v>
      </c>
      <c r="CX115" s="393">
        <f>IF(ISBLANK(Actuals!CY25),-Helpers!CV4*Assumptions!$B$23,Actuals!CY25)</f>
        <v>0</v>
      </c>
      <c r="CY115" s="393">
        <f>IF(ISBLANK(Actuals!CZ25),-Helpers!CW4*Assumptions!$B$23,Actuals!CZ25)</f>
        <v>0</v>
      </c>
      <c r="CZ115" s="393">
        <f>IF(ISBLANK(Actuals!DA25),-Helpers!CX4*Assumptions!$B$23,Actuals!DA25)</f>
        <v>0</v>
      </c>
      <c r="DA115" s="393">
        <f>IF(ISBLANK(Actuals!DB25),-Helpers!CY4*Assumptions!$B$23,Actuals!DB25)</f>
        <v>0</v>
      </c>
      <c r="DB115" s="393">
        <f>IF(ISBLANK(Actuals!DC25),-Helpers!CZ4*Assumptions!$B$23,Actuals!DC25)</f>
        <v>0</v>
      </c>
      <c r="DC115" s="393">
        <f>IF(ISBLANK(Actuals!DD25),-Helpers!DA4*Assumptions!$B$23,Actuals!DD25)</f>
        <v>0</v>
      </c>
      <c r="DD115" s="393">
        <f>IF(ISBLANK(Actuals!DE25),-Helpers!DB4*Assumptions!$B$23,Actuals!DE25)</f>
        <v>0</v>
      </c>
      <c r="DE115" s="393">
        <f>IF(ISBLANK(Actuals!DF25),-Helpers!DC4*Assumptions!$B$23,Actuals!DF25)</f>
        <v>0</v>
      </c>
    </row>
    <row r="116" ht="15" customFormat="1" customHeight="1" s="381">
      <c r="A116" s="398" t="inlineStr">
        <is>
          <t>5000-1005 Payroll Servicing Fees</t>
        </is>
      </c>
      <c r="B116" s="393">
        <f>IF(ISBLANK(Actuals!C26),0,Actuals!C26)</f>
        <v>-195</v>
      </c>
      <c r="C116" s="393">
        <f>IF(ISBLANK(Actuals!D26),0,Actuals!D26)</f>
        <v>-200</v>
      </c>
      <c r="D116" s="393">
        <f>IF(ISBLANK(Actuals!E26),0,Actuals!E26)</f>
        <v>0</v>
      </c>
      <c r="E116" s="393">
        <f>IF(ISBLANK(Actuals!F26),-Helpers!C4*Assumptions!$B$21,Actuals!F26)</f>
        <v>0</v>
      </c>
      <c r="F116" s="393">
        <f>IF(ISBLANK(Actuals!G26),-Helpers!D4*Assumptions!$B$21,Actuals!G26)</f>
        <v>0</v>
      </c>
      <c r="G116" s="393">
        <f>IF(ISBLANK(Actuals!H26),-Helpers!E4*Assumptions!$B$21,Actuals!H26)</f>
        <v>0</v>
      </c>
      <c r="H116" s="393">
        <f>IF(ISBLANK(Actuals!I26),-Helpers!F4*Assumptions!$B$21,Actuals!I26)</f>
        <v>-1498.95833333333</v>
      </c>
      <c r="I116" s="393">
        <f>IF(ISBLANK(Actuals!J26),-Helpers!G4*Assumptions!$B$21,Actuals!J26)</f>
        <v>-1498.95833333333</v>
      </c>
      <c r="J116" s="393">
        <f>IF(ISBLANK(Actuals!K26),-Helpers!H4*Assumptions!$B$21,Actuals!K26)</f>
        <v>-1498.95833333333</v>
      </c>
      <c r="K116" s="393">
        <f>IF(ISBLANK(Actuals!L26),-Helpers!I4*Assumptions!$B$21,Actuals!L26)</f>
        <v>-1498.95833333333</v>
      </c>
      <c r="L116" s="393">
        <f>IF(ISBLANK(Actuals!M26),-Helpers!J4*Assumptions!$B$21,Actuals!M26)</f>
        <v>-1565.625</v>
      </c>
      <c r="M116" s="393">
        <f>IF(ISBLANK(Actuals!N26),-Helpers!K4*Assumptions!$B$21,Actuals!N26)</f>
        <v>-1619.79166666667</v>
      </c>
      <c r="N116" s="393">
        <f>IF(ISBLANK(Actuals!O26),-Helpers!L4*Assumptions!$B$21,Actuals!O26)</f>
        <v>-1738.54166666667</v>
      </c>
      <c r="O116" s="393">
        <f>IF(ISBLANK(Actuals!P26),-Helpers!M4*Assumptions!$B$21,Actuals!P26)</f>
        <v>-1738.54166666667</v>
      </c>
      <c r="P116" s="393">
        <f>IF(ISBLANK(Actuals!Q26),-Helpers!N4*Assumptions!$B$21,Actuals!Q26)</f>
        <v>-1738.54166666667</v>
      </c>
      <c r="Q116" s="393">
        <f>IF(ISBLANK(Actuals!R26),-Helpers!O4*Assumptions!$B$21,Actuals!R26)</f>
        <v>-1773.3125</v>
      </c>
      <c r="R116" s="393">
        <f>IF(ISBLANK(Actuals!S26),-Helpers!P4*Assumptions!$B$21,Actuals!S26)</f>
        <v>-1962.4375</v>
      </c>
      <c r="S116" s="393">
        <f>IF(ISBLANK(Actuals!T26),-Helpers!Q4*Assumptions!$B$21,Actuals!T26)</f>
        <v>-1962.4375</v>
      </c>
      <c r="T116" s="393">
        <f>IF(ISBLANK(Actuals!U26),-Helpers!R4*Assumptions!$B$21,Actuals!U26)</f>
        <v>-1962.4375</v>
      </c>
      <c r="U116" s="393">
        <f>IF(ISBLANK(Actuals!V26),-Helpers!S4*Assumptions!$B$21,Actuals!V26)</f>
        <v>-1962.4375</v>
      </c>
      <c r="V116" s="393">
        <f>IF(ISBLANK(Actuals!W26),-Helpers!T4*Assumptions!$B$21,Actuals!W26)</f>
        <v>-1962.4375</v>
      </c>
      <c r="W116" s="393">
        <f>IF(ISBLANK(Actuals!X26),-Helpers!U4*Assumptions!$B$21,Actuals!X26)</f>
        <v>-1962.4375</v>
      </c>
      <c r="X116" s="393">
        <f>IF(ISBLANK(Actuals!Y26),-Helpers!V4*Assumptions!$B$21,Actuals!Y26)</f>
        <v>-1962.4375</v>
      </c>
      <c r="Y116" s="393">
        <f>IF(ISBLANK(Actuals!Z26),-Helpers!W4*Assumptions!$B$21,Actuals!Z26)</f>
        <v>-1962.4375</v>
      </c>
      <c r="Z116" s="393">
        <f>IF(ISBLANK(Actuals!AA26),-Helpers!X4*Assumptions!$B$21,Actuals!AA26)</f>
        <v>-1962.4375</v>
      </c>
      <c r="AA116" s="393">
        <f>IF(ISBLANK(Actuals!AB26),-Helpers!Y4*Assumptions!$B$21,Actuals!AB26)</f>
        <v>-1962.4375</v>
      </c>
      <c r="AB116" s="393">
        <f>IF(ISBLANK(Actuals!AC26),-Helpers!Z4*Assumptions!$B$21,Actuals!AC26)</f>
        <v>-1962.4375</v>
      </c>
      <c r="AC116" s="393">
        <f>IF(ISBLANK(Actuals!AD26),-Helpers!AA4*Assumptions!$B$21,Actuals!AD26)</f>
        <v>-2001.68625</v>
      </c>
      <c r="AD116" s="393">
        <f>IF(ISBLANK(Actuals!AE26),-Helpers!AB4*Assumptions!$B$21,Actuals!AE26)</f>
        <v>-2001.68625</v>
      </c>
      <c r="AE116" s="393">
        <f>IF(ISBLANK(Actuals!AF26),-Helpers!AC4*Assumptions!$B$21,Actuals!AF26)</f>
        <v>-2001.68625</v>
      </c>
      <c r="AF116" s="393">
        <f>IF(ISBLANK(Actuals!AG26),-Helpers!AD4*Assumptions!$B$21,Actuals!AG26)</f>
        <v>-2001.68625</v>
      </c>
      <c r="AG116" s="393">
        <f>IF(ISBLANK(Actuals!AH26),-Helpers!AE4*Assumptions!$B$21,Actuals!AH26)</f>
        <v>-2001.68625</v>
      </c>
      <c r="AH116" s="393">
        <f>IF(ISBLANK(Actuals!AI26),-Helpers!AF4*Assumptions!$B$21,Actuals!AI26)</f>
        <v>-2001.68625</v>
      </c>
      <c r="AI116" s="393">
        <f>IF(ISBLANK(Actuals!AJ26),-Helpers!AG4*Assumptions!$B$21,Actuals!AJ26)</f>
        <v>-2001.68625</v>
      </c>
      <c r="AJ116" s="393">
        <f>IF(ISBLANK(Actuals!AK26),-Helpers!AH4*Assumptions!$B$21,Actuals!AK26)</f>
        <v>-2001.68625</v>
      </c>
      <c r="AK116" s="393">
        <f>IF(ISBLANK(Actuals!AL26),-Helpers!AI4*Assumptions!$B$21,Actuals!AL26)</f>
        <v>-2001.68625</v>
      </c>
      <c r="AL116" s="393">
        <f>IF(ISBLANK(Actuals!AM26),-Helpers!AJ4*Assumptions!$B$21,Actuals!AM26)</f>
        <v>-2001.68625</v>
      </c>
      <c r="AM116" s="393">
        <f>IF(ISBLANK(Actuals!AN26),-Helpers!AK4*Assumptions!$B$21,Actuals!AN26)</f>
        <v>-2001.68625</v>
      </c>
      <c r="AN116" s="393">
        <f>IF(ISBLANK(Actuals!AO26),-Helpers!AL4*Assumptions!$B$21,Actuals!AO26)</f>
        <v>-2001.68625</v>
      </c>
      <c r="AO116" s="393">
        <f>IF(ISBLANK(Actuals!AP26),-Helpers!AM4*Assumptions!$B$21,Actuals!AP26)</f>
        <v>-2041.719975</v>
      </c>
      <c r="AP116" s="393">
        <f>IF(ISBLANK(Actuals!AQ26),-Helpers!AN4*Assumptions!$B$21,Actuals!AQ26)</f>
        <v>-2041.719975</v>
      </c>
      <c r="AQ116" s="393">
        <f>IF(ISBLANK(Actuals!AR26),-Helpers!AO4*Assumptions!$B$21,Actuals!AR26)</f>
        <v>-2041.719975</v>
      </c>
      <c r="AR116" s="393">
        <f>IF(ISBLANK(Actuals!AS26),-Helpers!AP4*Assumptions!$B$21,Actuals!AS26)</f>
        <v>-2041.719975</v>
      </c>
      <c r="AS116" s="393">
        <f>IF(ISBLANK(Actuals!AT26),-Helpers!AQ4*Assumptions!$B$21,Actuals!AT26)</f>
        <v>-2041.719975</v>
      </c>
      <c r="AT116" s="393">
        <f>IF(ISBLANK(Actuals!AU26),-Helpers!AR4*Assumptions!$B$21,Actuals!AU26)</f>
        <v>-2041.719975</v>
      </c>
      <c r="AU116" s="393">
        <f>IF(ISBLANK(Actuals!AV26),-Helpers!AS4*Assumptions!$B$21,Actuals!AV26)</f>
        <v>-2041.719975</v>
      </c>
      <c r="AV116" s="393">
        <f>IF(ISBLANK(Actuals!AW26),-Helpers!AT4*Assumptions!$B$21,Actuals!AW26)</f>
        <v>-2041.719975</v>
      </c>
      <c r="AW116" s="393">
        <f>IF(ISBLANK(Actuals!AX26),-Helpers!AU4*Assumptions!$B$21,Actuals!AX26)</f>
        <v>-2041.719975</v>
      </c>
      <c r="AX116" s="393">
        <f>IF(ISBLANK(Actuals!AY26),-Helpers!AV4*Assumptions!$B$21,Actuals!AY26)</f>
        <v>-2041.719975</v>
      </c>
      <c r="AY116" s="393">
        <f>IF(ISBLANK(Actuals!AZ26),-Helpers!AW4*Assumptions!$B$21,Actuals!AZ26)</f>
        <v>-2041.719975</v>
      </c>
      <c r="AZ116" s="393">
        <f>IF(ISBLANK(Actuals!BA26),-Helpers!AX4*Assumptions!$B$21,Actuals!BA26)</f>
        <v>-2041.719975</v>
      </c>
      <c r="BA116" s="393">
        <f>IF(ISBLANK(Actuals!BB26),-Helpers!AY4*Assumptions!$B$21,Actuals!BB26)</f>
        <v>-2082.5543745</v>
      </c>
      <c r="BB116" s="393">
        <f>IF(ISBLANK(Actuals!BC26),-Helpers!AZ4*Assumptions!$B$21,Actuals!BC26)</f>
        <v>-2082.5543745</v>
      </c>
      <c r="BC116" s="393">
        <f>IF(ISBLANK(Actuals!BD26),-Helpers!BA4*Assumptions!$B$21,Actuals!BD26)</f>
        <v>-2082.5543745</v>
      </c>
      <c r="BD116" s="393">
        <f>IF(ISBLANK(Actuals!BE26),-Helpers!BB4*Assumptions!$B$21,Actuals!BE26)</f>
        <v>-2082.5543745</v>
      </c>
      <c r="BE116" s="393">
        <f>IF(ISBLANK(Actuals!BF26),-Helpers!BC4*Assumptions!$B$21,Actuals!BF26)</f>
        <v>-2082.5543745</v>
      </c>
      <c r="BF116" s="393">
        <f>IF(ISBLANK(Actuals!BG26),-Helpers!BD4*Assumptions!$B$21,Actuals!BG26)</f>
        <v>-2082.5543745</v>
      </c>
      <c r="BG116" s="393">
        <f>IF(ISBLANK(Actuals!BH26),-Helpers!BE4*Assumptions!$B$21,Actuals!BH26)</f>
        <v>-2082.5543745</v>
      </c>
      <c r="BH116" s="393">
        <f>IF(ISBLANK(Actuals!BI26),-Helpers!BF4*Assumptions!$B$21,Actuals!BI26)</f>
        <v>-2082.5543745</v>
      </c>
      <c r="BI116" s="393">
        <f>IF(ISBLANK(Actuals!BJ26),-Helpers!BG4*Assumptions!$B$21,Actuals!BJ26)</f>
        <v>-2082.5543745</v>
      </c>
      <c r="BJ116" s="393">
        <f>IF(ISBLANK(Actuals!BK26),-Helpers!BH4*Assumptions!$B$21,Actuals!BK26)</f>
        <v>-2082.5543745</v>
      </c>
      <c r="BK116" s="393">
        <f>IF(ISBLANK(Actuals!BL26),-Helpers!BI4*Assumptions!$B$21,Actuals!BL26)</f>
        <v>-2082.5543745</v>
      </c>
      <c r="BL116" s="393">
        <f>IF(ISBLANK(Actuals!BM26),-Helpers!BJ4*Assumptions!$B$21,Actuals!BM26)</f>
        <v>-2082.5543745</v>
      </c>
      <c r="BM116" s="393">
        <f>IF(ISBLANK(Actuals!BN26),-Helpers!BK4*Assumptions!$B$21,Actuals!BN26)</f>
        <v>-2124.20546199</v>
      </c>
      <c r="BN116" s="393">
        <f>IF(ISBLANK(Actuals!BO26),-Helpers!BL4*Assumptions!$B$21,Actuals!BO26)</f>
        <v>-2124.20546199</v>
      </c>
      <c r="BO116" s="393">
        <f>IF(ISBLANK(Actuals!BP26),-Helpers!BM4*Assumptions!$B$21,Actuals!BP26)</f>
        <v>-2124.20546199</v>
      </c>
      <c r="BP116" s="393">
        <f>IF(ISBLANK(Actuals!BQ26),-Helpers!BN4*Assumptions!$B$21,Actuals!BQ26)</f>
        <v>-2124.20546199</v>
      </c>
      <c r="BQ116" s="393">
        <f>IF(ISBLANK(Actuals!BR26),-Helpers!BO4*Assumptions!$B$21,Actuals!BR26)</f>
        <v>-2124.20546199</v>
      </c>
      <c r="BR116" s="393">
        <f>IF(ISBLANK(Actuals!BS26),-Helpers!BP4*Assumptions!$B$21,Actuals!BS26)</f>
        <v>-2124.20546199</v>
      </c>
      <c r="BS116" s="393">
        <f>IF(ISBLANK(Actuals!BT26),-Helpers!BQ4*Assumptions!$B$21,Actuals!BT26)</f>
        <v>-2124.20546199</v>
      </c>
      <c r="BT116" s="393">
        <f>IF(ISBLANK(Actuals!BU26),-Helpers!BR4*Assumptions!$B$21,Actuals!BU26)</f>
        <v>-2124.20546199</v>
      </c>
      <c r="BU116" s="393">
        <f>IF(ISBLANK(Actuals!BV26),-Helpers!BS4*Assumptions!$B$21,Actuals!BV26)</f>
        <v>-2124.20546199</v>
      </c>
      <c r="BV116" s="393">
        <f>IF(ISBLANK(Actuals!BW26),-Helpers!BT4*Assumptions!$B$21,Actuals!BW26)</f>
        <v>-2124.20546199</v>
      </c>
      <c r="BW116" s="393">
        <f>IF(ISBLANK(Actuals!BX26),-Helpers!BU4*Assumptions!$B$21,Actuals!BX26)</f>
        <v>-2124.20546199</v>
      </c>
      <c r="BX116" s="393">
        <f>IF(ISBLANK(Actuals!BY26),-Helpers!BV4*Assumptions!$B$21,Actuals!BY26)</f>
        <v>-2124.20546199</v>
      </c>
      <c r="BY116" s="393">
        <f>IF(ISBLANK(Actuals!BZ26),-Helpers!BW4*Assumptions!$B$21,Actuals!BZ26)</f>
        <v>-2166.6895712298</v>
      </c>
      <c r="BZ116" s="393">
        <f>IF(ISBLANK(Actuals!CA26),-Helpers!BX4*Assumptions!$B$21,Actuals!CA26)</f>
        <v>-2166.6895712298</v>
      </c>
      <c r="CA116" s="393">
        <f>IF(ISBLANK(Actuals!CB26),-Helpers!BY4*Assumptions!$B$21,Actuals!CB26)</f>
        <v>-2166.6895712298</v>
      </c>
      <c r="CB116" s="393">
        <f>IF(ISBLANK(Actuals!CC26),-Helpers!BZ4*Assumptions!$B$21,Actuals!CC26)</f>
        <v>-2166.6895712298</v>
      </c>
      <c r="CC116" s="393">
        <f>IF(ISBLANK(Actuals!CD26),-Helpers!CA4*Assumptions!$B$21,Actuals!CD26)</f>
        <v>-2166.6895712298</v>
      </c>
      <c r="CD116" s="393">
        <f>IF(ISBLANK(Actuals!CE26),-Helpers!CB4*Assumptions!$B$21,Actuals!CE26)</f>
        <v>-2166.6895712298</v>
      </c>
      <c r="CE116" s="393">
        <f>IF(ISBLANK(Actuals!CF26),-Helpers!CC4*Assumptions!$B$21,Actuals!CF26)</f>
        <v>-2166.6895712298</v>
      </c>
      <c r="CF116" s="393">
        <f>IF(ISBLANK(Actuals!CG26),-Helpers!CD4*Assumptions!$B$21,Actuals!CG26)</f>
        <v>-2166.6895712298</v>
      </c>
      <c r="CG116" s="393">
        <f>IF(ISBLANK(Actuals!CH26),-Helpers!CE4*Assumptions!$B$21,Actuals!CH26)</f>
        <v>-2166.6895712298</v>
      </c>
      <c r="CH116" s="393">
        <f>IF(ISBLANK(Actuals!CI26),-Helpers!CF4*Assumptions!$B$21,Actuals!CI26)</f>
        <v>-2166.6895712298</v>
      </c>
      <c r="CI116" s="393">
        <f>IF(ISBLANK(Actuals!CJ26),-Helpers!CG4*Assumptions!$B$21,Actuals!CJ26)</f>
        <v>-2166.6895712298</v>
      </c>
      <c r="CJ116" s="393">
        <f>IF(ISBLANK(Actuals!CK26),-Helpers!CH4*Assumptions!$B$21,Actuals!CK26)</f>
        <v>-2166.6895712298</v>
      </c>
      <c r="CK116" s="393">
        <f>IF(ISBLANK(Actuals!CL26),-Helpers!CI4*Assumptions!$B$21,Actuals!CL26)</f>
        <v>-2210.0233626544</v>
      </c>
      <c r="CL116" s="393">
        <f>IF(ISBLANK(Actuals!CM26),-Helpers!CJ4*Assumptions!$B$21,Actuals!CM26)</f>
        <v>-2210.0233626544</v>
      </c>
      <c r="CM116" s="393">
        <f>IF(ISBLANK(Actuals!CN26),-Helpers!CK4*Assumptions!$B$21,Actuals!CN26)</f>
        <v>-2210.0233626544</v>
      </c>
      <c r="CN116" s="393">
        <f>IF(ISBLANK(Actuals!CO26),-Helpers!CL4*Assumptions!$B$21,Actuals!CO26)</f>
        <v>-2210.0233626544</v>
      </c>
      <c r="CO116" s="393">
        <f>IF(ISBLANK(Actuals!CP26),-Helpers!CM4*Assumptions!$B$21,Actuals!CP26)</f>
        <v>-2210.0233626544</v>
      </c>
      <c r="CP116" s="393">
        <f>IF(ISBLANK(Actuals!CQ26),-Helpers!CN4*Assumptions!$B$21,Actuals!CQ26)</f>
        <v>-2210.0233626544</v>
      </c>
      <c r="CQ116" s="393">
        <f>IF(ISBLANK(Actuals!CR26),-Helpers!CO4*Assumptions!$B$21,Actuals!CR26)</f>
        <v>-2210.0233626544</v>
      </c>
      <c r="CR116" s="393">
        <f>IF(ISBLANK(Actuals!CS26),-Helpers!CP4*Assumptions!$B$21,Actuals!CS26)</f>
        <v>-2210.0233626544</v>
      </c>
      <c r="CS116" s="393">
        <f>IF(ISBLANK(Actuals!CT26),-Helpers!CQ4*Assumptions!$B$21,Actuals!CT26)</f>
        <v>-2210.0233626544</v>
      </c>
      <c r="CT116" s="393">
        <f>IF(ISBLANK(Actuals!CU26),-Helpers!CR4*Assumptions!$B$21,Actuals!CU26)</f>
        <v>0</v>
      </c>
      <c r="CU116" s="393">
        <f>IF(ISBLANK(Actuals!CV26),-Helpers!CS4*Assumptions!$B$21,Actuals!CV26)</f>
        <v>0</v>
      </c>
      <c r="CV116" s="393">
        <f>IF(ISBLANK(Actuals!CW26),-Helpers!CT4*Assumptions!$B$21,Actuals!CW26)</f>
        <v>0</v>
      </c>
      <c r="CW116" s="393">
        <f>IF(ISBLANK(Actuals!CX26),-Helpers!CU4*Assumptions!$B$21,Actuals!CX26)</f>
        <v>0</v>
      </c>
      <c r="CX116" s="393">
        <f>IF(ISBLANK(Actuals!CY26),-Helpers!CV4*Assumptions!$B$21,Actuals!CY26)</f>
        <v>0</v>
      </c>
      <c r="CY116" s="393">
        <f>IF(ISBLANK(Actuals!CZ26),-Helpers!CW4*Assumptions!$B$21,Actuals!CZ26)</f>
        <v>0</v>
      </c>
      <c r="CZ116" s="393">
        <f>IF(ISBLANK(Actuals!DA26),-Helpers!CX4*Assumptions!$B$21,Actuals!DA26)</f>
        <v>0</v>
      </c>
      <c r="DA116" s="393">
        <f>IF(ISBLANK(Actuals!DB26),-Helpers!CY4*Assumptions!$B$21,Actuals!DB26)</f>
        <v>0</v>
      </c>
      <c r="DB116" s="393">
        <f>IF(ISBLANK(Actuals!DC26),-Helpers!CZ4*Assumptions!$B$21,Actuals!DC26)</f>
        <v>0</v>
      </c>
      <c r="DC116" s="393">
        <f>IF(ISBLANK(Actuals!DD26),-Helpers!DA4*Assumptions!$B$21,Actuals!DD26)</f>
        <v>0</v>
      </c>
      <c r="DD116" s="393">
        <f>IF(ISBLANK(Actuals!DE26),-Helpers!DB4*Assumptions!$B$21,Actuals!DE26)</f>
        <v>0</v>
      </c>
      <c r="DE116" s="393">
        <f>IF(ISBLANK(Actuals!DF26),-Helpers!DC4*Assumptions!$B$21,Actuals!DF26)</f>
        <v>0</v>
      </c>
    </row>
    <row r="117" ht="15" customFormat="1" customHeight="1" s="381">
      <c r="A117" s="398" t="inlineStr">
        <is>
          <t>5000-1007 Payroll - Consultants</t>
        </is>
      </c>
      <c r="B117" s="393">
        <f>IF(ISBLANK(Actuals!C27),0,Actuals!C27)</f>
        <v>-33002.28</v>
      </c>
      <c r="C117" s="393">
        <f>IF(ISBLANK(Actuals!D27),0,Actuals!D27)</f>
        <v>-29166.66</v>
      </c>
      <c r="D117" s="393">
        <f>IF(ISBLANK(Actuals!E27),0,Actuals!E27)</f>
        <v>-41666.66</v>
      </c>
      <c r="E117" s="393">
        <f>IF(ISBLANK(Actuals!F27),-29166.66*Escalation!$B$2,Actuals!F27)</f>
        <v>-29166.66</v>
      </c>
      <c r="F117" s="393">
        <f>IF(ISBLANK(Actuals!G27),-29166.66*Escalation!$B$3,Actuals!G27)</f>
        <v>-29166.66</v>
      </c>
      <c r="G117" s="393">
        <f>IF(ISBLANK(Actuals!H27),-29166.66*Escalation!$B$4,Actuals!H27)</f>
        <v>-29166.66</v>
      </c>
      <c r="H117" s="393">
        <f>IF(ISBLANK(Actuals!I27),-29166.66*Escalation!$B$5,Actuals!I27)</f>
        <v>-29166.66</v>
      </c>
      <c r="I117" s="393">
        <f>IF(ISBLANK(Actuals!J27),-29166.66*Escalation!$B$6,Actuals!J27)</f>
        <v>-29166.66</v>
      </c>
      <c r="J117" s="393">
        <f>IF(ISBLANK(Actuals!K27),-29166.66*Escalation!$B$7,Actuals!K27)</f>
        <v>-29166.66</v>
      </c>
      <c r="K117" s="393">
        <f>IF(ISBLANK(Actuals!L27),-29166.66*Escalation!$B$8,Actuals!L27)</f>
        <v>-29166.66</v>
      </c>
      <c r="L117" s="393">
        <f>IF(ISBLANK(Actuals!M27),-29166.66*Escalation!$B$9,Actuals!M27)</f>
        <v>-29166.66</v>
      </c>
      <c r="M117" s="393">
        <f>IF(ISBLANK(Actuals!N27),-29166.66*Escalation!$B$10,Actuals!N27)</f>
        <v>-29166.66</v>
      </c>
      <c r="N117" s="393">
        <f>IF(ISBLANK(Actuals!O27),-18750*Escalation!$B$11,Actuals!O27)</f>
        <v>-18750</v>
      </c>
      <c r="O117" s="393">
        <f>IF(ISBLANK(Actuals!P27),-18750*Escalation!$B$12,Actuals!P27)</f>
        <v>-18750</v>
      </c>
      <c r="P117" s="393">
        <f>IF(ISBLANK(Actuals!Q27),-18750*Escalation!$B$13,Actuals!Q27)</f>
        <v>-18750</v>
      </c>
      <c r="Q117" s="393">
        <f>IF(ISBLANK(Actuals!R27),-18750*Escalation!$B$14,Actuals!R27)</f>
        <v>-19125</v>
      </c>
      <c r="R117" s="393">
        <f>IF(ISBLANK(Actuals!S27),-18750*Escalation!$B$15,Actuals!S27)</f>
        <v>-19125</v>
      </c>
      <c r="S117" s="393">
        <f>IF(ISBLANK(Actuals!T27),-18750*Escalation!$B$16,Actuals!T27)</f>
        <v>-19125</v>
      </c>
      <c r="T117" s="393">
        <f>IF(ISBLANK(Actuals!U27),-18750*Escalation!$B$17,Actuals!U27)</f>
        <v>-19125</v>
      </c>
      <c r="U117" s="393">
        <f>IF(ISBLANK(Actuals!V27),-18750*Escalation!$B$18,Actuals!V27)</f>
        <v>-19125</v>
      </c>
      <c r="V117" s="393">
        <f>IF(ISBLANK(Actuals!W27),-18750*Escalation!$B$19,Actuals!W27)</f>
        <v>-19125</v>
      </c>
      <c r="W117" s="393">
        <f>IF(ISBLANK(Actuals!X27),-18750*Escalation!$B$20,Actuals!X27)</f>
        <v>-19125</v>
      </c>
      <c r="X117" s="393">
        <f>IF(ISBLANK(Actuals!Y27),-18750*Escalation!$B$21,Actuals!Y27)</f>
        <v>-19125</v>
      </c>
      <c r="Y117" s="393">
        <f>IF(ISBLANK(Actuals!Z27),-18750*Escalation!$B$22,Actuals!Z27)</f>
        <v>-19125</v>
      </c>
      <c r="Z117" s="393">
        <f>IF(ISBLANK(Actuals!AA27),-18750*Escalation!$B$23,Actuals!AA27)</f>
        <v>-19125</v>
      </c>
      <c r="AA117" s="393">
        <f>IF(ISBLANK(Actuals!AB27),-18750*Escalation!$B$24,Actuals!AB27)</f>
        <v>-19125</v>
      </c>
      <c r="AB117" s="393">
        <f>IF(ISBLANK(Actuals!AC27),-18750*Escalation!$B$25,Actuals!AC27)</f>
        <v>-19125</v>
      </c>
      <c r="AC117" s="393">
        <f>IF(ISBLANK(Actuals!AD27),-18750*Escalation!$B$26,Actuals!AD27)</f>
        <v>-19507.5</v>
      </c>
      <c r="AD117" s="393">
        <f>IF(ISBLANK(Actuals!AE27),-18750*Escalation!$B$27,Actuals!AE27)</f>
        <v>-19507.5</v>
      </c>
      <c r="AE117" s="393">
        <f>IF(ISBLANK(Actuals!AF27),-18750*Escalation!$B$28,Actuals!AF27)</f>
        <v>-19507.5</v>
      </c>
      <c r="AF117" s="393">
        <f>IF(ISBLANK(Actuals!AG27),-18750*Escalation!$B$29,Actuals!AG27)</f>
        <v>-19507.5</v>
      </c>
      <c r="AG117" s="393">
        <f>IF(ISBLANK(Actuals!AH27),-18750*Escalation!$B$30,Actuals!AH27)</f>
        <v>-19507.5</v>
      </c>
      <c r="AH117" s="393">
        <f>IF(ISBLANK(Actuals!AI27),-18750*Escalation!$B$31,Actuals!AI27)</f>
        <v>-19507.5</v>
      </c>
      <c r="AI117" s="393">
        <f>IF(ISBLANK(Actuals!AJ27),-18750*Escalation!$B$32,Actuals!AJ27)</f>
        <v>-19507.5</v>
      </c>
      <c r="AJ117" s="393">
        <f>IF(ISBLANK(Actuals!AK27),-18750*Escalation!$B$33,Actuals!AK27)</f>
        <v>-19507.5</v>
      </c>
      <c r="AK117" s="393">
        <f>IF(ISBLANK(Actuals!AL27),-18750*Escalation!$B$34,Actuals!AL27)</f>
        <v>-19507.5</v>
      </c>
      <c r="AL117" s="393">
        <f>IF(ISBLANK(Actuals!AM27),-18750*Escalation!$B$35,Actuals!AM27)</f>
        <v>-19507.5</v>
      </c>
      <c r="AM117" s="393">
        <f>IF(ISBLANK(Actuals!AN27),-18750*Escalation!$B$36,Actuals!AN27)</f>
        <v>-19507.5</v>
      </c>
      <c r="AN117" s="393">
        <f>IF(ISBLANK(Actuals!AO27),-18750*Escalation!$B$37,Actuals!AO27)</f>
        <v>-19507.5</v>
      </c>
      <c r="AO117" s="393">
        <f>IF(ISBLANK(Actuals!AP27),-18750*Escalation!$B$38,Actuals!AP27)</f>
        <v>-19897.65</v>
      </c>
      <c r="AP117" s="393">
        <f>IF(ISBLANK(Actuals!AQ27),-18750*Escalation!$B$39,Actuals!AQ27)</f>
        <v>-19897.65</v>
      </c>
      <c r="AQ117" s="393">
        <f>IF(ISBLANK(Actuals!AR27),-18750*Escalation!$B$40,Actuals!AR27)</f>
        <v>-19897.65</v>
      </c>
      <c r="AR117" s="393">
        <f>IF(ISBLANK(Actuals!AS27),-18750*Escalation!$B$41,Actuals!AS27)</f>
        <v>-19897.65</v>
      </c>
      <c r="AS117" s="393">
        <f>IF(ISBLANK(Actuals!AT27),-18750*Escalation!$B$42,Actuals!AT27)</f>
        <v>-19897.65</v>
      </c>
      <c r="AT117" s="393">
        <f>IF(ISBLANK(Actuals!AU27),-18750*Escalation!$B$43,Actuals!AU27)</f>
        <v>-19897.65</v>
      </c>
      <c r="AU117" s="393">
        <f>IF(ISBLANK(Actuals!AV27),-18750*Escalation!$B$44,Actuals!AV27)</f>
        <v>-19897.65</v>
      </c>
      <c r="AV117" s="393">
        <f>IF(ISBLANK(Actuals!AW27),-18750*Escalation!$B$45,Actuals!AW27)</f>
        <v>-19897.65</v>
      </c>
      <c r="AW117" s="393">
        <f>IF(ISBLANK(Actuals!AX27),-18750*Escalation!$B$46,Actuals!AX27)</f>
        <v>-19897.65</v>
      </c>
      <c r="AX117" s="393">
        <f>IF(ISBLANK(Actuals!AY27),-18750*Escalation!$B$47,Actuals!AY27)</f>
        <v>-19897.65</v>
      </c>
      <c r="AY117" s="393">
        <f>IF(ISBLANK(Actuals!AZ27),-18750*Escalation!$B$48,Actuals!AZ27)</f>
        <v>-19897.65</v>
      </c>
      <c r="AZ117" s="393">
        <f>IF(ISBLANK(Actuals!BA27),-18750*Escalation!$B$49,Actuals!BA27)</f>
        <v>-19897.65</v>
      </c>
      <c r="BA117" s="393">
        <f>IF(ISBLANK(Actuals!BB27),-18750*Escalation!$B$50,Actuals!BB27)</f>
        <v>-20295.603</v>
      </c>
      <c r="BB117" s="393">
        <f>IF(ISBLANK(Actuals!BC27),-18750*Escalation!$B$51,Actuals!BC27)</f>
        <v>-20295.603</v>
      </c>
      <c r="BC117" s="393">
        <f>IF(ISBLANK(Actuals!BD27),-18750*Escalation!$B$52,Actuals!BD27)</f>
        <v>-20295.603</v>
      </c>
      <c r="BD117" s="393">
        <f>IF(ISBLANK(Actuals!BE27),-18750*Escalation!$B$53,Actuals!BE27)</f>
        <v>-20295.603</v>
      </c>
      <c r="BE117" s="393">
        <f>IF(ISBLANK(Actuals!BF27),-18750*Escalation!$B$54,Actuals!BF27)</f>
        <v>-20295.603</v>
      </c>
      <c r="BF117" s="393">
        <f>IF(ISBLANK(Actuals!BG27),-18750*Escalation!$B$55,Actuals!BG27)</f>
        <v>-20295.603</v>
      </c>
      <c r="BG117" s="393">
        <f>IF(ISBLANK(Actuals!BH27),-18750*Escalation!$B$56,Actuals!BH27)</f>
        <v>-20295.603</v>
      </c>
      <c r="BH117" s="393">
        <f>IF(ISBLANK(Actuals!BI27),-18750*Escalation!$B$57,Actuals!BI27)</f>
        <v>-20295.603</v>
      </c>
      <c r="BI117" s="393">
        <f>IF(ISBLANK(Actuals!BJ27),-18750*Escalation!$B$58,Actuals!BJ27)</f>
        <v>-20295.603</v>
      </c>
      <c r="BJ117" s="393">
        <f>IF(ISBLANK(Actuals!BK27),-18750*Escalation!$B$59,Actuals!BK27)</f>
        <v>-20295.603</v>
      </c>
      <c r="BK117" s="393">
        <f>IF(ISBLANK(Actuals!BL27),-18750*Escalation!$B$60,Actuals!BL27)</f>
        <v>-20295.603</v>
      </c>
      <c r="BL117" s="393">
        <f>IF(ISBLANK(Actuals!BM27),-18750*Escalation!$B$61,Actuals!BM27)</f>
        <v>-20295.603</v>
      </c>
      <c r="BM117" s="393">
        <f>IF(ISBLANK(Actuals!BN27),-18750*Escalation!$B$62,Actuals!BN27)</f>
        <v>-20701.51506</v>
      </c>
      <c r="BN117" s="393">
        <f>IF(ISBLANK(Actuals!BO27),-18750*Escalation!$B$63,Actuals!BO27)</f>
        <v>-20701.51506</v>
      </c>
      <c r="BO117" s="393">
        <f>IF(ISBLANK(Actuals!BP27),-18750*Escalation!$B$64,Actuals!BP27)</f>
        <v>-20701.51506</v>
      </c>
      <c r="BP117" s="393">
        <f>IF(ISBLANK(Actuals!BQ27),-18750*Escalation!$B$65,Actuals!BQ27)</f>
        <v>-20701.51506</v>
      </c>
      <c r="BQ117" s="393">
        <f>IF(ISBLANK(Actuals!BR27),-18750*Escalation!$B$66,Actuals!BR27)</f>
        <v>-20701.51506</v>
      </c>
      <c r="BR117" s="393">
        <f>IF(ISBLANK(Actuals!BS27),-18750*Escalation!$B$67,Actuals!BS27)</f>
        <v>-20701.51506</v>
      </c>
      <c r="BS117" s="393">
        <f>IF(ISBLANK(Actuals!BT27),-18750*Escalation!$B$68,Actuals!BT27)</f>
        <v>-20701.51506</v>
      </c>
      <c r="BT117" s="393">
        <f>IF(ISBLANK(Actuals!BU27),-18750*Escalation!$B$69,Actuals!BU27)</f>
        <v>-20701.51506</v>
      </c>
      <c r="BU117" s="393">
        <f>IF(ISBLANK(Actuals!BV27),-18750*Escalation!$B$70,Actuals!BV27)</f>
        <v>-20701.51506</v>
      </c>
      <c r="BV117" s="393">
        <f>IF(ISBLANK(Actuals!BW27),-18750*Escalation!$B$71,Actuals!BW27)</f>
        <v>-20701.51506</v>
      </c>
      <c r="BW117" s="393">
        <f>IF(ISBLANK(Actuals!BX27),-18750*Escalation!$B$72,Actuals!BX27)</f>
        <v>-20701.51506</v>
      </c>
      <c r="BX117" s="393">
        <f>IF(ISBLANK(Actuals!BY27),-18750*Escalation!$B$73,Actuals!BY27)</f>
        <v>-20701.51506</v>
      </c>
      <c r="BY117" s="393">
        <f>IF(ISBLANK(Actuals!BZ27),-18750*Escalation!$B$74,Actuals!BZ27)</f>
        <v>-21115.5453612</v>
      </c>
      <c r="BZ117" s="393">
        <f>IF(ISBLANK(Actuals!CA27),-18750*Escalation!$B$75,Actuals!CA27)</f>
        <v>-21115.5453612</v>
      </c>
      <c r="CA117" s="393">
        <f>IF(ISBLANK(Actuals!CB27),-18750*Escalation!$B$76,Actuals!CB27)</f>
        <v>-21115.5453612</v>
      </c>
      <c r="CB117" s="393">
        <f>IF(ISBLANK(Actuals!CC27),-18750*Escalation!$B$77,Actuals!CC27)</f>
        <v>-21115.5453612</v>
      </c>
      <c r="CC117" s="393">
        <f>IF(ISBLANK(Actuals!CD27),-18750*Escalation!$B$78,Actuals!CD27)</f>
        <v>-21115.5453612</v>
      </c>
      <c r="CD117" s="393">
        <f>IF(ISBLANK(Actuals!CE27),-18750*Escalation!$B$79,Actuals!CE27)</f>
        <v>-21115.5453612</v>
      </c>
      <c r="CE117" s="393">
        <f>IF(ISBLANK(Actuals!CF27),-18750*Escalation!$B$80,Actuals!CF27)</f>
        <v>-21115.5453612</v>
      </c>
      <c r="CF117" s="393">
        <f>IF(ISBLANK(Actuals!CG27),-18750*Escalation!$B$81,Actuals!CG27)</f>
        <v>-21115.5453612</v>
      </c>
      <c r="CG117" s="393">
        <f>IF(ISBLANK(Actuals!CH27),-18750*Escalation!$B$82,Actuals!CH27)</f>
        <v>-21115.5453612</v>
      </c>
      <c r="CH117" s="393">
        <f>IF(ISBLANK(Actuals!CI27),-18750*Escalation!$B$83,Actuals!CI27)</f>
        <v>-21115.5453612</v>
      </c>
      <c r="CI117" s="393">
        <f>IF(ISBLANK(Actuals!CJ27),-18750*Escalation!$B$84,Actuals!CJ27)</f>
        <v>-21115.5453612</v>
      </c>
      <c r="CJ117" s="393">
        <f>IF(ISBLANK(Actuals!CK27),-18750*Escalation!$B$85,Actuals!CK27)</f>
        <v>-21115.5453612</v>
      </c>
      <c r="CK117" s="393">
        <f>IF(ISBLANK(Actuals!CL27),-18750*Escalation!$B$86,Actuals!CL27)</f>
        <v>-21537.856268424</v>
      </c>
      <c r="CL117" s="393">
        <f>IF(ISBLANK(Actuals!CM27),-18750*Escalation!$B$87,Actuals!CM27)</f>
        <v>-21537.856268424</v>
      </c>
      <c r="CM117" s="393">
        <f>IF(ISBLANK(Actuals!CN27),-18750*Escalation!$B$88,Actuals!CN27)</f>
        <v>-21537.856268424</v>
      </c>
      <c r="CN117" s="393">
        <f>IF(ISBLANK(Actuals!CO27),-18750*Escalation!$B$89,Actuals!CO27)</f>
        <v>-21537.856268424</v>
      </c>
      <c r="CO117" s="393">
        <f>IF(ISBLANK(Actuals!CP27),-18750*Escalation!$B$90,Actuals!CP27)</f>
        <v>-21537.856268424</v>
      </c>
      <c r="CP117" s="393">
        <f>IF(ISBLANK(Actuals!CQ27),-18750*Escalation!$B$91,Actuals!CQ27)</f>
        <v>-21537.856268424</v>
      </c>
      <c r="CQ117" s="393">
        <f>IF(ISBLANK(Actuals!CR27),-18750*Escalation!$B$92,Actuals!CR27)</f>
        <v>-21537.856268424</v>
      </c>
      <c r="CR117" s="393">
        <f>IF(ISBLANK(Actuals!CS27),-18750*Escalation!$B$93,Actuals!CS27)</f>
        <v>-21537.856268424</v>
      </c>
      <c r="CS117" s="393">
        <f>IF(ISBLANK(Actuals!CT27),-18750*Escalation!$B$94,Actuals!CT27)</f>
        <v>-21537.856268424</v>
      </c>
      <c r="CT117" s="393">
        <f>IF(ISBLANK(Actuals!CU27),-18750*Escalation!$B$95,Actuals!CU27)</f>
        <v>-21537.856268424</v>
      </c>
      <c r="CU117" s="393">
        <f>IF(ISBLANK(Actuals!CV27),-18750*Escalation!$B$96,Actuals!CV27)</f>
        <v>-21537.856268424</v>
      </c>
      <c r="CV117" s="393">
        <f>IF(ISBLANK(Actuals!CW27),-18750*Escalation!$B$97,Actuals!CW27)</f>
        <v>-21537.856268424</v>
      </c>
      <c r="CW117" s="393">
        <f>IF(ISBLANK(Actuals!CX27),-18750*Escalation!$B$98,Actuals!CX27)</f>
        <v>-21968.6133937925</v>
      </c>
      <c r="CX117" s="393">
        <f>IF(ISBLANK(Actuals!CY27),-18750*Escalation!$B$99,Actuals!CY27)</f>
        <v>-21968.6133937925</v>
      </c>
      <c r="CY117" s="393">
        <f>IF(ISBLANK(Actuals!CZ27),-18750*Escalation!$B$100,Actuals!CZ27)</f>
        <v>-21968.6133937925</v>
      </c>
      <c r="CZ117" s="393">
        <f>IF(ISBLANK(Actuals!DA27),-18750*Escalation!$B$101,Actuals!DA27)</f>
        <v>-21968.6133937925</v>
      </c>
      <c r="DA117" s="393">
        <f>IF(ISBLANK(Actuals!DB27),-18750*Escalation!$B$102,Actuals!DB27)</f>
        <v>-21968.6133937925</v>
      </c>
      <c r="DB117" s="393">
        <f>IF(ISBLANK(Actuals!DC27),-18750*Escalation!$B$103,Actuals!DC27)</f>
        <v>-21968.6133937925</v>
      </c>
      <c r="DC117" s="393">
        <f>IF(ISBLANK(Actuals!DD27),-18750*Escalation!$B$104,Actuals!DD27)</f>
        <v>-21968.6133937925</v>
      </c>
      <c r="DD117" s="393">
        <f>IF(ISBLANK(Actuals!DE27),-18750*Escalation!$B$105,Actuals!DE27)</f>
        <v>-21968.6133937925</v>
      </c>
      <c r="DE117" s="393">
        <f>IF(ISBLANK(Actuals!DF27),-18750*Escalation!$B$106,Actuals!DF27)</f>
        <v>-21968.6133937925</v>
      </c>
    </row>
    <row r="118" ht="15" customFormat="1" customHeight="1" s="381">
      <c r="A118" s="398" t="inlineStr">
        <is>
          <t>5000-1018 Payroll - Self Performed Trades</t>
        </is>
      </c>
      <c r="B118" s="393">
        <f>IF(ISBLANK(Actuals!C28),0,Actuals!C28)</f>
        <v>0</v>
      </c>
      <c r="C118" s="393">
        <f>IF(ISBLANK(Actuals!D28),0,Actuals!D28)</f>
        <v>0</v>
      </c>
      <c r="D118" s="393">
        <f>IF(ISBLANK(Actuals!E28),0,Actuals!E28)</f>
        <v>0</v>
      </c>
      <c r="E118" s="393">
        <f>IF(ISBLANK(Actuals!F28),0*Escalation!$B$2,Actuals!F28)</f>
        <v>251304.48</v>
      </c>
      <c r="F118" s="393">
        <f>IF(ISBLANK(Actuals!G28),0*Escalation!$B$3,Actuals!G28)</f>
        <v>81510</v>
      </c>
      <c r="G118" s="393">
        <f>IF(ISBLANK(Actuals!H28),0*Escalation!$B$4,Actuals!H28)</f>
        <v>0</v>
      </c>
      <c r="H118" s="393">
        <f>IF(ISBLANK(Actuals!I28),0*Escalation!$B$5,Actuals!I28)</f>
        <v>0</v>
      </c>
      <c r="I118" s="393">
        <f>IF(ISBLANK(Actuals!J28),0*Escalation!$B$6,Actuals!J28)</f>
        <v>0</v>
      </c>
      <c r="J118" s="393">
        <f>IF(ISBLANK(Actuals!K28),0*Escalation!$B$7,Actuals!K28)</f>
        <v>0</v>
      </c>
      <c r="K118" s="393">
        <f>IF(ISBLANK(Actuals!L28),0*Escalation!$B$8,Actuals!L28)</f>
        <v>0</v>
      </c>
      <c r="L118" s="393">
        <f>IF(ISBLANK(Actuals!M28),0*Escalation!$B$9,Actuals!M28)</f>
        <v>0</v>
      </c>
      <c r="M118" s="393">
        <f>IF(ISBLANK(Actuals!N28),0*Escalation!$B$10,Actuals!N28)</f>
        <v>0</v>
      </c>
      <c r="N118" s="393">
        <f>IF(ISBLANK(Actuals!O28),0*Escalation!$B$11,Actuals!O28)</f>
        <v>0</v>
      </c>
      <c r="O118" s="393">
        <f>IF(ISBLANK(Actuals!P28),0*Escalation!$B$12,Actuals!P28)</f>
        <v>0</v>
      </c>
      <c r="P118" s="393">
        <f>IF(ISBLANK(Actuals!Q28),0*Escalation!$B$13,Actuals!Q28)</f>
        <v>0</v>
      </c>
      <c r="Q118" s="393">
        <f>IF(ISBLANK(Actuals!R28),0*Escalation!$B$14,Actuals!R28)</f>
        <v>0</v>
      </c>
      <c r="R118" s="393">
        <f>IF(ISBLANK(Actuals!S28),0*Escalation!$B$15,Actuals!S28)</f>
        <v>0</v>
      </c>
      <c r="S118" s="393">
        <f>IF(ISBLANK(Actuals!T28),0*Escalation!$B$16,Actuals!T28)</f>
        <v>0</v>
      </c>
      <c r="T118" s="393">
        <f>IF(ISBLANK(Actuals!U28),0*Escalation!$B$17,Actuals!U28)</f>
        <v>0</v>
      </c>
      <c r="U118" s="393">
        <f>IF(ISBLANK(Actuals!V28),0*Escalation!$B$18,Actuals!V28)</f>
        <v>0</v>
      </c>
      <c r="V118" s="393">
        <f>IF(ISBLANK(Actuals!W28),0*Escalation!$B$19,Actuals!W28)</f>
        <v>0</v>
      </c>
      <c r="W118" s="393">
        <f>IF(ISBLANK(Actuals!X28),0*Escalation!$B$20,Actuals!X28)</f>
        <v>0</v>
      </c>
      <c r="X118" s="393">
        <f>IF(ISBLANK(Actuals!Y28),0*Escalation!$B$21,Actuals!Y28)</f>
        <v>0</v>
      </c>
      <c r="Y118" s="393">
        <f>IF(ISBLANK(Actuals!Z28),0*Escalation!$B$22,Actuals!Z28)</f>
        <v>0</v>
      </c>
      <c r="Z118" s="393">
        <f>IF(ISBLANK(Actuals!AA28),0*Escalation!$B$23,Actuals!AA28)</f>
        <v>0</v>
      </c>
      <c r="AA118" s="393">
        <f>IF(ISBLANK(Actuals!AB28),0*Escalation!$B$24,Actuals!AB28)</f>
        <v>0</v>
      </c>
      <c r="AB118" s="393">
        <f>IF(ISBLANK(Actuals!AC28),0*Escalation!$B$25,Actuals!AC28)</f>
        <v>0</v>
      </c>
      <c r="AC118" s="393">
        <f>IF(ISBLANK(Actuals!AD28),0*Escalation!$B$26,Actuals!AD28)</f>
        <v>0</v>
      </c>
      <c r="AD118" s="393">
        <f>IF(ISBLANK(Actuals!AE28),0*Escalation!$B$27,Actuals!AE28)</f>
        <v>0</v>
      </c>
      <c r="AE118" s="393">
        <f>IF(ISBLANK(Actuals!AF28),0*Escalation!$B$28,Actuals!AF28)</f>
        <v>0</v>
      </c>
      <c r="AF118" s="393">
        <f>IF(ISBLANK(Actuals!AG28),0*Escalation!$B$29,Actuals!AG28)</f>
        <v>0</v>
      </c>
      <c r="AG118" s="393">
        <f>IF(ISBLANK(Actuals!AH28),0*Escalation!$B$30,Actuals!AH28)</f>
        <v>0</v>
      </c>
      <c r="AH118" s="393">
        <f>IF(ISBLANK(Actuals!AI28),0*Escalation!$B$31,Actuals!AI28)</f>
        <v>0</v>
      </c>
      <c r="AI118" s="393">
        <f>IF(ISBLANK(Actuals!AJ28),0*Escalation!$B$32,Actuals!AJ28)</f>
        <v>0</v>
      </c>
      <c r="AJ118" s="393">
        <f>IF(ISBLANK(Actuals!AK28),0*Escalation!$B$33,Actuals!AK28)</f>
        <v>0</v>
      </c>
      <c r="AK118" s="393">
        <f>IF(ISBLANK(Actuals!AL28),0*Escalation!$B$34,Actuals!AL28)</f>
        <v>0</v>
      </c>
      <c r="AL118" s="393">
        <f>IF(ISBLANK(Actuals!AM28),0*Escalation!$B$35,Actuals!AM28)</f>
        <v>0</v>
      </c>
      <c r="AM118" s="393">
        <f>IF(ISBLANK(Actuals!AN28),0*Escalation!$B$36,Actuals!AN28)</f>
        <v>0</v>
      </c>
      <c r="AN118" s="393">
        <f>IF(ISBLANK(Actuals!AO28),0*Escalation!$B$37,Actuals!AO28)</f>
        <v>0</v>
      </c>
      <c r="AO118" s="393">
        <f>IF(ISBLANK(Actuals!AP28),0*Escalation!$B$38,Actuals!AP28)</f>
        <v>0</v>
      </c>
      <c r="AP118" s="393">
        <f>IF(ISBLANK(Actuals!AQ28),0*Escalation!$B$39,Actuals!AQ28)</f>
        <v>0</v>
      </c>
      <c r="AQ118" s="393">
        <f>IF(ISBLANK(Actuals!AR28),0*Escalation!$B$40,Actuals!AR28)</f>
        <v>0</v>
      </c>
      <c r="AR118" s="393">
        <f>IF(ISBLANK(Actuals!AS28),0*Escalation!$B$41,Actuals!AS28)</f>
        <v>0</v>
      </c>
      <c r="AS118" s="393">
        <f>IF(ISBLANK(Actuals!AT28),0*Escalation!$B$42,Actuals!AT28)</f>
        <v>0</v>
      </c>
      <c r="AT118" s="393">
        <f>IF(ISBLANK(Actuals!AU28),0*Escalation!$B$43,Actuals!AU28)</f>
        <v>0</v>
      </c>
      <c r="AU118" s="393">
        <f>IF(ISBLANK(Actuals!AV28),0*Escalation!$B$44,Actuals!AV28)</f>
        <v>0</v>
      </c>
      <c r="AV118" s="393">
        <f>IF(ISBLANK(Actuals!AW28),0*Escalation!$B$45,Actuals!AW28)</f>
        <v>0</v>
      </c>
      <c r="AW118" s="393">
        <f>IF(ISBLANK(Actuals!AX28),0*Escalation!$B$46,Actuals!AX28)</f>
        <v>0</v>
      </c>
      <c r="AX118" s="393">
        <f>IF(ISBLANK(Actuals!AY28),0*Escalation!$B$47,Actuals!AY28)</f>
        <v>0</v>
      </c>
      <c r="AY118" s="393">
        <f>IF(ISBLANK(Actuals!AZ28),0*Escalation!$B$48,Actuals!AZ28)</f>
        <v>0</v>
      </c>
      <c r="AZ118" s="393">
        <f>IF(ISBLANK(Actuals!BA28),0*Escalation!$B$49,Actuals!BA28)</f>
        <v>0</v>
      </c>
      <c r="BA118" s="393">
        <f>IF(ISBLANK(Actuals!BB28),0*Escalation!$B$50,Actuals!BB28)</f>
        <v>0</v>
      </c>
      <c r="BB118" s="393">
        <f>IF(ISBLANK(Actuals!BC28),0*Escalation!$B$51,Actuals!BC28)</f>
        <v>0</v>
      </c>
      <c r="BC118" s="393">
        <f>IF(ISBLANK(Actuals!BD28),0*Escalation!$B$52,Actuals!BD28)</f>
        <v>0</v>
      </c>
      <c r="BD118" s="393">
        <f>IF(ISBLANK(Actuals!BE28),0*Escalation!$B$53,Actuals!BE28)</f>
        <v>0</v>
      </c>
      <c r="BE118" s="393">
        <f>IF(ISBLANK(Actuals!BF28),0*Escalation!$B$54,Actuals!BF28)</f>
        <v>0</v>
      </c>
      <c r="BF118" s="393">
        <f>IF(ISBLANK(Actuals!BG28),0*Escalation!$B$55,Actuals!BG28)</f>
        <v>0</v>
      </c>
      <c r="BG118" s="393">
        <f>IF(ISBLANK(Actuals!BH28),0*Escalation!$B$56,Actuals!BH28)</f>
        <v>0</v>
      </c>
      <c r="BH118" s="393">
        <f>IF(ISBLANK(Actuals!BI28),0*Escalation!$B$57,Actuals!BI28)</f>
        <v>0</v>
      </c>
      <c r="BI118" s="393">
        <f>IF(ISBLANK(Actuals!BJ28),0*Escalation!$B$58,Actuals!BJ28)</f>
        <v>0</v>
      </c>
      <c r="BJ118" s="393">
        <f>IF(ISBLANK(Actuals!BK28),0*Escalation!$B$59,Actuals!BK28)</f>
        <v>0</v>
      </c>
      <c r="BK118" s="393">
        <f>IF(ISBLANK(Actuals!BL28),0*Escalation!$B$60,Actuals!BL28)</f>
        <v>0</v>
      </c>
      <c r="BL118" s="393">
        <f>IF(ISBLANK(Actuals!BM28),0*Escalation!$B$61,Actuals!BM28)</f>
        <v>0</v>
      </c>
      <c r="BM118" s="393">
        <f>IF(ISBLANK(Actuals!BN28),0*Escalation!$B$62,Actuals!BN28)</f>
        <v>0</v>
      </c>
      <c r="BN118" s="393">
        <f>IF(ISBLANK(Actuals!BO28),0*Escalation!$B$63,Actuals!BO28)</f>
        <v>0</v>
      </c>
      <c r="BO118" s="393">
        <f>IF(ISBLANK(Actuals!BP28),0*Escalation!$B$64,Actuals!BP28)</f>
        <v>0</v>
      </c>
      <c r="BP118" s="393">
        <f>IF(ISBLANK(Actuals!BQ28),0*Escalation!$B$65,Actuals!BQ28)</f>
        <v>0</v>
      </c>
      <c r="BQ118" s="393">
        <f>IF(ISBLANK(Actuals!BR28),0*Escalation!$B$66,Actuals!BR28)</f>
        <v>0</v>
      </c>
      <c r="BR118" s="393">
        <f>IF(ISBLANK(Actuals!BS28),0*Escalation!$B$67,Actuals!BS28)</f>
        <v>0</v>
      </c>
      <c r="BS118" s="393">
        <f>IF(ISBLANK(Actuals!BT28),0*Escalation!$B$68,Actuals!BT28)</f>
        <v>0</v>
      </c>
      <c r="BT118" s="393">
        <f>IF(ISBLANK(Actuals!BU28),0*Escalation!$B$69,Actuals!BU28)</f>
        <v>0</v>
      </c>
      <c r="BU118" s="393">
        <f>IF(ISBLANK(Actuals!BV28),0*Escalation!$B$70,Actuals!BV28)</f>
        <v>0</v>
      </c>
      <c r="BV118" s="393">
        <f>IF(ISBLANK(Actuals!BW28),0*Escalation!$B$71,Actuals!BW28)</f>
        <v>0</v>
      </c>
      <c r="BW118" s="393">
        <f>IF(ISBLANK(Actuals!BX28),0*Escalation!$B$72,Actuals!BX28)</f>
        <v>0</v>
      </c>
      <c r="BX118" s="393">
        <f>IF(ISBLANK(Actuals!BY28),0*Escalation!$B$73,Actuals!BY28)</f>
        <v>0</v>
      </c>
      <c r="BY118" s="393">
        <f>IF(ISBLANK(Actuals!BZ28),0*Escalation!$B$74,Actuals!BZ28)</f>
        <v>0</v>
      </c>
      <c r="BZ118" s="393">
        <f>IF(ISBLANK(Actuals!CA28),0*Escalation!$B$75,Actuals!CA28)</f>
        <v>0</v>
      </c>
      <c r="CA118" s="393">
        <f>IF(ISBLANK(Actuals!CB28),0*Escalation!$B$76,Actuals!CB28)</f>
        <v>0</v>
      </c>
      <c r="CB118" s="393">
        <f>IF(ISBLANK(Actuals!CC28),0*Escalation!$B$77,Actuals!CC28)</f>
        <v>0</v>
      </c>
      <c r="CC118" s="393">
        <f>IF(ISBLANK(Actuals!CD28),0*Escalation!$B$78,Actuals!CD28)</f>
        <v>0</v>
      </c>
      <c r="CD118" s="393">
        <f>IF(ISBLANK(Actuals!CE28),0*Escalation!$B$79,Actuals!CE28)</f>
        <v>0</v>
      </c>
      <c r="CE118" s="393">
        <f>IF(ISBLANK(Actuals!CF28),0*Escalation!$B$80,Actuals!CF28)</f>
        <v>0</v>
      </c>
      <c r="CF118" s="393">
        <f>IF(ISBLANK(Actuals!CG28),0*Escalation!$B$81,Actuals!CG28)</f>
        <v>0</v>
      </c>
      <c r="CG118" s="393">
        <f>IF(ISBLANK(Actuals!CH28),0*Escalation!$B$82,Actuals!CH28)</f>
        <v>0</v>
      </c>
      <c r="CH118" s="393">
        <f>IF(ISBLANK(Actuals!CI28),0*Escalation!$B$83,Actuals!CI28)</f>
        <v>0</v>
      </c>
      <c r="CI118" s="393">
        <f>IF(ISBLANK(Actuals!CJ28),0*Escalation!$B$84,Actuals!CJ28)</f>
        <v>0</v>
      </c>
      <c r="CJ118" s="393">
        <f>IF(ISBLANK(Actuals!CK28),0*Escalation!$B$85,Actuals!CK28)</f>
        <v>0</v>
      </c>
      <c r="CK118" s="393">
        <f>IF(ISBLANK(Actuals!CL28),0*Escalation!$B$86,Actuals!CL28)</f>
        <v>0</v>
      </c>
      <c r="CL118" s="393">
        <f>IF(ISBLANK(Actuals!CM28),0*Escalation!$B$87,Actuals!CM28)</f>
        <v>0</v>
      </c>
      <c r="CM118" s="393">
        <f>IF(ISBLANK(Actuals!CN28),0*Escalation!$B$88,Actuals!CN28)</f>
        <v>0</v>
      </c>
      <c r="CN118" s="393">
        <f>IF(ISBLANK(Actuals!CO28),0*Escalation!$B$89,Actuals!CO28)</f>
        <v>0</v>
      </c>
      <c r="CO118" s="393">
        <f>IF(ISBLANK(Actuals!CP28),0*Escalation!$B$90,Actuals!CP28)</f>
        <v>0</v>
      </c>
      <c r="CP118" s="393">
        <f>IF(ISBLANK(Actuals!CQ28),0*Escalation!$B$91,Actuals!CQ28)</f>
        <v>0</v>
      </c>
      <c r="CQ118" s="393">
        <f>IF(ISBLANK(Actuals!CR28),0*Escalation!$B$92,Actuals!CR28)</f>
        <v>0</v>
      </c>
      <c r="CR118" s="393">
        <f>IF(ISBLANK(Actuals!CS28),0*Escalation!$B$93,Actuals!CS28)</f>
        <v>0</v>
      </c>
      <c r="CS118" s="393">
        <f>IF(ISBLANK(Actuals!CT28),0*Escalation!$B$94,Actuals!CT28)</f>
        <v>0</v>
      </c>
      <c r="CT118" s="393">
        <f>IF(ISBLANK(Actuals!CU28),0*Escalation!$B$95,Actuals!CU28)</f>
        <v>0</v>
      </c>
      <c r="CU118" s="393">
        <f>IF(ISBLANK(Actuals!CV28),0*Escalation!$B$96,Actuals!CV28)</f>
        <v>0</v>
      </c>
      <c r="CV118" s="393">
        <f>IF(ISBLANK(Actuals!CW28),0*Escalation!$B$97,Actuals!CW28)</f>
        <v>0</v>
      </c>
      <c r="CW118" s="393">
        <f>IF(ISBLANK(Actuals!CX28),0*Escalation!$B$98,Actuals!CX28)</f>
        <v>0</v>
      </c>
      <c r="CX118" s="393">
        <f>IF(ISBLANK(Actuals!CY28),0*Escalation!$B$99,Actuals!CY28)</f>
        <v>0</v>
      </c>
      <c r="CY118" s="393">
        <f>IF(ISBLANK(Actuals!CZ28),0*Escalation!$B$100,Actuals!CZ28)</f>
        <v>0</v>
      </c>
      <c r="CZ118" s="393">
        <f>IF(ISBLANK(Actuals!DA28),0*Escalation!$B$101,Actuals!DA28)</f>
        <v>0</v>
      </c>
      <c r="DA118" s="393">
        <f>IF(ISBLANK(Actuals!DB28),0*Escalation!$B$102,Actuals!DB28)</f>
        <v>0</v>
      </c>
      <c r="DB118" s="393">
        <f>IF(ISBLANK(Actuals!DC28),0*Escalation!$B$103,Actuals!DC28)</f>
        <v>0</v>
      </c>
      <c r="DC118" s="393">
        <f>IF(ISBLANK(Actuals!DD28),0*Escalation!$B$104,Actuals!DD28)</f>
        <v>0</v>
      </c>
      <c r="DD118" s="393">
        <f>IF(ISBLANK(Actuals!DE28),0*Escalation!$B$105,Actuals!DE28)</f>
        <v>0</v>
      </c>
      <c r="DE118" s="393">
        <f>IF(ISBLANK(Actuals!DF28),0*Escalation!$B$106,Actuals!DF28)</f>
        <v>0</v>
      </c>
    </row>
    <row r="119" ht="15" customFormat="1" customHeight="1" s="381">
      <c r="A119" s="398" t="inlineStr">
        <is>
          <t>5100-1000 Rent Expense</t>
        </is>
      </c>
      <c r="B119" s="393">
        <f>IF(ISBLANK(Actuals!C29),0,Actuals!C29)</f>
        <v>-10400</v>
      </c>
      <c r="C119" s="393">
        <f>IF(ISBLANK(Actuals!D29),0,Actuals!D29)</f>
        <v>-10400</v>
      </c>
      <c r="D119" s="393">
        <f>IF(ISBLANK(Actuals!E29),0,Actuals!E29)</f>
        <v>-400</v>
      </c>
      <c r="E119" s="393">
        <f>IF(ISBLANK(Actuals!F29),-10400*Escalation!$B$2,Actuals!F29)</f>
        <v>-10400</v>
      </c>
      <c r="F119" s="393">
        <f>IF(ISBLANK(Actuals!G29),-10400*Escalation!$B$3,Actuals!G29)</f>
        <v>-20400</v>
      </c>
      <c r="G119" s="393">
        <f>IF(ISBLANK(Actuals!H29),-10400*Escalation!$B$4,Actuals!H29)</f>
        <v>-20405</v>
      </c>
      <c r="H119" s="393">
        <f>IF(ISBLANK(Actuals!I29),-10400*Escalation!$B$5,Actuals!I29)</f>
        <v>-10400</v>
      </c>
      <c r="I119" s="393">
        <f>IF(ISBLANK(Actuals!J29),-10400*Escalation!$B$6,Actuals!J29)</f>
        <v>-10400</v>
      </c>
      <c r="J119" s="393">
        <f>IF(ISBLANK(Actuals!K29),-10400*Escalation!$B$7,Actuals!K29)</f>
        <v>-10400</v>
      </c>
      <c r="K119" s="393">
        <f>IF(ISBLANK(Actuals!L29),-10400*Escalation!$B$8,Actuals!L29)</f>
        <v>-10400</v>
      </c>
      <c r="L119" s="393">
        <f>IF(ISBLANK(Actuals!M29),-10400*Escalation!$B$9,Actuals!M29)</f>
        <v>-10400</v>
      </c>
      <c r="M119" s="393">
        <f>IF(ISBLANK(Actuals!N29),-10400*Escalation!$B$10,Actuals!N29)</f>
        <v>-10400</v>
      </c>
      <c r="N119" s="393">
        <f>IF(ISBLANK(Actuals!O29),-10400*Escalation!$B$11,Actuals!O29)</f>
        <v>-10400</v>
      </c>
      <c r="O119" s="393">
        <f>IF(ISBLANK(Actuals!P29),-10400*Escalation!$B$12,Actuals!P29)</f>
        <v>-10400</v>
      </c>
      <c r="P119" s="393">
        <f>IF(ISBLANK(Actuals!Q29),-10400*Escalation!$B$13,Actuals!Q29)</f>
        <v>-10400</v>
      </c>
      <c r="Q119" s="393">
        <f>IF(ISBLANK(Actuals!R29),-10400*Escalation!$B$14,Actuals!R29)</f>
        <v>-10608</v>
      </c>
      <c r="R119" s="393">
        <f>IF(ISBLANK(Actuals!S29),-10400*Escalation!$B$15,Actuals!S29)</f>
        <v>-10608</v>
      </c>
      <c r="S119" s="393">
        <f>IF(ISBLANK(Actuals!T29),-10400*Escalation!$B$16,Actuals!T29)</f>
        <v>-10608</v>
      </c>
      <c r="T119" s="393">
        <f>IF(ISBLANK(Actuals!U29),-10400*Escalation!$B$17,Actuals!U29)</f>
        <v>-10608</v>
      </c>
      <c r="U119" s="393">
        <f>IF(ISBLANK(Actuals!V29),-10400*Escalation!$B$18,Actuals!V29)</f>
        <v>-10608</v>
      </c>
      <c r="V119" s="393">
        <f>IF(ISBLANK(Actuals!W29),-10400*Escalation!$B$19,Actuals!W29)</f>
        <v>-10608</v>
      </c>
      <c r="W119" s="393">
        <f>IF(ISBLANK(Actuals!X29),-10400*Escalation!$B$20,Actuals!X29)</f>
        <v>-10608</v>
      </c>
      <c r="X119" s="393">
        <f>IF(ISBLANK(Actuals!Y29),-10400*Escalation!$B$21,Actuals!Y29)</f>
        <v>-10608</v>
      </c>
      <c r="Y119" s="393">
        <f>IF(ISBLANK(Actuals!Z29),-10400*Escalation!$B$22,Actuals!Z29)</f>
        <v>-10608</v>
      </c>
      <c r="Z119" s="393">
        <f>IF(ISBLANK(Actuals!AA29),-10400*Escalation!$B$23,Actuals!AA29)</f>
        <v>-10608</v>
      </c>
      <c r="AA119" s="393">
        <f>IF(ISBLANK(Actuals!AB29),-10400*Escalation!$B$24,Actuals!AB29)</f>
        <v>-10608</v>
      </c>
      <c r="AB119" s="393">
        <f>IF(ISBLANK(Actuals!AC29),-10400*Escalation!$B$25,Actuals!AC29)</f>
        <v>-10608</v>
      </c>
      <c r="AC119" s="393">
        <f>IF(ISBLANK(Actuals!AD29),-10400*Escalation!$B$26,Actuals!AD29)</f>
        <v>-10820.16</v>
      </c>
      <c r="AD119" s="393">
        <f>IF(ISBLANK(Actuals!AE29),-10400*Escalation!$B$27,Actuals!AE29)</f>
        <v>-10820.16</v>
      </c>
      <c r="AE119" s="393">
        <f>IF(ISBLANK(Actuals!AF29),-10400*Escalation!$B$28,Actuals!AF29)</f>
        <v>-10820.16</v>
      </c>
      <c r="AF119" s="393">
        <f>IF(ISBLANK(Actuals!AG29),-10400*Escalation!$B$29,Actuals!AG29)</f>
        <v>-10820.16</v>
      </c>
      <c r="AG119" s="393">
        <f>IF(ISBLANK(Actuals!AH29),-10400*Escalation!$B$30,Actuals!AH29)</f>
        <v>-10820.16</v>
      </c>
      <c r="AH119" s="393">
        <f>IF(ISBLANK(Actuals!AI29),-10400*Escalation!$B$31,Actuals!AI29)</f>
        <v>-10820.16</v>
      </c>
      <c r="AI119" s="393">
        <f>IF(ISBLANK(Actuals!AJ29),-10400*Escalation!$B$32,Actuals!AJ29)</f>
        <v>-10820.16</v>
      </c>
      <c r="AJ119" s="393">
        <f>IF(ISBLANK(Actuals!AK29),-10400*Escalation!$B$33,Actuals!AK29)</f>
        <v>-10820.16</v>
      </c>
      <c r="AK119" s="393">
        <f>IF(ISBLANK(Actuals!AL29),-10400*Escalation!$B$34,Actuals!AL29)</f>
        <v>-10820.16</v>
      </c>
      <c r="AL119" s="393">
        <f>IF(ISBLANK(Actuals!AM29),-10400*Escalation!$B$35,Actuals!AM29)</f>
        <v>-10820.16</v>
      </c>
      <c r="AM119" s="393">
        <f>IF(ISBLANK(Actuals!AN29),-10400*Escalation!$B$36,Actuals!AN29)</f>
        <v>-10820.16</v>
      </c>
      <c r="AN119" s="393">
        <f>IF(ISBLANK(Actuals!AO29),-10400*Escalation!$B$37,Actuals!AO29)</f>
        <v>-10820.16</v>
      </c>
      <c r="AO119" s="393">
        <f>IF(ISBLANK(Actuals!AP29),-10400*Escalation!$B$38,Actuals!AP29)</f>
        <v>-11036.5632</v>
      </c>
      <c r="AP119" s="393">
        <f>IF(ISBLANK(Actuals!AQ29),-10400*Escalation!$B$39,Actuals!AQ29)</f>
        <v>-11036.5632</v>
      </c>
      <c r="AQ119" s="393">
        <f>IF(ISBLANK(Actuals!AR29),-10400*Escalation!$B$40,Actuals!AR29)</f>
        <v>-11036.5632</v>
      </c>
      <c r="AR119" s="393">
        <f>IF(ISBLANK(Actuals!AS29),-10400*Escalation!$B$41,Actuals!AS29)</f>
        <v>-11036.5632</v>
      </c>
      <c r="AS119" s="393">
        <f>IF(ISBLANK(Actuals!AT29),-10400*Escalation!$B$42,Actuals!AT29)</f>
        <v>-11036.5632</v>
      </c>
      <c r="AT119" s="393">
        <f>IF(ISBLANK(Actuals!AU29),-10400*Escalation!$B$43,Actuals!AU29)</f>
        <v>-11036.5632</v>
      </c>
      <c r="AU119" s="393">
        <f>IF(ISBLANK(Actuals!AV29),-10400*Escalation!$B$44,Actuals!AV29)</f>
        <v>-11036.5632</v>
      </c>
      <c r="AV119" s="393">
        <f>IF(ISBLANK(Actuals!AW29),-10400*Escalation!$B$45,Actuals!AW29)</f>
        <v>-11036.5632</v>
      </c>
      <c r="AW119" s="393">
        <f>IF(ISBLANK(Actuals!AX29),-10400*Escalation!$B$46,Actuals!AX29)</f>
        <v>-11036.5632</v>
      </c>
      <c r="AX119" s="393">
        <f>IF(ISBLANK(Actuals!AY29),-10400*Escalation!$B$47,Actuals!AY29)</f>
        <v>-11036.5632</v>
      </c>
      <c r="AY119" s="393">
        <f>IF(ISBLANK(Actuals!AZ29),-10400*Escalation!$B$48,Actuals!AZ29)</f>
        <v>-11036.5632</v>
      </c>
      <c r="AZ119" s="393">
        <f>IF(ISBLANK(Actuals!BA29),-10400*Escalation!$B$49,Actuals!BA29)</f>
        <v>-11036.5632</v>
      </c>
      <c r="BA119" s="393">
        <f>IF(ISBLANK(Actuals!BB29),-10400*Escalation!$B$50,Actuals!BB29)</f>
        <v>-11257.294464</v>
      </c>
      <c r="BB119" s="393">
        <f>IF(ISBLANK(Actuals!BC29),-10400*Escalation!$B$51,Actuals!BC29)</f>
        <v>-11257.294464</v>
      </c>
      <c r="BC119" s="393">
        <f>IF(ISBLANK(Actuals!BD29),-10400*Escalation!$B$52,Actuals!BD29)</f>
        <v>-11257.294464</v>
      </c>
      <c r="BD119" s="393">
        <f>IF(ISBLANK(Actuals!BE29),-10400*Escalation!$B$53,Actuals!BE29)</f>
        <v>-11257.294464</v>
      </c>
      <c r="BE119" s="393">
        <f>IF(ISBLANK(Actuals!BF29),-10400*Escalation!$B$54,Actuals!BF29)</f>
        <v>-11257.294464</v>
      </c>
      <c r="BF119" s="393">
        <f>IF(ISBLANK(Actuals!BG29),-10400*Escalation!$B$55,Actuals!BG29)</f>
        <v>-11257.294464</v>
      </c>
      <c r="BG119" s="393">
        <f>IF(ISBLANK(Actuals!BH29),-10400*Escalation!$B$56,Actuals!BH29)</f>
        <v>-11257.294464</v>
      </c>
      <c r="BH119" s="393">
        <f>IF(ISBLANK(Actuals!BI29),-10400*Escalation!$B$57,Actuals!BI29)</f>
        <v>-11257.294464</v>
      </c>
      <c r="BI119" s="393">
        <f>IF(ISBLANK(Actuals!BJ29),-10400*Escalation!$B$58,Actuals!BJ29)</f>
        <v>-11257.294464</v>
      </c>
      <c r="BJ119" s="393">
        <f>IF(ISBLANK(Actuals!BK29),-10400*Escalation!$B$59,Actuals!BK29)</f>
        <v>-11257.294464</v>
      </c>
      <c r="BK119" s="393">
        <f>IF(ISBLANK(Actuals!BL29),-10400*Escalation!$B$60,Actuals!BL29)</f>
        <v>-11257.294464</v>
      </c>
      <c r="BL119" s="393">
        <f>IF(ISBLANK(Actuals!BM29),-10400*Escalation!$B$61,Actuals!BM29)</f>
        <v>-11257.294464</v>
      </c>
      <c r="BM119" s="393">
        <f>IF(ISBLANK(Actuals!BN29),-10400*Escalation!$B$62,Actuals!BN29)</f>
        <v>-11482.44035328</v>
      </c>
      <c r="BN119" s="393">
        <f>IF(ISBLANK(Actuals!BO29),-10400*Escalation!$B$63,Actuals!BO29)</f>
        <v>-11482.44035328</v>
      </c>
      <c r="BO119" s="393">
        <f>IF(ISBLANK(Actuals!BP29),-10400*Escalation!$B$64,Actuals!BP29)</f>
        <v>-11482.44035328</v>
      </c>
      <c r="BP119" s="393">
        <f>IF(ISBLANK(Actuals!BQ29),-10400*Escalation!$B$65,Actuals!BQ29)</f>
        <v>-11482.44035328</v>
      </c>
      <c r="BQ119" s="393">
        <f>IF(ISBLANK(Actuals!BR29),-10400*Escalation!$B$66,Actuals!BR29)</f>
        <v>-11482.44035328</v>
      </c>
      <c r="BR119" s="393">
        <f>IF(ISBLANK(Actuals!BS29),-10400*Escalation!$B$67,Actuals!BS29)</f>
        <v>-11482.44035328</v>
      </c>
      <c r="BS119" s="393">
        <f>IF(ISBLANK(Actuals!BT29),-10400*Escalation!$B$68,Actuals!BT29)</f>
        <v>-11482.44035328</v>
      </c>
      <c r="BT119" s="393">
        <f>IF(ISBLANK(Actuals!BU29),-10400*Escalation!$B$69,Actuals!BU29)</f>
        <v>-11482.44035328</v>
      </c>
      <c r="BU119" s="393">
        <f>IF(ISBLANK(Actuals!BV29),-10400*Escalation!$B$70,Actuals!BV29)</f>
        <v>-11482.44035328</v>
      </c>
      <c r="BV119" s="393">
        <f>IF(ISBLANK(Actuals!BW29),-10400*Escalation!$B$71,Actuals!BW29)</f>
        <v>-11482.44035328</v>
      </c>
      <c r="BW119" s="393">
        <f>IF(ISBLANK(Actuals!BX29),-10400*Escalation!$B$72,Actuals!BX29)</f>
        <v>-11482.44035328</v>
      </c>
      <c r="BX119" s="393">
        <f>IF(ISBLANK(Actuals!BY29),-10400*Escalation!$B$73,Actuals!BY29)</f>
        <v>-11482.44035328</v>
      </c>
      <c r="BY119" s="393">
        <f>IF(ISBLANK(Actuals!BZ29),-10400*Escalation!$B$74,Actuals!BZ29)</f>
        <v>-11712.0891603456</v>
      </c>
      <c r="BZ119" s="393">
        <f>IF(ISBLANK(Actuals!CA29),-10400*Escalation!$B$75,Actuals!CA29)</f>
        <v>-11712.0891603456</v>
      </c>
      <c r="CA119" s="393">
        <f>IF(ISBLANK(Actuals!CB29),-10400*Escalation!$B$76,Actuals!CB29)</f>
        <v>-11712.0891603456</v>
      </c>
      <c r="CB119" s="393">
        <f>IF(ISBLANK(Actuals!CC29),-10400*Escalation!$B$77,Actuals!CC29)</f>
        <v>-11712.0891603456</v>
      </c>
      <c r="CC119" s="393">
        <f>IF(ISBLANK(Actuals!CD29),-10400*Escalation!$B$78,Actuals!CD29)</f>
        <v>-11712.0891603456</v>
      </c>
      <c r="CD119" s="393">
        <f>IF(ISBLANK(Actuals!CE29),-10400*Escalation!$B$79,Actuals!CE29)</f>
        <v>-11712.0891603456</v>
      </c>
      <c r="CE119" s="393">
        <f>IF(ISBLANK(Actuals!CF29),-10400*Escalation!$B$80,Actuals!CF29)</f>
        <v>-11712.0891603456</v>
      </c>
      <c r="CF119" s="393">
        <f>IF(ISBLANK(Actuals!CG29),-10400*Escalation!$B$81,Actuals!CG29)</f>
        <v>-11712.0891603456</v>
      </c>
      <c r="CG119" s="393">
        <f>IF(ISBLANK(Actuals!CH29),-10400*Escalation!$B$82,Actuals!CH29)</f>
        <v>-11712.0891603456</v>
      </c>
      <c r="CH119" s="393">
        <f>IF(ISBLANK(Actuals!CI29),-10400*Escalation!$B$83,Actuals!CI29)</f>
        <v>-11712.0891603456</v>
      </c>
      <c r="CI119" s="393">
        <f>IF(ISBLANK(Actuals!CJ29),-10400*Escalation!$B$84,Actuals!CJ29)</f>
        <v>-11712.0891603456</v>
      </c>
      <c r="CJ119" s="393">
        <f>IF(ISBLANK(Actuals!CK29),-10400*Escalation!$B$85,Actuals!CK29)</f>
        <v>-11712.0891603456</v>
      </c>
      <c r="CK119" s="393">
        <f>IF(ISBLANK(Actuals!CL29),-10400*Escalation!$B$86,Actuals!CL29)</f>
        <v>-11946.3309435525</v>
      </c>
      <c r="CL119" s="393">
        <f>IF(ISBLANK(Actuals!CM29),-10400*Escalation!$B$87,Actuals!CM29)</f>
        <v>-11946.3309435525</v>
      </c>
      <c r="CM119" s="393">
        <f>IF(ISBLANK(Actuals!CN29),-10400*Escalation!$B$88,Actuals!CN29)</f>
        <v>-11946.3309435525</v>
      </c>
      <c r="CN119" s="393">
        <f>IF(ISBLANK(Actuals!CO29),-10400*Escalation!$B$89,Actuals!CO29)</f>
        <v>-11946.3309435525</v>
      </c>
      <c r="CO119" s="393">
        <f>IF(ISBLANK(Actuals!CP29),-10400*Escalation!$B$90,Actuals!CP29)</f>
        <v>-11946.3309435525</v>
      </c>
      <c r="CP119" s="393">
        <f>IF(ISBLANK(Actuals!CQ29),-10400*Escalation!$B$91,Actuals!CQ29)</f>
        <v>-11946.3309435525</v>
      </c>
      <c r="CQ119" s="393">
        <f>IF(ISBLANK(Actuals!CR29),-10400*Escalation!$B$92,Actuals!CR29)</f>
        <v>-11946.3309435525</v>
      </c>
      <c r="CR119" s="393">
        <f>IF(ISBLANK(Actuals!CS29),-10400*Escalation!$B$93,Actuals!CS29)</f>
        <v>-11946.3309435525</v>
      </c>
      <c r="CS119" s="393">
        <f>IF(ISBLANK(Actuals!CT29),-10400*Escalation!$B$94,Actuals!CT29)</f>
        <v>-11946.3309435525</v>
      </c>
      <c r="CT119" s="393">
        <f>IF(ISBLANK(Actuals!CU29),-10400*Escalation!$B$95,Actuals!CU29)</f>
        <v>-11946.3309435525</v>
      </c>
      <c r="CU119" s="393">
        <f>IF(ISBLANK(Actuals!CV29),-10400*Escalation!$B$96,Actuals!CV29)</f>
        <v>-11946.3309435525</v>
      </c>
      <c r="CV119" s="393">
        <f>IF(ISBLANK(Actuals!CW29),-10400*Escalation!$B$97,Actuals!CW29)</f>
        <v>-11946.3309435525</v>
      </c>
      <c r="CW119" s="393">
        <f>IF(ISBLANK(Actuals!CX29),-10400*Escalation!$B$98,Actuals!CX29)</f>
        <v>-12185.2575624236</v>
      </c>
      <c r="CX119" s="393">
        <f>IF(ISBLANK(Actuals!CY29),-10400*Escalation!$B$99,Actuals!CY29)</f>
        <v>-12185.2575624236</v>
      </c>
      <c r="CY119" s="393">
        <f>IF(ISBLANK(Actuals!CZ29),-10400*Escalation!$B$100,Actuals!CZ29)</f>
        <v>-12185.2575624236</v>
      </c>
      <c r="CZ119" s="393">
        <f>IF(ISBLANK(Actuals!DA29),-10400*Escalation!$B$101,Actuals!DA29)</f>
        <v>-12185.2575624236</v>
      </c>
      <c r="DA119" s="393">
        <f>IF(ISBLANK(Actuals!DB29),-10400*Escalation!$B$102,Actuals!DB29)</f>
        <v>-12185.2575624236</v>
      </c>
      <c r="DB119" s="393">
        <f>IF(ISBLANK(Actuals!DC29),-10400*Escalation!$B$103,Actuals!DC29)</f>
        <v>-12185.2575624236</v>
      </c>
      <c r="DC119" s="393">
        <f>IF(ISBLANK(Actuals!DD29),-10400*Escalation!$B$104,Actuals!DD29)</f>
        <v>-12185.2575624236</v>
      </c>
      <c r="DD119" s="393">
        <f>IF(ISBLANK(Actuals!DE29),-10400*Escalation!$B$105,Actuals!DE29)</f>
        <v>-12185.2575624236</v>
      </c>
      <c r="DE119" s="393">
        <f>IF(ISBLANK(Actuals!DF29),-10400*Escalation!$B$106,Actuals!DF29)</f>
        <v>-12185.2575624236</v>
      </c>
    </row>
    <row r="120" ht="15" customFormat="1" customHeight="1" s="381">
      <c r="A120" s="398" t="inlineStr">
        <is>
          <t>5200-1000 Office Supplies and Expenses</t>
        </is>
      </c>
      <c r="B120" s="393">
        <f>IF(ISBLANK(Actuals!C30),0,Actuals!C30)</f>
        <v>-1988</v>
      </c>
      <c r="C120" s="393">
        <f>IF(ISBLANK(Actuals!D30),0,Actuals!D30)</f>
        <v>-955.32</v>
      </c>
      <c r="D120" s="393">
        <f>IF(ISBLANK(Actuals!E30),0,Actuals!E30)</f>
        <v>-9130.61</v>
      </c>
      <c r="E120" s="393">
        <f>IF(ISBLANK(Actuals!F30),-4024.64*Escalation!$B$2,Actuals!F30)</f>
        <v>-1028.89</v>
      </c>
      <c r="F120" s="393">
        <f>IF(ISBLANK(Actuals!G30),-4024.64*Escalation!$B$3,Actuals!G30)</f>
        <v>-7005.14</v>
      </c>
      <c r="G120" s="393">
        <f>IF(ISBLANK(Actuals!H30),-4024.64*Escalation!$B$4,Actuals!H30)</f>
        <v>-4121.06</v>
      </c>
      <c r="H120" s="393">
        <f>IF(ISBLANK(Actuals!I30),-4024.64*Escalation!$B$5,Actuals!I30)</f>
        <v>-4024.64</v>
      </c>
      <c r="I120" s="393">
        <f>IF(ISBLANK(Actuals!J30),-4024.64*Escalation!$B$6,Actuals!J30)</f>
        <v>-4024.64</v>
      </c>
      <c r="J120" s="393">
        <f>IF(ISBLANK(Actuals!K30),-4024.64*Escalation!$B$7,Actuals!K30)</f>
        <v>-4024.64</v>
      </c>
      <c r="K120" s="393">
        <f>IF(ISBLANK(Actuals!L30),-4024.64*Escalation!$B$8,Actuals!L30)</f>
        <v>-4024.64</v>
      </c>
      <c r="L120" s="393">
        <f>IF(ISBLANK(Actuals!M30),-4024.64*Escalation!$B$9,Actuals!M30)</f>
        <v>-4024.64</v>
      </c>
      <c r="M120" s="393">
        <f>IF(ISBLANK(Actuals!N30),-4024.64*Escalation!$B$10,Actuals!N30)</f>
        <v>-4024.64</v>
      </c>
      <c r="N120" s="393">
        <f>IF(ISBLANK(Actuals!O30),-4024.64*Escalation!$B$11,Actuals!O30)</f>
        <v>-4024.64</v>
      </c>
      <c r="O120" s="393">
        <f>IF(ISBLANK(Actuals!P30),-4024.64*Escalation!$B$12,Actuals!P30)</f>
        <v>-4024.64</v>
      </c>
      <c r="P120" s="393">
        <f>IF(ISBLANK(Actuals!Q30),-4024.64*Escalation!$B$13,Actuals!Q30)</f>
        <v>-4024.64</v>
      </c>
      <c r="Q120" s="393">
        <f>IF(ISBLANK(Actuals!R30),-4024.64*Escalation!$B$14,Actuals!R30)</f>
        <v>-4105.1328</v>
      </c>
      <c r="R120" s="393">
        <f>IF(ISBLANK(Actuals!S30),-4024.64*Escalation!$B$15,Actuals!S30)</f>
        <v>-4105.1328</v>
      </c>
      <c r="S120" s="393">
        <f>IF(ISBLANK(Actuals!T30),-4024.64*Escalation!$B$16,Actuals!T30)</f>
        <v>-4105.1328</v>
      </c>
      <c r="T120" s="393">
        <f>IF(ISBLANK(Actuals!U30),-4024.64*Escalation!$B$17,Actuals!U30)</f>
        <v>-4105.1328</v>
      </c>
      <c r="U120" s="393">
        <f>IF(ISBLANK(Actuals!V30),-4024.64*Escalation!$B$18,Actuals!V30)</f>
        <v>-4105.1328</v>
      </c>
      <c r="V120" s="393">
        <f>IF(ISBLANK(Actuals!W30),-4024.64*Escalation!$B$19,Actuals!W30)</f>
        <v>-4105.1328</v>
      </c>
      <c r="W120" s="393">
        <f>IF(ISBLANK(Actuals!X30),-4024.64*Escalation!$B$20,Actuals!X30)</f>
        <v>-4105.1328</v>
      </c>
      <c r="X120" s="393">
        <f>IF(ISBLANK(Actuals!Y30),-4024.64*Escalation!$B$21,Actuals!Y30)</f>
        <v>-4105.1328</v>
      </c>
      <c r="Y120" s="393">
        <f>IF(ISBLANK(Actuals!Z30),-4024.64*Escalation!$B$22,Actuals!Z30)</f>
        <v>-4105.1328</v>
      </c>
      <c r="Z120" s="393">
        <f>IF(ISBLANK(Actuals!AA30),-4024.64*Escalation!$B$23,Actuals!AA30)</f>
        <v>-4105.1328</v>
      </c>
      <c r="AA120" s="393">
        <f>IF(ISBLANK(Actuals!AB30),-4024.64*Escalation!$B$24,Actuals!AB30)</f>
        <v>-4105.1328</v>
      </c>
      <c r="AB120" s="393">
        <f>IF(ISBLANK(Actuals!AC30),-4024.64*Escalation!$B$25,Actuals!AC30)</f>
        <v>-4105.1328</v>
      </c>
      <c r="AC120" s="393">
        <f>IF(ISBLANK(Actuals!AD30),-4024.64*Escalation!$B$26,Actuals!AD30)</f>
        <v>-4187.235456</v>
      </c>
      <c r="AD120" s="393">
        <f>IF(ISBLANK(Actuals!AE30),-4024.64*Escalation!$B$27,Actuals!AE30)</f>
        <v>-4187.235456</v>
      </c>
      <c r="AE120" s="393">
        <f>IF(ISBLANK(Actuals!AF30),-4024.64*Escalation!$B$28,Actuals!AF30)</f>
        <v>-4187.235456</v>
      </c>
      <c r="AF120" s="393">
        <f>IF(ISBLANK(Actuals!AG30),-4024.64*Escalation!$B$29,Actuals!AG30)</f>
        <v>-4187.235456</v>
      </c>
      <c r="AG120" s="393">
        <f>IF(ISBLANK(Actuals!AH30),-4024.64*Escalation!$B$30,Actuals!AH30)</f>
        <v>-4187.235456</v>
      </c>
      <c r="AH120" s="393">
        <f>IF(ISBLANK(Actuals!AI30),-4024.64*Escalation!$B$31,Actuals!AI30)</f>
        <v>-4187.235456</v>
      </c>
      <c r="AI120" s="393">
        <f>IF(ISBLANK(Actuals!AJ30),-4024.64*Escalation!$B$32,Actuals!AJ30)</f>
        <v>-4187.235456</v>
      </c>
      <c r="AJ120" s="393">
        <f>IF(ISBLANK(Actuals!AK30),-4024.64*Escalation!$B$33,Actuals!AK30)</f>
        <v>-4187.235456</v>
      </c>
      <c r="AK120" s="393">
        <f>IF(ISBLANK(Actuals!AL30),-4024.64*Escalation!$B$34,Actuals!AL30)</f>
        <v>-4187.235456</v>
      </c>
      <c r="AL120" s="393">
        <f>IF(ISBLANK(Actuals!AM30),-4024.64*Escalation!$B$35,Actuals!AM30)</f>
        <v>-4187.235456</v>
      </c>
      <c r="AM120" s="393">
        <f>IF(ISBLANK(Actuals!AN30),-4024.64*Escalation!$B$36,Actuals!AN30)</f>
        <v>-4187.235456</v>
      </c>
      <c r="AN120" s="393">
        <f>IF(ISBLANK(Actuals!AO30),-4024.64*Escalation!$B$37,Actuals!AO30)</f>
        <v>-4187.235456</v>
      </c>
      <c r="AO120" s="393">
        <f>IF(ISBLANK(Actuals!AP30),-4024.64*Escalation!$B$38,Actuals!AP30)</f>
        <v>-4270.98016512</v>
      </c>
      <c r="AP120" s="393">
        <f>IF(ISBLANK(Actuals!AQ30),-4024.64*Escalation!$B$39,Actuals!AQ30)</f>
        <v>-4270.98016512</v>
      </c>
      <c r="AQ120" s="393">
        <f>IF(ISBLANK(Actuals!AR30),-4024.64*Escalation!$B$40,Actuals!AR30)</f>
        <v>-4270.98016512</v>
      </c>
      <c r="AR120" s="393">
        <f>IF(ISBLANK(Actuals!AS30),-4024.64*Escalation!$B$41,Actuals!AS30)</f>
        <v>-4270.98016512</v>
      </c>
      <c r="AS120" s="393">
        <f>IF(ISBLANK(Actuals!AT30),-4024.64*Escalation!$B$42,Actuals!AT30)</f>
        <v>-4270.98016512</v>
      </c>
      <c r="AT120" s="393">
        <f>IF(ISBLANK(Actuals!AU30),-4024.64*Escalation!$B$43,Actuals!AU30)</f>
        <v>-4270.98016512</v>
      </c>
      <c r="AU120" s="393">
        <f>IF(ISBLANK(Actuals!AV30),-4024.64*Escalation!$B$44,Actuals!AV30)</f>
        <v>-4270.98016512</v>
      </c>
      <c r="AV120" s="393">
        <f>IF(ISBLANK(Actuals!AW30),-4024.64*Escalation!$B$45,Actuals!AW30)</f>
        <v>-4270.98016512</v>
      </c>
      <c r="AW120" s="393">
        <f>IF(ISBLANK(Actuals!AX30),-4024.64*Escalation!$B$46,Actuals!AX30)</f>
        <v>-4270.98016512</v>
      </c>
      <c r="AX120" s="393">
        <f>IF(ISBLANK(Actuals!AY30),-4024.64*Escalation!$B$47,Actuals!AY30)</f>
        <v>-4270.98016512</v>
      </c>
      <c r="AY120" s="393">
        <f>IF(ISBLANK(Actuals!AZ30),-4024.64*Escalation!$B$48,Actuals!AZ30)</f>
        <v>-4270.98016512</v>
      </c>
      <c r="AZ120" s="393">
        <f>IF(ISBLANK(Actuals!BA30),-4024.64*Escalation!$B$49,Actuals!BA30)</f>
        <v>-4270.98016512</v>
      </c>
      <c r="BA120" s="393">
        <f>IF(ISBLANK(Actuals!BB30),-4024.64*Escalation!$B$50,Actuals!BB30)</f>
        <v>-4356.3997684224</v>
      </c>
      <c r="BB120" s="393">
        <f>IF(ISBLANK(Actuals!BC30),-4024.64*Escalation!$B$51,Actuals!BC30)</f>
        <v>-4356.3997684224</v>
      </c>
      <c r="BC120" s="393">
        <f>IF(ISBLANK(Actuals!BD30),-4024.64*Escalation!$B$52,Actuals!BD30)</f>
        <v>-4356.3997684224</v>
      </c>
      <c r="BD120" s="393">
        <f>IF(ISBLANK(Actuals!BE30),-4024.64*Escalation!$B$53,Actuals!BE30)</f>
        <v>-4356.3997684224</v>
      </c>
      <c r="BE120" s="393">
        <f>IF(ISBLANK(Actuals!BF30),-4024.64*Escalation!$B$54,Actuals!BF30)</f>
        <v>-4356.3997684224</v>
      </c>
      <c r="BF120" s="393">
        <f>IF(ISBLANK(Actuals!BG30),-4024.64*Escalation!$B$55,Actuals!BG30)</f>
        <v>-4356.3997684224</v>
      </c>
      <c r="BG120" s="393">
        <f>IF(ISBLANK(Actuals!BH30),-4024.64*Escalation!$B$56,Actuals!BH30)</f>
        <v>-4356.3997684224</v>
      </c>
      <c r="BH120" s="393">
        <f>IF(ISBLANK(Actuals!BI30),-4024.64*Escalation!$B$57,Actuals!BI30)</f>
        <v>-4356.3997684224</v>
      </c>
      <c r="BI120" s="393">
        <f>IF(ISBLANK(Actuals!BJ30),-4024.64*Escalation!$B$58,Actuals!BJ30)</f>
        <v>-4356.3997684224</v>
      </c>
      <c r="BJ120" s="393">
        <f>IF(ISBLANK(Actuals!BK30),-4024.64*Escalation!$B$59,Actuals!BK30)</f>
        <v>-4356.3997684224</v>
      </c>
      <c r="BK120" s="393">
        <f>IF(ISBLANK(Actuals!BL30),-4024.64*Escalation!$B$60,Actuals!BL30)</f>
        <v>-4356.3997684224</v>
      </c>
      <c r="BL120" s="393">
        <f>IF(ISBLANK(Actuals!BM30),-4024.64*Escalation!$B$61,Actuals!BM30)</f>
        <v>-4356.3997684224</v>
      </c>
      <c r="BM120" s="393">
        <f>IF(ISBLANK(Actuals!BN30),-4024.64*Escalation!$B$62,Actuals!BN30)</f>
        <v>-4443.52776379085</v>
      </c>
      <c r="BN120" s="393">
        <f>IF(ISBLANK(Actuals!BO30),-4024.64*Escalation!$B$63,Actuals!BO30)</f>
        <v>-4443.52776379085</v>
      </c>
      <c r="BO120" s="393">
        <f>IF(ISBLANK(Actuals!BP30),-4024.64*Escalation!$B$64,Actuals!BP30)</f>
        <v>-4443.52776379085</v>
      </c>
      <c r="BP120" s="393">
        <f>IF(ISBLANK(Actuals!BQ30),-4024.64*Escalation!$B$65,Actuals!BQ30)</f>
        <v>-4443.52776379085</v>
      </c>
      <c r="BQ120" s="393">
        <f>IF(ISBLANK(Actuals!BR30),-4024.64*Escalation!$B$66,Actuals!BR30)</f>
        <v>-4443.52776379085</v>
      </c>
      <c r="BR120" s="393">
        <f>IF(ISBLANK(Actuals!BS30),-4024.64*Escalation!$B$67,Actuals!BS30)</f>
        <v>-4443.52776379085</v>
      </c>
      <c r="BS120" s="393">
        <f>IF(ISBLANK(Actuals!BT30),-4024.64*Escalation!$B$68,Actuals!BT30)</f>
        <v>-4443.52776379085</v>
      </c>
      <c r="BT120" s="393">
        <f>IF(ISBLANK(Actuals!BU30),-4024.64*Escalation!$B$69,Actuals!BU30)</f>
        <v>-4443.52776379085</v>
      </c>
      <c r="BU120" s="393">
        <f>IF(ISBLANK(Actuals!BV30),-4024.64*Escalation!$B$70,Actuals!BV30)</f>
        <v>-4443.52776379085</v>
      </c>
      <c r="BV120" s="393">
        <f>IF(ISBLANK(Actuals!BW30),-4024.64*Escalation!$B$71,Actuals!BW30)</f>
        <v>-4443.52776379085</v>
      </c>
      <c r="BW120" s="393">
        <f>IF(ISBLANK(Actuals!BX30),-4024.64*Escalation!$B$72,Actuals!BX30)</f>
        <v>-4443.52776379085</v>
      </c>
      <c r="BX120" s="393">
        <f>IF(ISBLANK(Actuals!BY30),-4024.64*Escalation!$B$73,Actuals!BY30)</f>
        <v>-4443.52776379085</v>
      </c>
      <c r="BY120" s="393">
        <f>IF(ISBLANK(Actuals!BZ30),-4024.64*Escalation!$B$74,Actuals!BZ30)</f>
        <v>-4532.39831906667</v>
      </c>
      <c r="BZ120" s="393">
        <f>IF(ISBLANK(Actuals!CA30),-4024.64*Escalation!$B$75,Actuals!CA30)</f>
        <v>-4532.39831906667</v>
      </c>
      <c r="CA120" s="393">
        <f>IF(ISBLANK(Actuals!CB30),-4024.64*Escalation!$B$76,Actuals!CB30)</f>
        <v>-4532.39831906667</v>
      </c>
      <c r="CB120" s="393">
        <f>IF(ISBLANK(Actuals!CC30),-4024.64*Escalation!$B$77,Actuals!CC30)</f>
        <v>-4532.39831906667</v>
      </c>
      <c r="CC120" s="393">
        <f>IF(ISBLANK(Actuals!CD30),-4024.64*Escalation!$B$78,Actuals!CD30)</f>
        <v>-4532.39831906667</v>
      </c>
      <c r="CD120" s="393">
        <f>IF(ISBLANK(Actuals!CE30),-4024.64*Escalation!$B$79,Actuals!CE30)</f>
        <v>-4532.39831906667</v>
      </c>
      <c r="CE120" s="393">
        <f>IF(ISBLANK(Actuals!CF30),-4024.64*Escalation!$B$80,Actuals!CF30)</f>
        <v>-4532.39831906667</v>
      </c>
      <c r="CF120" s="393">
        <f>IF(ISBLANK(Actuals!CG30),-4024.64*Escalation!$B$81,Actuals!CG30)</f>
        <v>-4532.39831906667</v>
      </c>
      <c r="CG120" s="393">
        <f>IF(ISBLANK(Actuals!CH30),-4024.64*Escalation!$B$82,Actuals!CH30)</f>
        <v>-4532.39831906667</v>
      </c>
      <c r="CH120" s="393">
        <f>IF(ISBLANK(Actuals!CI30),-4024.64*Escalation!$B$83,Actuals!CI30)</f>
        <v>-4532.39831906667</v>
      </c>
      <c r="CI120" s="393">
        <f>IF(ISBLANK(Actuals!CJ30),-4024.64*Escalation!$B$84,Actuals!CJ30)</f>
        <v>-4532.39831906667</v>
      </c>
      <c r="CJ120" s="393">
        <f>IF(ISBLANK(Actuals!CK30),-4024.64*Escalation!$B$85,Actuals!CK30)</f>
        <v>-4532.39831906667</v>
      </c>
      <c r="CK120" s="393">
        <f>IF(ISBLANK(Actuals!CL30),-4024.64*Escalation!$B$86,Actuals!CL30)</f>
        <v>-4623.046285448</v>
      </c>
      <c r="CL120" s="393">
        <f>IF(ISBLANK(Actuals!CM30),-4024.64*Escalation!$B$87,Actuals!CM30)</f>
        <v>-4623.046285448</v>
      </c>
      <c r="CM120" s="393">
        <f>IF(ISBLANK(Actuals!CN30),-4024.64*Escalation!$B$88,Actuals!CN30)</f>
        <v>-4623.046285448</v>
      </c>
      <c r="CN120" s="393">
        <f>IF(ISBLANK(Actuals!CO30),-4024.64*Escalation!$B$89,Actuals!CO30)</f>
        <v>-4623.046285448</v>
      </c>
      <c r="CO120" s="393">
        <f>IF(ISBLANK(Actuals!CP30),-4024.64*Escalation!$B$90,Actuals!CP30)</f>
        <v>-4623.046285448</v>
      </c>
      <c r="CP120" s="393">
        <f>IF(ISBLANK(Actuals!CQ30),-4024.64*Escalation!$B$91,Actuals!CQ30)</f>
        <v>-4623.046285448</v>
      </c>
      <c r="CQ120" s="393">
        <f>IF(ISBLANK(Actuals!CR30),-4024.64*Escalation!$B$92,Actuals!CR30)</f>
        <v>-4623.046285448</v>
      </c>
      <c r="CR120" s="393">
        <f>IF(ISBLANK(Actuals!CS30),-4024.64*Escalation!$B$93,Actuals!CS30)</f>
        <v>-4623.046285448</v>
      </c>
      <c r="CS120" s="393">
        <f>IF(ISBLANK(Actuals!CT30),-4024.64*Escalation!$B$94,Actuals!CT30)</f>
        <v>-4623.046285448</v>
      </c>
      <c r="CT120" s="393">
        <f>IF(ISBLANK(Actuals!CU30),-4024.64*Escalation!$B$95,Actuals!CU30)</f>
        <v>-4623.046285448</v>
      </c>
      <c r="CU120" s="393">
        <f>IF(ISBLANK(Actuals!CV30),-4024.64*Escalation!$B$96,Actuals!CV30)</f>
        <v>-4623.046285448</v>
      </c>
      <c r="CV120" s="393">
        <f>IF(ISBLANK(Actuals!CW30),-4024.64*Escalation!$B$97,Actuals!CW30)</f>
        <v>-4623.046285448</v>
      </c>
      <c r="CW120" s="393">
        <f>IF(ISBLANK(Actuals!CX30),-4024.64*Escalation!$B$98,Actuals!CX30)</f>
        <v>-4715.50721115696</v>
      </c>
      <c r="CX120" s="393">
        <f>IF(ISBLANK(Actuals!CY30),-4024.64*Escalation!$B$99,Actuals!CY30)</f>
        <v>-4715.50721115696</v>
      </c>
      <c r="CY120" s="393">
        <f>IF(ISBLANK(Actuals!CZ30),-4024.64*Escalation!$B$100,Actuals!CZ30)</f>
        <v>-4715.50721115696</v>
      </c>
      <c r="CZ120" s="393">
        <f>IF(ISBLANK(Actuals!DA30),-4024.64*Escalation!$B$101,Actuals!DA30)</f>
        <v>-4715.50721115696</v>
      </c>
      <c r="DA120" s="393">
        <f>IF(ISBLANK(Actuals!DB30),-4024.64*Escalation!$B$102,Actuals!DB30)</f>
        <v>-4715.50721115696</v>
      </c>
      <c r="DB120" s="393">
        <f>IF(ISBLANK(Actuals!DC30),-4024.64*Escalation!$B$103,Actuals!DC30)</f>
        <v>-4715.50721115696</v>
      </c>
      <c r="DC120" s="393">
        <f>IF(ISBLANK(Actuals!DD30),-4024.64*Escalation!$B$104,Actuals!DD30)</f>
        <v>-4715.50721115696</v>
      </c>
      <c r="DD120" s="393">
        <f>IF(ISBLANK(Actuals!DE30),-4024.64*Escalation!$B$105,Actuals!DE30)</f>
        <v>-4715.50721115696</v>
      </c>
      <c r="DE120" s="393">
        <f>IF(ISBLANK(Actuals!DF30),-4024.64*Escalation!$B$106,Actuals!DF30)</f>
        <v>-4715.50721115696</v>
      </c>
    </row>
    <row r="121" ht="15" customFormat="1" customHeight="1" s="381">
      <c r="A121" s="398" t="inlineStr">
        <is>
          <t>5200-1002 Printing and Reproduction</t>
        </is>
      </c>
      <c r="B121" s="393">
        <f>IF(ISBLANK(Actuals!C31),0,Actuals!C31)</f>
        <v>0</v>
      </c>
      <c r="C121" s="393">
        <f>IF(ISBLANK(Actuals!D31),0,Actuals!D31)</f>
        <v>0</v>
      </c>
      <c r="D121" s="393">
        <f>IF(ISBLANK(Actuals!E31),0,Actuals!E31)</f>
        <v>-1077.38</v>
      </c>
      <c r="E121" s="393">
        <f>IF(ISBLANK(Actuals!F31),-359.13*Escalation!$B$2,Actuals!F31)</f>
        <v>-211.28</v>
      </c>
      <c r="F121" s="393">
        <f>IF(ISBLANK(Actuals!G31),-359.13*Escalation!$B$3,Actuals!G31)</f>
        <v>-1254.17</v>
      </c>
      <c r="G121" s="393">
        <f>IF(ISBLANK(Actuals!H31),-359.13*Escalation!$B$4,Actuals!H31)</f>
        <v>0</v>
      </c>
      <c r="H121" s="393">
        <f>IF(ISBLANK(Actuals!I31),-359.13*Escalation!$B$5,Actuals!I31)</f>
        <v>-359.13</v>
      </c>
      <c r="I121" s="393">
        <f>IF(ISBLANK(Actuals!J31),-359.13*Escalation!$B$6,Actuals!J31)</f>
        <v>-359.13</v>
      </c>
      <c r="J121" s="393">
        <f>IF(ISBLANK(Actuals!K31),-359.13*Escalation!$B$7,Actuals!K31)</f>
        <v>-359.13</v>
      </c>
      <c r="K121" s="393">
        <f>IF(ISBLANK(Actuals!L31),-359.13*Escalation!$B$8,Actuals!L31)</f>
        <v>-359.13</v>
      </c>
      <c r="L121" s="393">
        <f>IF(ISBLANK(Actuals!M31),-359.13*Escalation!$B$9,Actuals!M31)</f>
        <v>-359.13</v>
      </c>
      <c r="M121" s="393">
        <f>IF(ISBLANK(Actuals!N31),-359.13*Escalation!$B$10,Actuals!N31)</f>
        <v>-359.13</v>
      </c>
      <c r="N121" s="393">
        <f>IF(ISBLANK(Actuals!O31),-359.13*Escalation!$B$11,Actuals!O31)</f>
        <v>-359.13</v>
      </c>
      <c r="O121" s="393">
        <f>IF(ISBLANK(Actuals!P31),-359.13*Escalation!$B$12,Actuals!P31)</f>
        <v>-359.13</v>
      </c>
      <c r="P121" s="393">
        <f>IF(ISBLANK(Actuals!Q31),-359.13*Escalation!$B$13,Actuals!Q31)</f>
        <v>-359.13</v>
      </c>
      <c r="Q121" s="393">
        <f>IF(ISBLANK(Actuals!R31),-359.13*Escalation!$B$14,Actuals!R31)</f>
        <v>-366.3126</v>
      </c>
      <c r="R121" s="393">
        <f>IF(ISBLANK(Actuals!S31),-359.13*Escalation!$B$15,Actuals!S31)</f>
        <v>-366.3126</v>
      </c>
      <c r="S121" s="393">
        <f>IF(ISBLANK(Actuals!T31),-359.13*Escalation!$B$16,Actuals!T31)</f>
        <v>-366.3126</v>
      </c>
      <c r="T121" s="393">
        <f>IF(ISBLANK(Actuals!U31),-359.13*Escalation!$B$17,Actuals!U31)</f>
        <v>-366.3126</v>
      </c>
      <c r="U121" s="393">
        <f>IF(ISBLANK(Actuals!V31),-359.13*Escalation!$B$18,Actuals!V31)</f>
        <v>-366.3126</v>
      </c>
      <c r="V121" s="393">
        <f>IF(ISBLANK(Actuals!W31),-359.13*Escalation!$B$19,Actuals!W31)</f>
        <v>-366.3126</v>
      </c>
      <c r="W121" s="393">
        <f>IF(ISBLANK(Actuals!X31),-359.13*Escalation!$B$20,Actuals!X31)</f>
        <v>-366.3126</v>
      </c>
      <c r="X121" s="393">
        <f>IF(ISBLANK(Actuals!Y31),-359.13*Escalation!$B$21,Actuals!Y31)</f>
        <v>-366.3126</v>
      </c>
      <c r="Y121" s="393">
        <f>IF(ISBLANK(Actuals!Z31),-359.13*Escalation!$B$22,Actuals!Z31)</f>
        <v>-366.3126</v>
      </c>
      <c r="Z121" s="393">
        <f>IF(ISBLANK(Actuals!AA31),-359.13*Escalation!$B$23,Actuals!AA31)</f>
        <v>-366.3126</v>
      </c>
      <c r="AA121" s="393">
        <f>IF(ISBLANK(Actuals!AB31),-359.13*Escalation!$B$24,Actuals!AB31)</f>
        <v>-366.3126</v>
      </c>
      <c r="AB121" s="393">
        <f>IF(ISBLANK(Actuals!AC31),-359.13*Escalation!$B$25,Actuals!AC31)</f>
        <v>-366.3126</v>
      </c>
      <c r="AC121" s="393">
        <f>IF(ISBLANK(Actuals!AD31),-359.13*Escalation!$B$26,Actuals!AD31)</f>
        <v>-373.638852</v>
      </c>
      <c r="AD121" s="393">
        <f>IF(ISBLANK(Actuals!AE31),-359.13*Escalation!$B$27,Actuals!AE31)</f>
        <v>-373.638852</v>
      </c>
      <c r="AE121" s="393">
        <f>IF(ISBLANK(Actuals!AF31),-359.13*Escalation!$B$28,Actuals!AF31)</f>
        <v>-373.638852</v>
      </c>
      <c r="AF121" s="393">
        <f>IF(ISBLANK(Actuals!AG31),-359.13*Escalation!$B$29,Actuals!AG31)</f>
        <v>-373.638852</v>
      </c>
      <c r="AG121" s="393">
        <f>IF(ISBLANK(Actuals!AH31),-359.13*Escalation!$B$30,Actuals!AH31)</f>
        <v>-373.638852</v>
      </c>
      <c r="AH121" s="393">
        <f>IF(ISBLANK(Actuals!AI31),-359.13*Escalation!$B$31,Actuals!AI31)</f>
        <v>-373.638852</v>
      </c>
      <c r="AI121" s="393">
        <f>IF(ISBLANK(Actuals!AJ31),-359.13*Escalation!$B$32,Actuals!AJ31)</f>
        <v>-373.638852</v>
      </c>
      <c r="AJ121" s="393">
        <f>IF(ISBLANK(Actuals!AK31),-359.13*Escalation!$B$33,Actuals!AK31)</f>
        <v>-373.638852</v>
      </c>
      <c r="AK121" s="393">
        <f>IF(ISBLANK(Actuals!AL31),-359.13*Escalation!$B$34,Actuals!AL31)</f>
        <v>-373.638852</v>
      </c>
      <c r="AL121" s="393">
        <f>IF(ISBLANK(Actuals!AM31),-359.13*Escalation!$B$35,Actuals!AM31)</f>
        <v>-373.638852</v>
      </c>
      <c r="AM121" s="393">
        <f>IF(ISBLANK(Actuals!AN31),-359.13*Escalation!$B$36,Actuals!AN31)</f>
        <v>-373.638852</v>
      </c>
      <c r="AN121" s="393">
        <f>IF(ISBLANK(Actuals!AO31),-359.13*Escalation!$B$37,Actuals!AO31)</f>
        <v>-373.638852</v>
      </c>
      <c r="AO121" s="393">
        <f>IF(ISBLANK(Actuals!AP31),-359.13*Escalation!$B$38,Actuals!AP31)</f>
        <v>-381.11162904</v>
      </c>
      <c r="AP121" s="393">
        <f>IF(ISBLANK(Actuals!AQ31),-359.13*Escalation!$B$39,Actuals!AQ31)</f>
        <v>-381.11162904</v>
      </c>
      <c r="AQ121" s="393">
        <f>IF(ISBLANK(Actuals!AR31),-359.13*Escalation!$B$40,Actuals!AR31)</f>
        <v>-381.11162904</v>
      </c>
      <c r="AR121" s="393">
        <f>IF(ISBLANK(Actuals!AS31),-359.13*Escalation!$B$41,Actuals!AS31)</f>
        <v>-381.11162904</v>
      </c>
      <c r="AS121" s="393">
        <f>IF(ISBLANK(Actuals!AT31),-359.13*Escalation!$B$42,Actuals!AT31)</f>
        <v>-381.11162904</v>
      </c>
      <c r="AT121" s="393">
        <f>IF(ISBLANK(Actuals!AU31),-359.13*Escalation!$B$43,Actuals!AU31)</f>
        <v>-381.11162904</v>
      </c>
      <c r="AU121" s="393">
        <f>IF(ISBLANK(Actuals!AV31),-359.13*Escalation!$B$44,Actuals!AV31)</f>
        <v>-381.11162904</v>
      </c>
      <c r="AV121" s="393">
        <f>IF(ISBLANK(Actuals!AW31),-359.13*Escalation!$B$45,Actuals!AW31)</f>
        <v>-381.11162904</v>
      </c>
      <c r="AW121" s="393">
        <f>IF(ISBLANK(Actuals!AX31),-359.13*Escalation!$B$46,Actuals!AX31)</f>
        <v>-381.11162904</v>
      </c>
      <c r="AX121" s="393">
        <f>IF(ISBLANK(Actuals!AY31),-359.13*Escalation!$B$47,Actuals!AY31)</f>
        <v>-381.11162904</v>
      </c>
      <c r="AY121" s="393">
        <f>IF(ISBLANK(Actuals!AZ31),-359.13*Escalation!$B$48,Actuals!AZ31)</f>
        <v>-381.11162904</v>
      </c>
      <c r="AZ121" s="393">
        <f>IF(ISBLANK(Actuals!BA31),-359.13*Escalation!$B$49,Actuals!BA31)</f>
        <v>-381.11162904</v>
      </c>
      <c r="BA121" s="393">
        <f>IF(ISBLANK(Actuals!BB31),-359.13*Escalation!$B$50,Actuals!BB31)</f>
        <v>-388.7338616208</v>
      </c>
      <c r="BB121" s="393">
        <f>IF(ISBLANK(Actuals!BC31),-359.13*Escalation!$B$51,Actuals!BC31)</f>
        <v>-388.7338616208</v>
      </c>
      <c r="BC121" s="393">
        <f>IF(ISBLANK(Actuals!BD31),-359.13*Escalation!$B$52,Actuals!BD31)</f>
        <v>-388.7338616208</v>
      </c>
      <c r="BD121" s="393">
        <f>IF(ISBLANK(Actuals!BE31),-359.13*Escalation!$B$53,Actuals!BE31)</f>
        <v>-388.7338616208</v>
      </c>
      <c r="BE121" s="393">
        <f>IF(ISBLANK(Actuals!BF31),-359.13*Escalation!$B$54,Actuals!BF31)</f>
        <v>-388.7338616208</v>
      </c>
      <c r="BF121" s="393">
        <f>IF(ISBLANK(Actuals!BG31),-359.13*Escalation!$B$55,Actuals!BG31)</f>
        <v>-388.7338616208</v>
      </c>
      <c r="BG121" s="393">
        <f>IF(ISBLANK(Actuals!BH31),-359.13*Escalation!$B$56,Actuals!BH31)</f>
        <v>-388.7338616208</v>
      </c>
      <c r="BH121" s="393">
        <f>IF(ISBLANK(Actuals!BI31),-359.13*Escalation!$B$57,Actuals!BI31)</f>
        <v>-388.7338616208</v>
      </c>
      <c r="BI121" s="393">
        <f>IF(ISBLANK(Actuals!BJ31),-359.13*Escalation!$B$58,Actuals!BJ31)</f>
        <v>-388.7338616208</v>
      </c>
      <c r="BJ121" s="393">
        <f>IF(ISBLANK(Actuals!BK31),-359.13*Escalation!$B$59,Actuals!BK31)</f>
        <v>-388.7338616208</v>
      </c>
      <c r="BK121" s="393">
        <f>IF(ISBLANK(Actuals!BL31),-359.13*Escalation!$B$60,Actuals!BL31)</f>
        <v>-388.7338616208</v>
      </c>
      <c r="BL121" s="393">
        <f>IF(ISBLANK(Actuals!BM31),-359.13*Escalation!$B$61,Actuals!BM31)</f>
        <v>-388.7338616208</v>
      </c>
      <c r="BM121" s="393">
        <f>IF(ISBLANK(Actuals!BN31),-359.13*Escalation!$B$62,Actuals!BN31)</f>
        <v>-396.508538853216</v>
      </c>
      <c r="BN121" s="393">
        <f>IF(ISBLANK(Actuals!BO31),-359.13*Escalation!$B$63,Actuals!BO31)</f>
        <v>-396.508538853216</v>
      </c>
      <c r="BO121" s="393">
        <f>IF(ISBLANK(Actuals!BP31),-359.13*Escalation!$B$64,Actuals!BP31)</f>
        <v>-396.508538853216</v>
      </c>
      <c r="BP121" s="393">
        <f>IF(ISBLANK(Actuals!BQ31),-359.13*Escalation!$B$65,Actuals!BQ31)</f>
        <v>-396.508538853216</v>
      </c>
      <c r="BQ121" s="393">
        <f>IF(ISBLANK(Actuals!BR31),-359.13*Escalation!$B$66,Actuals!BR31)</f>
        <v>-396.508538853216</v>
      </c>
      <c r="BR121" s="393">
        <f>IF(ISBLANK(Actuals!BS31),-359.13*Escalation!$B$67,Actuals!BS31)</f>
        <v>-396.508538853216</v>
      </c>
      <c r="BS121" s="393">
        <f>IF(ISBLANK(Actuals!BT31),-359.13*Escalation!$B$68,Actuals!BT31)</f>
        <v>-396.508538853216</v>
      </c>
      <c r="BT121" s="393">
        <f>IF(ISBLANK(Actuals!BU31),-359.13*Escalation!$B$69,Actuals!BU31)</f>
        <v>-396.508538853216</v>
      </c>
      <c r="BU121" s="393">
        <f>IF(ISBLANK(Actuals!BV31),-359.13*Escalation!$B$70,Actuals!BV31)</f>
        <v>-396.508538853216</v>
      </c>
      <c r="BV121" s="393">
        <f>IF(ISBLANK(Actuals!BW31),-359.13*Escalation!$B$71,Actuals!BW31)</f>
        <v>-396.508538853216</v>
      </c>
      <c r="BW121" s="393">
        <f>IF(ISBLANK(Actuals!BX31),-359.13*Escalation!$B$72,Actuals!BX31)</f>
        <v>-396.508538853216</v>
      </c>
      <c r="BX121" s="393">
        <f>IF(ISBLANK(Actuals!BY31),-359.13*Escalation!$B$73,Actuals!BY31)</f>
        <v>-396.508538853216</v>
      </c>
      <c r="BY121" s="393">
        <f>IF(ISBLANK(Actuals!BZ31),-359.13*Escalation!$B$74,Actuals!BZ31)</f>
        <v>-404.43870963028</v>
      </c>
      <c r="BZ121" s="393">
        <f>IF(ISBLANK(Actuals!CA31),-359.13*Escalation!$B$75,Actuals!CA31)</f>
        <v>-404.43870963028</v>
      </c>
      <c r="CA121" s="393">
        <f>IF(ISBLANK(Actuals!CB31),-359.13*Escalation!$B$76,Actuals!CB31)</f>
        <v>-404.43870963028</v>
      </c>
      <c r="CB121" s="393">
        <f>IF(ISBLANK(Actuals!CC31),-359.13*Escalation!$B$77,Actuals!CC31)</f>
        <v>-404.43870963028</v>
      </c>
      <c r="CC121" s="393">
        <f>IF(ISBLANK(Actuals!CD31),-359.13*Escalation!$B$78,Actuals!CD31)</f>
        <v>-404.43870963028</v>
      </c>
      <c r="CD121" s="393">
        <f>IF(ISBLANK(Actuals!CE31),-359.13*Escalation!$B$79,Actuals!CE31)</f>
        <v>-404.43870963028</v>
      </c>
      <c r="CE121" s="393">
        <f>IF(ISBLANK(Actuals!CF31),-359.13*Escalation!$B$80,Actuals!CF31)</f>
        <v>-404.43870963028</v>
      </c>
      <c r="CF121" s="393">
        <f>IF(ISBLANK(Actuals!CG31),-359.13*Escalation!$B$81,Actuals!CG31)</f>
        <v>-404.43870963028</v>
      </c>
      <c r="CG121" s="393">
        <f>IF(ISBLANK(Actuals!CH31),-359.13*Escalation!$B$82,Actuals!CH31)</f>
        <v>-404.43870963028</v>
      </c>
      <c r="CH121" s="393">
        <f>IF(ISBLANK(Actuals!CI31),-359.13*Escalation!$B$83,Actuals!CI31)</f>
        <v>-404.43870963028</v>
      </c>
      <c r="CI121" s="393">
        <f>IF(ISBLANK(Actuals!CJ31),-359.13*Escalation!$B$84,Actuals!CJ31)</f>
        <v>-404.43870963028</v>
      </c>
      <c r="CJ121" s="393">
        <f>IF(ISBLANK(Actuals!CK31),-359.13*Escalation!$B$85,Actuals!CK31)</f>
        <v>-404.43870963028</v>
      </c>
      <c r="CK121" s="393">
        <f>IF(ISBLANK(Actuals!CL31),-359.13*Escalation!$B$86,Actuals!CL31)</f>
        <v>-412.527483822886</v>
      </c>
      <c r="CL121" s="393">
        <f>IF(ISBLANK(Actuals!CM31),-359.13*Escalation!$B$87,Actuals!CM31)</f>
        <v>-412.527483822886</v>
      </c>
      <c r="CM121" s="393">
        <f>IF(ISBLANK(Actuals!CN31),-359.13*Escalation!$B$88,Actuals!CN31)</f>
        <v>-412.527483822886</v>
      </c>
      <c r="CN121" s="393">
        <f>IF(ISBLANK(Actuals!CO31),-359.13*Escalation!$B$89,Actuals!CO31)</f>
        <v>-412.527483822886</v>
      </c>
      <c r="CO121" s="393">
        <f>IF(ISBLANK(Actuals!CP31),-359.13*Escalation!$B$90,Actuals!CP31)</f>
        <v>-412.527483822886</v>
      </c>
      <c r="CP121" s="393">
        <f>IF(ISBLANK(Actuals!CQ31),-359.13*Escalation!$B$91,Actuals!CQ31)</f>
        <v>-412.527483822886</v>
      </c>
      <c r="CQ121" s="393">
        <f>IF(ISBLANK(Actuals!CR31),-359.13*Escalation!$B$92,Actuals!CR31)</f>
        <v>-412.527483822886</v>
      </c>
      <c r="CR121" s="393">
        <f>IF(ISBLANK(Actuals!CS31),-359.13*Escalation!$B$93,Actuals!CS31)</f>
        <v>-412.527483822886</v>
      </c>
      <c r="CS121" s="393">
        <f>IF(ISBLANK(Actuals!CT31),-359.13*Escalation!$B$94,Actuals!CT31)</f>
        <v>-412.527483822886</v>
      </c>
      <c r="CT121" s="393">
        <f>IF(ISBLANK(Actuals!CU31),-359.13*Escalation!$B$95,Actuals!CU31)</f>
        <v>-412.527483822886</v>
      </c>
      <c r="CU121" s="393">
        <f>IF(ISBLANK(Actuals!CV31),-359.13*Escalation!$B$96,Actuals!CV31)</f>
        <v>-412.527483822886</v>
      </c>
      <c r="CV121" s="393">
        <f>IF(ISBLANK(Actuals!CW31),-359.13*Escalation!$B$97,Actuals!CW31)</f>
        <v>-412.527483822886</v>
      </c>
      <c r="CW121" s="393">
        <f>IF(ISBLANK(Actuals!CX31),-359.13*Escalation!$B$98,Actuals!CX31)</f>
        <v>-420.778033499344</v>
      </c>
      <c r="CX121" s="393">
        <f>IF(ISBLANK(Actuals!CY31),-359.13*Escalation!$B$99,Actuals!CY31)</f>
        <v>-420.778033499344</v>
      </c>
      <c r="CY121" s="393">
        <f>IF(ISBLANK(Actuals!CZ31),-359.13*Escalation!$B$100,Actuals!CZ31)</f>
        <v>-420.778033499344</v>
      </c>
      <c r="CZ121" s="393">
        <f>IF(ISBLANK(Actuals!DA31),-359.13*Escalation!$B$101,Actuals!DA31)</f>
        <v>-420.778033499344</v>
      </c>
      <c r="DA121" s="393">
        <f>IF(ISBLANK(Actuals!DB31),-359.13*Escalation!$B$102,Actuals!DB31)</f>
        <v>-420.778033499344</v>
      </c>
      <c r="DB121" s="393">
        <f>IF(ISBLANK(Actuals!DC31),-359.13*Escalation!$B$103,Actuals!DC31)</f>
        <v>-420.778033499344</v>
      </c>
      <c r="DC121" s="393">
        <f>IF(ISBLANK(Actuals!DD31),-359.13*Escalation!$B$104,Actuals!DD31)</f>
        <v>-420.778033499344</v>
      </c>
      <c r="DD121" s="393">
        <f>IF(ISBLANK(Actuals!DE31),-359.13*Escalation!$B$105,Actuals!DE31)</f>
        <v>-420.778033499344</v>
      </c>
      <c r="DE121" s="393">
        <f>IF(ISBLANK(Actuals!DF31),-359.13*Escalation!$B$106,Actuals!DF31)</f>
        <v>-420.778033499344</v>
      </c>
    </row>
    <row r="122" ht="15" customFormat="1" customHeight="1" s="381">
      <c r="A122" s="398" t="inlineStr">
        <is>
          <t>5200-1050 Computer and IT Expenses</t>
        </is>
      </c>
      <c r="B122" s="393">
        <f>IF(ISBLANK(Actuals!C32),0,Actuals!C32)</f>
        <v>-79</v>
      </c>
      <c r="C122" s="393">
        <f>IF(ISBLANK(Actuals!D32),0,Actuals!D32)</f>
        <v>0</v>
      </c>
      <c r="D122" s="393">
        <f>IF(ISBLANK(Actuals!E32),0,Actuals!E32)</f>
        <v>0</v>
      </c>
      <c r="E122" s="393">
        <f>IF(ISBLANK(Actuals!F32),-26.33*Escalation!$B$2,Actuals!F32)</f>
        <v>0</v>
      </c>
      <c r="F122" s="393">
        <f>IF(ISBLANK(Actuals!G32),-26.33*Escalation!$B$3,Actuals!G32)</f>
        <v>0</v>
      </c>
      <c r="G122" s="393">
        <f>IF(ISBLANK(Actuals!H32),-26.33*Escalation!$B$4,Actuals!H32)</f>
        <v>0</v>
      </c>
      <c r="H122" s="393">
        <f>IF(ISBLANK(Actuals!I32),-26.33*Escalation!$B$5,Actuals!I32)</f>
        <v>-26.33</v>
      </c>
      <c r="I122" s="393">
        <f>IF(ISBLANK(Actuals!J32),-26.33*Escalation!$B$6,Actuals!J32)</f>
        <v>-26.33</v>
      </c>
      <c r="J122" s="393">
        <f>IF(ISBLANK(Actuals!K32),-26.33*Escalation!$B$7,Actuals!K32)</f>
        <v>-26.33</v>
      </c>
      <c r="K122" s="393">
        <f>IF(ISBLANK(Actuals!L32),-26.33*Escalation!$B$8,Actuals!L32)</f>
        <v>-26.33</v>
      </c>
      <c r="L122" s="393">
        <f>IF(ISBLANK(Actuals!M32),-26.33*Escalation!$B$9,Actuals!M32)</f>
        <v>-26.33</v>
      </c>
      <c r="M122" s="393">
        <f>IF(ISBLANK(Actuals!N32),-26.33*Escalation!$B$10,Actuals!N32)</f>
        <v>-26.33</v>
      </c>
      <c r="N122" s="393">
        <f>IF(ISBLANK(Actuals!O32),-26.33*Escalation!$B$11,Actuals!O32)</f>
        <v>-26.33</v>
      </c>
      <c r="O122" s="393">
        <f>IF(ISBLANK(Actuals!P32),-26.33*Escalation!$B$12,Actuals!P32)</f>
        <v>-26.33</v>
      </c>
      <c r="P122" s="393">
        <f>IF(ISBLANK(Actuals!Q32),-26.33*Escalation!$B$13,Actuals!Q32)</f>
        <v>-26.33</v>
      </c>
      <c r="Q122" s="393">
        <f>IF(ISBLANK(Actuals!R32),-26.33*Escalation!$B$14,Actuals!R32)</f>
        <v>-26.8566</v>
      </c>
      <c r="R122" s="393">
        <f>IF(ISBLANK(Actuals!S32),-26.33*Escalation!$B$15,Actuals!S32)</f>
        <v>-26.8566</v>
      </c>
      <c r="S122" s="393">
        <f>IF(ISBLANK(Actuals!T32),-26.33*Escalation!$B$16,Actuals!T32)</f>
        <v>-26.8566</v>
      </c>
      <c r="T122" s="393">
        <f>IF(ISBLANK(Actuals!U32),-26.33*Escalation!$B$17,Actuals!U32)</f>
        <v>-26.8566</v>
      </c>
      <c r="U122" s="393">
        <f>IF(ISBLANK(Actuals!V32),-26.33*Escalation!$B$18,Actuals!V32)</f>
        <v>-26.8566</v>
      </c>
      <c r="V122" s="393">
        <f>IF(ISBLANK(Actuals!W32),-26.33*Escalation!$B$19,Actuals!W32)</f>
        <v>-26.8566</v>
      </c>
      <c r="W122" s="393">
        <f>IF(ISBLANK(Actuals!X32),-26.33*Escalation!$B$20,Actuals!X32)</f>
        <v>-26.8566</v>
      </c>
      <c r="X122" s="393">
        <f>IF(ISBLANK(Actuals!Y32),-26.33*Escalation!$B$21,Actuals!Y32)</f>
        <v>-26.8566</v>
      </c>
      <c r="Y122" s="393">
        <f>IF(ISBLANK(Actuals!Z32),-26.33*Escalation!$B$22,Actuals!Z32)</f>
        <v>-26.8566</v>
      </c>
      <c r="Z122" s="393">
        <f>IF(ISBLANK(Actuals!AA32),-26.33*Escalation!$B$23,Actuals!AA32)</f>
        <v>-26.8566</v>
      </c>
      <c r="AA122" s="393">
        <f>IF(ISBLANK(Actuals!AB32),-26.33*Escalation!$B$24,Actuals!AB32)</f>
        <v>-26.8566</v>
      </c>
      <c r="AB122" s="393">
        <f>IF(ISBLANK(Actuals!AC32),-26.33*Escalation!$B$25,Actuals!AC32)</f>
        <v>-26.8566</v>
      </c>
      <c r="AC122" s="393">
        <f>IF(ISBLANK(Actuals!AD32),-26.33*Escalation!$B$26,Actuals!AD32)</f>
        <v>-27.393732</v>
      </c>
      <c r="AD122" s="393">
        <f>IF(ISBLANK(Actuals!AE32),-26.33*Escalation!$B$27,Actuals!AE32)</f>
        <v>-27.393732</v>
      </c>
      <c r="AE122" s="393">
        <f>IF(ISBLANK(Actuals!AF32),-26.33*Escalation!$B$28,Actuals!AF32)</f>
        <v>-27.393732</v>
      </c>
      <c r="AF122" s="393">
        <f>IF(ISBLANK(Actuals!AG32),-26.33*Escalation!$B$29,Actuals!AG32)</f>
        <v>-27.393732</v>
      </c>
      <c r="AG122" s="393">
        <f>IF(ISBLANK(Actuals!AH32),-26.33*Escalation!$B$30,Actuals!AH32)</f>
        <v>-27.393732</v>
      </c>
      <c r="AH122" s="393">
        <f>IF(ISBLANK(Actuals!AI32),-26.33*Escalation!$B$31,Actuals!AI32)</f>
        <v>-27.393732</v>
      </c>
      <c r="AI122" s="393">
        <f>IF(ISBLANK(Actuals!AJ32),-26.33*Escalation!$B$32,Actuals!AJ32)</f>
        <v>-27.393732</v>
      </c>
      <c r="AJ122" s="393">
        <f>IF(ISBLANK(Actuals!AK32),-26.33*Escalation!$B$33,Actuals!AK32)</f>
        <v>-27.393732</v>
      </c>
      <c r="AK122" s="393">
        <f>IF(ISBLANK(Actuals!AL32),-26.33*Escalation!$B$34,Actuals!AL32)</f>
        <v>-27.393732</v>
      </c>
      <c r="AL122" s="393">
        <f>IF(ISBLANK(Actuals!AM32),-26.33*Escalation!$B$35,Actuals!AM32)</f>
        <v>-27.393732</v>
      </c>
      <c r="AM122" s="393">
        <f>IF(ISBLANK(Actuals!AN32),-26.33*Escalation!$B$36,Actuals!AN32)</f>
        <v>-27.393732</v>
      </c>
      <c r="AN122" s="393">
        <f>IF(ISBLANK(Actuals!AO32),-26.33*Escalation!$B$37,Actuals!AO32)</f>
        <v>-27.393732</v>
      </c>
      <c r="AO122" s="393">
        <f>IF(ISBLANK(Actuals!AP32),-26.33*Escalation!$B$38,Actuals!AP32)</f>
        <v>-27.94160664</v>
      </c>
      <c r="AP122" s="393">
        <f>IF(ISBLANK(Actuals!AQ32),-26.33*Escalation!$B$39,Actuals!AQ32)</f>
        <v>-27.94160664</v>
      </c>
      <c r="AQ122" s="393">
        <f>IF(ISBLANK(Actuals!AR32),-26.33*Escalation!$B$40,Actuals!AR32)</f>
        <v>-27.94160664</v>
      </c>
      <c r="AR122" s="393">
        <f>IF(ISBLANK(Actuals!AS32),-26.33*Escalation!$B$41,Actuals!AS32)</f>
        <v>-27.94160664</v>
      </c>
      <c r="AS122" s="393">
        <f>IF(ISBLANK(Actuals!AT32),-26.33*Escalation!$B$42,Actuals!AT32)</f>
        <v>-27.94160664</v>
      </c>
      <c r="AT122" s="393">
        <f>IF(ISBLANK(Actuals!AU32),-26.33*Escalation!$B$43,Actuals!AU32)</f>
        <v>-27.94160664</v>
      </c>
      <c r="AU122" s="393">
        <f>IF(ISBLANK(Actuals!AV32),-26.33*Escalation!$B$44,Actuals!AV32)</f>
        <v>-27.94160664</v>
      </c>
      <c r="AV122" s="393">
        <f>IF(ISBLANK(Actuals!AW32),-26.33*Escalation!$B$45,Actuals!AW32)</f>
        <v>-27.94160664</v>
      </c>
      <c r="AW122" s="393">
        <f>IF(ISBLANK(Actuals!AX32),-26.33*Escalation!$B$46,Actuals!AX32)</f>
        <v>-27.94160664</v>
      </c>
      <c r="AX122" s="393">
        <f>IF(ISBLANK(Actuals!AY32),-26.33*Escalation!$B$47,Actuals!AY32)</f>
        <v>-27.94160664</v>
      </c>
      <c r="AY122" s="393">
        <f>IF(ISBLANK(Actuals!AZ32),-26.33*Escalation!$B$48,Actuals!AZ32)</f>
        <v>-27.94160664</v>
      </c>
      <c r="AZ122" s="393">
        <f>IF(ISBLANK(Actuals!BA32),-26.33*Escalation!$B$49,Actuals!BA32)</f>
        <v>-27.94160664</v>
      </c>
      <c r="BA122" s="393">
        <f>IF(ISBLANK(Actuals!BB32),-26.33*Escalation!$B$50,Actuals!BB32)</f>
        <v>-28.5004387728</v>
      </c>
      <c r="BB122" s="393">
        <f>IF(ISBLANK(Actuals!BC32),-26.33*Escalation!$B$51,Actuals!BC32)</f>
        <v>-28.5004387728</v>
      </c>
      <c r="BC122" s="393">
        <f>IF(ISBLANK(Actuals!BD32),-26.33*Escalation!$B$52,Actuals!BD32)</f>
        <v>-28.5004387728</v>
      </c>
      <c r="BD122" s="393">
        <f>IF(ISBLANK(Actuals!BE32),-26.33*Escalation!$B$53,Actuals!BE32)</f>
        <v>-28.5004387728</v>
      </c>
      <c r="BE122" s="393">
        <f>IF(ISBLANK(Actuals!BF32),-26.33*Escalation!$B$54,Actuals!BF32)</f>
        <v>-28.5004387728</v>
      </c>
      <c r="BF122" s="393">
        <f>IF(ISBLANK(Actuals!BG32),-26.33*Escalation!$B$55,Actuals!BG32)</f>
        <v>-28.5004387728</v>
      </c>
      <c r="BG122" s="393">
        <f>IF(ISBLANK(Actuals!BH32),-26.33*Escalation!$B$56,Actuals!BH32)</f>
        <v>-28.5004387728</v>
      </c>
      <c r="BH122" s="393">
        <f>IF(ISBLANK(Actuals!BI32),-26.33*Escalation!$B$57,Actuals!BI32)</f>
        <v>-28.5004387728</v>
      </c>
      <c r="BI122" s="393">
        <f>IF(ISBLANK(Actuals!BJ32),-26.33*Escalation!$B$58,Actuals!BJ32)</f>
        <v>-28.5004387728</v>
      </c>
      <c r="BJ122" s="393">
        <f>IF(ISBLANK(Actuals!BK32),-26.33*Escalation!$B$59,Actuals!BK32)</f>
        <v>-28.5004387728</v>
      </c>
      <c r="BK122" s="393">
        <f>IF(ISBLANK(Actuals!BL32),-26.33*Escalation!$B$60,Actuals!BL32)</f>
        <v>-28.5004387728</v>
      </c>
      <c r="BL122" s="393">
        <f>IF(ISBLANK(Actuals!BM32),-26.33*Escalation!$B$61,Actuals!BM32)</f>
        <v>-28.5004387728</v>
      </c>
      <c r="BM122" s="393">
        <f>IF(ISBLANK(Actuals!BN32),-26.33*Escalation!$B$62,Actuals!BN32)</f>
        <v>-29.070447548256</v>
      </c>
      <c r="BN122" s="393">
        <f>IF(ISBLANK(Actuals!BO32),-26.33*Escalation!$B$63,Actuals!BO32)</f>
        <v>-29.070447548256</v>
      </c>
      <c r="BO122" s="393">
        <f>IF(ISBLANK(Actuals!BP32),-26.33*Escalation!$B$64,Actuals!BP32)</f>
        <v>-29.070447548256</v>
      </c>
      <c r="BP122" s="393">
        <f>IF(ISBLANK(Actuals!BQ32),-26.33*Escalation!$B$65,Actuals!BQ32)</f>
        <v>-29.070447548256</v>
      </c>
      <c r="BQ122" s="393">
        <f>IF(ISBLANK(Actuals!BR32),-26.33*Escalation!$B$66,Actuals!BR32)</f>
        <v>-29.070447548256</v>
      </c>
      <c r="BR122" s="393">
        <f>IF(ISBLANK(Actuals!BS32),-26.33*Escalation!$B$67,Actuals!BS32)</f>
        <v>-29.070447548256</v>
      </c>
      <c r="BS122" s="393">
        <f>IF(ISBLANK(Actuals!BT32),-26.33*Escalation!$B$68,Actuals!BT32)</f>
        <v>-29.070447548256</v>
      </c>
      <c r="BT122" s="393">
        <f>IF(ISBLANK(Actuals!BU32),-26.33*Escalation!$B$69,Actuals!BU32)</f>
        <v>-29.070447548256</v>
      </c>
      <c r="BU122" s="393">
        <f>IF(ISBLANK(Actuals!BV32),-26.33*Escalation!$B$70,Actuals!BV32)</f>
        <v>-29.070447548256</v>
      </c>
      <c r="BV122" s="393">
        <f>IF(ISBLANK(Actuals!BW32),-26.33*Escalation!$B$71,Actuals!BW32)</f>
        <v>-29.070447548256</v>
      </c>
      <c r="BW122" s="393">
        <f>IF(ISBLANK(Actuals!BX32),-26.33*Escalation!$B$72,Actuals!BX32)</f>
        <v>-29.070447548256</v>
      </c>
      <c r="BX122" s="393">
        <f>IF(ISBLANK(Actuals!BY32),-26.33*Escalation!$B$73,Actuals!BY32)</f>
        <v>-29.070447548256</v>
      </c>
      <c r="BY122" s="393">
        <f>IF(ISBLANK(Actuals!BZ32),-26.33*Escalation!$B$74,Actuals!BZ32)</f>
        <v>-29.6518564992211</v>
      </c>
      <c r="BZ122" s="393">
        <f>IF(ISBLANK(Actuals!CA32),-26.33*Escalation!$B$75,Actuals!CA32)</f>
        <v>-29.6518564992211</v>
      </c>
      <c r="CA122" s="393">
        <f>IF(ISBLANK(Actuals!CB32),-26.33*Escalation!$B$76,Actuals!CB32)</f>
        <v>-29.6518564992211</v>
      </c>
      <c r="CB122" s="393">
        <f>IF(ISBLANK(Actuals!CC32),-26.33*Escalation!$B$77,Actuals!CC32)</f>
        <v>-29.6518564992211</v>
      </c>
      <c r="CC122" s="393">
        <f>IF(ISBLANK(Actuals!CD32),-26.33*Escalation!$B$78,Actuals!CD32)</f>
        <v>-29.6518564992211</v>
      </c>
      <c r="CD122" s="393">
        <f>IF(ISBLANK(Actuals!CE32),-26.33*Escalation!$B$79,Actuals!CE32)</f>
        <v>-29.6518564992211</v>
      </c>
      <c r="CE122" s="393">
        <f>IF(ISBLANK(Actuals!CF32),-26.33*Escalation!$B$80,Actuals!CF32)</f>
        <v>-29.6518564992211</v>
      </c>
      <c r="CF122" s="393">
        <f>IF(ISBLANK(Actuals!CG32),-26.33*Escalation!$B$81,Actuals!CG32)</f>
        <v>-29.6518564992211</v>
      </c>
      <c r="CG122" s="393">
        <f>IF(ISBLANK(Actuals!CH32),-26.33*Escalation!$B$82,Actuals!CH32)</f>
        <v>-29.6518564992211</v>
      </c>
      <c r="CH122" s="393">
        <f>IF(ISBLANK(Actuals!CI32),-26.33*Escalation!$B$83,Actuals!CI32)</f>
        <v>-29.6518564992211</v>
      </c>
      <c r="CI122" s="393">
        <f>IF(ISBLANK(Actuals!CJ32),-26.33*Escalation!$B$84,Actuals!CJ32)</f>
        <v>-29.6518564992211</v>
      </c>
      <c r="CJ122" s="393">
        <f>IF(ISBLANK(Actuals!CK32),-26.33*Escalation!$B$85,Actuals!CK32)</f>
        <v>-29.6518564992211</v>
      </c>
      <c r="CK122" s="393">
        <f>IF(ISBLANK(Actuals!CL32),-26.33*Escalation!$B$86,Actuals!CL32)</f>
        <v>-30.2448936292055</v>
      </c>
      <c r="CL122" s="393">
        <f>IF(ISBLANK(Actuals!CM32),-26.33*Escalation!$B$87,Actuals!CM32)</f>
        <v>-30.2448936292055</v>
      </c>
      <c r="CM122" s="393">
        <f>IF(ISBLANK(Actuals!CN32),-26.33*Escalation!$B$88,Actuals!CN32)</f>
        <v>-30.2448936292055</v>
      </c>
      <c r="CN122" s="393">
        <f>IF(ISBLANK(Actuals!CO32),-26.33*Escalation!$B$89,Actuals!CO32)</f>
        <v>-30.2448936292055</v>
      </c>
      <c r="CO122" s="393">
        <f>IF(ISBLANK(Actuals!CP32),-26.33*Escalation!$B$90,Actuals!CP32)</f>
        <v>-30.2448936292055</v>
      </c>
      <c r="CP122" s="393">
        <f>IF(ISBLANK(Actuals!CQ32),-26.33*Escalation!$B$91,Actuals!CQ32)</f>
        <v>-30.2448936292055</v>
      </c>
      <c r="CQ122" s="393">
        <f>IF(ISBLANK(Actuals!CR32),-26.33*Escalation!$B$92,Actuals!CR32)</f>
        <v>-30.2448936292055</v>
      </c>
      <c r="CR122" s="393">
        <f>IF(ISBLANK(Actuals!CS32),-26.33*Escalation!$B$93,Actuals!CS32)</f>
        <v>-30.2448936292055</v>
      </c>
      <c r="CS122" s="393">
        <f>IF(ISBLANK(Actuals!CT32),-26.33*Escalation!$B$94,Actuals!CT32)</f>
        <v>-30.2448936292055</v>
      </c>
      <c r="CT122" s="393">
        <f>IF(ISBLANK(Actuals!CU32),-26.33*Escalation!$B$95,Actuals!CU32)</f>
        <v>-30.2448936292055</v>
      </c>
      <c r="CU122" s="393">
        <f>IF(ISBLANK(Actuals!CV32),-26.33*Escalation!$B$96,Actuals!CV32)</f>
        <v>-30.2448936292055</v>
      </c>
      <c r="CV122" s="393">
        <f>IF(ISBLANK(Actuals!CW32),-26.33*Escalation!$B$97,Actuals!CW32)</f>
        <v>-30.2448936292055</v>
      </c>
      <c r="CW122" s="393">
        <f>IF(ISBLANK(Actuals!CX32),-26.33*Escalation!$B$98,Actuals!CX32)</f>
        <v>-30.8497915017897</v>
      </c>
      <c r="CX122" s="393">
        <f>IF(ISBLANK(Actuals!CY32),-26.33*Escalation!$B$99,Actuals!CY32)</f>
        <v>-30.8497915017897</v>
      </c>
      <c r="CY122" s="393">
        <f>IF(ISBLANK(Actuals!CZ32),-26.33*Escalation!$B$100,Actuals!CZ32)</f>
        <v>-30.8497915017897</v>
      </c>
      <c r="CZ122" s="393">
        <f>IF(ISBLANK(Actuals!DA32),-26.33*Escalation!$B$101,Actuals!DA32)</f>
        <v>-30.8497915017897</v>
      </c>
      <c r="DA122" s="393">
        <f>IF(ISBLANK(Actuals!DB32),-26.33*Escalation!$B$102,Actuals!DB32)</f>
        <v>-30.8497915017897</v>
      </c>
      <c r="DB122" s="393">
        <f>IF(ISBLANK(Actuals!DC32),-26.33*Escalation!$B$103,Actuals!DC32)</f>
        <v>-30.8497915017897</v>
      </c>
      <c r="DC122" s="393">
        <f>IF(ISBLANK(Actuals!DD32),-26.33*Escalation!$B$104,Actuals!DD32)</f>
        <v>-30.8497915017897</v>
      </c>
      <c r="DD122" s="393">
        <f>IF(ISBLANK(Actuals!DE32),-26.33*Escalation!$B$105,Actuals!DE32)</f>
        <v>-30.8497915017897</v>
      </c>
      <c r="DE122" s="393">
        <f>IF(ISBLANK(Actuals!DF32),-26.33*Escalation!$B$106,Actuals!DF32)</f>
        <v>-30.8497915017897</v>
      </c>
    </row>
    <row r="123" ht="15" customFormat="1" customHeight="1" s="381">
      <c r="A123" s="398" t="inlineStr">
        <is>
          <t>5200-1053 IT Software and Subscriptions</t>
        </is>
      </c>
      <c r="B123" s="393">
        <f>IF(ISBLANK(Actuals!C33),0,Actuals!C33)</f>
        <v>-3405.64</v>
      </c>
      <c r="C123" s="393">
        <f>IF(ISBLANK(Actuals!D33),0,Actuals!D33)</f>
        <v>-5015.38</v>
      </c>
      <c r="D123" s="393">
        <f>IF(ISBLANK(Actuals!E33),0,Actuals!E33)</f>
        <v>-7481.39</v>
      </c>
      <c r="E123" s="393">
        <f>IF(ISBLANK(Actuals!F33),-5300.8*Escalation!$B$2,Actuals!F33)</f>
        <v>-5111.12</v>
      </c>
      <c r="F123" s="393">
        <f>IF(ISBLANK(Actuals!G33),-5300.8*Escalation!$B$3,Actuals!G33)</f>
        <v>-4038.48</v>
      </c>
      <c r="G123" s="393">
        <f>IF(ISBLANK(Actuals!H33),-5300.8*Escalation!$B$4,Actuals!H33)</f>
        <v>-6114.98</v>
      </c>
      <c r="H123" s="393">
        <f>IF(ISBLANK(Actuals!I33),-5300.8*Escalation!$B$5,Actuals!I33)</f>
        <v>-5300.8</v>
      </c>
      <c r="I123" s="393">
        <f>IF(ISBLANK(Actuals!J33),-5300.8*Escalation!$B$6,Actuals!J33)</f>
        <v>-5300.8</v>
      </c>
      <c r="J123" s="393">
        <f>IF(ISBLANK(Actuals!K33),-5300.8*Escalation!$B$7,Actuals!K33)</f>
        <v>-5300.8</v>
      </c>
      <c r="K123" s="393">
        <f>IF(ISBLANK(Actuals!L33),-5300.8*Escalation!$B$8,Actuals!L33)</f>
        <v>-5300.8</v>
      </c>
      <c r="L123" s="393">
        <f>IF(ISBLANK(Actuals!M33),-5300.8*Escalation!$B$9,Actuals!M33)</f>
        <v>-5300.8</v>
      </c>
      <c r="M123" s="393">
        <f>IF(ISBLANK(Actuals!N33),-5300.8*Escalation!$B$10,Actuals!N33)</f>
        <v>-5300.8</v>
      </c>
      <c r="N123" s="393">
        <f>IF(ISBLANK(Actuals!O33),-5300.8*Escalation!$B$11,Actuals!O33)</f>
        <v>-5300.8</v>
      </c>
      <c r="O123" s="393">
        <f>IF(ISBLANK(Actuals!P33),-5300.8*Escalation!$B$12,Actuals!P33)</f>
        <v>-5300.8</v>
      </c>
      <c r="P123" s="393">
        <f>IF(ISBLANK(Actuals!Q33),-5300.8*Escalation!$B$13,Actuals!Q33)</f>
        <v>-5300.8</v>
      </c>
      <c r="Q123" s="393">
        <f>IF(ISBLANK(Actuals!R33),-5300.8*Escalation!$B$14,Actuals!R33)</f>
        <v>-5406.816</v>
      </c>
      <c r="R123" s="393">
        <f>IF(ISBLANK(Actuals!S33),-5300.8*Escalation!$B$15,Actuals!S33)</f>
        <v>-5406.816</v>
      </c>
      <c r="S123" s="393">
        <f>IF(ISBLANK(Actuals!T33),-5300.8*Escalation!$B$16,Actuals!T33)</f>
        <v>-5406.816</v>
      </c>
      <c r="T123" s="393">
        <f>IF(ISBLANK(Actuals!U33),-5300.8*Escalation!$B$17,Actuals!U33)</f>
        <v>-5406.816</v>
      </c>
      <c r="U123" s="393">
        <f>IF(ISBLANK(Actuals!V33),-5300.8*Escalation!$B$18,Actuals!V33)</f>
        <v>-5406.816</v>
      </c>
      <c r="V123" s="393">
        <f>IF(ISBLANK(Actuals!W33),-5300.8*Escalation!$B$19,Actuals!W33)</f>
        <v>-5406.816</v>
      </c>
      <c r="W123" s="393">
        <f>IF(ISBLANK(Actuals!X33),-5300.8*Escalation!$B$20,Actuals!X33)</f>
        <v>-5406.816</v>
      </c>
      <c r="X123" s="393">
        <f>IF(ISBLANK(Actuals!Y33),-5300.8*Escalation!$B$21,Actuals!Y33)</f>
        <v>-5406.816</v>
      </c>
      <c r="Y123" s="393">
        <f>IF(ISBLANK(Actuals!Z33),-5300.8*Escalation!$B$22,Actuals!Z33)</f>
        <v>-5406.816</v>
      </c>
      <c r="Z123" s="393">
        <f>IF(ISBLANK(Actuals!AA33),-5300.8*Escalation!$B$23,Actuals!AA33)</f>
        <v>-5406.816</v>
      </c>
      <c r="AA123" s="393">
        <f>IF(ISBLANK(Actuals!AB33),-5300.8*Escalation!$B$24,Actuals!AB33)</f>
        <v>-5406.816</v>
      </c>
      <c r="AB123" s="393">
        <f>IF(ISBLANK(Actuals!AC33),-5300.8*Escalation!$B$25,Actuals!AC33)</f>
        <v>-5406.816</v>
      </c>
      <c r="AC123" s="393">
        <f>IF(ISBLANK(Actuals!AD33),-5300.8*Escalation!$B$26,Actuals!AD33)</f>
        <v>-5514.95232</v>
      </c>
      <c r="AD123" s="393">
        <f>IF(ISBLANK(Actuals!AE33),-5300.8*Escalation!$B$27,Actuals!AE33)</f>
        <v>-5514.95232</v>
      </c>
      <c r="AE123" s="393">
        <f>IF(ISBLANK(Actuals!AF33),-5300.8*Escalation!$B$28,Actuals!AF33)</f>
        <v>-5514.95232</v>
      </c>
      <c r="AF123" s="393">
        <f>IF(ISBLANK(Actuals!AG33),-5300.8*Escalation!$B$29,Actuals!AG33)</f>
        <v>-5514.95232</v>
      </c>
      <c r="AG123" s="393">
        <f>IF(ISBLANK(Actuals!AH33),-5300.8*Escalation!$B$30,Actuals!AH33)</f>
        <v>-5514.95232</v>
      </c>
      <c r="AH123" s="393">
        <f>IF(ISBLANK(Actuals!AI33),-5300.8*Escalation!$B$31,Actuals!AI33)</f>
        <v>-5514.95232</v>
      </c>
      <c r="AI123" s="393">
        <f>IF(ISBLANK(Actuals!AJ33),-5300.8*Escalation!$B$32,Actuals!AJ33)</f>
        <v>-5514.95232</v>
      </c>
      <c r="AJ123" s="393">
        <f>IF(ISBLANK(Actuals!AK33),-5300.8*Escalation!$B$33,Actuals!AK33)</f>
        <v>-5514.95232</v>
      </c>
      <c r="AK123" s="393">
        <f>IF(ISBLANK(Actuals!AL33),-5300.8*Escalation!$B$34,Actuals!AL33)</f>
        <v>-5514.95232</v>
      </c>
      <c r="AL123" s="393">
        <f>IF(ISBLANK(Actuals!AM33),-5300.8*Escalation!$B$35,Actuals!AM33)</f>
        <v>-5514.95232</v>
      </c>
      <c r="AM123" s="393">
        <f>IF(ISBLANK(Actuals!AN33),-5300.8*Escalation!$B$36,Actuals!AN33)</f>
        <v>-5514.95232</v>
      </c>
      <c r="AN123" s="393">
        <f>IF(ISBLANK(Actuals!AO33),-5300.8*Escalation!$B$37,Actuals!AO33)</f>
        <v>-5514.95232</v>
      </c>
      <c r="AO123" s="393">
        <f>IF(ISBLANK(Actuals!AP33),-5300.8*Escalation!$B$38,Actuals!AP33)</f>
        <v>-5625.2513664</v>
      </c>
      <c r="AP123" s="393">
        <f>IF(ISBLANK(Actuals!AQ33),-5300.8*Escalation!$B$39,Actuals!AQ33)</f>
        <v>-5625.2513664</v>
      </c>
      <c r="AQ123" s="393">
        <f>IF(ISBLANK(Actuals!AR33),-5300.8*Escalation!$B$40,Actuals!AR33)</f>
        <v>-5625.2513664</v>
      </c>
      <c r="AR123" s="393">
        <f>IF(ISBLANK(Actuals!AS33),-5300.8*Escalation!$B$41,Actuals!AS33)</f>
        <v>-5625.2513664</v>
      </c>
      <c r="AS123" s="393">
        <f>IF(ISBLANK(Actuals!AT33),-5300.8*Escalation!$B$42,Actuals!AT33)</f>
        <v>-5625.2513664</v>
      </c>
      <c r="AT123" s="393">
        <f>IF(ISBLANK(Actuals!AU33),-5300.8*Escalation!$B$43,Actuals!AU33)</f>
        <v>-5625.2513664</v>
      </c>
      <c r="AU123" s="393">
        <f>IF(ISBLANK(Actuals!AV33),-5300.8*Escalation!$B$44,Actuals!AV33)</f>
        <v>-5625.2513664</v>
      </c>
      <c r="AV123" s="393">
        <f>IF(ISBLANK(Actuals!AW33),-5300.8*Escalation!$B$45,Actuals!AW33)</f>
        <v>-5625.2513664</v>
      </c>
      <c r="AW123" s="393">
        <f>IF(ISBLANK(Actuals!AX33),-5300.8*Escalation!$B$46,Actuals!AX33)</f>
        <v>-5625.2513664</v>
      </c>
      <c r="AX123" s="393">
        <f>IF(ISBLANK(Actuals!AY33),-5300.8*Escalation!$B$47,Actuals!AY33)</f>
        <v>-5625.2513664</v>
      </c>
      <c r="AY123" s="393">
        <f>IF(ISBLANK(Actuals!AZ33),-5300.8*Escalation!$B$48,Actuals!AZ33)</f>
        <v>-5625.2513664</v>
      </c>
      <c r="AZ123" s="393">
        <f>IF(ISBLANK(Actuals!BA33),-5300.8*Escalation!$B$49,Actuals!BA33)</f>
        <v>-5625.2513664</v>
      </c>
      <c r="BA123" s="393">
        <f>IF(ISBLANK(Actuals!BB33),-5300.8*Escalation!$B$50,Actuals!BB33)</f>
        <v>-5737.756393728</v>
      </c>
      <c r="BB123" s="393">
        <f>IF(ISBLANK(Actuals!BC33),-5300.8*Escalation!$B$51,Actuals!BC33)</f>
        <v>-5737.756393728</v>
      </c>
      <c r="BC123" s="393">
        <f>IF(ISBLANK(Actuals!BD33),-5300.8*Escalation!$B$52,Actuals!BD33)</f>
        <v>-5737.756393728</v>
      </c>
      <c r="BD123" s="393">
        <f>IF(ISBLANK(Actuals!BE33),-5300.8*Escalation!$B$53,Actuals!BE33)</f>
        <v>-5737.756393728</v>
      </c>
      <c r="BE123" s="393">
        <f>IF(ISBLANK(Actuals!BF33),-5300.8*Escalation!$B$54,Actuals!BF33)</f>
        <v>-5737.756393728</v>
      </c>
      <c r="BF123" s="393">
        <f>IF(ISBLANK(Actuals!BG33),-5300.8*Escalation!$B$55,Actuals!BG33)</f>
        <v>-5737.756393728</v>
      </c>
      <c r="BG123" s="393">
        <f>IF(ISBLANK(Actuals!BH33),-5300.8*Escalation!$B$56,Actuals!BH33)</f>
        <v>-5737.756393728</v>
      </c>
      <c r="BH123" s="393">
        <f>IF(ISBLANK(Actuals!BI33),-5300.8*Escalation!$B$57,Actuals!BI33)</f>
        <v>-5737.756393728</v>
      </c>
      <c r="BI123" s="393">
        <f>IF(ISBLANK(Actuals!BJ33),-5300.8*Escalation!$B$58,Actuals!BJ33)</f>
        <v>-5737.756393728</v>
      </c>
      <c r="BJ123" s="393">
        <f>IF(ISBLANK(Actuals!BK33),-5300.8*Escalation!$B$59,Actuals!BK33)</f>
        <v>-5737.756393728</v>
      </c>
      <c r="BK123" s="393">
        <f>IF(ISBLANK(Actuals!BL33),-5300.8*Escalation!$B$60,Actuals!BL33)</f>
        <v>-5737.756393728</v>
      </c>
      <c r="BL123" s="393">
        <f>IF(ISBLANK(Actuals!BM33),-5300.8*Escalation!$B$61,Actuals!BM33)</f>
        <v>-5737.756393728</v>
      </c>
      <c r="BM123" s="393">
        <f>IF(ISBLANK(Actuals!BN33),-5300.8*Escalation!$B$62,Actuals!BN33)</f>
        <v>-5852.51152160256</v>
      </c>
      <c r="BN123" s="393">
        <f>IF(ISBLANK(Actuals!BO33),-5300.8*Escalation!$B$63,Actuals!BO33)</f>
        <v>-5852.51152160256</v>
      </c>
      <c r="BO123" s="393">
        <f>IF(ISBLANK(Actuals!BP33),-5300.8*Escalation!$B$64,Actuals!BP33)</f>
        <v>-5852.51152160256</v>
      </c>
      <c r="BP123" s="393">
        <f>IF(ISBLANK(Actuals!BQ33),-5300.8*Escalation!$B$65,Actuals!BQ33)</f>
        <v>-5852.51152160256</v>
      </c>
      <c r="BQ123" s="393">
        <f>IF(ISBLANK(Actuals!BR33),-5300.8*Escalation!$B$66,Actuals!BR33)</f>
        <v>-5852.51152160256</v>
      </c>
      <c r="BR123" s="393">
        <f>IF(ISBLANK(Actuals!BS33),-5300.8*Escalation!$B$67,Actuals!BS33)</f>
        <v>-5852.51152160256</v>
      </c>
      <c r="BS123" s="393">
        <f>IF(ISBLANK(Actuals!BT33),-5300.8*Escalation!$B$68,Actuals!BT33)</f>
        <v>-5852.51152160256</v>
      </c>
      <c r="BT123" s="393">
        <f>IF(ISBLANK(Actuals!BU33),-5300.8*Escalation!$B$69,Actuals!BU33)</f>
        <v>-5852.51152160256</v>
      </c>
      <c r="BU123" s="393">
        <f>IF(ISBLANK(Actuals!BV33),-5300.8*Escalation!$B$70,Actuals!BV33)</f>
        <v>-5852.51152160256</v>
      </c>
      <c r="BV123" s="393">
        <f>IF(ISBLANK(Actuals!BW33),-5300.8*Escalation!$B$71,Actuals!BW33)</f>
        <v>-5852.51152160256</v>
      </c>
      <c r="BW123" s="393">
        <f>IF(ISBLANK(Actuals!BX33),-5300.8*Escalation!$B$72,Actuals!BX33)</f>
        <v>-5852.51152160256</v>
      </c>
      <c r="BX123" s="393">
        <f>IF(ISBLANK(Actuals!BY33),-5300.8*Escalation!$B$73,Actuals!BY33)</f>
        <v>-5852.51152160256</v>
      </c>
      <c r="BY123" s="393">
        <f>IF(ISBLANK(Actuals!BZ33),-5300.8*Escalation!$B$74,Actuals!BZ33)</f>
        <v>-5969.56175203461</v>
      </c>
      <c r="BZ123" s="393">
        <f>IF(ISBLANK(Actuals!CA33),-5300.8*Escalation!$B$75,Actuals!CA33)</f>
        <v>-5969.56175203461</v>
      </c>
      <c r="CA123" s="393">
        <f>IF(ISBLANK(Actuals!CB33),-5300.8*Escalation!$B$76,Actuals!CB33)</f>
        <v>-5969.56175203461</v>
      </c>
      <c r="CB123" s="393">
        <f>IF(ISBLANK(Actuals!CC33),-5300.8*Escalation!$B$77,Actuals!CC33)</f>
        <v>-5969.56175203461</v>
      </c>
      <c r="CC123" s="393">
        <f>IF(ISBLANK(Actuals!CD33),-5300.8*Escalation!$B$78,Actuals!CD33)</f>
        <v>-5969.56175203461</v>
      </c>
      <c r="CD123" s="393">
        <f>IF(ISBLANK(Actuals!CE33),-5300.8*Escalation!$B$79,Actuals!CE33)</f>
        <v>-5969.56175203461</v>
      </c>
      <c r="CE123" s="393">
        <f>IF(ISBLANK(Actuals!CF33),-5300.8*Escalation!$B$80,Actuals!CF33)</f>
        <v>-5969.56175203461</v>
      </c>
      <c r="CF123" s="393">
        <f>IF(ISBLANK(Actuals!CG33),-5300.8*Escalation!$B$81,Actuals!CG33)</f>
        <v>-5969.56175203461</v>
      </c>
      <c r="CG123" s="393">
        <f>IF(ISBLANK(Actuals!CH33),-5300.8*Escalation!$B$82,Actuals!CH33)</f>
        <v>-5969.56175203461</v>
      </c>
      <c r="CH123" s="393">
        <f>IF(ISBLANK(Actuals!CI33),-5300.8*Escalation!$B$83,Actuals!CI33)</f>
        <v>-5969.56175203461</v>
      </c>
      <c r="CI123" s="393">
        <f>IF(ISBLANK(Actuals!CJ33),-5300.8*Escalation!$B$84,Actuals!CJ33)</f>
        <v>-5969.56175203461</v>
      </c>
      <c r="CJ123" s="393">
        <f>IF(ISBLANK(Actuals!CK33),-5300.8*Escalation!$B$85,Actuals!CK33)</f>
        <v>-5969.56175203461</v>
      </c>
      <c r="CK123" s="393">
        <f>IF(ISBLANK(Actuals!CL33),-5300.8*Escalation!$B$86,Actuals!CL33)</f>
        <v>-6088.9529870753</v>
      </c>
      <c r="CL123" s="393">
        <f>IF(ISBLANK(Actuals!CM33),-5300.8*Escalation!$B$87,Actuals!CM33)</f>
        <v>-6088.9529870753</v>
      </c>
      <c r="CM123" s="393">
        <f>IF(ISBLANK(Actuals!CN33),-5300.8*Escalation!$B$88,Actuals!CN33)</f>
        <v>-6088.9529870753</v>
      </c>
      <c r="CN123" s="393">
        <f>IF(ISBLANK(Actuals!CO33),-5300.8*Escalation!$B$89,Actuals!CO33)</f>
        <v>-6088.9529870753</v>
      </c>
      <c r="CO123" s="393">
        <f>IF(ISBLANK(Actuals!CP33),-5300.8*Escalation!$B$90,Actuals!CP33)</f>
        <v>-6088.9529870753</v>
      </c>
      <c r="CP123" s="393">
        <f>IF(ISBLANK(Actuals!CQ33),-5300.8*Escalation!$B$91,Actuals!CQ33)</f>
        <v>-6088.9529870753</v>
      </c>
      <c r="CQ123" s="393">
        <f>IF(ISBLANK(Actuals!CR33),-5300.8*Escalation!$B$92,Actuals!CR33)</f>
        <v>-6088.9529870753</v>
      </c>
      <c r="CR123" s="393">
        <f>IF(ISBLANK(Actuals!CS33),-5300.8*Escalation!$B$93,Actuals!CS33)</f>
        <v>-6088.9529870753</v>
      </c>
      <c r="CS123" s="393">
        <f>IF(ISBLANK(Actuals!CT33),-5300.8*Escalation!$B$94,Actuals!CT33)</f>
        <v>-6088.9529870753</v>
      </c>
      <c r="CT123" s="393">
        <f>IF(ISBLANK(Actuals!CU33),-5300.8*Escalation!$B$95,Actuals!CU33)</f>
        <v>-6088.9529870753</v>
      </c>
      <c r="CU123" s="393">
        <f>IF(ISBLANK(Actuals!CV33),-5300.8*Escalation!$B$96,Actuals!CV33)</f>
        <v>-6088.9529870753</v>
      </c>
      <c r="CV123" s="393">
        <f>IF(ISBLANK(Actuals!CW33),-5300.8*Escalation!$B$97,Actuals!CW33)</f>
        <v>-6088.9529870753</v>
      </c>
      <c r="CW123" s="393">
        <f>IF(ISBLANK(Actuals!CX33),-5300.8*Escalation!$B$98,Actuals!CX33)</f>
        <v>-6210.73204681681</v>
      </c>
      <c r="CX123" s="393">
        <f>IF(ISBLANK(Actuals!CY33),-5300.8*Escalation!$B$99,Actuals!CY33)</f>
        <v>-6210.73204681681</v>
      </c>
      <c r="CY123" s="393">
        <f>IF(ISBLANK(Actuals!CZ33),-5300.8*Escalation!$B$100,Actuals!CZ33)</f>
        <v>-6210.73204681681</v>
      </c>
      <c r="CZ123" s="393">
        <f>IF(ISBLANK(Actuals!DA33),-5300.8*Escalation!$B$101,Actuals!DA33)</f>
        <v>-6210.73204681681</v>
      </c>
      <c r="DA123" s="393">
        <f>IF(ISBLANK(Actuals!DB33),-5300.8*Escalation!$B$102,Actuals!DB33)</f>
        <v>-6210.73204681681</v>
      </c>
      <c r="DB123" s="393">
        <f>IF(ISBLANK(Actuals!DC33),-5300.8*Escalation!$B$103,Actuals!DC33)</f>
        <v>-6210.73204681681</v>
      </c>
      <c r="DC123" s="393">
        <f>IF(ISBLANK(Actuals!DD33),-5300.8*Escalation!$B$104,Actuals!DD33)</f>
        <v>-6210.73204681681</v>
      </c>
      <c r="DD123" s="393">
        <f>IF(ISBLANK(Actuals!DE33),-5300.8*Escalation!$B$105,Actuals!DE33)</f>
        <v>-6210.73204681681</v>
      </c>
      <c r="DE123" s="393">
        <f>IF(ISBLANK(Actuals!DF33),-5300.8*Escalation!$B$106,Actuals!DF33)</f>
        <v>-6210.73204681681</v>
      </c>
    </row>
    <row r="124" ht="15" customFormat="1" customHeight="1" s="381">
      <c r="A124" s="398" t="inlineStr">
        <is>
          <t>5200-1054 Telephone Expenses</t>
        </is>
      </c>
      <c r="B124" s="393">
        <f>IF(ISBLANK(Actuals!C34),0,Actuals!C34)</f>
        <v>0</v>
      </c>
      <c r="C124" s="393">
        <f>IF(ISBLANK(Actuals!D34),0,Actuals!D34)</f>
        <v>-1766.48</v>
      </c>
      <c r="D124" s="393">
        <f>IF(ISBLANK(Actuals!E34),0,Actuals!E34)</f>
        <v>-441.62</v>
      </c>
      <c r="E124" s="393">
        <f>IF(ISBLANK(Actuals!F34),-736.03*Escalation!$B$2,Actuals!F34)</f>
        <v>-441.62</v>
      </c>
      <c r="F124" s="393">
        <f>IF(ISBLANK(Actuals!G34),-736.03*Escalation!$B$3,Actuals!G34)</f>
        <v>-578.62</v>
      </c>
      <c r="G124" s="393">
        <f>IF(ISBLANK(Actuals!H34),-736.03*Escalation!$B$4,Actuals!H34)</f>
        <v>-491.62</v>
      </c>
      <c r="H124" s="393">
        <f>IF(ISBLANK(Actuals!I34),-736.03*Escalation!$B$5,Actuals!I34)</f>
        <v>-736.03</v>
      </c>
      <c r="I124" s="393">
        <f>IF(ISBLANK(Actuals!J34),-736.03*Escalation!$B$6,Actuals!J34)</f>
        <v>-736.03</v>
      </c>
      <c r="J124" s="393">
        <f>IF(ISBLANK(Actuals!K34),-736.03*Escalation!$B$7,Actuals!K34)</f>
        <v>-736.03</v>
      </c>
      <c r="K124" s="393">
        <f>IF(ISBLANK(Actuals!L34),-736.03*Escalation!$B$8,Actuals!L34)</f>
        <v>-736.03</v>
      </c>
      <c r="L124" s="393">
        <f>IF(ISBLANK(Actuals!M34),-736.03*Escalation!$B$9,Actuals!M34)</f>
        <v>-736.03</v>
      </c>
      <c r="M124" s="393">
        <f>IF(ISBLANK(Actuals!N34),-736.03*Escalation!$B$10,Actuals!N34)</f>
        <v>-736.03</v>
      </c>
      <c r="N124" s="393">
        <f>IF(ISBLANK(Actuals!O34),-736.03*Escalation!$B$11,Actuals!O34)</f>
        <v>-736.03</v>
      </c>
      <c r="O124" s="393">
        <f>IF(ISBLANK(Actuals!P34),-736.03*Escalation!$B$12,Actuals!P34)</f>
        <v>-736.03</v>
      </c>
      <c r="P124" s="393">
        <f>IF(ISBLANK(Actuals!Q34),-736.03*Escalation!$B$13,Actuals!Q34)</f>
        <v>-736.03</v>
      </c>
      <c r="Q124" s="393">
        <f>IF(ISBLANK(Actuals!R34),-736.03*Escalation!$B$14,Actuals!R34)</f>
        <v>-750.7506</v>
      </c>
      <c r="R124" s="393">
        <f>IF(ISBLANK(Actuals!S34),-736.03*Escalation!$B$15,Actuals!S34)</f>
        <v>-750.7506</v>
      </c>
      <c r="S124" s="393">
        <f>IF(ISBLANK(Actuals!T34),-736.03*Escalation!$B$16,Actuals!T34)</f>
        <v>-750.7506</v>
      </c>
      <c r="T124" s="393">
        <f>IF(ISBLANK(Actuals!U34),-736.03*Escalation!$B$17,Actuals!U34)</f>
        <v>-750.7506</v>
      </c>
      <c r="U124" s="393">
        <f>IF(ISBLANK(Actuals!V34),-736.03*Escalation!$B$18,Actuals!V34)</f>
        <v>-750.7506</v>
      </c>
      <c r="V124" s="393">
        <f>IF(ISBLANK(Actuals!W34),-736.03*Escalation!$B$19,Actuals!W34)</f>
        <v>-750.7506</v>
      </c>
      <c r="W124" s="393">
        <f>IF(ISBLANK(Actuals!X34),-736.03*Escalation!$B$20,Actuals!X34)</f>
        <v>-750.7506</v>
      </c>
      <c r="X124" s="393">
        <f>IF(ISBLANK(Actuals!Y34),-736.03*Escalation!$B$21,Actuals!Y34)</f>
        <v>-750.7506</v>
      </c>
      <c r="Y124" s="393">
        <f>IF(ISBLANK(Actuals!Z34),-736.03*Escalation!$B$22,Actuals!Z34)</f>
        <v>-750.7506</v>
      </c>
      <c r="Z124" s="393">
        <f>IF(ISBLANK(Actuals!AA34),-736.03*Escalation!$B$23,Actuals!AA34)</f>
        <v>-750.7506</v>
      </c>
      <c r="AA124" s="393">
        <f>IF(ISBLANK(Actuals!AB34),-736.03*Escalation!$B$24,Actuals!AB34)</f>
        <v>-750.7506</v>
      </c>
      <c r="AB124" s="393">
        <f>IF(ISBLANK(Actuals!AC34),-736.03*Escalation!$B$25,Actuals!AC34)</f>
        <v>-750.7506</v>
      </c>
      <c r="AC124" s="393">
        <f>IF(ISBLANK(Actuals!AD34),-736.03*Escalation!$B$26,Actuals!AD34)</f>
        <v>-765.765612</v>
      </c>
      <c r="AD124" s="393">
        <f>IF(ISBLANK(Actuals!AE34),-736.03*Escalation!$B$27,Actuals!AE34)</f>
        <v>-765.765612</v>
      </c>
      <c r="AE124" s="393">
        <f>IF(ISBLANK(Actuals!AF34),-736.03*Escalation!$B$28,Actuals!AF34)</f>
        <v>-765.765612</v>
      </c>
      <c r="AF124" s="393">
        <f>IF(ISBLANK(Actuals!AG34),-736.03*Escalation!$B$29,Actuals!AG34)</f>
        <v>-765.765612</v>
      </c>
      <c r="AG124" s="393">
        <f>IF(ISBLANK(Actuals!AH34),-736.03*Escalation!$B$30,Actuals!AH34)</f>
        <v>-765.765612</v>
      </c>
      <c r="AH124" s="393">
        <f>IF(ISBLANK(Actuals!AI34),-736.03*Escalation!$B$31,Actuals!AI34)</f>
        <v>-765.765612</v>
      </c>
      <c r="AI124" s="393">
        <f>IF(ISBLANK(Actuals!AJ34),-736.03*Escalation!$B$32,Actuals!AJ34)</f>
        <v>-765.765612</v>
      </c>
      <c r="AJ124" s="393">
        <f>IF(ISBLANK(Actuals!AK34),-736.03*Escalation!$B$33,Actuals!AK34)</f>
        <v>-765.765612</v>
      </c>
      <c r="AK124" s="393">
        <f>IF(ISBLANK(Actuals!AL34),-736.03*Escalation!$B$34,Actuals!AL34)</f>
        <v>-765.765612</v>
      </c>
      <c r="AL124" s="393">
        <f>IF(ISBLANK(Actuals!AM34),-736.03*Escalation!$B$35,Actuals!AM34)</f>
        <v>-765.765612</v>
      </c>
      <c r="AM124" s="393">
        <f>IF(ISBLANK(Actuals!AN34),-736.03*Escalation!$B$36,Actuals!AN34)</f>
        <v>-765.765612</v>
      </c>
      <c r="AN124" s="393">
        <f>IF(ISBLANK(Actuals!AO34),-736.03*Escalation!$B$37,Actuals!AO34)</f>
        <v>-765.765612</v>
      </c>
      <c r="AO124" s="393">
        <f>IF(ISBLANK(Actuals!AP34),-736.03*Escalation!$B$38,Actuals!AP34)</f>
        <v>-781.08092424</v>
      </c>
      <c r="AP124" s="393">
        <f>IF(ISBLANK(Actuals!AQ34),-736.03*Escalation!$B$39,Actuals!AQ34)</f>
        <v>-781.08092424</v>
      </c>
      <c r="AQ124" s="393">
        <f>IF(ISBLANK(Actuals!AR34),-736.03*Escalation!$B$40,Actuals!AR34)</f>
        <v>-781.08092424</v>
      </c>
      <c r="AR124" s="393">
        <f>IF(ISBLANK(Actuals!AS34),-736.03*Escalation!$B$41,Actuals!AS34)</f>
        <v>-781.08092424</v>
      </c>
      <c r="AS124" s="393">
        <f>IF(ISBLANK(Actuals!AT34),-736.03*Escalation!$B$42,Actuals!AT34)</f>
        <v>-781.08092424</v>
      </c>
      <c r="AT124" s="393">
        <f>IF(ISBLANK(Actuals!AU34),-736.03*Escalation!$B$43,Actuals!AU34)</f>
        <v>-781.08092424</v>
      </c>
      <c r="AU124" s="393">
        <f>IF(ISBLANK(Actuals!AV34),-736.03*Escalation!$B$44,Actuals!AV34)</f>
        <v>-781.08092424</v>
      </c>
      <c r="AV124" s="393">
        <f>IF(ISBLANK(Actuals!AW34),-736.03*Escalation!$B$45,Actuals!AW34)</f>
        <v>-781.08092424</v>
      </c>
      <c r="AW124" s="393">
        <f>IF(ISBLANK(Actuals!AX34),-736.03*Escalation!$B$46,Actuals!AX34)</f>
        <v>-781.08092424</v>
      </c>
      <c r="AX124" s="393">
        <f>IF(ISBLANK(Actuals!AY34),-736.03*Escalation!$B$47,Actuals!AY34)</f>
        <v>-781.08092424</v>
      </c>
      <c r="AY124" s="393">
        <f>IF(ISBLANK(Actuals!AZ34),-736.03*Escalation!$B$48,Actuals!AZ34)</f>
        <v>-781.08092424</v>
      </c>
      <c r="AZ124" s="393">
        <f>IF(ISBLANK(Actuals!BA34),-736.03*Escalation!$B$49,Actuals!BA34)</f>
        <v>-781.08092424</v>
      </c>
      <c r="BA124" s="393">
        <f>IF(ISBLANK(Actuals!BB34),-736.03*Escalation!$B$50,Actuals!BB34)</f>
        <v>-796.7025427248</v>
      </c>
      <c r="BB124" s="393">
        <f>IF(ISBLANK(Actuals!BC34),-736.03*Escalation!$B$51,Actuals!BC34)</f>
        <v>-796.7025427248</v>
      </c>
      <c r="BC124" s="393">
        <f>IF(ISBLANK(Actuals!BD34),-736.03*Escalation!$B$52,Actuals!BD34)</f>
        <v>-796.7025427248</v>
      </c>
      <c r="BD124" s="393">
        <f>IF(ISBLANK(Actuals!BE34),-736.03*Escalation!$B$53,Actuals!BE34)</f>
        <v>-796.7025427248</v>
      </c>
      <c r="BE124" s="393">
        <f>IF(ISBLANK(Actuals!BF34),-736.03*Escalation!$B$54,Actuals!BF34)</f>
        <v>-796.7025427248</v>
      </c>
      <c r="BF124" s="393">
        <f>IF(ISBLANK(Actuals!BG34),-736.03*Escalation!$B$55,Actuals!BG34)</f>
        <v>-796.7025427248</v>
      </c>
      <c r="BG124" s="393">
        <f>IF(ISBLANK(Actuals!BH34),-736.03*Escalation!$B$56,Actuals!BH34)</f>
        <v>-796.7025427248</v>
      </c>
      <c r="BH124" s="393">
        <f>IF(ISBLANK(Actuals!BI34),-736.03*Escalation!$B$57,Actuals!BI34)</f>
        <v>-796.7025427248</v>
      </c>
      <c r="BI124" s="393">
        <f>IF(ISBLANK(Actuals!BJ34),-736.03*Escalation!$B$58,Actuals!BJ34)</f>
        <v>-796.7025427248</v>
      </c>
      <c r="BJ124" s="393">
        <f>IF(ISBLANK(Actuals!BK34),-736.03*Escalation!$B$59,Actuals!BK34)</f>
        <v>-796.7025427248</v>
      </c>
      <c r="BK124" s="393">
        <f>IF(ISBLANK(Actuals!BL34),-736.03*Escalation!$B$60,Actuals!BL34)</f>
        <v>-796.7025427248</v>
      </c>
      <c r="BL124" s="393">
        <f>IF(ISBLANK(Actuals!BM34),-736.03*Escalation!$B$61,Actuals!BM34)</f>
        <v>-796.7025427248</v>
      </c>
      <c r="BM124" s="393">
        <f>IF(ISBLANK(Actuals!BN34),-736.03*Escalation!$B$62,Actuals!BN34)</f>
        <v>-812.636593579296</v>
      </c>
      <c r="BN124" s="393">
        <f>IF(ISBLANK(Actuals!BO34),-736.03*Escalation!$B$63,Actuals!BO34)</f>
        <v>-812.636593579296</v>
      </c>
      <c r="BO124" s="393">
        <f>IF(ISBLANK(Actuals!BP34),-736.03*Escalation!$B$64,Actuals!BP34)</f>
        <v>-812.636593579296</v>
      </c>
      <c r="BP124" s="393">
        <f>IF(ISBLANK(Actuals!BQ34),-736.03*Escalation!$B$65,Actuals!BQ34)</f>
        <v>-812.636593579296</v>
      </c>
      <c r="BQ124" s="393">
        <f>IF(ISBLANK(Actuals!BR34),-736.03*Escalation!$B$66,Actuals!BR34)</f>
        <v>-812.636593579296</v>
      </c>
      <c r="BR124" s="393">
        <f>IF(ISBLANK(Actuals!BS34),-736.03*Escalation!$B$67,Actuals!BS34)</f>
        <v>-812.636593579296</v>
      </c>
      <c r="BS124" s="393">
        <f>IF(ISBLANK(Actuals!BT34),-736.03*Escalation!$B$68,Actuals!BT34)</f>
        <v>-812.636593579296</v>
      </c>
      <c r="BT124" s="393">
        <f>IF(ISBLANK(Actuals!BU34),-736.03*Escalation!$B$69,Actuals!BU34)</f>
        <v>-812.636593579296</v>
      </c>
      <c r="BU124" s="393">
        <f>IF(ISBLANK(Actuals!BV34),-736.03*Escalation!$B$70,Actuals!BV34)</f>
        <v>-812.636593579296</v>
      </c>
      <c r="BV124" s="393">
        <f>IF(ISBLANK(Actuals!BW34),-736.03*Escalation!$B$71,Actuals!BW34)</f>
        <v>-812.636593579296</v>
      </c>
      <c r="BW124" s="393">
        <f>IF(ISBLANK(Actuals!BX34),-736.03*Escalation!$B$72,Actuals!BX34)</f>
        <v>-812.636593579296</v>
      </c>
      <c r="BX124" s="393">
        <f>IF(ISBLANK(Actuals!BY34),-736.03*Escalation!$B$73,Actuals!BY34)</f>
        <v>-812.636593579296</v>
      </c>
      <c r="BY124" s="393">
        <f>IF(ISBLANK(Actuals!BZ34),-736.03*Escalation!$B$74,Actuals!BZ34)</f>
        <v>-828.889325450882</v>
      </c>
      <c r="BZ124" s="393">
        <f>IF(ISBLANK(Actuals!CA34),-736.03*Escalation!$B$75,Actuals!CA34)</f>
        <v>-828.889325450882</v>
      </c>
      <c r="CA124" s="393">
        <f>IF(ISBLANK(Actuals!CB34),-736.03*Escalation!$B$76,Actuals!CB34)</f>
        <v>-828.889325450882</v>
      </c>
      <c r="CB124" s="393">
        <f>IF(ISBLANK(Actuals!CC34),-736.03*Escalation!$B$77,Actuals!CC34)</f>
        <v>-828.889325450882</v>
      </c>
      <c r="CC124" s="393">
        <f>IF(ISBLANK(Actuals!CD34),-736.03*Escalation!$B$78,Actuals!CD34)</f>
        <v>-828.889325450882</v>
      </c>
      <c r="CD124" s="393">
        <f>IF(ISBLANK(Actuals!CE34),-736.03*Escalation!$B$79,Actuals!CE34)</f>
        <v>-828.889325450882</v>
      </c>
      <c r="CE124" s="393">
        <f>IF(ISBLANK(Actuals!CF34),-736.03*Escalation!$B$80,Actuals!CF34)</f>
        <v>-828.889325450882</v>
      </c>
      <c r="CF124" s="393">
        <f>IF(ISBLANK(Actuals!CG34),-736.03*Escalation!$B$81,Actuals!CG34)</f>
        <v>-828.889325450882</v>
      </c>
      <c r="CG124" s="393">
        <f>IF(ISBLANK(Actuals!CH34),-736.03*Escalation!$B$82,Actuals!CH34)</f>
        <v>-828.889325450882</v>
      </c>
      <c r="CH124" s="393">
        <f>IF(ISBLANK(Actuals!CI34),-736.03*Escalation!$B$83,Actuals!CI34)</f>
        <v>-828.889325450882</v>
      </c>
      <c r="CI124" s="393">
        <f>IF(ISBLANK(Actuals!CJ34),-736.03*Escalation!$B$84,Actuals!CJ34)</f>
        <v>-828.889325450882</v>
      </c>
      <c r="CJ124" s="393">
        <f>IF(ISBLANK(Actuals!CK34),-736.03*Escalation!$B$85,Actuals!CK34)</f>
        <v>-828.889325450882</v>
      </c>
      <c r="CK124" s="393">
        <f>IF(ISBLANK(Actuals!CL34),-736.03*Escalation!$B$86,Actuals!CL34)</f>
        <v>-845.4671119599</v>
      </c>
      <c r="CL124" s="393">
        <f>IF(ISBLANK(Actuals!CM34),-736.03*Escalation!$B$87,Actuals!CM34)</f>
        <v>-845.4671119599</v>
      </c>
      <c r="CM124" s="393">
        <f>IF(ISBLANK(Actuals!CN34),-736.03*Escalation!$B$88,Actuals!CN34)</f>
        <v>-845.4671119599</v>
      </c>
      <c r="CN124" s="393">
        <f>IF(ISBLANK(Actuals!CO34),-736.03*Escalation!$B$89,Actuals!CO34)</f>
        <v>-845.4671119599</v>
      </c>
      <c r="CO124" s="393">
        <f>IF(ISBLANK(Actuals!CP34),-736.03*Escalation!$B$90,Actuals!CP34)</f>
        <v>-845.4671119599</v>
      </c>
      <c r="CP124" s="393">
        <f>IF(ISBLANK(Actuals!CQ34),-736.03*Escalation!$B$91,Actuals!CQ34)</f>
        <v>-845.4671119599</v>
      </c>
      <c r="CQ124" s="393">
        <f>IF(ISBLANK(Actuals!CR34),-736.03*Escalation!$B$92,Actuals!CR34)</f>
        <v>-845.4671119599</v>
      </c>
      <c r="CR124" s="393">
        <f>IF(ISBLANK(Actuals!CS34),-736.03*Escalation!$B$93,Actuals!CS34)</f>
        <v>-845.4671119599</v>
      </c>
      <c r="CS124" s="393">
        <f>IF(ISBLANK(Actuals!CT34),-736.03*Escalation!$B$94,Actuals!CT34)</f>
        <v>-845.4671119599</v>
      </c>
      <c r="CT124" s="393">
        <f>IF(ISBLANK(Actuals!CU34),-736.03*Escalation!$B$95,Actuals!CU34)</f>
        <v>-845.4671119599</v>
      </c>
      <c r="CU124" s="393">
        <f>IF(ISBLANK(Actuals!CV34),-736.03*Escalation!$B$96,Actuals!CV34)</f>
        <v>-845.4671119599</v>
      </c>
      <c r="CV124" s="393">
        <f>IF(ISBLANK(Actuals!CW34),-736.03*Escalation!$B$97,Actuals!CW34)</f>
        <v>-845.4671119599</v>
      </c>
      <c r="CW124" s="393">
        <f>IF(ISBLANK(Actuals!CX34),-736.03*Escalation!$B$98,Actuals!CX34)</f>
        <v>-862.376454199098</v>
      </c>
      <c r="CX124" s="393">
        <f>IF(ISBLANK(Actuals!CY34),-736.03*Escalation!$B$99,Actuals!CY34)</f>
        <v>-862.376454199098</v>
      </c>
      <c r="CY124" s="393">
        <f>IF(ISBLANK(Actuals!CZ34),-736.03*Escalation!$B$100,Actuals!CZ34)</f>
        <v>-862.376454199098</v>
      </c>
      <c r="CZ124" s="393">
        <f>IF(ISBLANK(Actuals!DA34),-736.03*Escalation!$B$101,Actuals!DA34)</f>
        <v>-862.376454199098</v>
      </c>
      <c r="DA124" s="393">
        <f>IF(ISBLANK(Actuals!DB34),-736.03*Escalation!$B$102,Actuals!DB34)</f>
        <v>-862.376454199098</v>
      </c>
      <c r="DB124" s="393">
        <f>IF(ISBLANK(Actuals!DC34),-736.03*Escalation!$B$103,Actuals!DC34)</f>
        <v>-862.376454199098</v>
      </c>
      <c r="DC124" s="393">
        <f>IF(ISBLANK(Actuals!DD34),-736.03*Escalation!$B$104,Actuals!DD34)</f>
        <v>-862.376454199098</v>
      </c>
      <c r="DD124" s="393">
        <f>IF(ISBLANK(Actuals!DE34),-736.03*Escalation!$B$105,Actuals!DE34)</f>
        <v>-862.376454199098</v>
      </c>
      <c r="DE124" s="393">
        <f>IF(ISBLANK(Actuals!DF34),-736.03*Escalation!$B$106,Actuals!DF34)</f>
        <v>-862.376454199098</v>
      </c>
    </row>
    <row r="125" ht="15" customFormat="1" customHeight="1" s="381">
      <c r="A125" s="398" t="inlineStr">
        <is>
          <t>5300-1050 Meals and Entertainment</t>
        </is>
      </c>
      <c r="B125" s="393">
        <f>IF(ISBLANK(Actuals!C35),0,Actuals!C35)</f>
        <v>-681.77</v>
      </c>
      <c r="C125" s="393">
        <f>IF(ISBLANK(Actuals!D35),0,Actuals!D35)</f>
        <v>-600.14</v>
      </c>
      <c r="D125" s="393">
        <f>IF(ISBLANK(Actuals!E35),0,Actuals!E35)</f>
        <v>-2121.95</v>
      </c>
      <c r="E125" s="393">
        <f>IF(ISBLANK(Actuals!F35),-1134.62*Escalation!$B$2,Actuals!F35)</f>
        <v>-840.49</v>
      </c>
      <c r="F125" s="393">
        <f>IF(ISBLANK(Actuals!G35),-1134.62*Escalation!$B$3,Actuals!G35)</f>
        <v>-847.85</v>
      </c>
      <c r="G125" s="393">
        <f>IF(ISBLANK(Actuals!H35),-1134.62*Escalation!$B$4,Actuals!H35)</f>
        <v>-486.63</v>
      </c>
      <c r="H125" s="393">
        <f>IF(ISBLANK(Actuals!I35),-1134.62*Escalation!$B$5,Actuals!I35)</f>
        <v>-1134.62</v>
      </c>
      <c r="I125" s="393">
        <f>IF(ISBLANK(Actuals!J35),-1134.62*Escalation!$B$6,Actuals!J35)</f>
        <v>-1134.62</v>
      </c>
      <c r="J125" s="393">
        <f>IF(ISBLANK(Actuals!K35),-1134.62*Escalation!$B$7,Actuals!K35)</f>
        <v>-1134.62</v>
      </c>
      <c r="K125" s="393">
        <f>IF(ISBLANK(Actuals!L35),-1134.62*Escalation!$B$8,Actuals!L35)</f>
        <v>-1134.62</v>
      </c>
      <c r="L125" s="393">
        <f>IF(ISBLANK(Actuals!M35),-1134.62*Escalation!$B$9,Actuals!M35)</f>
        <v>-1134.62</v>
      </c>
      <c r="M125" s="393">
        <f>IF(ISBLANK(Actuals!N35),-1134.62*Escalation!$B$10,Actuals!N35)</f>
        <v>-1134.62</v>
      </c>
      <c r="N125" s="393">
        <f>IF(ISBLANK(Actuals!O35),-1134.62*Escalation!$B$11,Actuals!O35)</f>
        <v>-1134.62</v>
      </c>
      <c r="O125" s="393">
        <f>IF(ISBLANK(Actuals!P35),-1134.62*Escalation!$B$12,Actuals!P35)</f>
        <v>-1134.62</v>
      </c>
      <c r="P125" s="393">
        <f>IF(ISBLANK(Actuals!Q35),-1134.62*Escalation!$B$13,Actuals!Q35)</f>
        <v>-1134.62</v>
      </c>
      <c r="Q125" s="393">
        <f>IF(ISBLANK(Actuals!R35),-1134.62*Escalation!$B$14,Actuals!R35)</f>
        <v>-1157.3124</v>
      </c>
      <c r="R125" s="393">
        <f>IF(ISBLANK(Actuals!S35),-1134.62*Escalation!$B$15,Actuals!S35)</f>
        <v>-1157.3124</v>
      </c>
      <c r="S125" s="393">
        <f>IF(ISBLANK(Actuals!T35),-1134.62*Escalation!$B$16,Actuals!T35)</f>
        <v>-1157.3124</v>
      </c>
      <c r="T125" s="393">
        <f>IF(ISBLANK(Actuals!U35),-1134.62*Escalation!$B$17,Actuals!U35)</f>
        <v>-1157.3124</v>
      </c>
      <c r="U125" s="393">
        <f>IF(ISBLANK(Actuals!V35),-1134.62*Escalation!$B$18,Actuals!V35)</f>
        <v>-1157.3124</v>
      </c>
      <c r="V125" s="393">
        <f>IF(ISBLANK(Actuals!W35),-1134.62*Escalation!$B$19,Actuals!W35)</f>
        <v>-1157.3124</v>
      </c>
      <c r="W125" s="393">
        <f>IF(ISBLANK(Actuals!X35),-1134.62*Escalation!$B$20,Actuals!X35)</f>
        <v>-1157.3124</v>
      </c>
      <c r="X125" s="393">
        <f>IF(ISBLANK(Actuals!Y35),-1134.62*Escalation!$B$21,Actuals!Y35)</f>
        <v>-1157.3124</v>
      </c>
      <c r="Y125" s="393">
        <f>IF(ISBLANK(Actuals!Z35),-1134.62*Escalation!$B$22,Actuals!Z35)</f>
        <v>-1157.3124</v>
      </c>
      <c r="Z125" s="393">
        <f>IF(ISBLANK(Actuals!AA35),-1134.62*Escalation!$B$23,Actuals!AA35)</f>
        <v>-1157.3124</v>
      </c>
      <c r="AA125" s="393">
        <f>IF(ISBLANK(Actuals!AB35),-1134.62*Escalation!$B$24,Actuals!AB35)</f>
        <v>-1157.3124</v>
      </c>
      <c r="AB125" s="393">
        <f>IF(ISBLANK(Actuals!AC35),-1134.62*Escalation!$B$25,Actuals!AC35)</f>
        <v>-1157.3124</v>
      </c>
      <c r="AC125" s="393">
        <f>IF(ISBLANK(Actuals!AD35),-1134.62*Escalation!$B$26,Actuals!AD35)</f>
        <v>-1180.458648</v>
      </c>
      <c r="AD125" s="393">
        <f>IF(ISBLANK(Actuals!AE35),-1134.62*Escalation!$B$27,Actuals!AE35)</f>
        <v>-1180.458648</v>
      </c>
      <c r="AE125" s="393">
        <f>IF(ISBLANK(Actuals!AF35),-1134.62*Escalation!$B$28,Actuals!AF35)</f>
        <v>-1180.458648</v>
      </c>
      <c r="AF125" s="393">
        <f>IF(ISBLANK(Actuals!AG35),-1134.62*Escalation!$B$29,Actuals!AG35)</f>
        <v>-1180.458648</v>
      </c>
      <c r="AG125" s="393">
        <f>IF(ISBLANK(Actuals!AH35),-1134.62*Escalation!$B$30,Actuals!AH35)</f>
        <v>-1180.458648</v>
      </c>
      <c r="AH125" s="393">
        <f>IF(ISBLANK(Actuals!AI35),-1134.62*Escalation!$B$31,Actuals!AI35)</f>
        <v>-1180.458648</v>
      </c>
      <c r="AI125" s="393">
        <f>IF(ISBLANK(Actuals!AJ35),-1134.62*Escalation!$B$32,Actuals!AJ35)</f>
        <v>-1180.458648</v>
      </c>
      <c r="AJ125" s="393">
        <f>IF(ISBLANK(Actuals!AK35),-1134.62*Escalation!$B$33,Actuals!AK35)</f>
        <v>-1180.458648</v>
      </c>
      <c r="AK125" s="393">
        <f>IF(ISBLANK(Actuals!AL35),-1134.62*Escalation!$B$34,Actuals!AL35)</f>
        <v>-1180.458648</v>
      </c>
      <c r="AL125" s="393">
        <f>IF(ISBLANK(Actuals!AM35),-1134.62*Escalation!$B$35,Actuals!AM35)</f>
        <v>-1180.458648</v>
      </c>
      <c r="AM125" s="393">
        <f>IF(ISBLANK(Actuals!AN35),-1134.62*Escalation!$B$36,Actuals!AN35)</f>
        <v>-1180.458648</v>
      </c>
      <c r="AN125" s="393">
        <f>IF(ISBLANK(Actuals!AO35),-1134.62*Escalation!$B$37,Actuals!AO35)</f>
        <v>-1180.458648</v>
      </c>
      <c r="AO125" s="393">
        <f>IF(ISBLANK(Actuals!AP35),-1134.62*Escalation!$B$38,Actuals!AP35)</f>
        <v>-1204.06782096</v>
      </c>
      <c r="AP125" s="393">
        <f>IF(ISBLANK(Actuals!AQ35),-1134.62*Escalation!$B$39,Actuals!AQ35)</f>
        <v>-1204.06782096</v>
      </c>
      <c r="AQ125" s="393">
        <f>IF(ISBLANK(Actuals!AR35),-1134.62*Escalation!$B$40,Actuals!AR35)</f>
        <v>-1204.06782096</v>
      </c>
      <c r="AR125" s="393">
        <f>IF(ISBLANK(Actuals!AS35),-1134.62*Escalation!$B$41,Actuals!AS35)</f>
        <v>-1204.06782096</v>
      </c>
      <c r="AS125" s="393">
        <f>IF(ISBLANK(Actuals!AT35),-1134.62*Escalation!$B$42,Actuals!AT35)</f>
        <v>-1204.06782096</v>
      </c>
      <c r="AT125" s="393">
        <f>IF(ISBLANK(Actuals!AU35),-1134.62*Escalation!$B$43,Actuals!AU35)</f>
        <v>-1204.06782096</v>
      </c>
      <c r="AU125" s="393">
        <f>IF(ISBLANK(Actuals!AV35),-1134.62*Escalation!$B$44,Actuals!AV35)</f>
        <v>-1204.06782096</v>
      </c>
      <c r="AV125" s="393">
        <f>IF(ISBLANK(Actuals!AW35),-1134.62*Escalation!$B$45,Actuals!AW35)</f>
        <v>-1204.06782096</v>
      </c>
      <c r="AW125" s="393">
        <f>IF(ISBLANK(Actuals!AX35),-1134.62*Escalation!$B$46,Actuals!AX35)</f>
        <v>-1204.06782096</v>
      </c>
      <c r="AX125" s="393">
        <f>IF(ISBLANK(Actuals!AY35),-1134.62*Escalation!$B$47,Actuals!AY35)</f>
        <v>-1204.06782096</v>
      </c>
      <c r="AY125" s="393">
        <f>IF(ISBLANK(Actuals!AZ35),-1134.62*Escalation!$B$48,Actuals!AZ35)</f>
        <v>-1204.06782096</v>
      </c>
      <c r="AZ125" s="393">
        <f>IF(ISBLANK(Actuals!BA35),-1134.62*Escalation!$B$49,Actuals!BA35)</f>
        <v>-1204.06782096</v>
      </c>
      <c r="BA125" s="393">
        <f>IF(ISBLANK(Actuals!BB35),-1134.62*Escalation!$B$50,Actuals!BB35)</f>
        <v>-1228.1491773792</v>
      </c>
      <c r="BB125" s="393">
        <f>IF(ISBLANK(Actuals!BC35),-1134.62*Escalation!$B$51,Actuals!BC35)</f>
        <v>-1228.1491773792</v>
      </c>
      <c r="BC125" s="393">
        <f>IF(ISBLANK(Actuals!BD35),-1134.62*Escalation!$B$52,Actuals!BD35)</f>
        <v>-1228.1491773792</v>
      </c>
      <c r="BD125" s="393">
        <f>IF(ISBLANK(Actuals!BE35),-1134.62*Escalation!$B$53,Actuals!BE35)</f>
        <v>-1228.1491773792</v>
      </c>
      <c r="BE125" s="393">
        <f>IF(ISBLANK(Actuals!BF35),-1134.62*Escalation!$B$54,Actuals!BF35)</f>
        <v>-1228.1491773792</v>
      </c>
      <c r="BF125" s="393">
        <f>IF(ISBLANK(Actuals!BG35),-1134.62*Escalation!$B$55,Actuals!BG35)</f>
        <v>-1228.1491773792</v>
      </c>
      <c r="BG125" s="393">
        <f>IF(ISBLANK(Actuals!BH35),-1134.62*Escalation!$B$56,Actuals!BH35)</f>
        <v>-1228.1491773792</v>
      </c>
      <c r="BH125" s="393">
        <f>IF(ISBLANK(Actuals!BI35),-1134.62*Escalation!$B$57,Actuals!BI35)</f>
        <v>-1228.1491773792</v>
      </c>
      <c r="BI125" s="393">
        <f>IF(ISBLANK(Actuals!BJ35),-1134.62*Escalation!$B$58,Actuals!BJ35)</f>
        <v>-1228.1491773792</v>
      </c>
      <c r="BJ125" s="393">
        <f>IF(ISBLANK(Actuals!BK35),-1134.62*Escalation!$B$59,Actuals!BK35)</f>
        <v>-1228.1491773792</v>
      </c>
      <c r="BK125" s="393">
        <f>IF(ISBLANK(Actuals!BL35),-1134.62*Escalation!$B$60,Actuals!BL35)</f>
        <v>-1228.1491773792</v>
      </c>
      <c r="BL125" s="393">
        <f>IF(ISBLANK(Actuals!BM35),-1134.62*Escalation!$B$61,Actuals!BM35)</f>
        <v>-1228.1491773792</v>
      </c>
      <c r="BM125" s="393">
        <f>IF(ISBLANK(Actuals!BN35),-1134.62*Escalation!$B$62,Actuals!BN35)</f>
        <v>-1252.71216092678</v>
      </c>
      <c r="BN125" s="393">
        <f>IF(ISBLANK(Actuals!BO35),-1134.62*Escalation!$B$63,Actuals!BO35)</f>
        <v>-1252.71216092678</v>
      </c>
      <c r="BO125" s="393">
        <f>IF(ISBLANK(Actuals!BP35),-1134.62*Escalation!$B$64,Actuals!BP35)</f>
        <v>-1252.71216092678</v>
      </c>
      <c r="BP125" s="393">
        <f>IF(ISBLANK(Actuals!BQ35),-1134.62*Escalation!$B$65,Actuals!BQ35)</f>
        <v>-1252.71216092678</v>
      </c>
      <c r="BQ125" s="393">
        <f>IF(ISBLANK(Actuals!BR35),-1134.62*Escalation!$B$66,Actuals!BR35)</f>
        <v>-1252.71216092678</v>
      </c>
      <c r="BR125" s="393">
        <f>IF(ISBLANK(Actuals!BS35),-1134.62*Escalation!$B$67,Actuals!BS35)</f>
        <v>-1252.71216092678</v>
      </c>
      <c r="BS125" s="393">
        <f>IF(ISBLANK(Actuals!BT35),-1134.62*Escalation!$B$68,Actuals!BT35)</f>
        <v>-1252.71216092678</v>
      </c>
      <c r="BT125" s="393">
        <f>IF(ISBLANK(Actuals!BU35),-1134.62*Escalation!$B$69,Actuals!BU35)</f>
        <v>-1252.71216092678</v>
      </c>
      <c r="BU125" s="393">
        <f>IF(ISBLANK(Actuals!BV35),-1134.62*Escalation!$B$70,Actuals!BV35)</f>
        <v>-1252.71216092678</v>
      </c>
      <c r="BV125" s="393">
        <f>IF(ISBLANK(Actuals!BW35),-1134.62*Escalation!$B$71,Actuals!BW35)</f>
        <v>-1252.71216092678</v>
      </c>
      <c r="BW125" s="393">
        <f>IF(ISBLANK(Actuals!BX35),-1134.62*Escalation!$B$72,Actuals!BX35)</f>
        <v>-1252.71216092678</v>
      </c>
      <c r="BX125" s="393">
        <f>IF(ISBLANK(Actuals!BY35),-1134.62*Escalation!$B$73,Actuals!BY35)</f>
        <v>-1252.71216092678</v>
      </c>
      <c r="BY125" s="393">
        <f>IF(ISBLANK(Actuals!BZ35),-1134.62*Escalation!$B$74,Actuals!BZ35)</f>
        <v>-1277.76640414532</v>
      </c>
      <c r="BZ125" s="393">
        <f>IF(ISBLANK(Actuals!CA35),-1134.62*Escalation!$B$75,Actuals!CA35)</f>
        <v>-1277.76640414532</v>
      </c>
      <c r="CA125" s="393">
        <f>IF(ISBLANK(Actuals!CB35),-1134.62*Escalation!$B$76,Actuals!CB35)</f>
        <v>-1277.76640414532</v>
      </c>
      <c r="CB125" s="393">
        <f>IF(ISBLANK(Actuals!CC35),-1134.62*Escalation!$B$77,Actuals!CC35)</f>
        <v>-1277.76640414532</v>
      </c>
      <c r="CC125" s="393">
        <f>IF(ISBLANK(Actuals!CD35),-1134.62*Escalation!$B$78,Actuals!CD35)</f>
        <v>-1277.76640414532</v>
      </c>
      <c r="CD125" s="393">
        <f>IF(ISBLANK(Actuals!CE35),-1134.62*Escalation!$B$79,Actuals!CE35)</f>
        <v>-1277.76640414532</v>
      </c>
      <c r="CE125" s="393">
        <f>IF(ISBLANK(Actuals!CF35),-1134.62*Escalation!$B$80,Actuals!CF35)</f>
        <v>-1277.76640414532</v>
      </c>
      <c r="CF125" s="393">
        <f>IF(ISBLANK(Actuals!CG35),-1134.62*Escalation!$B$81,Actuals!CG35)</f>
        <v>-1277.76640414532</v>
      </c>
      <c r="CG125" s="393">
        <f>IF(ISBLANK(Actuals!CH35),-1134.62*Escalation!$B$82,Actuals!CH35)</f>
        <v>-1277.76640414532</v>
      </c>
      <c r="CH125" s="393">
        <f>IF(ISBLANK(Actuals!CI35),-1134.62*Escalation!$B$83,Actuals!CI35)</f>
        <v>-1277.76640414532</v>
      </c>
      <c r="CI125" s="393">
        <f>IF(ISBLANK(Actuals!CJ35),-1134.62*Escalation!$B$84,Actuals!CJ35)</f>
        <v>-1277.76640414532</v>
      </c>
      <c r="CJ125" s="393">
        <f>IF(ISBLANK(Actuals!CK35),-1134.62*Escalation!$B$85,Actuals!CK35)</f>
        <v>-1277.76640414532</v>
      </c>
      <c r="CK125" s="393">
        <f>IF(ISBLANK(Actuals!CL35),-1134.62*Escalation!$B$86,Actuals!CL35)</f>
        <v>-1303.32173222823</v>
      </c>
      <c r="CL125" s="393">
        <f>IF(ISBLANK(Actuals!CM35),-1134.62*Escalation!$B$87,Actuals!CM35)</f>
        <v>-1303.32173222823</v>
      </c>
      <c r="CM125" s="393">
        <f>IF(ISBLANK(Actuals!CN35),-1134.62*Escalation!$B$88,Actuals!CN35)</f>
        <v>-1303.32173222823</v>
      </c>
      <c r="CN125" s="393">
        <f>IF(ISBLANK(Actuals!CO35),-1134.62*Escalation!$B$89,Actuals!CO35)</f>
        <v>-1303.32173222823</v>
      </c>
      <c r="CO125" s="393">
        <f>IF(ISBLANK(Actuals!CP35),-1134.62*Escalation!$B$90,Actuals!CP35)</f>
        <v>-1303.32173222823</v>
      </c>
      <c r="CP125" s="393">
        <f>IF(ISBLANK(Actuals!CQ35),-1134.62*Escalation!$B$91,Actuals!CQ35)</f>
        <v>-1303.32173222823</v>
      </c>
      <c r="CQ125" s="393">
        <f>IF(ISBLANK(Actuals!CR35),-1134.62*Escalation!$B$92,Actuals!CR35)</f>
        <v>-1303.32173222823</v>
      </c>
      <c r="CR125" s="393">
        <f>IF(ISBLANK(Actuals!CS35),-1134.62*Escalation!$B$93,Actuals!CS35)</f>
        <v>-1303.32173222823</v>
      </c>
      <c r="CS125" s="393">
        <f>IF(ISBLANK(Actuals!CT35),-1134.62*Escalation!$B$94,Actuals!CT35)</f>
        <v>-1303.32173222823</v>
      </c>
      <c r="CT125" s="393">
        <f>IF(ISBLANK(Actuals!CU35),-1134.62*Escalation!$B$95,Actuals!CU35)</f>
        <v>-1303.32173222823</v>
      </c>
      <c r="CU125" s="393">
        <f>IF(ISBLANK(Actuals!CV35),-1134.62*Escalation!$B$96,Actuals!CV35)</f>
        <v>-1303.32173222823</v>
      </c>
      <c r="CV125" s="393">
        <f>IF(ISBLANK(Actuals!CW35),-1134.62*Escalation!$B$97,Actuals!CW35)</f>
        <v>-1303.32173222823</v>
      </c>
      <c r="CW125" s="393">
        <f>IF(ISBLANK(Actuals!CX35),-1134.62*Escalation!$B$98,Actuals!CX35)</f>
        <v>-1329.38816687279</v>
      </c>
      <c r="CX125" s="393">
        <f>IF(ISBLANK(Actuals!CY35),-1134.62*Escalation!$B$99,Actuals!CY35)</f>
        <v>-1329.38816687279</v>
      </c>
      <c r="CY125" s="393">
        <f>IF(ISBLANK(Actuals!CZ35),-1134.62*Escalation!$B$100,Actuals!CZ35)</f>
        <v>-1329.38816687279</v>
      </c>
      <c r="CZ125" s="393">
        <f>IF(ISBLANK(Actuals!DA35),-1134.62*Escalation!$B$101,Actuals!DA35)</f>
        <v>-1329.38816687279</v>
      </c>
      <c r="DA125" s="393">
        <f>IF(ISBLANK(Actuals!DB35),-1134.62*Escalation!$B$102,Actuals!DB35)</f>
        <v>-1329.38816687279</v>
      </c>
      <c r="DB125" s="393">
        <f>IF(ISBLANK(Actuals!DC35),-1134.62*Escalation!$B$103,Actuals!DC35)</f>
        <v>-1329.38816687279</v>
      </c>
      <c r="DC125" s="393">
        <f>IF(ISBLANK(Actuals!DD35),-1134.62*Escalation!$B$104,Actuals!DD35)</f>
        <v>-1329.38816687279</v>
      </c>
      <c r="DD125" s="393">
        <f>IF(ISBLANK(Actuals!DE35),-1134.62*Escalation!$B$105,Actuals!DE35)</f>
        <v>-1329.38816687279</v>
      </c>
      <c r="DE125" s="393">
        <f>IF(ISBLANK(Actuals!DF35),-1134.62*Escalation!$B$106,Actuals!DF35)</f>
        <v>-1329.38816687279</v>
      </c>
    </row>
    <row r="126" ht="15" customFormat="1" customHeight="1" s="381">
      <c r="A126" s="398" t="inlineStr">
        <is>
          <t>5500-1000 Legal and Professional Fees</t>
        </is>
      </c>
      <c r="B126" s="393">
        <f>IF(ISBLANK(Actuals!C36),0,Actuals!C36)</f>
        <v>-2187.5</v>
      </c>
      <c r="C126" s="393">
        <f>IF(ISBLANK(Actuals!D36),0,Actuals!D36)</f>
        <v>0</v>
      </c>
      <c r="D126" s="393">
        <f>IF(ISBLANK(Actuals!E36),0,Actuals!E36)</f>
        <v>-1625</v>
      </c>
      <c r="E126" s="393">
        <f>IF(ISBLANK(Actuals!F36),-1270.83*Escalation!$B$2,Actuals!F36)</f>
        <v>0</v>
      </c>
      <c r="F126" s="393">
        <f>IF(ISBLANK(Actuals!G36),-1270.83*Escalation!$B$3,Actuals!G36)</f>
        <v>0</v>
      </c>
      <c r="G126" s="393">
        <f>IF(ISBLANK(Actuals!H36),-1270.83*Escalation!$B$4,Actuals!H36)</f>
        <v>0</v>
      </c>
      <c r="H126" s="393">
        <f>IF(ISBLANK(Actuals!I36),-1270.83*Escalation!$B$5,Actuals!I36)</f>
        <v>-1270.83</v>
      </c>
      <c r="I126" s="393">
        <f>IF(ISBLANK(Actuals!J36),-1270.83*Escalation!$B$6,Actuals!J36)</f>
        <v>-1270.83</v>
      </c>
      <c r="J126" s="393">
        <f>IF(ISBLANK(Actuals!K36),-1270.83*Escalation!$B$7,Actuals!K36)</f>
        <v>-1270.83</v>
      </c>
      <c r="K126" s="393">
        <f>IF(ISBLANK(Actuals!L36),-1270.83*Escalation!$B$8,Actuals!L36)</f>
        <v>-1270.83</v>
      </c>
      <c r="L126" s="393">
        <f>IF(ISBLANK(Actuals!M36),-1270.83*Escalation!$B$9,Actuals!M36)</f>
        <v>-1270.83</v>
      </c>
      <c r="M126" s="393">
        <f>IF(ISBLANK(Actuals!N36),-1270.83*Escalation!$B$10,Actuals!N36)</f>
        <v>-1270.83</v>
      </c>
      <c r="N126" s="393">
        <f>IF(ISBLANK(Actuals!O36),-1270.83*Escalation!$B$11,Actuals!O36)</f>
        <v>-1270.83</v>
      </c>
      <c r="O126" s="393">
        <f>IF(ISBLANK(Actuals!P36),-1270.83*Escalation!$B$12,Actuals!P36)</f>
        <v>-1270.83</v>
      </c>
      <c r="P126" s="393">
        <f>IF(ISBLANK(Actuals!Q36),-1270.83*Escalation!$B$13,Actuals!Q36)</f>
        <v>-1270.83</v>
      </c>
      <c r="Q126" s="393">
        <f>IF(ISBLANK(Actuals!R36),-1270.83*Escalation!$B$14,Actuals!R36)</f>
        <v>-1296.2466</v>
      </c>
      <c r="R126" s="393">
        <f>IF(ISBLANK(Actuals!S36),-1270.83*Escalation!$B$15,Actuals!S36)</f>
        <v>-1296.2466</v>
      </c>
      <c r="S126" s="393">
        <f>IF(ISBLANK(Actuals!T36),-1270.83*Escalation!$B$16,Actuals!T36)</f>
        <v>-1296.2466</v>
      </c>
      <c r="T126" s="393">
        <f>IF(ISBLANK(Actuals!U36),-1270.83*Escalation!$B$17,Actuals!U36)</f>
        <v>-1296.2466</v>
      </c>
      <c r="U126" s="393">
        <f>IF(ISBLANK(Actuals!V36),-1270.83*Escalation!$B$18,Actuals!V36)</f>
        <v>-1296.2466</v>
      </c>
      <c r="V126" s="393">
        <f>IF(ISBLANK(Actuals!W36),-1270.83*Escalation!$B$19,Actuals!W36)</f>
        <v>-1296.2466</v>
      </c>
      <c r="W126" s="393">
        <f>IF(ISBLANK(Actuals!X36),-1270.83*Escalation!$B$20,Actuals!X36)</f>
        <v>-1296.2466</v>
      </c>
      <c r="X126" s="393">
        <f>IF(ISBLANK(Actuals!Y36),-1270.83*Escalation!$B$21,Actuals!Y36)</f>
        <v>-1296.2466</v>
      </c>
      <c r="Y126" s="393">
        <f>IF(ISBLANK(Actuals!Z36),-1270.83*Escalation!$B$22,Actuals!Z36)</f>
        <v>-1296.2466</v>
      </c>
      <c r="Z126" s="393">
        <f>IF(ISBLANK(Actuals!AA36),-1270.83*Escalation!$B$23,Actuals!AA36)</f>
        <v>-1296.2466</v>
      </c>
      <c r="AA126" s="393">
        <f>IF(ISBLANK(Actuals!AB36),-1270.83*Escalation!$B$24,Actuals!AB36)</f>
        <v>-1296.2466</v>
      </c>
      <c r="AB126" s="393">
        <f>IF(ISBLANK(Actuals!AC36),-1270.83*Escalation!$B$25,Actuals!AC36)</f>
        <v>-1296.2466</v>
      </c>
      <c r="AC126" s="393">
        <f>IF(ISBLANK(Actuals!AD36),-1270.83*Escalation!$B$26,Actuals!AD36)</f>
        <v>-1322.171532</v>
      </c>
      <c r="AD126" s="393">
        <f>IF(ISBLANK(Actuals!AE36),-1270.83*Escalation!$B$27,Actuals!AE36)</f>
        <v>-1322.171532</v>
      </c>
      <c r="AE126" s="393">
        <f>IF(ISBLANK(Actuals!AF36),-1270.83*Escalation!$B$28,Actuals!AF36)</f>
        <v>-1322.171532</v>
      </c>
      <c r="AF126" s="393">
        <f>IF(ISBLANK(Actuals!AG36),-1270.83*Escalation!$B$29,Actuals!AG36)</f>
        <v>-1322.171532</v>
      </c>
      <c r="AG126" s="393">
        <f>IF(ISBLANK(Actuals!AH36),-1270.83*Escalation!$B$30,Actuals!AH36)</f>
        <v>-1322.171532</v>
      </c>
      <c r="AH126" s="393">
        <f>IF(ISBLANK(Actuals!AI36),-1270.83*Escalation!$B$31,Actuals!AI36)</f>
        <v>-1322.171532</v>
      </c>
      <c r="AI126" s="393">
        <f>IF(ISBLANK(Actuals!AJ36),-1270.83*Escalation!$B$32,Actuals!AJ36)</f>
        <v>-1322.171532</v>
      </c>
      <c r="AJ126" s="393">
        <f>IF(ISBLANK(Actuals!AK36),-1270.83*Escalation!$B$33,Actuals!AK36)</f>
        <v>-1322.171532</v>
      </c>
      <c r="AK126" s="393">
        <f>IF(ISBLANK(Actuals!AL36),-1270.83*Escalation!$B$34,Actuals!AL36)</f>
        <v>-1322.171532</v>
      </c>
      <c r="AL126" s="393">
        <f>IF(ISBLANK(Actuals!AM36),-1270.83*Escalation!$B$35,Actuals!AM36)</f>
        <v>-1322.171532</v>
      </c>
      <c r="AM126" s="393">
        <f>IF(ISBLANK(Actuals!AN36),-1270.83*Escalation!$B$36,Actuals!AN36)</f>
        <v>-1322.171532</v>
      </c>
      <c r="AN126" s="393">
        <f>IF(ISBLANK(Actuals!AO36),-1270.83*Escalation!$B$37,Actuals!AO36)</f>
        <v>-1322.171532</v>
      </c>
      <c r="AO126" s="393">
        <f>IF(ISBLANK(Actuals!AP36),-1270.83*Escalation!$B$38,Actuals!AP36)</f>
        <v>-1348.61496264</v>
      </c>
      <c r="AP126" s="393">
        <f>IF(ISBLANK(Actuals!AQ36),-1270.83*Escalation!$B$39,Actuals!AQ36)</f>
        <v>-1348.61496264</v>
      </c>
      <c r="AQ126" s="393">
        <f>IF(ISBLANK(Actuals!AR36),-1270.83*Escalation!$B$40,Actuals!AR36)</f>
        <v>-1348.61496264</v>
      </c>
      <c r="AR126" s="393">
        <f>IF(ISBLANK(Actuals!AS36),-1270.83*Escalation!$B$41,Actuals!AS36)</f>
        <v>-1348.61496264</v>
      </c>
      <c r="AS126" s="393">
        <f>IF(ISBLANK(Actuals!AT36),-1270.83*Escalation!$B$42,Actuals!AT36)</f>
        <v>-1348.61496264</v>
      </c>
      <c r="AT126" s="393">
        <f>IF(ISBLANK(Actuals!AU36),-1270.83*Escalation!$B$43,Actuals!AU36)</f>
        <v>-1348.61496264</v>
      </c>
      <c r="AU126" s="393">
        <f>IF(ISBLANK(Actuals!AV36),-1270.83*Escalation!$B$44,Actuals!AV36)</f>
        <v>-1348.61496264</v>
      </c>
      <c r="AV126" s="393">
        <f>IF(ISBLANK(Actuals!AW36),-1270.83*Escalation!$B$45,Actuals!AW36)</f>
        <v>-1348.61496264</v>
      </c>
      <c r="AW126" s="393">
        <f>IF(ISBLANK(Actuals!AX36),-1270.83*Escalation!$B$46,Actuals!AX36)</f>
        <v>-1348.61496264</v>
      </c>
      <c r="AX126" s="393">
        <f>IF(ISBLANK(Actuals!AY36),-1270.83*Escalation!$B$47,Actuals!AY36)</f>
        <v>-1348.61496264</v>
      </c>
      <c r="AY126" s="393">
        <f>IF(ISBLANK(Actuals!AZ36),-1270.83*Escalation!$B$48,Actuals!AZ36)</f>
        <v>-1348.61496264</v>
      </c>
      <c r="AZ126" s="393">
        <f>IF(ISBLANK(Actuals!BA36),-1270.83*Escalation!$B$49,Actuals!BA36)</f>
        <v>-1348.61496264</v>
      </c>
      <c r="BA126" s="393">
        <f>IF(ISBLANK(Actuals!BB36),-1270.83*Escalation!$B$50,Actuals!BB36)</f>
        <v>-1375.5872618928</v>
      </c>
      <c r="BB126" s="393">
        <f>IF(ISBLANK(Actuals!BC36),-1270.83*Escalation!$B$51,Actuals!BC36)</f>
        <v>-1375.5872618928</v>
      </c>
      <c r="BC126" s="393">
        <f>IF(ISBLANK(Actuals!BD36),-1270.83*Escalation!$B$52,Actuals!BD36)</f>
        <v>-1375.5872618928</v>
      </c>
      <c r="BD126" s="393">
        <f>IF(ISBLANK(Actuals!BE36),-1270.83*Escalation!$B$53,Actuals!BE36)</f>
        <v>-1375.5872618928</v>
      </c>
      <c r="BE126" s="393">
        <f>IF(ISBLANK(Actuals!BF36),-1270.83*Escalation!$B$54,Actuals!BF36)</f>
        <v>-1375.5872618928</v>
      </c>
      <c r="BF126" s="393">
        <f>IF(ISBLANK(Actuals!BG36),-1270.83*Escalation!$B$55,Actuals!BG36)</f>
        <v>-1375.5872618928</v>
      </c>
      <c r="BG126" s="393">
        <f>IF(ISBLANK(Actuals!BH36),-1270.83*Escalation!$B$56,Actuals!BH36)</f>
        <v>-1375.5872618928</v>
      </c>
      <c r="BH126" s="393">
        <f>IF(ISBLANK(Actuals!BI36),-1270.83*Escalation!$B$57,Actuals!BI36)</f>
        <v>-1375.5872618928</v>
      </c>
      <c r="BI126" s="393">
        <f>IF(ISBLANK(Actuals!BJ36),-1270.83*Escalation!$B$58,Actuals!BJ36)</f>
        <v>-1375.5872618928</v>
      </c>
      <c r="BJ126" s="393">
        <f>IF(ISBLANK(Actuals!BK36),-1270.83*Escalation!$B$59,Actuals!BK36)</f>
        <v>-1375.5872618928</v>
      </c>
      <c r="BK126" s="393">
        <f>IF(ISBLANK(Actuals!BL36),-1270.83*Escalation!$B$60,Actuals!BL36)</f>
        <v>-1375.5872618928</v>
      </c>
      <c r="BL126" s="393">
        <f>IF(ISBLANK(Actuals!BM36),-1270.83*Escalation!$B$61,Actuals!BM36)</f>
        <v>-1375.5872618928</v>
      </c>
      <c r="BM126" s="393">
        <f>IF(ISBLANK(Actuals!BN36),-1270.83*Escalation!$B$62,Actuals!BN36)</f>
        <v>-1403.09900713066</v>
      </c>
      <c r="BN126" s="393">
        <f>IF(ISBLANK(Actuals!BO36),-1270.83*Escalation!$B$63,Actuals!BO36)</f>
        <v>-1403.09900713066</v>
      </c>
      <c r="BO126" s="393">
        <f>IF(ISBLANK(Actuals!BP36),-1270.83*Escalation!$B$64,Actuals!BP36)</f>
        <v>-1403.09900713066</v>
      </c>
      <c r="BP126" s="393">
        <f>IF(ISBLANK(Actuals!BQ36),-1270.83*Escalation!$B$65,Actuals!BQ36)</f>
        <v>-1403.09900713066</v>
      </c>
      <c r="BQ126" s="393">
        <f>IF(ISBLANK(Actuals!BR36),-1270.83*Escalation!$B$66,Actuals!BR36)</f>
        <v>-1403.09900713066</v>
      </c>
      <c r="BR126" s="393">
        <f>IF(ISBLANK(Actuals!BS36),-1270.83*Escalation!$B$67,Actuals!BS36)</f>
        <v>-1403.09900713066</v>
      </c>
      <c r="BS126" s="393">
        <f>IF(ISBLANK(Actuals!BT36),-1270.83*Escalation!$B$68,Actuals!BT36)</f>
        <v>-1403.09900713066</v>
      </c>
      <c r="BT126" s="393">
        <f>IF(ISBLANK(Actuals!BU36),-1270.83*Escalation!$B$69,Actuals!BU36)</f>
        <v>-1403.09900713066</v>
      </c>
      <c r="BU126" s="393">
        <f>IF(ISBLANK(Actuals!BV36),-1270.83*Escalation!$B$70,Actuals!BV36)</f>
        <v>-1403.09900713066</v>
      </c>
      <c r="BV126" s="393">
        <f>IF(ISBLANK(Actuals!BW36),-1270.83*Escalation!$B$71,Actuals!BW36)</f>
        <v>-1403.09900713066</v>
      </c>
      <c r="BW126" s="393">
        <f>IF(ISBLANK(Actuals!BX36),-1270.83*Escalation!$B$72,Actuals!BX36)</f>
        <v>-1403.09900713066</v>
      </c>
      <c r="BX126" s="393">
        <f>IF(ISBLANK(Actuals!BY36),-1270.83*Escalation!$B$73,Actuals!BY36)</f>
        <v>-1403.09900713066</v>
      </c>
      <c r="BY126" s="393">
        <f>IF(ISBLANK(Actuals!BZ36),-1270.83*Escalation!$B$74,Actuals!BZ36)</f>
        <v>-1431.16098727327</v>
      </c>
      <c r="BZ126" s="393">
        <f>IF(ISBLANK(Actuals!CA36),-1270.83*Escalation!$B$75,Actuals!CA36)</f>
        <v>-1431.16098727327</v>
      </c>
      <c r="CA126" s="393">
        <f>IF(ISBLANK(Actuals!CB36),-1270.83*Escalation!$B$76,Actuals!CB36)</f>
        <v>-1431.16098727327</v>
      </c>
      <c r="CB126" s="393">
        <f>IF(ISBLANK(Actuals!CC36),-1270.83*Escalation!$B$77,Actuals!CC36)</f>
        <v>-1431.16098727327</v>
      </c>
      <c r="CC126" s="393">
        <f>IF(ISBLANK(Actuals!CD36),-1270.83*Escalation!$B$78,Actuals!CD36)</f>
        <v>-1431.16098727327</v>
      </c>
      <c r="CD126" s="393">
        <f>IF(ISBLANK(Actuals!CE36),-1270.83*Escalation!$B$79,Actuals!CE36)</f>
        <v>-1431.16098727327</v>
      </c>
      <c r="CE126" s="393">
        <f>IF(ISBLANK(Actuals!CF36),-1270.83*Escalation!$B$80,Actuals!CF36)</f>
        <v>-1431.16098727327</v>
      </c>
      <c r="CF126" s="393">
        <f>IF(ISBLANK(Actuals!CG36),-1270.83*Escalation!$B$81,Actuals!CG36)</f>
        <v>-1431.16098727327</v>
      </c>
      <c r="CG126" s="393">
        <f>IF(ISBLANK(Actuals!CH36),-1270.83*Escalation!$B$82,Actuals!CH36)</f>
        <v>-1431.16098727327</v>
      </c>
      <c r="CH126" s="393">
        <f>IF(ISBLANK(Actuals!CI36),-1270.83*Escalation!$B$83,Actuals!CI36)</f>
        <v>-1431.16098727327</v>
      </c>
      <c r="CI126" s="393">
        <f>IF(ISBLANK(Actuals!CJ36),-1270.83*Escalation!$B$84,Actuals!CJ36)</f>
        <v>-1431.16098727327</v>
      </c>
      <c r="CJ126" s="393">
        <f>IF(ISBLANK(Actuals!CK36),-1270.83*Escalation!$B$85,Actuals!CK36)</f>
        <v>-1431.16098727327</v>
      </c>
      <c r="CK126" s="393">
        <f>IF(ISBLANK(Actuals!CL36),-1270.83*Escalation!$B$86,Actuals!CL36)</f>
        <v>-1459.78420701873</v>
      </c>
      <c r="CL126" s="393">
        <f>IF(ISBLANK(Actuals!CM36),-1270.83*Escalation!$B$87,Actuals!CM36)</f>
        <v>-1459.78420701873</v>
      </c>
      <c r="CM126" s="393">
        <f>IF(ISBLANK(Actuals!CN36),-1270.83*Escalation!$B$88,Actuals!CN36)</f>
        <v>-1459.78420701873</v>
      </c>
      <c r="CN126" s="393">
        <f>IF(ISBLANK(Actuals!CO36),-1270.83*Escalation!$B$89,Actuals!CO36)</f>
        <v>-1459.78420701873</v>
      </c>
      <c r="CO126" s="393">
        <f>IF(ISBLANK(Actuals!CP36),-1270.83*Escalation!$B$90,Actuals!CP36)</f>
        <v>-1459.78420701873</v>
      </c>
      <c r="CP126" s="393">
        <f>IF(ISBLANK(Actuals!CQ36),-1270.83*Escalation!$B$91,Actuals!CQ36)</f>
        <v>-1459.78420701873</v>
      </c>
      <c r="CQ126" s="393">
        <f>IF(ISBLANK(Actuals!CR36),-1270.83*Escalation!$B$92,Actuals!CR36)</f>
        <v>-1459.78420701873</v>
      </c>
      <c r="CR126" s="393">
        <f>IF(ISBLANK(Actuals!CS36),-1270.83*Escalation!$B$93,Actuals!CS36)</f>
        <v>-1459.78420701873</v>
      </c>
      <c r="CS126" s="393">
        <f>IF(ISBLANK(Actuals!CT36),-1270.83*Escalation!$B$94,Actuals!CT36)</f>
        <v>-1459.78420701873</v>
      </c>
      <c r="CT126" s="393">
        <f>IF(ISBLANK(Actuals!CU36),-1270.83*Escalation!$B$95,Actuals!CU36)</f>
        <v>-1459.78420701873</v>
      </c>
      <c r="CU126" s="393">
        <f>IF(ISBLANK(Actuals!CV36),-1270.83*Escalation!$B$96,Actuals!CV36)</f>
        <v>-1459.78420701873</v>
      </c>
      <c r="CV126" s="393">
        <f>IF(ISBLANK(Actuals!CW36),-1270.83*Escalation!$B$97,Actuals!CW36)</f>
        <v>-1459.78420701873</v>
      </c>
      <c r="CW126" s="393">
        <f>IF(ISBLANK(Actuals!CX36),-1270.83*Escalation!$B$98,Actuals!CX36)</f>
        <v>-1488.97989115911</v>
      </c>
      <c r="CX126" s="393">
        <f>IF(ISBLANK(Actuals!CY36),-1270.83*Escalation!$B$99,Actuals!CY36)</f>
        <v>-1488.97989115911</v>
      </c>
      <c r="CY126" s="393">
        <f>IF(ISBLANK(Actuals!CZ36),-1270.83*Escalation!$B$100,Actuals!CZ36)</f>
        <v>-1488.97989115911</v>
      </c>
      <c r="CZ126" s="393">
        <f>IF(ISBLANK(Actuals!DA36),-1270.83*Escalation!$B$101,Actuals!DA36)</f>
        <v>-1488.97989115911</v>
      </c>
      <c r="DA126" s="393">
        <f>IF(ISBLANK(Actuals!DB36),-1270.83*Escalation!$B$102,Actuals!DB36)</f>
        <v>-1488.97989115911</v>
      </c>
      <c r="DB126" s="393">
        <f>IF(ISBLANK(Actuals!DC36),-1270.83*Escalation!$B$103,Actuals!DC36)</f>
        <v>-1488.97989115911</v>
      </c>
      <c r="DC126" s="393">
        <f>IF(ISBLANK(Actuals!DD36),-1270.83*Escalation!$B$104,Actuals!DD36)</f>
        <v>-1488.97989115911</v>
      </c>
      <c r="DD126" s="393">
        <f>IF(ISBLANK(Actuals!DE36),-1270.83*Escalation!$B$105,Actuals!DE36)</f>
        <v>-1488.97989115911</v>
      </c>
      <c r="DE126" s="393">
        <f>IF(ISBLANK(Actuals!DF36),-1270.83*Escalation!$B$106,Actuals!DF36)</f>
        <v>-1488.97989115911</v>
      </c>
    </row>
    <row r="127" ht="15" customFormat="1" customHeight="1" s="381">
      <c r="A127" s="398" t="inlineStr">
        <is>
          <t>5500-1002 Accounting Consulting and Overhead</t>
        </is>
      </c>
      <c r="B127" s="393">
        <f>IF(ISBLANK(Actuals!C37),0,Actuals!C37)</f>
        <v>0</v>
      </c>
      <c r="C127" s="393">
        <f>IF(ISBLANK(Actuals!D37),0,Actuals!D37)</f>
        <v>-12349</v>
      </c>
      <c r="D127" s="393">
        <f>IF(ISBLANK(Actuals!E37),0,Actuals!E37)</f>
        <v>-5400</v>
      </c>
      <c r="E127" s="393">
        <f>IF(ISBLANK(Actuals!F37),-5916.33*Escalation!$B$2,Actuals!F37)</f>
        <v>-4377</v>
      </c>
      <c r="F127" s="393">
        <f>IF(ISBLANK(Actuals!G37),-5916.33*Escalation!$B$3,Actuals!G37)</f>
        <v>-11750</v>
      </c>
      <c r="G127" s="393">
        <f>IF(ISBLANK(Actuals!H37),-5916.33*Escalation!$B$4,Actuals!H37)</f>
        <v>0</v>
      </c>
      <c r="H127" s="393">
        <f>IF(ISBLANK(Actuals!I37),-5916.33*Escalation!$B$5,Actuals!I37)</f>
        <v>-5916.33</v>
      </c>
      <c r="I127" s="393">
        <f>IF(ISBLANK(Actuals!J37),-5916.33*Escalation!$B$6,Actuals!J37)</f>
        <v>-5916.33</v>
      </c>
      <c r="J127" s="393">
        <f>IF(ISBLANK(Actuals!K37),-5916.33*Escalation!$B$7,Actuals!K37)</f>
        <v>-5916.33</v>
      </c>
      <c r="K127" s="393">
        <f>IF(ISBLANK(Actuals!L37),-5916.33*Escalation!$B$8,Actuals!L37)</f>
        <v>-5916.33</v>
      </c>
      <c r="L127" s="393">
        <f>IF(ISBLANK(Actuals!M37),-5916.33*Escalation!$B$9,Actuals!M37)</f>
        <v>-5916.33</v>
      </c>
      <c r="M127" s="393">
        <f>IF(ISBLANK(Actuals!N37),-5916.33*Escalation!$B$10,Actuals!N37)</f>
        <v>-5916.33</v>
      </c>
      <c r="N127" s="393">
        <f>IF(ISBLANK(Actuals!O37),-5916.33*Escalation!$B$11,Actuals!O37)</f>
        <v>-5916.33</v>
      </c>
      <c r="O127" s="393">
        <f>IF(ISBLANK(Actuals!P37),-5916.33*Escalation!$B$12,Actuals!P37)</f>
        <v>-5916.33</v>
      </c>
      <c r="P127" s="393">
        <f>IF(ISBLANK(Actuals!Q37),-5916.33*Escalation!$B$13,Actuals!Q37)</f>
        <v>-5916.33</v>
      </c>
      <c r="Q127" s="393">
        <f>IF(ISBLANK(Actuals!R37),-5916.33*Escalation!$B$14,Actuals!R37)</f>
        <v>-6034.6566</v>
      </c>
      <c r="R127" s="393">
        <f>IF(ISBLANK(Actuals!S37),-5916.33*Escalation!$B$15,Actuals!S37)</f>
        <v>-6034.6566</v>
      </c>
      <c r="S127" s="393">
        <f>IF(ISBLANK(Actuals!T37),-5916.33*Escalation!$B$16,Actuals!T37)</f>
        <v>-6034.6566</v>
      </c>
      <c r="T127" s="393">
        <f>IF(ISBLANK(Actuals!U37),-5916.33*Escalation!$B$17,Actuals!U37)</f>
        <v>-6034.6566</v>
      </c>
      <c r="U127" s="393">
        <f>IF(ISBLANK(Actuals!V37),-5916.33*Escalation!$B$18,Actuals!V37)</f>
        <v>-6034.6566</v>
      </c>
      <c r="V127" s="393">
        <f>IF(ISBLANK(Actuals!W37),-5916.33*Escalation!$B$19,Actuals!W37)</f>
        <v>-6034.6566</v>
      </c>
      <c r="W127" s="393">
        <f>IF(ISBLANK(Actuals!X37),-5916.33*Escalation!$B$20,Actuals!X37)</f>
        <v>-6034.6566</v>
      </c>
      <c r="X127" s="393">
        <f>IF(ISBLANK(Actuals!Y37),-5916.33*Escalation!$B$21,Actuals!Y37)</f>
        <v>-6034.6566</v>
      </c>
      <c r="Y127" s="393">
        <f>IF(ISBLANK(Actuals!Z37),-5916.33*Escalation!$B$22,Actuals!Z37)</f>
        <v>-6034.6566</v>
      </c>
      <c r="Z127" s="393">
        <f>IF(ISBLANK(Actuals!AA37),-5916.33*Escalation!$B$23,Actuals!AA37)</f>
        <v>-6034.6566</v>
      </c>
      <c r="AA127" s="393">
        <f>IF(ISBLANK(Actuals!AB37),-5916.33*Escalation!$B$24,Actuals!AB37)</f>
        <v>-6034.6566</v>
      </c>
      <c r="AB127" s="393">
        <f>IF(ISBLANK(Actuals!AC37),-5916.33*Escalation!$B$25,Actuals!AC37)</f>
        <v>-6034.6566</v>
      </c>
      <c r="AC127" s="393">
        <f>IF(ISBLANK(Actuals!AD37),-5916.33*Escalation!$B$26,Actuals!AD37)</f>
        <v>-6155.349732</v>
      </c>
      <c r="AD127" s="393">
        <f>IF(ISBLANK(Actuals!AE37),-5916.33*Escalation!$B$27,Actuals!AE37)</f>
        <v>-6155.349732</v>
      </c>
      <c r="AE127" s="393">
        <f>IF(ISBLANK(Actuals!AF37),-5916.33*Escalation!$B$28,Actuals!AF37)</f>
        <v>-6155.349732</v>
      </c>
      <c r="AF127" s="393">
        <f>IF(ISBLANK(Actuals!AG37),-5916.33*Escalation!$B$29,Actuals!AG37)</f>
        <v>-6155.349732</v>
      </c>
      <c r="AG127" s="393">
        <f>IF(ISBLANK(Actuals!AH37),-5916.33*Escalation!$B$30,Actuals!AH37)</f>
        <v>-6155.349732</v>
      </c>
      <c r="AH127" s="393">
        <f>IF(ISBLANK(Actuals!AI37),-5916.33*Escalation!$B$31,Actuals!AI37)</f>
        <v>-6155.349732</v>
      </c>
      <c r="AI127" s="393">
        <f>IF(ISBLANK(Actuals!AJ37),-5916.33*Escalation!$B$32,Actuals!AJ37)</f>
        <v>-6155.349732</v>
      </c>
      <c r="AJ127" s="393">
        <f>IF(ISBLANK(Actuals!AK37),-5916.33*Escalation!$B$33,Actuals!AK37)</f>
        <v>-6155.349732</v>
      </c>
      <c r="AK127" s="393">
        <f>IF(ISBLANK(Actuals!AL37),-5916.33*Escalation!$B$34,Actuals!AL37)</f>
        <v>-6155.349732</v>
      </c>
      <c r="AL127" s="393">
        <f>IF(ISBLANK(Actuals!AM37),-5916.33*Escalation!$B$35,Actuals!AM37)</f>
        <v>-6155.349732</v>
      </c>
      <c r="AM127" s="393">
        <f>IF(ISBLANK(Actuals!AN37),-5916.33*Escalation!$B$36,Actuals!AN37)</f>
        <v>-6155.349732</v>
      </c>
      <c r="AN127" s="393">
        <f>IF(ISBLANK(Actuals!AO37),-5916.33*Escalation!$B$37,Actuals!AO37)</f>
        <v>-6155.349732</v>
      </c>
      <c r="AO127" s="393">
        <f>IF(ISBLANK(Actuals!AP37),-5916.33*Escalation!$B$38,Actuals!AP37)</f>
        <v>-6278.45672664</v>
      </c>
      <c r="AP127" s="393">
        <f>IF(ISBLANK(Actuals!AQ37),-5916.33*Escalation!$B$39,Actuals!AQ37)</f>
        <v>-6278.45672664</v>
      </c>
      <c r="AQ127" s="393">
        <f>IF(ISBLANK(Actuals!AR37),-5916.33*Escalation!$B$40,Actuals!AR37)</f>
        <v>-6278.45672664</v>
      </c>
      <c r="AR127" s="393">
        <f>IF(ISBLANK(Actuals!AS37),-5916.33*Escalation!$B$41,Actuals!AS37)</f>
        <v>-6278.45672664</v>
      </c>
      <c r="AS127" s="393">
        <f>IF(ISBLANK(Actuals!AT37),-5916.33*Escalation!$B$42,Actuals!AT37)</f>
        <v>-6278.45672664</v>
      </c>
      <c r="AT127" s="393">
        <f>IF(ISBLANK(Actuals!AU37),-5916.33*Escalation!$B$43,Actuals!AU37)</f>
        <v>-6278.45672664</v>
      </c>
      <c r="AU127" s="393">
        <f>IF(ISBLANK(Actuals!AV37),-5916.33*Escalation!$B$44,Actuals!AV37)</f>
        <v>-6278.45672664</v>
      </c>
      <c r="AV127" s="393">
        <f>IF(ISBLANK(Actuals!AW37),-5916.33*Escalation!$B$45,Actuals!AW37)</f>
        <v>-6278.45672664</v>
      </c>
      <c r="AW127" s="393">
        <f>IF(ISBLANK(Actuals!AX37),-5916.33*Escalation!$B$46,Actuals!AX37)</f>
        <v>-6278.45672664</v>
      </c>
      <c r="AX127" s="393">
        <f>IF(ISBLANK(Actuals!AY37),-5916.33*Escalation!$B$47,Actuals!AY37)</f>
        <v>-6278.45672664</v>
      </c>
      <c r="AY127" s="393">
        <f>IF(ISBLANK(Actuals!AZ37),-5916.33*Escalation!$B$48,Actuals!AZ37)</f>
        <v>-6278.45672664</v>
      </c>
      <c r="AZ127" s="393">
        <f>IF(ISBLANK(Actuals!BA37),-5916.33*Escalation!$B$49,Actuals!BA37)</f>
        <v>-6278.45672664</v>
      </c>
      <c r="BA127" s="393">
        <f>IF(ISBLANK(Actuals!BB37),-5916.33*Escalation!$B$50,Actuals!BB37)</f>
        <v>-6404.0258611728</v>
      </c>
      <c r="BB127" s="393">
        <f>IF(ISBLANK(Actuals!BC37),-5916.33*Escalation!$B$51,Actuals!BC37)</f>
        <v>-6404.0258611728</v>
      </c>
      <c r="BC127" s="393">
        <f>IF(ISBLANK(Actuals!BD37),-5916.33*Escalation!$B$52,Actuals!BD37)</f>
        <v>-6404.0258611728</v>
      </c>
      <c r="BD127" s="393">
        <f>IF(ISBLANK(Actuals!BE37),-5916.33*Escalation!$B$53,Actuals!BE37)</f>
        <v>-6404.0258611728</v>
      </c>
      <c r="BE127" s="393">
        <f>IF(ISBLANK(Actuals!BF37),-5916.33*Escalation!$B$54,Actuals!BF37)</f>
        <v>-6404.0258611728</v>
      </c>
      <c r="BF127" s="393">
        <f>IF(ISBLANK(Actuals!BG37),-5916.33*Escalation!$B$55,Actuals!BG37)</f>
        <v>-6404.0258611728</v>
      </c>
      <c r="BG127" s="393">
        <f>IF(ISBLANK(Actuals!BH37),-5916.33*Escalation!$B$56,Actuals!BH37)</f>
        <v>-6404.0258611728</v>
      </c>
      <c r="BH127" s="393">
        <f>IF(ISBLANK(Actuals!BI37),-5916.33*Escalation!$B$57,Actuals!BI37)</f>
        <v>-6404.0258611728</v>
      </c>
      <c r="BI127" s="393">
        <f>IF(ISBLANK(Actuals!BJ37),-5916.33*Escalation!$B$58,Actuals!BJ37)</f>
        <v>-6404.0258611728</v>
      </c>
      <c r="BJ127" s="393">
        <f>IF(ISBLANK(Actuals!BK37),-5916.33*Escalation!$B$59,Actuals!BK37)</f>
        <v>-6404.0258611728</v>
      </c>
      <c r="BK127" s="393">
        <f>IF(ISBLANK(Actuals!BL37),-5916.33*Escalation!$B$60,Actuals!BL37)</f>
        <v>-6404.0258611728</v>
      </c>
      <c r="BL127" s="393">
        <f>IF(ISBLANK(Actuals!BM37),-5916.33*Escalation!$B$61,Actuals!BM37)</f>
        <v>-6404.0258611728</v>
      </c>
      <c r="BM127" s="393">
        <f>IF(ISBLANK(Actuals!BN37),-5916.33*Escalation!$B$62,Actuals!BN37)</f>
        <v>-6532.10637839626</v>
      </c>
      <c r="BN127" s="393">
        <f>IF(ISBLANK(Actuals!BO37),-5916.33*Escalation!$B$63,Actuals!BO37)</f>
        <v>-6532.10637839626</v>
      </c>
      <c r="BO127" s="393">
        <f>IF(ISBLANK(Actuals!BP37),-5916.33*Escalation!$B$64,Actuals!BP37)</f>
        <v>-6532.10637839626</v>
      </c>
      <c r="BP127" s="393">
        <f>IF(ISBLANK(Actuals!BQ37),-5916.33*Escalation!$B$65,Actuals!BQ37)</f>
        <v>-6532.10637839626</v>
      </c>
      <c r="BQ127" s="393">
        <f>IF(ISBLANK(Actuals!BR37),-5916.33*Escalation!$B$66,Actuals!BR37)</f>
        <v>-6532.10637839626</v>
      </c>
      <c r="BR127" s="393">
        <f>IF(ISBLANK(Actuals!BS37),-5916.33*Escalation!$B$67,Actuals!BS37)</f>
        <v>-6532.10637839626</v>
      </c>
      <c r="BS127" s="393">
        <f>IF(ISBLANK(Actuals!BT37),-5916.33*Escalation!$B$68,Actuals!BT37)</f>
        <v>-6532.10637839626</v>
      </c>
      <c r="BT127" s="393">
        <f>IF(ISBLANK(Actuals!BU37),-5916.33*Escalation!$B$69,Actuals!BU37)</f>
        <v>-6532.10637839626</v>
      </c>
      <c r="BU127" s="393">
        <f>IF(ISBLANK(Actuals!BV37),-5916.33*Escalation!$B$70,Actuals!BV37)</f>
        <v>-6532.10637839626</v>
      </c>
      <c r="BV127" s="393">
        <f>IF(ISBLANK(Actuals!BW37),-5916.33*Escalation!$B$71,Actuals!BW37)</f>
        <v>-6532.10637839626</v>
      </c>
      <c r="BW127" s="393">
        <f>IF(ISBLANK(Actuals!BX37),-5916.33*Escalation!$B$72,Actuals!BX37)</f>
        <v>-6532.10637839626</v>
      </c>
      <c r="BX127" s="393">
        <f>IF(ISBLANK(Actuals!BY37),-5916.33*Escalation!$B$73,Actuals!BY37)</f>
        <v>-6532.10637839626</v>
      </c>
      <c r="BY127" s="393">
        <f>IF(ISBLANK(Actuals!BZ37),-5916.33*Escalation!$B$74,Actuals!BZ37)</f>
        <v>-6662.74850596418</v>
      </c>
      <c r="BZ127" s="393">
        <f>IF(ISBLANK(Actuals!CA37),-5916.33*Escalation!$B$75,Actuals!CA37)</f>
        <v>-6662.74850596418</v>
      </c>
      <c r="CA127" s="393">
        <f>IF(ISBLANK(Actuals!CB37),-5916.33*Escalation!$B$76,Actuals!CB37)</f>
        <v>-6662.74850596418</v>
      </c>
      <c r="CB127" s="393">
        <f>IF(ISBLANK(Actuals!CC37),-5916.33*Escalation!$B$77,Actuals!CC37)</f>
        <v>-6662.74850596418</v>
      </c>
      <c r="CC127" s="393">
        <f>IF(ISBLANK(Actuals!CD37),-5916.33*Escalation!$B$78,Actuals!CD37)</f>
        <v>-6662.74850596418</v>
      </c>
      <c r="CD127" s="393">
        <f>IF(ISBLANK(Actuals!CE37),-5916.33*Escalation!$B$79,Actuals!CE37)</f>
        <v>-6662.74850596418</v>
      </c>
      <c r="CE127" s="393">
        <f>IF(ISBLANK(Actuals!CF37),-5916.33*Escalation!$B$80,Actuals!CF37)</f>
        <v>-6662.74850596418</v>
      </c>
      <c r="CF127" s="393">
        <f>IF(ISBLANK(Actuals!CG37),-5916.33*Escalation!$B$81,Actuals!CG37)</f>
        <v>-6662.74850596418</v>
      </c>
      <c r="CG127" s="393">
        <f>IF(ISBLANK(Actuals!CH37),-5916.33*Escalation!$B$82,Actuals!CH37)</f>
        <v>-6662.74850596418</v>
      </c>
      <c r="CH127" s="393">
        <f>IF(ISBLANK(Actuals!CI37),-5916.33*Escalation!$B$83,Actuals!CI37)</f>
        <v>-6662.74850596418</v>
      </c>
      <c r="CI127" s="393">
        <f>IF(ISBLANK(Actuals!CJ37),-5916.33*Escalation!$B$84,Actuals!CJ37)</f>
        <v>-6662.74850596418</v>
      </c>
      <c r="CJ127" s="393">
        <f>IF(ISBLANK(Actuals!CK37),-5916.33*Escalation!$B$85,Actuals!CK37)</f>
        <v>-6662.74850596418</v>
      </c>
      <c r="CK127" s="393">
        <f>IF(ISBLANK(Actuals!CL37),-5916.33*Escalation!$B$86,Actuals!CL37)</f>
        <v>-6796.00347608347</v>
      </c>
      <c r="CL127" s="393">
        <f>IF(ISBLANK(Actuals!CM37),-5916.33*Escalation!$B$87,Actuals!CM37)</f>
        <v>-6796.00347608347</v>
      </c>
      <c r="CM127" s="393">
        <f>IF(ISBLANK(Actuals!CN37),-5916.33*Escalation!$B$88,Actuals!CN37)</f>
        <v>-6796.00347608347</v>
      </c>
      <c r="CN127" s="393">
        <f>IF(ISBLANK(Actuals!CO37),-5916.33*Escalation!$B$89,Actuals!CO37)</f>
        <v>-6796.00347608347</v>
      </c>
      <c r="CO127" s="393">
        <f>IF(ISBLANK(Actuals!CP37),-5916.33*Escalation!$B$90,Actuals!CP37)</f>
        <v>-6796.00347608347</v>
      </c>
      <c r="CP127" s="393">
        <f>IF(ISBLANK(Actuals!CQ37),-5916.33*Escalation!$B$91,Actuals!CQ37)</f>
        <v>-6796.00347608347</v>
      </c>
      <c r="CQ127" s="393">
        <f>IF(ISBLANK(Actuals!CR37),-5916.33*Escalation!$B$92,Actuals!CR37)</f>
        <v>-6796.00347608347</v>
      </c>
      <c r="CR127" s="393">
        <f>IF(ISBLANK(Actuals!CS37),-5916.33*Escalation!$B$93,Actuals!CS37)</f>
        <v>-6796.00347608347</v>
      </c>
      <c r="CS127" s="393">
        <f>IF(ISBLANK(Actuals!CT37),-5916.33*Escalation!$B$94,Actuals!CT37)</f>
        <v>-6796.00347608347</v>
      </c>
      <c r="CT127" s="393">
        <f>IF(ISBLANK(Actuals!CU37),-5916.33*Escalation!$B$95,Actuals!CU37)</f>
        <v>-6796.00347608347</v>
      </c>
      <c r="CU127" s="393">
        <f>IF(ISBLANK(Actuals!CV37),-5916.33*Escalation!$B$96,Actuals!CV37)</f>
        <v>-6796.00347608347</v>
      </c>
      <c r="CV127" s="393">
        <f>IF(ISBLANK(Actuals!CW37),-5916.33*Escalation!$B$97,Actuals!CW37)</f>
        <v>-6796.00347608347</v>
      </c>
      <c r="CW127" s="393">
        <f>IF(ISBLANK(Actuals!CX37),-5916.33*Escalation!$B$98,Actuals!CX37)</f>
        <v>-6931.92354560514</v>
      </c>
      <c r="CX127" s="393">
        <f>IF(ISBLANK(Actuals!CY37),-5916.33*Escalation!$B$99,Actuals!CY37)</f>
        <v>-6931.92354560514</v>
      </c>
      <c r="CY127" s="393">
        <f>IF(ISBLANK(Actuals!CZ37),-5916.33*Escalation!$B$100,Actuals!CZ37)</f>
        <v>-6931.92354560514</v>
      </c>
      <c r="CZ127" s="393">
        <f>IF(ISBLANK(Actuals!DA37),-5916.33*Escalation!$B$101,Actuals!DA37)</f>
        <v>-6931.92354560514</v>
      </c>
      <c r="DA127" s="393">
        <f>IF(ISBLANK(Actuals!DB37),-5916.33*Escalation!$B$102,Actuals!DB37)</f>
        <v>-6931.92354560514</v>
      </c>
      <c r="DB127" s="393">
        <f>IF(ISBLANK(Actuals!DC37),-5916.33*Escalation!$B$103,Actuals!DC37)</f>
        <v>-6931.92354560514</v>
      </c>
      <c r="DC127" s="393">
        <f>IF(ISBLANK(Actuals!DD37),-5916.33*Escalation!$B$104,Actuals!DD37)</f>
        <v>-6931.92354560514</v>
      </c>
      <c r="DD127" s="393">
        <f>IF(ISBLANK(Actuals!DE37),-5916.33*Escalation!$B$105,Actuals!DE37)</f>
        <v>-6931.92354560514</v>
      </c>
      <c r="DE127" s="393">
        <f>IF(ISBLANK(Actuals!DF37),-5916.33*Escalation!$B$106,Actuals!DF37)</f>
        <v>-6931.92354560514</v>
      </c>
    </row>
    <row r="128" ht="15" customFormat="1" customHeight="1" s="381">
      <c r="A128" s="398" t="inlineStr">
        <is>
          <t>5500-1004 Consultants and Other Professional Expenses</t>
        </is>
      </c>
      <c r="B128" s="393">
        <f>IF(ISBLANK(Actuals!C38),0,Actuals!C38)</f>
        <v>0</v>
      </c>
      <c r="C128" s="393">
        <f>IF(ISBLANK(Actuals!D38),0,Actuals!D38)</f>
        <v>0</v>
      </c>
      <c r="D128" s="393">
        <f>IF(ISBLANK(Actuals!E38),0,Actuals!E38)</f>
        <v>-750.4</v>
      </c>
      <c r="E128" s="393">
        <f>IF(ISBLANK(Actuals!F38),-250.13*Escalation!$B$2,Actuals!F38)</f>
        <v>0</v>
      </c>
      <c r="F128" s="393">
        <f>IF(ISBLANK(Actuals!G38),-250.13*Escalation!$B$3,Actuals!G38)</f>
        <v>0</v>
      </c>
      <c r="G128" s="393">
        <f>IF(ISBLANK(Actuals!H38),-250.13*Escalation!$B$4,Actuals!H38)</f>
        <v>0</v>
      </c>
      <c r="H128" s="393">
        <f>IF(ISBLANK(Actuals!I38),-250.13*Escalation!$B$5,Actuals!I38)</f>
        <v>-250.13</v>
      </c>
      <c r="I128" s="393">
        <f>IF(ISBLANK(Actuals!J38),-250.13*Escalation!$B$6,Actuals!J38)</f>
        <v>-250.13</v>
      </c>
      <c r="J128" s="393">
        <f>IF(ISBLANK(Actuals!K38),-250.13*Escalation!$B$7,Actuals!K38)</f>
        <v>-250.13</v>
      </c>
      <c r="K128" s="393">
        <f>IF(ISBLANK(Actuals!L38),-250.13*Escalation!$B$8,Actuals!L38)</f>
        <v>-250.13</v>
      </c>
      <c r="L128" s="393">
        <f>IF(ISBLANK(Actuals!M38),-250.13*Escalation!$B$9,Actuals!M38)</f>
        <v>-250.13</v>
      </c>
      <c r="M128" s="393">
        <f>IF(ISBLANK(Actuals!N38),-250.13*Escalation!$B$10,Actuals!N38)</f>
        <v>-250.13</v>
      </c>
      <c r="N128" s="393">
        <f>IF(ISBLANK(Actuals!O38),-250.13*Escalation!$B$11,Actuals!O38)</f>
        <v>-250.13</v>
      </c>
      <c r="O128" s="393">
        <f>IF(ISBLANK(Actuals!P38),-250.13*Escalation!$B$12,Actuals!P38)</f>
        <v>-250.13</v>
      </c>
      <c r="P128" s="393">
        <f>IF(ISBLANK(Actuals!Q38),-250.13*Escalation!$B$13,Actuals!Q38)</f>
        <v>-250.13</v>
      </c>
      <c r="Q128" s="393">
        <f>IF(ISBLANK(Actuals!R38),-250.13*Escalation!$B$14,Actuals!R38)</f>
        <v>-255.1326</v>
      </c>
      <c r="R128" s="393">
        <f>IF(ISBLANK(Actuals!S38),-250.13*Escalation!$B$15,Actuals!S38)</f>
        <v>-255.1326</v>
      </c>
      <c r="S128" s="393">
        <f>IF(ISBLANK(Actuals!T38),-250.13*Escalation!$B$16,Actuals!T38)</f>
        <v>-255.1326</v>
      </c>
      <c r="T128" s="393">
        <f>IF(ISBLANK(Actuals!U38),-250.13*Escalation!$B$17,Actuals!U38)</f>
        <v>-255.1326</v>
      </c>
      <c r="U128" s="393">
        <f>IF(ISBLANK(Actuals!V38),-250.13*Escalation!$B$18,Actuals!V38)</f>
        <v>-255.1326</v>
      </c>
      <c r="V128" s="393">
        <f>IF(ISBLANK(Actuals!W38),-250.13*Escalation!$B$19,Actuals!W38)</f>
        <v>-255.1326</v>
      </c>
      <c r="W128" s="393">
        <f>IF(ISBLANK(Actuals!X38),-250.13*Escalation!$B$20,Actuals!X38)</f>
        <v>-255.1326</v>
      </c>
      <c r="X128" s="393">
        <f>IF(ISBLANK(Actuals!Y38),-250.13*Escalation!$B$21,Actuals!Y38)</f>
        <v>-255.1326</v>
      </c>
      <c r="Y128" s="393">
        <f>IF(ISBLANK(Actuals!Z38),-250.13*Escalation!$B$22,Actuals!Z38)</f>
        <v>-255.1326</v>
      </c>
      <c r="Z128" s="393">
        <f>IF(ISBLANK(Actuals!AA38),-250.13*Escalation!$B$23,Actuals!AA38)</f>
        <v>-255.1326</v>
      </c>
      <c r="AA128" s="393">
        <f>IF(ISBLANK(Actuals!AB38),-250.13*Escalation!$B$24,Actuals!AB38)</f>
        <v>-255.1326</v>
      </c>
      <c r="AB128" s="393">
        <f>IF(ISBLANK(Actuals!AC38),-250.13*Escalation!$B$25,Actuals!AC38)</f>
        <v>-255.1326</v>
      </c>
      <c r="AC128" s="393">
        <f>IF(ISBLANK(Actuals!AD38),-250.13*Escalation!$B$26,Actuals!AD38)</f>
        <v>-260.235252</v>
      </c>
      <c r="AD128" s="393">
        <f>IF(ISBLANK(Actuals!AE38),-250.13*Escalation!$B$27,Actuals!AE38)</f>
        <v>-260.235252</v>
      </c>
      <c r="AE128" s="393">
        <f>IF(ISBLANK(Actuals!AF38),-250.13*Escalation!$B$28,Actuals!AF38)</f>
        <v>-260.235252</v>
      </c>
      <c r="AF128" s="393">
        <f>IF(ISBLANK(Actuals!AG38),-250.13*Escalation!$B$29,Actuals!AG38)</f>
        <v>-260.235252</v>
      </c>
      <c r="AG128" s="393">
        <f>IF(ISBLANK(Actuals!AH38),-250.13*Escalation!$B$30,Actuals!AH38)</f>
        <v>-260.235252</v>
      </c>
      <c r="AH128" s="393">
        <f>IF(ISBLANK(Actuals!AI38),-250.13*Escalation!$B$31,Actuals!AI38)</f>
        <v>-260.235252</v>
      </c>
      <c r="AI128" s="393">
        <f>IF(ISBLANK(Actuals!AJ38),-250.13*Escalation!$B$32,Actuals!AJ38)</f>
        <v>-260.235252</v>
      </c>
      <c r="AJ128" s="393">
        <f>IF(ISBLANK(Actuals!AK38),-250.13*Escalation!$B$33,Actuals!AK38)</f>
        <v>-260.235252</v>
      </c>
      <c r="AK128" s="393">
        <f>IF(ISBLANK(Actuals!AL38),-250.13*Escalation!$B$34,Actuals!AL38)</f>
        <v>-260.235252</v>
      </c>
      <c r="AL128" s="393">
        <f>IF(ISBLANK(Actuals!AM38),-250.13*Escalation!$B$35,Actuals!AM38)</f>
        <v>-260.235252</v>
      </c>
      <c r="AM128" s="393">
        <f>IF(ISBLANK(Actuals!AN38),-250.13*Escalation!$B$36,Actuals!AN38)</f>
        <v>-260.235252</v>
      </c>
      <c r="AN128" s="393">
        <f>IF(ISBLANK(Actuals!AO38),-250.13*Escalation!$B$37,Actuals!AO38)</f>
        <v>-260.235252</v>
      </c>
      <c r="AO128" s="393">
        <f>IF(ISBLANK(Actuals!AP38),-250.13*Escalation!$B$38,Actuals!AP38)</f>
        <v>-265.43995704</v>
      </c>
      <c r="AP128" s="393">
        <f>IF(ISBLANK(Actuals!AQ38),-250.13*Escalation!$B$39,Actuals!AQ38)</f>
        <v>-265.43995704</v>
      </c>
      <c r="AQ128" s="393">
        <f>IF(ISBLANK(Actuals!AR38),-250.13*Escalation!$B$40,Actuals!AR38)</f>
        <v>-265.43995704</v>
      </c>
      <c r="AR128" s="393">
        <f>IF(ISBLANK(Actuals!AS38),-250.13*Escalation!$B$41,Actuals!AS38)</f>
        <v>-265.43995704</v>
      </c>
      <c r="AS128" s="393">
        <f>IF(ISBLANK(Actuals!AT38),-250.13*Escalation!$B$42,Actuals!AT38)</f>
        <v>-265.43995704</v>
      </c>
      <c r="AT128" s="393">
        <f>IF(ISBLANK(Actuals!AU38),-250.13*Escalation!$B$43,Actuals!AU38)</f>
        <v>-265.43995704</v>
      </c>
      <c r="AU128" s="393">
        <f>IF(ISBLANK(Actuals!AV38),-250.13*Escalation!$B$44,Actuals!AV38)</f>
        <v>-265.43995704</v>
      </c>
      <c r="AV128" s="393">
        <f>IF(ISBLANK(Actuals!AW38),-250.13*Escalation!$B$45,Actuals!AW38)</f>
        <v>-265.43995704</v>
      </c>
      <c r="AW128" s="393">
        <f>IF(ISBLANK(Actuals!AX38),-250.13*Escalation!$B$46,Actuals!AX38)</f>
        <v>-265.43995704</v>
      </c>
      <c r="AX128" s="393">
        <f>IF(ISBLANK(Actuals!AY38),-250.13*Escalation!$B$47,Actuals!AY38)</f>
        <v>-265.43995704</v>
      </c>
      <c r="AY128" s="393">
        <f>IF(ISBLANK(Actuals!AZ38),-250.13*Escalation!$B$48,Actuals!AZ38)</f>
        <v>-265.43995704</v>
      </c>
      <c r="AZ128" s="393">
        <f>IF(ISBLANK(Actuals!BA38),-250.13*Escalation!$B$49,Actuals!BA38)</f>
        <v>-265.43995704</v>
      </c>
      <c r="BA128" s="393">
        <f>IF(ISBLANK(Actuals!BB38),-250.13*Escalation!$B$50,Actuals!BB38)</f>
        <v>-270.7487561808</v>
      </c>
      <c r="BB128" s="393">
        <f>IF(ISBLANK(Actuals!BC38),-250.13*Escalation!$B$51,Actuals!BC38)</f>
        <v>-270.7487561808</v>
      </c>
      <c r="BC128" s="393">
        <f>IF(ISBLANK(Actuals!BD38),-250.13*Escalation!$B$52,Actuals!BD38)</f>
        <v>-270.7487561808</v>
      </c>
      <c r="BD128" s="393">
        <f>IF(ISBLANK(Actuals!BE38),-250.13*Escalation!$B$53,Actuals!BE38)</f>
        <v>-270.7487561808</v>
      </c>
      <c r="BE128" s="393">
        <f>IF(ISBLANK(Actuals!BF38),-250.13*Escalation!$B$54,Actuals!BF38)</f>
        <v>-270.7487561808</v>
      </c>
      <c r="BF128" s="393">
        <f>IF(ISBLANK(Actuals!BG38),-250.13*Escalation!$B$55,Actuals!BG38)</f>
        <v>-270.7487561808</v>
      </c>
      <c r="BG128" s="393">
        <f>IF(ISBLANK(Actuals!BH38),-250.13*Escalation!$B$56,Actuals!BH38)</f>
        <v>-270.7487561808</v>
      </c>
      <c r="BH128" s="393">
        <f>IF(ISBLANK(Actuals!BI38),-250.13*Escalation!$B$57,Actuals!BI38)</f>
        <v>-270.7487561808</v>
      </c>
      <c r="BI128" s="393">
        <f>IF(ISBLANK(Actuals!BJ38),-250.13*Escalation!$B$58,Actuals!BJ38)</f>
        <v>-270.7487561808</v>
      </c>
      <c r="BJ128" s="393">
        <f>IF(ISBLANK(Actuals!BK38),-250.13*Escalation!$B$59,Actuals!BK38)</f>
        <v>-270.7487561808</v>
      </c>
      <c r="BK128" s="393">
        <f>IF(ISBLANK(Actuals!BL38),-250.13*Escalation!$B$60,Actuals!BL38)</f>
        <v>-270.7487561808</v>
      </c>
      <c r="BL128" s="393">
        <f>IF(ISBLANK(Actuals!BM38),-250.13*Escalation!$B$61,Actuals!BM38)</f>
        <v>-270.7487561808</v>
      </c>
      <c r="BM128" s="393">
        <f>IF(ISBLANK(Actuals!BN38),-250.13*Escalation!$B$62,Actuals!BN38)</f>
        <v>-276.163731304416</v>
      </c>
      <c r="BN128" s="393">
        <f>IF(ISBLANK(Actuals!BO38),-250.13*Escalation!$B$63,Actuals!BO38)</f>
        <v>-276.163731304416</v>
      </c>
      <c r="BO128" s="393">
        <f>IF(ISBLANK(Actuals!BP38),-250.13*Escalation!$B$64,Actuals!BP38)</f>
        <v>-276.163731304416</v>
      </c>
      <c r="BP128" s="393">
        <f>IF(ISBLANK(Actuals!BQ38),-250.13*Escalation!$B$65,Actuals!BQ38)</f>
        <v>-276.163731304416</v>
      </c>
      <c r="BQ128" s="393">
        <f>IF(ISBLANK(Actuals!BR38),-250.13*Escalation!$B$66,Actuals!BR38)</f>
        <v>-276.163731304416</v>
      </c>
      <c r="BR128" s="393">
        <f>IF(ISBLANK(Actuals!BS38),-250.13*Escalation!$B$67,Actuals!BS38)</f>
        <v>-276.163731304416</v>
      </c>
      <c r="BS128" s="393">
        <f>IF(ISBLANK(Actuals!BT38),-250.13*Escalation!$B$68,Actuals!BT38)</f>
        <v>-276.163731304416</v>
      </c>
      <c r="BT128" s="393">
        <f>IF(ISBLANK(Actuals!BU38),-250.13*Escalation!$B$69,Actuals!BU38)</f>
        <v>-276.163731304416</v>
      </c>
      <c r="BU128" s="393">
        <f>IF(ISBLANK(Actuals!BV38),-250.13*Escalation!$B$70,Actuals!BV38)</f>
        <v>-276.163731304416</v>
      </c>
      <c r="BV128" s="393">
        <f>IF(ISBLANK(Actuals!BW38),-250.13*Escalation!$B$71,Actuals!BW38)</f>
        <v>-276.163731304416</v>
      </c>
      <c r="BW128" s="393">
        <f>IF(ISBLANK(Actuals!BX38),-250.13*Escalation!$B$72,Actuals!BX38)</f>
        <v>-276.163731304416</v>
      </c>
      <c r="BX128" s="393">
        <f>IF(ISBLANK(Actuals!BY38),-250.13*Escalation!$B$73,Actuals!BY38)</f>
        <v>-276.163731304416</v>
      </c>
      <c r="BY128" s="393">
        <f>IF(ISBLANK(Actuals!BZ38),-250.13*Escalation!$B$74,Actuals!BZ38)</f>
        <v>-281.687005930504</v>
      </c>
      <c r="BZ128" s="393">
        <f>IF(ISBLANK(Actuals!CA38),-250.13*Escalation!$B$75,Actuals!CA38)</f>
        <v>-281.687005930504</v>
      </c>
      <c r="CA128" s="393">
        <f>IF(ISBLANK(Actuals!CB38),-250.13*Escalation!$B$76,Actuals!CB38)</f>
        <v>-281.687005930504</v>
      </c>
      <c r="CB128" s="393">
        <f>IF(ISBLANK(Actuals!CC38),-250.13*Escalation!$B$77,Actuals!CC38)</f>
        <v>-281.687005930504</v>
      </c>
      <c r="CC128" s="393">
        <f>IF(ISBLANK(Actuals!CD38),-250.13*Escalation!$B$78,Actuals!CD38)</f>
        <v>-281.687005930504</v>
      </c>
      <c r="CD128" s="393">
        <f>IF(ISBLANK(Actuals!CE38),-250.13*Escalation!$B$79,Actuals!CE38)</f>
        <v>-281.687005930504</v>
      </c>
      <c r="CE128" s="393">
        <f>IF(ISBLANK(Actuals!CF38),-250.13*Escalation!$B$80,Actuals!CF38)</f>
        <v>-281.687005930504</v>
      </c>
      <c r="CF128" s="393">
        <f>IF(ISBLANK(Actuals!CG38),-250.13*Escalation!$B$81,Actuals!CG38)</f>
        <v>-281.687005930504</v>
      </c>
      <c r="CG128" s="393">
        <f>IF(ISBLANK(Actuals!CH38),-250.13*Escalation!$B$82,Actuals!CH38)</f>
        <v>-281.687005930504</v>
      </c>
      <c r="CH128" s="393">
        <f>IF(ISBLANK(Actuals!CI38),-250.13*Escalation!$B$83,Actuals!CI38)</f>
        <v>-281.687005930504</v>
      </c>
      <c r="CI128" s="393">
        <f>IF(ISBLANK(Actuals!CJ38),-250.13*Escalation!$B$84,Actuals!CJ38)</f>
        <v>-281.687005930504</v>
      </c>
      <c r="CJ128" s="393">
        <f>IF(ISBLANK(Actuals!CK38),-250.13*Escalation!$B$85,Actuals!CK38)</f>
        <v>-281.687005930504</v>
      </c>
      <c r="CK128" s="393">
        <f>IF(ISBLANK(Actuals!CL38),-250.13*Escalation!$B$86,Actuals!CL38)</f>
        <v>-287.320746049114</v>
      </c>
      <c r="CL128" s="393">
        <f>IF(ISBLANK(Actuals!CM38),-250.13*Escalation!$B$87,Actuals!CM38)</f>
        <v>-287.320746049114</v>
      </c>
      <c r="CM128" s="393">
        <f>IF(ISBLANK(Actuals!CN38),-250.13*Escalation!$B$88,Actuals!CN38)</f>
        <v>-287.320746049114</v>
      </c>
      <c r="CN128" s="393">
        <f>IF(ISBLANK(Actuals!CO38),-250.13*Escalation!$B$89,Actuals!CO38)</f>
        <v>-287.320746049114</v>
      </c>
      <c r="CO128" s="393">
        <f>IF(ISBLANK(Actuals!CP38),-250.13*Escalation!$B$90,Actuals!CP38)</f>
        <v>-287.320746049114</v>
      </c>
      <c r="CP128" s="393">
        <f>IF(ISBLANK(Actuals!CQ38),-250.13*Escalation!$B$91,Actuals!CQ38)</f>
        <v>-287.320746049114</v>
      </c>
      <c r="CQ128" s="393">
        <f>IF(ISBLANK(Actuals!CR38),-250.13*Escalation!$B$92,Actuals!CR38)</f>
        <v>-287.320746049114</v>
      </c>
      <c r="CR128" s="393">
        <f>IF(ISBLANK(Actuals!CS38),-250.13*Escalation!$B$93,Actuals!CS38)</f>
        <v>-287.320746049114</v>
      </c>
      <c r="CS128" s="393">
        <f>IF(ISBLANK(Actuals!CT38),-250.13*Escalation!$B$94,Actuals!CT38)</f>
        <v>-287.320746049114</v>
      </c>
      <c r="CT128" s="393">
        <f>IF(ISBLANK(Actuals!CU38),-250.13*Escalation!$B$95,Actuals!CU38)</f>
        <v>-287.320746049114</v>
      </c>
      <c r="CU128" s="393">
        <f>IF(ISBLANK(Actuals!CV38),-250.13*Escalation!$B$96,Actuals!CV38)</f>
        <v>-287.320746049114</v>
      </c>
      <c r="CV128" s="393">
        <f>IF(ISBLANK(Actuals!CW38),-250.13*Escalation!$B$97,Actuals!CW38)</f>
        <v>-287.320746049114</v>
      </c>
      <c r="CW128" s="393">
        <f>IF(ISBLANK(Actuals!CX38),-250.13*Escalation!$B$98,Actuals!CX38)</f>
        <v>-293.067160970097</v>
      </c>
      <c r="CX128" s="393">
        <f>IF(ISBLANK(Actuals!CY38),-250.13*Escalation!$B$99,Actuals!CY38)</f>
        <v>-293.067160970097</v>
      </c>
      <c r="CY128" s="393">
        <f>IF(ISBLANK(Actuals!CZ38),-250.13*Escalation!$B$100,Actuals!CZ38)</f>
        <v>-293.067160970097</v>
      </c>
      <c r="CZ128" s="393">
        <f>IF(ISBLANK(Actuals!DA38),-250.13*Escalation!$B$101,Actuals!DA38)</f>
        <v>-293.067160970097</v>
      </c>
      <c r="DA128" s="393">
        <f>IF(ISBLANK(Actuals!DB38),-250.13*Escalation!$B$102,Actuals!DB38)</f>
        <v>-293.067160970097</v>
      </c>
      <c r="DB128" s="393">
        <f>IF(ISBLANK(Actuals!DC38),-250.13*Escalation!$B$103,Actuals!DC38)</f>
        <v>-293.067160970097</v>
      </c>
      <c r="DC128" s="393">
        <f>IF(ISBLANK(Actuals!DD38),-250.13*Escalation!$B$104,Actuals!DD38)</f>
        <v>-293.067160970097</v>
      </c>
      <c r="DD128" s="393">
        <f>IF(ISBLANK(Actuals!DE38),-250.13*Escalation!$B$105,Actuals!DE38)</f>
        <v>-293.067160970097</v>
      </c>
      <c r="DE128" s="393">
        <f>IF(ISBLANK(Actuals!DF38),-250.13*Escalation!$B$106,Actuals!DF38)</f>
        <v>-293.067160970097</v>
      </c>
    </row>
    <row r="129" ht="15" customFormat="1" customHeight="1" s="381">
      <c r="A129" s="398" t="inlineStr">
        <is>
          <t>5500-1050 General Insurance</t>
        </is>
      </c>
      <c r="B129" s="393">
        <f>IF(ISBLANK(Actuals!C39),0,Actuals!C39)</f>
        <v>-1474.63</v>
      </c>
      <c r="C129" s="393">
        <f>IF(ISBLANK(Actuals!D39),0,Actuals!D39)</f>
        <v>-1449.33</v>
      </c>
      <c r="D129" s="393">
        <f>IF(ISBLANK(Actuals!E39),0,Actuals!E39)</f>
        <v>-2328.76</v>
      </c>
      <c r="E129" s="393">
        <f>IF(ISBLANK(Actuals!F39),-1750.91*Escalation!$B$2,Actuals!F39)</f>
        <v>-2249.56</v>
      </c>
      <c r="F129" s="393">
        <f>IF(ISBLANK(Actuals!G39),-1750.91*Escalation!$B$3,Actuals!G39)</f>
        <v>-2759.48</v>
      </c>
      <c r="G129" s="393">
        <f>IF(ISBLANK(Actuals!H39),-1750.91*Escalation!$B$4,Actuals!H39)</f>
        <v>-2749.12</v>
      </c>
      <c r="H129" s="393">
        <f>IF(ISBLANK(Actuals!I39),-1750.91*Escalation!$B$5,Actuals!I39)</f>
        <v>-1750.91</v>
      </c>
      <c r="I129" s="393">
        <f>IF(ISBLANK(Actuals!J39),-1750.91*Escalation!$B$6,Actuals!J39)</f>
        <v>-1750.91</v>
      </c>
      <c r="J129" s="393">
        <f>IF(ISBLANK(Actuals!K39),-1750.91*Escalation!$B$7,Actuals!K39)</f>
        <v>-1750.91</v>
      </c>
      <c r="K129" s="393">
        <f>IF(ISBLANK(Actuals!L39),-1750.91*Escalation!$B$8,Actuals!L39)</f>
        <v>-1750.91</v>
      </c>
      <c r="L129" s="393">
        <f>IF(ISBLANK(Actuals!M39),-1750.91*Escalation!$B$9,Actuals!M39)</f>
        <v>-1750.91</v>
      </c>
      <c r="M129" s="393">
        <f>IF(ISBLANK(Actuals!N39),-1750.91*Escalation!$B$10,Actuals!N39)</f>
        <v>-1750.91</v>
      </c>
      <c r="N129" s="393">
        <f>IF(ISBLANK(Actuals!O39),-1750.91*Escalation!$B$11,Actuals!O39)</f>
        <v>-1750.91</v>
      </c>
      <c r="O129" s="393">
        <f>IF(ISBLANK(Actuals!P39),-1750.91*Escalation!$B$12,Actuals!P39)</f>
        <v>-1750.91</v>
      </c>
      <c r="P129" s="393">
        <f>IF(ISBLANK(Actuals!Q39),-1750.91*Escalation!$B$13,Actuals!Q39)</f>
        <v>-1750.91</v>
      </c>
      <c r="Q129" s="393">
        <f>IF(ISBLANK(Actuals!R39),-1750.91*Escalation!$B$14,Actuals!R39)</f>
        <v>-1785.9282</v>
      </c>
      <c r="R129" s="393">
        <f>IF(ISBLANK(Actuals!S39),-1750.91*Escalation!$B$15,Actuals!S39)</f>
        <v>-1785.9282</v>
      </c>
      <c r="S129" s="393">
        <f>IF(ISBLANK(Actuals!T39),-1750.91*Escalation!$B$16,Actuals!T39)</f>
        <v>-1785.9282</v>
      </c>
      <c r="T129" s="393">
        <f>IF(ISBLANK(Actuals!U39),-1750.91*Escalation!$B$17,Actuals!U39)</f>
        <v>-1785.9282</v>
      </c>
      <c r="U129" s="393">
        <f>IF(ISBLANK(Actuals!V39),-1750.91*Escalation!$B$18,Actuals!V39)</f>
        <v>-1785.9282</v>
      </c>
      <c r="V129" s="393">
        <f>IF(ISBLANK(Actuals!W39),-1750.91*Escalation!$B$19,Actuals!W39)</f>
        <v>-1785.9282</v>
      </c>
      <c r="W129" s="393">
        <f>IF(ISBLANK(Actuals!X39),-1750.91*Escalation!$B$20,Actuals!X39)</f>
        <v>-1785.9282</v>
      </c>
      <c r="X129" s="393">
        <f>IF(ISBLANK(Actuals!Y39),-1750.91*Escalation!$B$21,Actuals!Y39)</f>
        <v>-1785.9282</v>
      </c>
      <c r="Y129" s="393">
        <f>IF(ISBLANK(Actuals!Z39),-1750.91*Escalation!$B$22,Actuals!Z39)</f>
        <v>-1785.9282</v>
      </c>
      <c r="Z129" s="393">
        <f>IF(ISBLANK(Actuals!AA39),-1750.91*Escalation!$B$23,Actuals!AA39)</f>
        <v>-1785.9282</v>
      </c>
      <c r="AA129" s="393">
        <f>IF(ISBLANK(Actuals!AB39),-1750.91*Escalation!$B$24,Actuals!AB39)</f>
        <v>-1785.9282</v>
      </c>
      <c r="AB129" s="393">
        <f>IF(ISBLANK(Actuals!AC39),-1750.91*Escalation!$B$25,Actuals!AC39)</f>
        <v>-1785.9282</v>
      </c>
      <c r="AC129" s="393">
        <f>IF(ISBLANK(Actuals!AD39),-1750.91*Escalation!$B$26,Actuals!AD39)</f>
        <v>-1821.646764</v>
      </c>
      <c r="AD129" s="393">
        <f>IF(ISBLANK(Actuals!AE39),-1750.91*Escalation!$B$27,Actuals!AE39)</f>
        <v>-1821.646764</v>
      </c>
      <c r="AE129" s="393">
        <f>IF(ISBLANK(Actuals!AF39),-1750.91*Escalation!$B$28,Actuals!AF39)</f>
        <v>-1821.646764</v>
      </c>
      <c r="AF129" s="393">
        <f>IF(ISBLANK(Actuals!AG39),-1750.91*Escalation!$B$29,Actuals!AG39)</f>
        <v>-1821.646764</v>
      </c>
      <c r="AG129" s="393">
        <f>IF(ISBLANK(Actuals!AH39),-1750.91*Escalation!$B$30,Actuals!AH39)</f>
        <v>-1821.646764</v>
      </c>
      <c r="AH129" s="393">
        <f>IF(ISBLANK(Actuals!AI39),-1750.91*Escalation!$B$31,Actuals!AI39)</f>
        <v>-1821.646764</v>
      </c>
      <c r="AI129" s="393">
        <f>IF(ISBLANK(Actuals!AJ39),-1750.91*Escalation!$B$32,Actuals!AJ39)</f>
        <v>-1821.646764</v>
      </c>
      <c r="AJ129" s="393">
        <f>IF(ISBLANK(Actuals!AK39),-1750.91*Escalation!$B$33,Actuals!AK39)</f>
        <v>-1821.646764</v>
      </c>
      <c r="AK129" s="393">
        <f>IF(ISBLANK(Actuals!AL39),-1750.91*Escalation!$B$34,Actuals!AL39)</f>
        <v>-1821.646764</v>
      </c>
      <c r="AL129" s="393">
        <f>IF(ISBLANK(Actuals!AM39),-1750.91*Escalation!$B$35,Actuals!AM39)</f>
        <v>-1821.646764</v>
      </c>
      <c r="AM129" s="393">
        <f>IF(ISBLANK(Actuals!AN39),-1750.91*Escalation!$B$36,Actuals!AN39)</f>
        <v>-1821.646764</v>
      </c>
      <c r="AN129" s="393">
        <f>IF(ISBLANK(Actuals!AO39),-1750.91*Escalation!$B$37,Actuals!AO39)</f>
        <v>-1821.646764</v>
      </c>
      <c r="AO129" s="393">
        <f>IF(ISBLANK(Actuals!AP39),-1750.91*Escalation!$B$38,Actuals!AP39)</f>
        <v>-1858.07969928</v>
      </c>
      <c r="AP129" s="393">
        <f>IF(ISBLANK(Actuals!AQ39),-1750.91*Escalation!$B$39,Actuals!AQ39)</f>
        <v>-1858.07969928</v>
      </c>
      <c r="AQ129" s="393">
        <f>IF(ISBLANK(Actuals!AR39),-1750.91*Escalation!$B$40,Actuals!AR39)</f>
        <v>-1858.07969928</v>
      </c>
      <c r="AR129" s="393">
        <f>IF(ISBLANK(Actuals!AS39),-1750.91*Escalation!$B$41,Actuals!AS39)</f>
        <v>-1858.07969928</v>
      </c>
      <c r="AS129" s="393">
        <f>IF(ISBLANK(Actuals!AT39),-1750.91*Escalation!$B$42,Actuals!AT39)</f>
        <v>-1858.07969928</v>
      </c>
      <c r="AT129" s="393">
        <f>IF(ISBLANK(Actuals!AU39),-1750.91*Escalation!$B$43,Actuals!AU39)</f>
        <v>-1858.07969928</v>
      </c>
      <c r="AU129" s="393">
        <f>IF(ISBLANK(Actuals!AV39),-1750.91*Escalation!$B$44,Actuals!AV39)</f>
        <v>-1858.07969928</v>
      </c>
      <c r="AV129" s="393">
        <f>IF(ISBLANK(Actuals!AW39),-1750.91*Escalation!$B$45,Actuals!AW39)</f>
        <v>-1858.07969928</v>
      </c>
      <c r="AW129" s="393">
        <f>IF(ISBLANK(Actuals!AX39),-1750.91*Escalation!$B$46,Actuals!AX39)</f>
        <v>-1858.07969928</v>
      </c>
      <c r="AX129" s="393">
        <f>IF(ISBLANK(Actuals!AY39),-1750.91*Escalation!$B$47,Actuals!AY39)</f>
        <v>-1858.07969928</v>
      </c>
      <c r="AY129" s="393">
        <f>IF(ISBLANK(Actuals!AZ39),-1750.91*Escalation!$B$48,Actuals!AZ39)</f>
        <v>-1858.07969928</v>
      </c>
      <c r="AZ129" s="393">
        <f>IF(ISBLANK(Actuals!BA39),-1750.91*Escalation!$B$49,Actuals!BA39)</f>
        <v>-1858.07969928</v>
      </c>
      <c r="BA129" s="393">
        <f>IF(ISBLANK(Actuals!BB39),-1750.91*Escalation!$B$50,Actuals!BB39)</f>
        <v>-1895.2412932656</v>
      </c>
      <c r="BB129" s="393">
        <f>IF(ISBLANK(Actuals!BC39),-1750.91*Escalation!$B$51,Actuals!BC39)</f>
        <v>-1895.2412932656</v>
      </c>
      <c r="BC129" s="393">
        <f>IF(ISBLANK(Actuals!BD39),-1750.91*Escalation!$B$52,Actuals!BD39)</f>
        <v>-1895.2412932656</v>
      </c>
      <c r="BD129" s="393">
        <f>IF(ISBLANK(Actuals!BE39),-1750.91*Escalation!$B$53,Actuals!BE39)</f>
        <v>-1895.2412932656</v>
      </c>
      <c r="BE129" s="393">
        <f>IF(ISBLANK(Actuals!BF39),-1750.91*Escalation!$B$54,Actuals!BF39)</f>
        <v>-1895.2412932656</v>
      </c>
      <c r="BF129" s="393">
        <f>IF(ISBLANK(Actuals!BG39),-1750.91*Escalation!$B$55,Actuals!BG39)</f>
        <v>-1895.2412932656</v>
      </c>
      <c r="BG129" s="393">
        <f>IF(ISBLANK(Actuals!BH39),-1750.91*Escalation!$B$56,Actuals!BH39)</f>
        <v>-1895.2412932656</v>
      </c>
      <c r="BH129" s="393">
        <f>IF(ISBLANK(Actuals!BI39),-1750.91*Escalation!$B$57,Actuals!BI39)</f>
        <v>-1895.2412932656</v>
      </c>
      <c r="BI129" s="393">
        <f>IF(ISBLANK(Actuals!BJ39),-1750.91*Escalation!$B$58,Actuals!BJ39)</f>
        <v>-1895.2412932656</v>
      </c>
      <c r="BJ129" s="393">
        <f>IF(ISBLANK(Actuals!BK39),-1750.91*Escalation!$B$59,Actuals!BK39)</f>
        <v>-1895.2412932656</v>
      </c>
      <c r="BK129" s="393">
        <f>IF(ISBLANK(Actuals!BL39),-1750.91*Escalation!$B$60,Actuals!BL39)</f>
        <v>-1895.2412932656</v>
      </c>
      <c r="BL129" s="393">
        <f>IF(ISBLANK(Actuals!BM39),-1750.91*Escalation!$B$61,Actuals!BM39)</f>
        <v>-1895.2412932656</v>
      </c>
      <c r="BM129" s="393">
        <f>IF(ISBLANK(Actuals!BN39),-1750.91*Escalation!$B$62,Actuals!BN39)</f>
        <v>-1933.14611913091</v>
      </c>
      <c r="BN129" s="393">
        <f>IF(ISBLANK(Actuals!BO39),-1750.91*Escalation!$B$63,Actuals!BO39)</f>
        <v>-1933.14611913091</v>
      </c>
      <c r="BO129" s="393">
        <f>IF(ISBLANK(Actuals!BP39),-1750.91*Escalation!$B$64,Actuals!BP39)</f>
        <v>-1933.14611913091</v>
      </c>
      <c r="BP129" s="393">
        <f>IF(ISBLANK(Actuals!BQ39),-1750.91*Escalation!$B$65,Actuals!BQ39)</f>
        <v>-1933.14611913091</v>
      </c>
      <c r="BQ129" s="393">
        <f>IF(ISBLANK(Actuals!BR39),-1750.91*Escalation!$B$66,Actuals!BR39)</f>
        <v>-1933.14611913091</v>
      </c>
      <c r="BR129" s="393">
        <f>IF(ISBLANK(Actuals!BS39),-1750.91*Escalation!$B$67,Actuals!BS39)</f>
        <v>-1933.14611913091</v>
      </c>
      <c r="BS129" s="393">
        <f>IF(ISBLANK(Actuals!BT39),-1750.91*Escalation!$B$68,Actuals!BT39)</f>
        <v>-1933.14611913091</v>
      </c>
      <c r="BT129" s="393">
        <f>IF(ISBLANK(Actuals!BU39),-1750.91*Escalation!$B$69,Actuals!BU39)</f>
        <v>-1933.14611913091</v>
      </c>
      <c r="BU129" s="393">
        <f>IF(ISBLANK(Actuals!BV39),-1750.91*Escalation!$B$70,Actuals!BV39)</f>
        <v>-1933.14611913091</v>
      </c>
      <c r="BV129" s="393">
        <f>IF(ISBLANK(Actuals!BW39),-1750.91*Escalation!$B$71,Actuals!BW39)</f>
        <v>-1933.14611913091</v>
      </c>
      <c r="BW129" s="393">
        <f>IF(ISBLANK(Actuals!BX39),-1750.91*Escalation!$B$72,Actuals!BX39)</f>
        <v>-1933.14611913091</v>
      </c>
      <c r="BX129" s="393">
        <f>IF(ISBLANK(Actuals!BY39),-1750.91*Escalation!$B$73,Actuals!BY39)</f>
        <v>-1933.14611913091</v>
      </c>
      <c r="BY129" s="393">
        <f>IF(ISBLANK(Actuals!BZ39),-1750.91*Escalation!$B$74,Actuals!BZ39)</f>
        <v>-1971.80904151353</v>
      </c>
      <c r="BZ129" s="393">
        <f>IF(ISBLANK(Actuals!CA39),-1750.91*Escalation!$B$75,Actuals!CA39)</f>
        <v>-1971.80904151353</v>
      </c>
      <c r="CA129" s="393">
        <f>IF(ISBLANK(Actuals!CB39),-1750.91*Escalation!$B$76,Actuals!CB39)</f>
        <v>-1971.80904151353</v>
      </c>
      <c r="CB129" s="393">
        <f>IF(ISBLANK(Actuals!CC39),-1750.91*Escalation!$B$77,Actuals!CC39)</f>
        <v>-1971.80904151353</v>
      </c>
      <c r="CC129" s="393">
        <f>IF(ISBLANK(Actuals!CD39),-1750.91*Escalation!$B$78,Actuals!CD39)</f>
        <v>-1971.80904151353</v>
      </c>
      <c r="CD129" s="393">
        <f>IF(ISBLANK(Actuals!CE39),-1750.91*Escalation!$B$79,Actuals!CE39)</f>
        <v>-1971.80904151353</v>
      </c>
      <c r="CE129" s="393">
        <f>IF(ISBLANK(Actuals!CF39),-1750.91*Escalation!$B$80,Actuals!CF39)</f>
        <v>-1971.80904151353</v>
      </c>
      <c r="CF129" s="393">
        <f>IF(ISBLANK(Actuals!CG39),-1750.91*Escalation!$B$81,Actuals!CG39)</f>
        <v>-1971.80904151353</v>
      </c>
      <c r="CG129" s="393">
        <f>IF(ISBLANK(Actuals!CH39),-1750.91*Escalation!$B$82,Actuals!CH39)</f>
        <v>-1971.80904151353</v>
      </c>
      <c r="CH129" s="393">
        <f>IF(ISBLANK(Actuals!CI39),-1750.91*Escalation!$B$83,Actuals!CI39)</f>
        <v>-1971.80904151353</v>
      </c>
      <c r="CI129" s="393">
        <f>IF(ISBLANK(Actuals!CJ39),-1750.91*Escalation!$B$84,Actuals!CJ39)</f>
        <v>-1971.80904151353</v>
      </c>
      <c r="CJ129" s="393">
        <f>IF(ISBLANK(Actuals!CK39),-1750.91*Escalation!$B$85,Actuals!CK39)</f>
        <v>-1971.80904151353</v>
      </c>
      <c r="CK129" s="393">
        <f>IF(ISBLANK(Actuals!CL39),-1750.91*Escalation!$B$86,Actuals!CL39)</f>
        <v>-2011.2452223438</v>
      </c>
      <c r="CL129" s="393">
        <f>IF(ISBLANK(Actuals!CM39),-1750.91*Escalation!$B$87,Actuals!CM39)</f>
        <v>-2011.2452223438</v>
      </c>
      <c r="CM129" s="393">
        <f>IF(ISBLANK(Actuals!CN39),-1750.91*Escalation!$B$88,Actuals!CN39)</f>
        <v>-2011.2452223438</v>
      </c>
      <c r="CN129" s="393">
        <f>IF(ISBLANK(Actuals!CO39),-1750.91*Escalation!$B$89,Actuals!CO39)</f>
        <v>-2011.2452223438</v>
      </c>
      <c r="CO129" s="393">
        <f>IF(ISBLANK(Actuals!CP39),-1750.91*Escalation!$B$90,Actuals!CP39)</f>
        <v>-2011.2452223438</v>
      </c>
      <c r="CP129" s="393">
        <f>IF(ISBLANK(Actuals!CQ39),-1750.91*Escalation!$B$91,Actuals!CQ39)</f>
        <v>-2011.2452223438</v>
      </c>
      <c r="CQ129" s="393">
        <f>IF(ISBLANK(Actuals!CR39),-1750.91*Escalation!$B$92,Actuals!CR39)</f>
        <v>-2011.2452223438</v>
      </c>
      <c r="CR129" s="393">
        <f>IF(ISBLANK(Actuals!CS39),-1750.91*Escalation!$B$93,Actuals!CS39)</f>
        <v>-2011.2452223438</v>
      </c>
      <c r="CS129" s="393">
        <f>IF(ISBLANK(Actuals!CT39),-1750.91*Escalation!$B$94,Actuals!CT39)</f>
        <v>-2011.2452223438</v>
      </c>
      <c r="CT129" s="393">
        <f>IF(ISBLANK(Actuals!CU39),-1750.91*Escalation!$B$95,Actuals!CU39)</f>
        <v>-2011.2452223438</v>
      </c>
      <c r="CU129" s="393">
        <f>IF(ISBLANK(Actuals!CV39),-1750.91*Escalation!$B$96,Actuals!CV39)</f>
        <v>-2011.2452223438</v>
      </c>
      <c r="CV129" s="393">
        <f>IF(ISBLANK(Actuals!CW39),-1750.91*Escalation!$B$97,Actuals!CW39)</f>
        <v>-2011.2452223438</v>
      </c>
      <c r="CW129" s="393">
        <f>IF(ISBLANK(Actuals!CX39),-1750.91*Escalation!$B$98,Actuals!CX39)</f>
        <v>-2051.47012679068</v>
      </c>
      <c r="CX129" s="393">
        <f>IF(ISBLANK(Actuals!CY39),-1750.91*Escalation!$B$99,Actuals!CY39)</f>
        <v>-2051.47012679068</v>
      </c>
      <c r="CY129" s="393">
        <f>IF(ISBLANK(Actuals!CZ39),-1750.91*Escalation!$B$100,Actuals!CZ39)</f>
        <v>-2051.47012679068</v>
      </c>
      <c r="CZ129" s="393">
        <f>IF(ISBLANK(Actuals!DA39),-1750.91*Escalation!$B$101,Actuals!DA39)</f>
        <v>-2051.47012679068</v>
      </c>
      <c r="DA129" s="393">
        <f>IF(ISBLANK(Actuals!DB39),-1750.91*Escalation!$B$102,Actuals!DB39)</f>
        <v>-2051.47012679068</v>
      </c>
      <c r="DB129" s="393">
        <f>IF(ISBLANK(Actuals!DC39),-1750.91*Escalation!$B$103,Actuals!DC39)</f>
        <v>-2051.47012679068</v>
      </c>
      <c r="DC129" s="393">
        <f>IF(ISBLANK(Actuals!DD39),-1750.91*Escalation!$B$104,Actuals!DD39)</f>
        <v>-2051.47012679068</v>
      </c>
      <c r="DD129" s="393">
        <f>IF(ISBLANK(Actuals!DE39),-1750.91*Escalation!$B$105,Actuals!DE39)</f>
        <v>-2051.47012679068</v>
      </c>
      <c r="DE129" s="393">
        <f>IF(ISBLANK(Actuals!DF39),-1750.91*Escalation!$B$106,Actuals!DF39)</f>
        <v>-2051.47012679068</v>
      </c>
    </row>
    <row r="130" ht="15" customFormat="1" customHeight="1" s="381">
      <c r="A130" s="398" t="inlineStr">
        <is>
          <t>5700-1003 Other Utilities</t>
        </is>
      </c>
      <c r="B130" s="393">
        <f>IF(ISBLANK(Actuals!C40),0,Actuals!C40)</f>
        <v>-1417.61</v>
      </c>
      <c r="C130" s="393">
        <f>IF(ISBLANK(Actuals!D40),0,Actuals!D40)</f>
        <v>-2730.36</v>
      </c>
      <c r="D130" s="393">
        <f>IF(ISBLANK(Actuals!E40),0,Actuals!E40)</f>
        <v>-1818.05</v>
      </c>
      <c r="E130" s="393">
        <f>IF(ISBLANK(Actuals!F40),-1988.67*Escalation!$B$2,Actuals!F40)</f>
        <v>-3307.74</v>
      </c>
      <c r="F130" s="393">
        <f>IF(ISBLANK(Actuals!G40),-1988.67*Escalation!$B$3,Actuals!G40)</f>
        <v>-1257.74</v>
      </c>
      <c r="G130" s="393">
        <f>IF(ISBLANK(Actuals!H40),-1988.67*Escalation!$B$4,Actuals!H40)</f>
        <v>-3372.74</v>
      </c>
      <c r="H130" s="393">
        <f>IF(ISBLANK(Actuals!I40),-1988.67*Escalation!$B$5,Actuals!I40)</f>
        <v>-1988.67</v>
      </c>
      <c r="I130" s="393">
        <f>IF(ISBLANK(Actuals!J40),-1988.67*Escalation!$B$6,Actuals!J40)</f>
        <v>-1988.67</v>
      </c>
      <c r="J130" s="393">
        <f>IF(ISBLANK(Actuals!K40),-1988.67*Escalation!$B$7,Actuals!K40)</f>
        <v>-1988.67</v>
      </c>
      <c r="K130" s="393">
        <f>IF(ISBLANK(Actuals!L40),-1988.67*Escalation!$B$8,Actuals!L40)</f>
        <v>-1988.67</v>
      </c>
      <c r="L130" s="393">
        <f>IF(ISBLANK(Actuals!M40),-1988.67*Escalation!$B$9,Actuals!M40)</f>
        <v>-1988.67</v>
      </c>
      <c r="M130" s="393">
        <f>IF(ISBLANK(Actuals!N40),-1988.67*Escalation!$B$10,Actuals!N40)</f>
        <v>-1988.67</v>
      </c>
      <c r="N130" s="393">
        <f>IF(ISBLANK(Actuals!O40),-1988.67*Escalation!$B$11,Actuals!O40)</f>
        <v>-1988.67</v>
      </c>
      <c r="O130" s="393">
        <f>IF(ISBLANK(Actuals!P40),-1988.67*Escalation!$B$12,Actuals!P40)</f>
        <v>-1988.67</v>
      </c>
      <c r="P130" s="393">
        <f>IF(ISBLANK(Actuals!Q40),-1988.67*Escalation!$B$13,Actuals!Q40)</f>
        <v>-1988.67</v>
      </c>
      <c r="Q130" s="393">
        <f>IF(ISBLANK(Actuals!R40),-1988.67*Escalation!$B$14,Actuals!R40)</f>
        <v>-2028.4434</v>
      </c>
      <c r="R130" s="393">
        <f>IF(ISBLANK(Actuals!S40),-1988.67*Escalation!$B$15,Actuals!S40)</f>
        <v>-2028.4434</v>
      </c>
      <c r="S130" s="393">
        <f>IF(ISBLANK(Actuals!T40),-1988.67*Escalation!$B$16,Actuals!T40)</f>
        <v>-2028.4434</v>
      </c>
      <c r="T130" s="393">
        <f>IF(ISBLANK(Actuals!U40),-1988.67*Escalation!$B$17,Actuals!U40)</f>
        <v>-2028.4434</v>
      </c>
      <c r="U130" s="393">
        <f>IF(ISBLANK(Actuals!V40),-1988.67*Escalation!$B$18,Actuals!V40)</f>
        <v>-2028.4434</v>
      </c>
      <c r="V130" s="393">
        <f>IF(ISBLANK(Actuals!W40),-1988.67*Escalation!$B$19,Actuals!W40)</f>
        <v>-2028.4434</v>
      </c>
      <c r="W130" s="393">
        <f>IF(ISBLANK(Actuals!X40),-1988.67*Escalation!$B$20,Actuals!X40)</f>
        <v>-2028.4434</v>
      </c>
      <c r="X130" s="393">
        <f>IF(ISBLANK(Actuals!Y40),-1988.67*Escalation!$B$21,Actuals!Y40)</f>
        <v>-2028.4434</v>
      </c>
      <c r="Y130" s="393">
        <f>IF(ISBLANK(Actuals!Z40),-1988.67*Escalation!$B$22,Actuals!Z40)</f>
        <v>-2028.4434</v>
      </c>
      <c r="Z130" s="393">
        <f>IF(ISBLANK(Actuals!AA40),-1988.67*Escalation!$B$23,Actuals!AA40)</f>
        <v>-2028.4434</v>
      </c>
      <c r="AA130" s="393">
        <f>IF(ISBLANK(Actuals!AB40),-1988.67*Escalation!$B$24,Actuals!AB40)</f>
        <v>-2028.4434</v>
      </c>
      <c r="AB130" s="393">
        <f>IF(ISBLANK(Actuals!AC40),-1988.67*Escalation!$B$25,Actuals!AC40)</f>
        <v>-2028.4434</v>
      </c>
      <c r="AC130" s="393">
        <f>IF(ISBLANK(Actuals!AD40),-1988.67*Escalation!$B$26,Actuals!AD40)</f>
        <v>-2069.012268</v>
      </c>
      <c r="AD130" s="393">
        <f>IF(ISBLANK(Actuals!AE40),-1988.67*Escalation!$B$27,Actuals!AE40)</f>
        <v>-2069.012268</v>
      </c>
      <c r="AE130" s="393">
        <f>IF(ISBLANK(Actuals!AF40),-1988.67*Escalation!$B$28,Actuals!AF40)</f>
        <v>-2069.012268</v>
      </c>
      <c r="AF130" s="393">
        <f>IF(ISBLANK(Actuals!AG40),-1988.67*Escalation!$B$29,Actuals!AG40)</f>
        <v>-2069.012268</v>
      </c>
      <c r="AG130" s="393">
        <f>IF(ISBLANK(Actuals!AH40),-1988.67*Escalation!$B$30,Actuals!AH40)</f>
        <v>-2069.012268</v>
      </c>
      <c r="AH130" s="393">
        <f>IF(ISBLANK(Actuals!AI40),-1988.67*Escalation!$B$31,Actuals!AI40)</f>
        <v>-2069.012268</v>
      </c>
      <c r="AI130" s="393">
        <f>IF(ISBLANK(Actuals!AJ40),-1988.67*Escalation!$B$32,Actuals!AJ40)</f>
        <v>-2069.012268</v>
      </c>
      <c r="AJ130" s="393">
        <f>IF(ISBLANK(Actuals!AK40),-1988.67*Escalation!$B$33,Actuals!AK40)</f>
        <v>-2069.012268</v>
      </c>
      <c r="AK130" s="393">
        <f>IF(ISBLANK(Actuals!AL40),-1988.67*Escalation!$B$34,Actuals!AL40)</f>
        <v>-2069.012268</v>
      </c>
      <c r="AL130" s="393">
        <f>IF(ISBLANK(Actuals!AM40),-1988.67*Escalation!$B$35,Actuals!AM40)</f>
        <v>-2069.012268</v>
      </c>
      <c r="AM130" s="393">
        <f>IF(ISBLANK(Actuals!AN40),-1988.67*Escalation!$B$36,Actuals!AN40)</f>
        <v>-2069.012268</v>
      </c>
      <c r="AN130" s="393">
        <f>IF(ISBLANK(Actuals!AO40),-1988.67*Escalation!$B$37,Actuals!AO40)</f>
        <v>-2069.012268</v>
      </c>
      <c r="AO130" s="393">
        <f>IF(ISBLANK(Actuals!AP40),-1988.67*Escalation!$B$38,Actuals!AP40)</f>
        <v>-2110.39251336</v>
      </c>
      <c r="AP130" s="393">
        <f>IF(ISBLANK(Actuals!AQ40),-1988.67*Escalation!$B$39,Actuals!AQ40)</f>
        <v>-2110.39251336</v>
      </c>
      <c r="AQ130" s="393">
        <f>IF(ISBLANK(Actuals!AR40),-1988.67*Escalation!$B$40,Actuals!AR40)</f>
        <v>-2110.39251336</v>
      </c>
      <c r="AR130" s="393">
        <f>IF(ISBLANK(Actuals!AS40),-1988.67*Escalation!$B$41,Actuals!AS40)</f>
        <v>-2110.39251336</v>
      </c>
      <c r="AS130" s="393">
        <f>IF(ISBLANK(Actuals!AT40),-1988.67*Escalation!$B$42,Actuals!AT40)</f>
        <v>-2110.39251336</v>
      </c>
      <c r="AT130" s="393">
        <f>IF(ISBLANK(Actuals!AU40),-1988.67*Escalation!$B$43,Actuals!AU40)</f>
        <v>-2110.39251336</v>
      </c>
      <c r="AU130" s="393">
        <f>IF(ISBLANK(Actuals!AV40),-1988.67*Escalation!$B$44,Actuals!AV40)</f>
        <v>-2110.39251336</v>
      </c>
      <c r="AV130" s="393">
        <f>IF(ISBLANK(Actuals!AW40),-1988.67*Escalation!$B$45,Actuals!AW40)</f>
        <v>-2110.39251336</v>
      </c>
      <c r="AW130" s="393">
        <f>IF(ISBLANK(Actuals!AX40),-1988.67*Escalation!$B$46,Actuals!AX40)</f>
        <v>-2110.39251336</v>
      </c>
      <c r="AX130" s="393">
        <f>IF(ISBLANK(Actuals!AY40),-1988.67*Escalation!$B$47,Actuals!AY40)</f>
        <v>-2110.39251336</v>
      </c>
      <c r="AY130" s="393">
        <f>IF(ISBLANK(Actuals!AZ40),-1988.67*Escalation!$B$48,Actuals!AZ40)</f>
        <v>-2110.39251336</v>
      </c>
      <c r="AZ130" s="393">
        <f>IF(ISBLANK(Actuals!BA40),-1988.67*Escalation!$B$49,Actuals!BA40)</f>
        <v>-2110.39251336</v>
      </c>
      <c r="BA130" s="393">
        <f>IF(ISBLANK(Actuals!BB40),-1988.67*Escalation!$B$50,Actuals!BB40)</f>
        <v>-2152.6003636272</v>
      </c>
      <c r="BB130" s="393">
        <f>IF(ISBLANK(Actuals!BC40),-1988.67*Escalation!$B$51,Actuals!BC40)</f>
        <v>-2152.6003636272</v>
      </c>
      <c r="BC130" s="393">
        <f>IF(ISBLANK(Actuals!BD40),-1988.67*Escalation!$B$52,Actuals!BD40)</f>
        <v>-2152.6003636272</v>
      </c>
      <c r="BD130" s="393">
        <f>IF(ISBLANK(Actuals!BE40),-1988.67*Escalation!$B$53,Actuals!BE40)</f>
        <v>-2152.6003636272</v>
      </c>
      <c r="BE130" s="393">
        <f>IF(ISBLANK(Actuals!BF40),-1988.67*Escalation!$B$54,Actuals!BF40)</f>
        <v>-2152.6003636272</v>
      </c>
      <c r="BF130" s="393">
        <f>IF(ISBLANK(Actuals!BG40),-1988.67*Escalation!$B$55,Actuals!BG40)</f>
        <v>-2152.6003636272</v>
      </c>
      <c r="BG130" s="393">
        <f>IF(ISBLANK(Actuals!BH40),-1988.67*Escalation!$B$56,Actuals!BH40)</f>
        <v>-2152.6003636272</v>
      </c>
      <c r="BH130" s="393">
        <f>IF(ISBLANK(Actuals!BI40),-1988.67*Escalation!$B$57,Actuals!BI40)</f>
        <v>-2152.6003636272</v>
      </c>
      <c r="BI130" s="393">
        <f>IF(ISBLANK(Actuals!BJ40),-1988.67*Escalation!$B$58,Actuals!BJ40)</f>
        <v>-2152.6003636272</v>
      </c>
      <c r="BJ130" s="393">
        <f>IF(ISBLANK(Actuals!BK40),-1988.67*Escalation!$B$59,Actuals!BK40)</f>
        <v>-2152.6003636272</v>
      </c>
      <c r="BK130" s="393">
        <f>IF(ISBLANK(Actuals!BL40),-1988.67*Escalation!$B$60,Actuals!BL40)</f>
        <v>-2152.6003636272</v>
      </c>
      <c r="BL130" s="393">
        <f>IF(ISBLANK(Actuals!BM40),-1988.67*Escalation!$B$61,Actuals!BM40)</f>
        <v>-2152.6003636272</v>
      </c>
      <c r="BM130" s="393">
        <f>IF(ISBLANK(Actuals!BN40),-1988.67*Escalation!$B$62,Actuals!BN40)</f>
        <v>-2195.65237089974</v>
      </c>
      <c r="BN130" s="393">
        <f>IF(ISBLANK(Actuals!BO40),-1988.67*Escalation!$B$63,Actuals!BO40)</f>
        <v>-2195.65237089974</v>
      </c>
      <c r="BO130" s="393">
        <f>IF(ISBLANK(Actuals!BP40),-1988.67*Escalation!$B$64,Actuals!BP40)</f>
        <v>-2195.65237089974</v>
      </c>
      <c r="BP130" s="393">
        <f>IF(ISBLANK(Actuals!BQ40),-1988.67*Escalation!$B$65,Actuals!BQ40)</f>
        <v>-2195.65237089974</v>
      </c>
      <c r="BQ130" s="393">
        <f>IF(ISBLANK(Actuals!BR40),-1988.67*Escalation!$B$66,Actuals!BR40)</f>
        <v>-2195.65237089974</v>
      </c>
      <c r="BR130" s="393">
        <f>IF(ISBLANK(Actuals!BS40),-1988.67*Escalation!$B$67,Actuals!BS40)</f>
        <v>-2195.65237089974</v>
      </c>
      <c r="BS130" s="393">
        <f>IF(ISBLANK(Actuals!BT40),-1988.67*Escalation!$B$68,Actuals!BT40)</f>
        <v>-2195.65237089974</v>
      </c>
      <c r="BT130" s="393">
        <f>IF(ISBLANK(Actuals!BU40),-1988.67*Escalation!$B$69,Actuals!BU40)</f>
        <v>-2195.65237089974</v>
      </c>
      <c r="BU130" s="393">
        <f>IF(ISBLANK(Actuals!BV40),-1988.67*Escalation!$B$70,Actuals!BV40)</f>
        <v>-2195.65237089974</v>
      </c>
      <c r="BV130" s="393">
        <f>IF(ISBLANK(Actuals!BW40),-1988.67*Escalation!$B$71,Actuals!BW40)</f>
        <v>-2195.65237089974</v>
      </c>
      <c r="BW130" s="393">
        <f>IF(ISBLANK(Actuals!BX40),-1988.67*Escalation!$B$72,Actuals!BX40)</f>
        <v>-2195.65237089974</v>
      </c>
      <c r="BX130" s="393">
        <f>IF(ISBLANK(Actuals!BY40),-1988.67*Escalation!$B$73,Actuals!BY40)</f>
        <v>-2195.65237089974</v>
      </c>
      <c r="BY130" s="393">
        <f>IF(ISBLANK(Actuals!BZ40),-1988.67*Escalation!$B$74,Actuals!BZ40)</f>
        <v>-2239.56541831774</v>
      </c>
      <c r="BZ130" s="393">
        <f>IF(ISBLANK(Actuals!CA40),-1988.67*Escalation!$B$75,Actuals!CA40)</f>
        <v>-2239.56541831774</v>
      </c>
      <c r="CA130" s="393">
        <f>IF(ISBLANK(Actuals!CB40),-1988.67*Escalation!$B$76,Actuals!CB40)</f>
        <v>-2239.56541831774</v>
      </c>
      <c r="CB130" s="393">
        <f>IF(ISBLANK(Actuals!CC40),-1988.67*Escalation!$B$77,Actuals!CC40)</f>
        <v>-2239.56541831774</v>
      </c>
      <c r="CC130" s="393">
        <f>IF(ISBLANK(Actuals!CD40),-1988.67*Escalation!$B$78,Actuals!CD40)</f>
        <v>-2239.56541831774</v>
      </c>
      <c r="CD130" s="393">
        <f>IF(ISBLANK(Actuals!CE40),-1988.67*Escalation!$B$79,Actuals!CE40)</f>
        <v>-2239.56541831774</v>
      </c>
      <c r="CE130" s="393">
        <f>IF(ISBLANK(Actuals!CF40),-1988.67*Escalation!$B$80,Actuals!CF40)</f>
        <v>-2239.56541831774</v>
      </c>
      <c r="CF130" s="393">
        <f>IF(ISBLANK(Actuals!CG40),-1988.67*Escalation!$B$81,Actuals!CG40)</f>
        <v>-2239.56541831774</v>
      </c>
      <c r="CG130" s="393">
        <f>IF(ISBLANK(Actuals!CH40),-1988.67*Escalation!$B$82,Actuals!CH40)</f>
        <v>-2239.56541831774</v>
      </c>
      <c r="CH130" s="393">
        <f>IF(ISBLANK(Actuals!CI40),-1988.67*Escalation!$B$83,Actuals!CI40)</f>
        <v>-2239.56541831774</v>
      </c>
      <c r="CI130" s="393">
        <f>IF(ISBLANK(Actuals!CJ40),-1988.67*Escalation!$B$84,Actuals!CJ40)</f>
        <v>-2239.56541831774</v>
      </c>
      <c r="CJ130" s="393">
        <f>IF(ISBLANK(Actuals!CK40),-1988.67*Escalation!$B$85,Actuals!CK40)</f>
        <v>-2239.56541831774</v>
      </c>
      <c r="CK130" s="393">
        <f>IF(ISBLANK(Actuals!CL40),-1988.67*Escalation!$B$86,Actuals!CL40)</f>
        <v>-2284.35672668409</v>
      </c>
      <c r="CL130" s="393">
        <f>IF(ISBLANK(Actuals!CM40),-1988.67*Escalation!$B$87,Actuals!CM40)</f>
        <v>-2284.35672668409</v>
      </c>
      <c r="CM130" s="393">
        <f>IF(ISBLANK(Actuals!CN40),-1988.67*Escalation!$B$88,Actuals!CN40)</f>
        <v>-2284.35672668409</v>
      </c>
      <c r="CN130" s="393">
        <f>IF(ISBLANK(Actuals!CO40),-1988.67*Escalation!$B$89,Actuals!CO40)</f>
        <v>-2284.35672668409</v>
      </c>
      <c r="CO130" s="393">
        <f>IF(ISBLANK(Actuals!CP40),-1988.67*Escalation!$B$90,Actuals!CP40)</f>
        <v>-2284.35672668409</v>
      </c>
      <c r="CP130" s="393">
        <f>IF(ISBLANK(Actuals!CQ40),-1988.67*Escalation!$B$91,Actuals!CQ40)</f>
        <v>-2284.35672668409</v>
      </c>
      <c r="CQ130" s="393">
        <f>IF(ISBLANK(Actuals!CR40),-1988.67*Escalation!$B$92,Actuals!CR40)</f>
        <v>-2284.35672668409</v>
      </c>
      <c r="CR130" s="393">
        <f>IF(ISBLANK(Actuals!CS40),-1988.67*Escalation!$B$93,Actuals!CS40)</f>
        <v>-2284.35672668409</v>
      </c>
      <c r="CS130" s="393">
        <f>IF(ISBLANK(Actuals!CT40),-1988.67*Escalation!$B$94,Actuals!CT40)</f>
        <v>-2284.35672668409</v>
      </c>
      <c r="CT130" s="393">
        <f>IF(ISBLANK(Actuals!CU40),-1988.67*Escalation!$B$95,Actuals!CU40)</f>
        <v>-2284.35672668409</v>
      </c>
      <c r="CU130" s="393">
        <f>IF(ISBLANK(Actuals!CV40),-1988.67*Escalation!$B$96,Actuals!CV40)</f>
        <v>-2284.35672668409</v>
      </c>
      <c r="CV130" s="393">
        <f>IF(ISBLANK(Actuals!CW40),-1988.67*Escalation!$B$97,Actuals!CW40)</f>
        <v>-2284.35672668409</v>
      </c>
      <c r="CW130" s="393">
        <f>IF(ISBLANK(Actuals!CX40),-1988.67*Escalation!$B$98,Actuals!CX40)</f>
        <v>-2330.04386121778</v>
      </c>
      <c r="CX130" s="393">
        <f>IF(ISBLANK(Actuals!CY40),-1988.67*Escalation!$B$99,Actuals!CY40)</f>
        <v>-2330.04386121778</v>
      </c>
      <c r="CY130" s="393">
        <f>IF(ISBLANK(Actuals!CZ40),-1988.67*Escalation!$B$100,Actuals!CZ40)</f>
        <v>-2330.04386121778</v>
      </c>
      <c r="CZ130" s="393">
        <f>IF(ISBLANK(Actuals!DA40),-1988.67*Escalation!$B$101,Actuals!DA40)</f>
        <v>-2330.04386121778</v>
      </c>
      <c r="DA130" s="393">
        <f>IF(ISBLANK(Actuals!DB40),-1988.67*Escalation!$B$102,Actuals!DB40)</f>
        <v>-2330.04386121778</v>
      </c>
      <c r="DB130" s="393">
        <f>IF(ISBLANK(Actuals!DC40),-1988.67*Escalation!$B$103,Actuals!DC40)</f>
        <v>-2330.04386121778</v>
      </c>
      <c r="DC130" s="393">
        <f>IF(ISBLANK(Actuals!DD40),-1988.67*Escalation!$B$104,Actuals!DD40)</f>
        <v>-2330.04386121778</v>
      </c>
      <c r="DD130" s="393">
        <f>IF(ISBLANK(Actuals!DE40),-1988.67*Escalation!$B$105,Actuals!DE40)</f>
        <v>-2330.04386121778</v>
      </c>
      <c r="DE130" s="393">
        <f>IF(ISBLANK(Actuals!DF40),-1988.67*Escalation!$B$106,Actuals!DF40)</f>
        <v>-2330.04386121778</v>
      </c>
    </row>
    <row r="131" ht="15" customFormat="1" customHeight="1" s="381">
      <c r="A131" s="398" t="inlineStr">
        <is>
          <t>5800-1003 Consulting Fee</t>
        </is>
      </c>
      <c r="B131" s="393">
        <f>IF(ISBLANK(Actuals!C41),0,Actuals!C41)</f>
        <v>0</v>
      </c>
      <c r="C131" s="393">
        <f>IF(ISBLANK(Actuals!D41),0,Actuals!D41)</f>
        <v>0</v>
      </c>
      <c r="D131" s="393">
        <f>IF(ISBLANK(Actuals!E41),0,Actuals!E41)</f>
        <v>-41990</v>
      </c>
      <c r="E131" s="393">
        <f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1" s="393">
        <f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1" s="393">
        <f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1" s="393">
        <f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-45000</v>
      </c>
      <c r="I131" s="393">
        <f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0</v>
      </c>
      <c r="J131" s="393">
        <f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0</v>
      </c>
      <c r="K131" s="393">
        <f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0</v>
      </c>
      <c r="L131" s="393">
        <f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1" s="393">
        <f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1" s="393">
        <f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1" s="393">
        <f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0</v>
      </c>
      <c r="P131" s="393">
        <f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0</v>
      </c>
      <c r="Q131" s="393">
        <f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0</v>
      </c>
      <c r="R131" s="393">
        <f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1" s="393">
        <f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0</v>
      </c>
      <c r="T131" s="393">
        <f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0</v>
      </c>
      <c r="U131" s="393">
        <f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0</v>
      </c>
      <c r="V131" s="393">
        <f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0</v>
      </c>
      <c r="W131" s="393">
        <f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0</v>
      </c>
      <c r="X131" s="393">
        <f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0</v>
      </c>
      <c r="Y131" s="393">
        <f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0</v>
      </c>
      <c r="Z131" s="393">
        <f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0</v>
      </c>
      <c r="AA131" s="393">
        <f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0</v>
      </c>
      <c r="AB131" s="393">
        <f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0</v>
      </c>
      <c r="AC131" s="393">
        <f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0</v>
      </c>
      <c r="AD131" s="393">
        <f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0</v>
      </c>
      <c r="AE131" s="393">
        <f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0</v>
      </c>
      <c r="AF131" s="393">
        <f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0</v>
      </c>
      <c r="AG131" s="393">
        <f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0</v>
      </c>
      <c r="AH131" s="393">
        <f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0</v>
      </c>
      <c r="AI131" s="393">
        <f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0</v>
      </c>
      <c r="AJ131" s="393">
        <f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0</v>
      </c>
      <c r="AK131" s="393">
        <f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0</v>
      </c>
      <c r="AL131" s="393">
        <f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0</v>
      </c>
      <c r="AM131" s="393">
        <f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0</v>
      </c>
      <c r="AN131" s="393">
        <f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0</v>
      </c>
      <c r="AO131" s="393">
        <f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0</v>
      </c>
      <c r="AP131" s="393">
        <f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0</v>
      </c>
      <c r="AQ131" s="393">
        <f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0</v>
      </c>
      <c r="AR131" s="393">
        <f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0</v>
      </c>
      <c r="AS131" s="393">
        <f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0</v>
      </c>
      <c r="AT131" s="393">
        <f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0</v>
      </c>
      <c r="AU131" s="393">
        <f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0</v>
      </c>
      <c r="AV131" s="393">
        <f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0</v>
      </c>
      <c r="AW131" s="393">
        <f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0</v>
      </c>
      <c r="AX131" s="393">
        <f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0</v>
      </c>
      <c r="AY131" s="393">
        <f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0</v>
      </c>
      <c r="AZ131" s="393">
        <f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0</v>
      </c>
      <c r="BA131" s="393">
        <f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0</v>
      </c>
      <c r="BB131" s="393">
        <f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0</v>
      </c>
      <c r="BC131" s="393">
        <f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0</v>
      </c>
      <c r="BD131" s="393">
        <f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0</v>
      </c>
      <c r="BE131" s="393">
        <f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0</v>
      </c>
      <c r="BF131" s="393">
        <f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0</v>
      </c>
      <c r="BG131" s="393">
        <f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0</v>
      </c>
      <c r="BH131" s="393">
        <f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0</v>
      </c>
      <c r="BI131" s="393">
        <f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0</v>
      </c>
      <c r="BJ131" s="393">
        <f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0</v>
      </c>
      <c r="BK131" s="393">
        <f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0</v>
      </c>
      <c r="BL131" s="393">
        <f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0</v>
      </c>
      <c r="BM131" s="393">
        <f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0</v>
      </c>
      <c r="BN131" s="393">
        <f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0</v>
      </c>
      <c r="BO131" s="393">
        <f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0</v>
      </c>
      <c r="BP131" s="393">
        <f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0</v>
      </c>
      <c r="BQ131" s="393">
        <f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0</v>
      </c>
      <c r="BR131" s="393">
        <f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0</v>
      </c>
      <c r="BS131" s="393">
        <f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0</v>
      </c>
      <c r="BT131" s="393">
        <f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0</v>
      </c>
      <c r="BU131" s="393">
        <f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0</v>
      </c>
      <c r="BV131" s="393">
        <f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0</v>
      </c>
      <c r="BW131" s="393">
        <f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0</v>
      </c>
      <c r="BX131" s="393">
        <f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0</v>
      </c>
      <c r="BY131" s="393">
        <f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0</v>
      </c>
      <c r="BZ131" s="393">
        <f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0</v>
      </c>
      <c r="CA131" s="393">
        <f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0</v>
      </c>
      <c r="CB131" s="393">
        <f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0</v>
      </c>
      <c r="CC131" s="393">
        <f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0</v>
      </c>
      <c r="CD131" s="393">
        <f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0</v>
      </c>
      <c r="CE131" s="393">
        <f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0</v>
      </c>
      <c r="CF131" s="393">
        <f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0</v>
      </c>
      <c r="CG131" s="393">
        <f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0</v>
      </c>
      <c r="CH131" s="393">
        <f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0</v>
      </c>
      <c r="CI131" s="393">
        <f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0</v>
      </c>
      <c r="CJ131" s="393">
        <f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0</v>
      </c>
      <c r="CK131" s="393">
        <f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0</v>
      </c>
      <c r="CL131" s="393">
        <f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0</v>
      </c>
      <c r="CM131" s="393">
        <f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0</v>
      </c>
      <c r="CN131" s="393">
        <f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0</v>
      </c>
      <c r="CO131" s="393">
        <f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0</v>
      </c>
      <c r="CP131" s="393">
        <f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0</v>
      </c>
      <c r="CQ131" s="393">
        <f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0</v>
      </c>
      <c r="CR131" s="393">
        <f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0</v>
      </c>
      <c r="CS131" s="393">
        <f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0</v>
      </c>
      <c r="CT131" s="393">
        <f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0</v>
      </c>
      <c r="CU131" s="393">
        <f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0</v>
      </c>
      <c r="CV131" s="393">
        <f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0</v>
      </c>
      <c r="CW131" s="393">
        <f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0</v>
      </c>
      <c r="CX131" s="393">
        <f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0</v>
      </c>
      <c r="CY131" s="393">
        <f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0</v>
      </c>
      <c r="CZ131" s="393">
        <f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0</v>
      </c>
      <c r="DA131" s="393">
        <f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0</v>
      </c>
      <c r="DB131" s="393">
        <f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0</v>
      </c>
      <c r="DC131" s="393">
        <f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0</v>
      </c>
      <c r="DD131" s="393">
        <f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0</v>
      </c>
      <c r="DE131" s="393">
        <f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0</v>
      </c>
    </row>
    <row r="132" ht="15" customFormat="1" customHeight="1" s="381">
      <c r="A132" s="398" t="inlineStr">
        <is>
          <t>5900-1000 Security Monitoring</t>
        </is>
      </c>
      <c r="B132" s="393">
        <f>IF(ISBLANK(Actuals!C42),0,Actuals!C42)</f>
        <v>-165</v>
      </c>
      <c r="C132" s="393">
        <f>IF(ISBLANK(Actuals!D42),0,Actuals!D42)</f>
        <v>0</v>
      </c>
      <c r="D132" s="393">
        <f>IF(ISBLANK(Actuals!E42),0,Actuals!E42)</f>
        <v>0</v>
      </c>
      <c r="E132" s="393">
        <f>IF(ISBLANK(Actuals!F42),-55*Escalation!$B$2,Actuals!F42)</f>
        <v>-165</v>
      </c>
      <c r="F132" s="393">
        <f>IF(ISBLANK(Actuals!G42),-55*Escalation!$B$3,Actuals!G42)</f>
        <v>0</v>
      </c>
      <c r="G132" s="393">
        <f>IF(ISBLANK(Actuals!H42),-55*Escalation!$B$4,Actuals!H42)</f>
        <v>-165</v>
      </c>
      <c r="H132" s="393">
        <f>IF(ISBLANK(Actuals!I42),-55*Escalation!$B$5,Actuals!I42)</f>
        <v>-55</v>
      </c>
      <c r="I132" s="393">
        <f>IF(ISBLANK(Actuals!J42),-55*Escalation!$B$6,Actuals!J42)</f>
        <v>-55</v>
      </c>
      <c r="J132" s="393">
        <f>IF(ISBLANK(Actuals!K42),-55*Escalation!$B$7,Actuals!K42)</f>
        <v>-55</v>
      </c>
      <c r="K132" s="393">
        <f>IF(ISBLANK(Actuals!L42),-55*Escalation!$B$8,Actuals!L42)</f>
        <v>-55</v>
      </c>
      <c r="L132" s="393">
        <f>IF(ISBLANK(Actuals!M42),-55*Escalation!$B$9,Actuals!M42)</f>
        <v>-55</v>
      </c>
      <c r="M132" s="393">
        <f>IF(ISBLANK(Actuals!N42),-55*Escalation!$B$10,Actuals!N42)</f>
        <v>-55</v>
      </c>
      <c r="N132" s="393">
        <f>IF(ISBLANK(Actuals!O42),-55*Escalation!$B$11,Actuals!O42)</f>
        <v>-55</v>
      </c>
      <c r="O132" s="393">
        <f>IF(ISBLANK(Actuals!P42),-55*Escalation!$B$12,Actuals!P42)</f>
        <v>-55</v>
      </c>
      <c r="P132" s="393">
        <f>IF(ISBLANK(Actuals!Q42),-55*Escalation!$B$13,Actuals!Q42)</f>
        <v>-55</v>
      </c>
      <c r="Q132" s="393">
        <f>IF(ISBLANK(Actuals!R42),-55*Escalation!$B$14,Actuals!R42)</f>
        <v>-56.1</v>
      </c>
      <c r="R132" s="393">
        <f>IF(ISBLANK(Actuals!S42),-55*Escalation!$B$15,Actuals!S42)</f>
        <v>-56.1</v>
      </c>
      <c r="S132" s="393">
        <f>IF(ISBLANK(Actuals!T42),-55*Escalation!$B$16,Actuals!T42)</f>
        <v>-56.1</v>
      </c>
      <c r="T132" s="393">
        <f>IF(ISBLANK(Actuals!U42),-55*Escalation!$B$17,Actuals!U42)</f>
        <v>-56.1</v>
      </c>
      <c r="U132" s="393">
        <f>IF(ISBLANK(Actuals!V42),-55*Escalation!$B$18,Actuals!V42)</f>
        <v>-56.1</v>
      </c>
      <c r="V132" s="393">
        <f>IF(ISBLANK(Actuals!W42),-55*Escalation!$B$19,Actuals!W42)</f>
        <v>-56.1</v>
      </c>
      <c r="W132" s="393">
        <f>IF(ISBLANK(Actuals!X42),-55*Escalation!$B$20,Actuals!X42)</f>
        <v>-56.1</v>
      </c>
      <c r="X132" s="393">
        <f>IF(ISBLANK(Actuals!Y42),-55*Escalation!$B$21,Actuals!Y42)</f>
        <v>-56.1</v>
      </c>
      <c r="Y132" s="393">
        <f>IF(ISBLANK(Actuals!Z42),-55*Escalation!$B$22,Actuals!Z42)</f>
        <v>-56.1</v>
      </c>
      <c r="Z132" s="393">
        <f>IF(ISBLANK(Actuals!AA42),-55*Escalation!$B$23,Actuals!AA42)</f>
        <v>-56.1</v>
      </c>
      <c r="AA132" s="393">
        <f>IF(ISBLANK(Actuals!AB42),-55*Escalation!$B$24,Actuals!AB42)</f>
        <v>-56.1</v>
      </c>
      <c r="AB132" s="393">
        <f>IF(ISBLANK(Actuals!AC42),-55*Escalation!$B$25,Actuals!AC42)</f>
        <v>-56.1</v>
      </c>
      <c r="AC132" s="393">
        <f>IF(ISBLANK(Actuals!AD42),-55*Escalation!$B$26,Actuals!AD42)</f>
        <v>-57.222</v>
      </c>
      <c r="AD132" s="393">
        <f>IF(ISBLANK(Actuals!AE42),-55*Escalation!$B$27,Actuals!AE42)</f>
        <v>-57.222</v>
      </c>
      <c r="AE132" s="393">
        <f>IF(ISBLANK(Actuals!AF42),-55*Escalation!$B$28,Actuals!AF42)</f>
        <v>-57.222</v>
      </c>
      <c r="AF132" s="393">
        <f>IF(ISBLANK(Actuals!AG42),-55*Escalation!$B$29,Actuals!AG42)</f>
        <v>-57.222</v>
      </c>
      <c r="AG132" s="393">
        <f>IF(ISBLANK(Actuals!AH42),-55*Escalation!$B$30,Actuals!AH42)</f>
        <v>-57.222</v>
      </c>
      <c r="AH132" s="393">
        <f>IF(ISBLANK(Actuals!AI42),-55*Escalation!$B$31,Actuals!AI42)</f>
        <v>-57.222</v>
      </c>
      <c r="AI132" s="393">
        <f>IF(ISBLANK(Actuals!AJ42),-55*Escalation!$B$32,Actuals!AJ42)</f>
        <v>-57.222</v>
      </c>
      <c r="AJ132" s="393">
        <f>IF(ISBLANK(Actuals!AK42),-55*Escalation!$B$33,Actuals!AK42)</f>
        <v>-57.222</v>
      </c>
      <c r="AK132" s="393">
        <f>IF(ISBLANK(Actuals!AL42),-55*Escalation!$B$34,Actuals!AL42)</f>
        <v>-57.222</v>
      </c>
      <c r="AL132" s="393">
        <f>IF(ISBLANK(Actuals!AM42),-55*Escalation!$B$35,Actuals!AM42)</f>
        <v>-57.222</v>
      </c>
      <c r="AM132" s="393">
        <f>IF(ISBLANK(Actuals!AN42),-55*Escalation!$B$36,Actuals!AN42)</f>
        <v>-57.222</v>
      </c>
      <c r="AN132" s="393">
        <f>IF(ISBLANK(Actuals!AO42),-55*Escalation!$B$37,Actuals!AO42)</f>
        <v>-57.222</v>
      </c>
      <c r="AO132" s="393">
        <f>IF(ISBLANK(Actuals!AP42),-55*Escalation!$B$38,Actuals!AP42)</f>
        <v>-58.36644</v>
      </c>
      <c r="AP132" s="393">
        <f>IF(ISBLANK(Actuals!AQ42),-55*Escalation!$B$39,Actuals!AQ42)</f>
        <v>-58.36644</v>
      </c>
      <c r="AQ132" s="393">
        <f>IF(ISBLANK(Actuals!AR42),-55*Escalation!$B$40,Actuals!AR42)</f>
        <v>-58.36644</v>
      </c>
      <c r="AR132" s="393">
        <f>IF(ISBLANK(Actuals!AS42),-55*Escalation!$B$41,Actuals!AS42)</f>
        <v>-58.36644</v>
      </c>
      <c r="AS132" s="393">
        <f>IF(ISBLANK(Actuals!AT42),-55*Escalation!$B$42,Actuals!AT42)</f>
        <v>-58.36644</v>
      </c>
      <c r="AT132" s="393">
        <f>IF(ISBLANK(Actuals!AU42),-55*Escalation!$B$43,Actuals!AU42)</f>
        <v>-58.36644</v>
      </c>
      <c r="AU132" s="393">
        <f>IF(ISBLANK(Actuals!AV42),-55*Escalation!$B$44,Actuals!AV42)</f>
        <v>-58.36644</v>
      </c>
      <c r="AV132" s="393">
        <f>IF(ISBLANK(Actuals!AW42),-55*Escalation!$B$45,Actuals!AW42)</f>
        <v>-58.36644</v>
      </c>
      <c r="AW132" s="393">
        <f>IF(ISBLANK(Actuals!AX42),-55*Escalation!$B$46,Actuals!AX42)</f>
        <v>-58.36644</v>
      </c>
      <c r="AX132" s="393">
        <f>IF(ISBLANK(Actuals!AY42),-55*Escalation!$B$47,Actuals!AY42)</f>
        <v>-58.36644</v>
      </c>
      <c r="AY132" s="393">
        <f>IF(ISBLANK(Actuals!AZ42),-55*Escalation!$B$48,Actuals!AZ42)</f>
        <v>-58.36644</v>
      </c>
      <c r="AZ132" s="393">
        <f>IF(ISBLANK(Actuals!BA42),-55*Escalation!$B$49,Actuals!BA42)</f>
        <v>-58.36644</v>
      </c>
      <c r="BA132" s="393">
        <f>IF(ISBLANK(Actuals!BB42),-55*Escalation!$B$50,Actuals!BB42)</f>
        <v>-59.5337688</v>
      </c>
      <c r="BB132" s="393">
        <f>IF(ISBLANK(Actuals!BC42),-55*Escalation!$B$51,Actuals!BC42)</f>
        <v>-59.5337688</v>
      </c>
      <c r="BC132" s="393">
        <f>IF(ISBLANK(Actuals!BD42),-55*Escalation!$B$52,Actuals!BD42)</f>
        <v>-59.5337688</v>
      </c>
      <c r="BD132" s="393">
        <f>IF(ISBLANK(Actuals!BE42),-55*Escalation!$B$53,Actuals!BE42)</f>
        <v>-59.5337688</v>
      </c>
      <c r="BE132" s="393">
        <f>IF(ISBLANK(Actuals!BF42),-55*Escalation!$B$54,Actuals!BF42)</f>
        <v>-59.5337688</v>
      </c>
      <c r="BF132" s="393">
        <f>IF(ISBLANK(Actuals!BG42),-55*Escalation!$B$55,Actuals!BG42)</f>
        <v>-59.5337688</v>
      </c>
      <c r="BG132" s="393">
        <f>IF(ISBLANK(Actuals!BH42),-55*Escalation!$B$56,Actuals!BH42)</f>
        <v>-59.5337688</v>
      </c>
      <c r="BH132" s="393">
        <f>IF(ISBLANK(Actuals!BI42),-55*Escalation!$B$57,Actuals!BI42)</f>
        <v>-59.5337688</v>
      </c>
      <c r="BI132" s="393">
        <f>IF(ISBLANK(Actuals!BJ42),-55*Escalation!$B$58,Actuals!BJ42)</f>
        <v>-59.5337688</v>
      </c>
      <c r="BJ132" s="393">
        <f>IF(ISBLANK(Actuals!BK42),-55*Escalation!$B$59,Actuals!BK42)</f>
        <v>-59.5337688</v>
      </c>
      <c r="BK132" s="393">
        <f>IF(ISBLANK(Actuals!BL42),-55*Escalation!$B$60,Actuals!BL42)</f>
        <v>-59.5337688</v>
      </c>
      <c r="BL132" s="393">
        <f>IF(ISBLANK(Actuals!BM42),-55*Escalation!$B$61,Actuals!BM42)</f>
        <v>-59.5337688</v>
      </c>
      <c r="BM132" s="393">
        <f>IF(ISBLANK(Actuals!BN42),-55*Escalation!$B$62,Actuals!BN42)</f>
        <v>-60.724444176</v>
      </c>
      <c r="BN132" s="393">
        <f>IF(ISBLANK(Actuals!BO42),-55*Escalation!$B$63,Actuals!BO42)</f>
        <v>-60.724444176</v>
      </c>
      <c r="BO132" s="393">
        <f>IF(ISBLANK(Actuals!BP42),-55*Escalation!$B$64,Actuals!BP42)</f>
        <v>-60.724444176</v>
      </c>
      <c r="BP132" s="393">
        <f>IF(ISBLANK(Actuals!BQ42),-55*Escalation!$B$65,Actuals!BQ42)</f>
        <v>-60.724444176</v>
      </c>
      <c r="BQ132" s="393">
        <f>IF(ISBLANK(Actuals!BR42),-55*Escalation!$B$66,Actuals!BR42)</f>
        <v>-60.724444176</v>
      </c>
      <c r="BR132" s="393">
        <f>IF(ISBLANK(Actuals!BS42),-55*Escalation!$B$67,Actuals!BS42)</f>
        <v>-60.724444176</v>
      </c>
      <c r="BS132" s="393">
        <f>IF(ISBLANK(Actuals!BT42),-55*Escalation!$B$68,Actuals!BT42)</f>
        <v>-60.724444176</v>
      </c>
      <c r="BT132" s="393">
        <f>IF(ISBLANK(Actuals!BU42),-55*Escalation!$B$69,Actuals!BU42)</f>
        <v>-60.724444176</v>
      </c>
      <c r="BU132" s="393">
        <f>IF(ISBLANK(Actuals!BV42),-55*Escalation!$B$70,Actuals!BV42)</f>
        <v>-60.724444176</v>
      </c>
      <c r="BV132" s="393">
        <f>IF(ISBLANK(Actuals!BW42),-55*Escalation!$B$71,Actuals!BW42)</f>
        <v>-60.724444176</v>
      </c>
      <c r="BW132" s="393">
        <f>IF(ISBLANK(Actuals!BX42),-55*Escalation!$B$72,Actuals!BX42)</f>
        <v>-60.724444176</v>
      </c>
      <c r="BX132" s="393">
        <f>IF(ISBLANK(Actuals!BY42),-55*Escalation!$B$73,Actuals!BY42)</f>
        <v>-60.724444176</v>
      </c>
      <c r="BY132" s="393">
        <f>IF(ISBLANK(Actuals!BZ42),-55*Escalation!$B$74,Actuals!BZ42)</f>
        <v>-61.93893305952</v>
      </c>
      <c r="BZ132" s="393">
        <f>IF(ISBLANK(Actuals!CA42),-55*Escalation!$B$75,Actuals!CA42)</f>
        <v>-61.93893305952</v>
      </c>
      <c r="CA132" s="393">
        <f>IF(ISBLANK(Actuals!CB42),-55*Escalation!$B$76,Actuals!CB42)</f>
        <v>-61.93893305952</v>
      </c>
      <c r="CB132" s="393">
        <f>IF(ISBLANK(Actuals!CC42),-55*Escalation!$B$77,Actuals!CC42)</f>
        <v>-61.93893305952</v>
      </c>
      <c r="CC132" s="393">
        <f>IF(ISBLANK(Actuals!CD42),-55*Escalation!$B$78,Actuals!CD42)</f>
        <v>-61.93893305952</v>
      </c>
      <c r="CD132" s="393">
        <f>IF(ISBLANK(Actuals!CE42),-55*Escalation!$B$79,Actuals!CE42)</f>
        <v>-61.93893305952</v>
      </c>
      <c r="CE132" s="393">
        <f>IF(ISBLANK(Actuals!CF42),-55*Escalation!$B$80,Actuals!CF42)</f>
        <v>-61.93893305952</v>
      </c>
      <c r="CF132" s="393">
        <f>IF(ISBLANK(Actuals!CG42),-55*Escalation!$B$81,Actuals!CG42)</f>
        <v>-61.93893305952</v>
      </c>
      <c r="CG132" s="393">
        <f>IF(ISBLANK(Actuals!CH42),-55*Escalation!$B$82,Actuals!CH42)</f>
        <v>-61.93893305952</v>
      </c>
      <c r="CH132" s="393">
        <f>IF(ISBLANK(Actuals!CI42),-55*Escalation!$B$83,Actuals!CI42)</f>
        <v>-61.93893305952</v>
      </c>
      <c r="CI132" s="393">
        <f>IF(ISBLANK(Actuals!CJ42),-55*Escalation!$B$84,Actuals!CJ42)</f>
        <v>-61.93893305952</v>
      </c>
      <c r="CJ132" s="393">
        <f>IF(ISBLANK(Actuals!CK42),-55*Escalation!$B$85,Actuals!CK42)</f>
        <v>-61.93893305952</v>
      </c>
      <c r="CK132" s="393">
        <f>IF(ISBLANK(Actuals!CL42),-55*Escalation!$B$86,Actuals!CL42)</f>
        <v>-63.1777117207104</v>
      </c>
      <c r="CL132" s="393">
        <f>IF(ISBLANK(Actuals!CM42),-55*Escalation!$B$87,Actuals!CM42)</f>
        <v>-63.1777117207104</v>
      </c>
      <c r="CM132" s="393">
        <f>IF(ISBLANK(Actuals!CN42),-55*Escalation!$B$88,Actuals!CN42)</f>
        <v>-63.1777117207104</v>
      </c>
      <c r="CN132" s="393">
        <f>IF(ISBLANK(Actuals!CO42),-55*Escalation!$B$89,Actuals!CO42)</f>
        <v>-63.1777117207104</v>
      </c>
      <c r="CO132" s="393">
        <f>IF(ISBLANK(Actuals!CP42),-55*Escalation!$B$90,Actuals!CP42)</f>
        <v>-63.1777117207104</v>
      </c>
      <c r="CP132" s="393">
        <f>IF(ISBLANK(Actuals!CQ42),-55*Escalation!$B$91,Actuals!CQ42)</f>
        <v>-63.1777117207104</v>
      </c>
      <c r="CQ132" s="393">
        <f>IF(ISBLANK(Actuals!CR42),-55*Escalation!$B$92,Actuals!CR42)</f>
        <v>-63.1777117207104</v>
      </c>
      <c r="CR132" s="393">
        <f>IF(ISBLANK(Actuals!CS42),-55*Escalation!$B$93,Actuals!CS42)</f>
        <v>-63.1777117207104</v>
      </c>
      <c r="CS132" s="393">
        <f>IF(ISBLANK(Actuals!CT42),-55*Escalation!$B$94,Actuals!CT42)</f>
        <v>-63.1777117207104</v>
      </c>
      <c r="CT132" s="393">
        <f>IF(ISBLANK(Actuals!CU42),-55*Escalation!$B$95,Actuals!CU42)</f>
        <v>-63.1777117207104</v>
      </c>
      <c r="CU132" s="393">
        <f>IF(ISBLANK(Actuals!CV42),-55*Escalation!$B$96,Actuals!CV42)</f>
        <v>-63.1777117207104</v>
      </c>
      <c r="CV132" s="393">
        <f>IF(ISBLANK(Actuals!CW42),-55*Escalation!$B$97,Actuals!CW42)</f>
        <v>-63.1777117207104</v>
      </c>
      <c r="CW132" s="393">
        <f>IF(ISBLANK(Actuals!CX42),-55*Escalation!$B$98,Actuals!CX42)</f>
        <v>-64.4412659551246</v>
      </c>
      <c r="CX132" s="393">
        <f>IF(ISBLANK(Actuals!CY42),-55*Escalation!$B$99,Actuals!CY42)</f>
        <v>-64.4412659551246</v>
      </c>
      <c r="CY132" s="393">
        <f>IF(ISBLANK(Actuals!CZ42),-55*Escalation!$B$100,Actuals!CZ42)</f>
        <v>-64.4412659551246</v>
      </c>
      <c r="CZ132" s="393">
        <f>IF(ISBLANK(Actuals!DA42),-55*Escalation!$B$101,Actuals!DA42)</f>
        <v>-64.4412659551246</v>
      </c>
      <c r="DA132" s="393">
        <f>IF(ISBLANK(Actuals!DB42),-55*Escalation!$B$102,Actuals!DB42)</f>
        <v>-64.4412659551246</v>
      </c>
      <c r="DB132" s="393">
        <f>IF(ISBLANK(Actuals!DC42),-55*Escalation!$B$103,Actuals!DC42)</f>
        <v>-64.4412659551246</v>
      </c>
      <c r="DC132" s="393">
        <f>IF(ISBLANK(Actuals!DD42),-55*Escalation!$B$104,Actuals!DD42)</f>
        <v>-64.4412659551246</v>
      </c>
      <c r="DD132" s="393">
        <f>IF(ISBLANK(Actuals!DE42),-55*Escalation!$B$105,Actuals!DE42)</f>
        <v>-64.4412659551246</v>
      </c>
      <c r="DE132" s="393">
        <f>IF(ISBLANK(Actuals!DF42),-55*Escalation!$B$106,Actuals!DF42)</f>
        <v>-64.4412659551246</v>
      </c>
    </row>
    <row r="133" ht="15" customFormat="1" customHeight="1" s="381">
      <c r="A133" s="415" t="inlineStr">
        <is>
          <t>5900-1002 Repairs and Maintenance</t>
        </is>
      </c>
      <c r="B133" s="402">
        <f>IF(ISBLANK(Actuals!C43),0,Actuals!C43)</f>
        <v>0</v>
      </c>
      <c r="C133" s="402">
        <f>IF(ISBLANK(Actuals!D43),0,Actuals!D43)</f>
        <v>0</v>
      </c>
      <c r="D133" s="402">
        <f>IF(ISBLANK(Actuals!E43),0,Actuals!E43)</f>
        <v>0</v>
      </c>
      <c r="E133" s="402">
        <f>IF(ISBLANK(Actuals!F43),0*Escalation!$B$2,Actuals!F43)</f>
        <v>-1036.49</v>
      </c>
      <c r="F133" s="402">
        <f>IF(ISBLANK(Actuals!G43),0*Escalation!$B$3,Actuals!G43)</f>
        <v>0</v>
      </c>
      <c r="G133" s="402">
        <f>IF(ISBLANK(Actuals!H43),0*Escalation!$B$4,Actuals!H43)</f>
        <v>-4308.58</v>
      </c>
      <c r="H133" s="402">
        <f>IF(ISBLANK(Actuals!I43),0*Escalation!$B$5,Actuals!I43)</f>
        <v>0</v>
      </c>
      <c r="I133" s="402">
        <f>IF(ISBLANK(Actuals!J43),0*Escalation!$B$6,Actuals!J43)</f>
        <v>0</v>
      </c>
      <c r="J133" s="402">
        <f>IF(ISBLANK(Actuals!K43),0*Escalation!$B$7,Actuals!K43)</f>
        <v>0</v>
      </c>
      <c r="K133" s="402">
        <f>IF(ISBLANK(Actuals!L43),0*Escalation!$B$8,Actuals!L43)</f>
        <v>0</v>
      </c>
      <c r="L133" s="402">
        <f>IF(ISBLANK(Actuals!M43),0*Escalation!$B$9,Actuals!M43)</f>
        <v>0</v>
      </c>
      <c r="M133" s="402">
        <f>IF(ISBLANK(Actuals!N43),0*Escalation!$B$10,Actuals!N43)</f>
        <v>0</v>
      </c>
      <c r="N133" s="402">
        <f>IF(ISBLANK(Actuals!O43),0*Escalation!$B$11,Actuals!O43)</f>
        <v>0</v>
      </c>
      <c r="O133" s="402">
        <f>IF(ISBLANK(Actuals!P43),0*Escalation!$B$12,Actuals!P43)</f>
        <v>0</v>
      </c>
      <c r="P133" s="402">
        <f>IF(ISBLANK(Actuals!Q43),0*Escalation!$B$13,Actuals!Q43)</f>
        <v>0</v>
      </c>
      <c r="Q133" s="402">
        <f>IF(ISBLANK(Actuals!R43),0*Escalation!$B$14,Actuals!R43)</f>
        <v>0</v>
      </c>
      <c r="R133" s="402">
        <f>IF(ISBLANK(Actuals!S43),0*Escalation!$B$15,Actuals!S43)</f>
        <v>0</v>
      </c>
      <c r="S133" s="402">
        <f>IF(ISBLANK(Actuals!T43),0*Escalation!$B$16,Actuals!T43)</f>
        <v>0</v>
      </c>
      <c r="T133" s="402">
        <f>IF(ISBLANK(Actuals!U43),0*Escalation!$B$17,Actuals!U43)</f>
        <v>0</v>
      </c>
      <c r="U133" s="402">
        <f>IF(ISBLANK(Actuals!V43),0*Escalation!$B$18,Actuals!V43)</f>
        <v>0</v>
      </c>
      <c r="V133" s="402">
        <f>IF(ISBLANK(Actuals!W43),0*Escalation!$B$19,Actuals!W43)</f>
        <v>0</v>
      </c>
      <c r="W133" s="402">
        <f>IF(ISBLANK(Actuals!X43),0*Escalation!$B$20,Actuals!X43)</f>
        <v>0</v>
      </c>
      <c r="X133" s="402">
        <f>IF(ISBLANK(Actuals!Y43),0*Escalation!$B$21,Actuals!Y43)</f>
        <v>0</v>
      </c>
      <c r="Y133" s="402">
        <f>IF(ISBLANK(Actuals!Z43),0*Escalation!$B$22,Actuals!Z43)</f>
        <v>0</v>
      </c>
      <c r="Z133" s="402">
        <f>IF(ISBLANK(Actuals!AA43),0*Escalation!$B$23,Actuals!AA43)</f>
        <v>0</v>
      </c>
      <c r="AA133" s="402">
        <f>IF(ISBLANK(Actuals!AB43),0*Escalation!$B$24,Actuals!AB43)</f>
        <v>0</v>
      </c>
      <c r="AB133" s="402">
        <f>IF(ISBLANK(Actuals!AC43),0*Escalation!$B$25,Actuals!AC43)</f>
        <v>0</v>
      </c>
      <c r="AC133" s="402">
        <f>IF(ISBLANK(Actuals!AD43),0*Escalation!$B$26,Actuals!AD43)</f>
        <v>0</v>
      </c>
      <c r="AD133" s="402">
        <f>IF(ISBLANK(Actuals!AE43),0*Escalation!$B$27,Actuals!AE43)</f>
        <v>0</v>
      </c>
      <c r="AE133" s="402">
        <f>IF(ISBLANK(Actuals!AF43),0*Escalation!$B$28,Actuals!AF43)</f>
        <v>0</v>
      </c>
      <c r="AF133" s="402">
        <f>IF(ISBLANK(Actuals!AG43),0*Escalation!$B$29,Actuals!AG43)</f>
        <v>0</v>
      </c>
      <c r="AG133" s="402">
        <f>IF(ISBLANK(Actuals!AH43),0*Escalation!$B$30,Actuals!AH43)</f>
        <v>0</v>
      </c>
      <c r="AH133" s="402">
        <f>IF(ISBLANK(Actuals!AI43),0*Escalation!$B$31,Actuals!AI43)</f>
        <v>0</v>
      </c>
      <c r="AI133" s="402">
        <f>IF(ISBLANK(Actuals!AJ43),0*Escalation!$B$32,Actuals!AJ43)</f>
        <v>0</v>
      </c>
      <c r="AJ133" s="402">
        <f>IF(ISBLANK(Actuals!AK43),0*Escalation!$B$33,Actuals!AK43)</f>
        <v>0</v>
      </c>
      <c r="AK133" s="402">
        <f>IF(ISBLANK(Actuals!AL43),0*Escalation!$B$34,Actuals!AL43)</f>
        <v>0</v>
      </c>
      <c r="AL133" s="402">
        <f>IF(ISBLANK(Actuals!AM43),0*Escalation!$B$35,Actuals!AM43)</f>
        <v>0</v>
      </c>
      <c r="AM133" s="402">
        <f>IF(ISBLANK(Actuals!AN43),0*Escalation!$B$36,Actuals!AN43)</f>
        <v>0</v>
      </c>
      <c r="AN133" s="402">
        <f>IF(ISBLANK(Actuals!AO43),0*Escalation!$B$37,Actuals!AO43)</f>
        <v>0</v>
      </c>
      <c r="AO133" s="402">
        <f>IF(ISBLANK(Actuals!AP43),0*Escalation!$B$38,Actuals!AP43)</f>
        <v>0</v>
      </c>
      <c r="AP133" s="402">
        <f>IF(ISBLANK(Actuals!AQ43),0*Escalation!$B$39,Actuals!AQ43)</f>
        <v>0</v>
      </c>
      <c r="AQ133" s="402">
        <f>IF(ISBLANK(Actuals!AR43),0*Escalation!$B$40,Actuals!AR43)</f>
        <v>0</v>
      </c>
      <c r="AR133" s="402">
        <f>IF(ISBLANK(Actuals!AS43),0*Escalation!$B$41,Actuals!AS43)</f>
        <v>0</v>
      </c>
      <c r="AS133" s="402">
        <f>IF(ISBLANK(Actuals!AT43),0*Escalation!$B$42,Actuals!AT43)</f>
        <v>0</v>
      </c>
      <c r="AT133" s="402">
        <f>IF(ISBLANK(Actuals!AU43),0*Escalation!$B$43,Actuals!AU43)</f>
        <v>0</v>
      </c>
      <c r="AU133" s="402">
        <f>IF(ISBLANK(Actuals!AV43),0*Escalation!$B$44,Actuals!AV43)</f>
        <v>0</v>
      </c>
      <c r="AV133" s="402">
        <f>IF(ISBLANK(Actuals!AW43),0*Escalation!$B$45,Actuals!AW43)</f>
        <v>0</v>
      </c>
      <c r="AW133" s="402">
        <f>IF(ISBLANK(Actuals!AX43),0*Escalation!$B$46,Actuals!AX43)</f>
        <v>0</v>
      </c>
      <c r="AX133" s="402">
        <f>IF(ISBLANK(Actuals!AY43),0*Escalation!$B$47,Actuals!AY43)</f>
        <v>0</v>
      </c>
      <c r="AY133" s="402">
        <f>IF(ISBLANK(Actuals!AZ43),0*Escalation!$B$48,Actuals!AZ43)</f>
        <v>0</v>
      </c>
      <c r="AZ133" s="402">
        <f>IF(ISBLANK(Actuals!BA43),0*Escalation!$B$49,Actuals!BA43)</f>
        <v>0</v>
      </c>
      <c r="BA133" s="402">
        <f>IF(ISBLANK(Actuals!BB43),0*Escalation!$B$50,Actuals!BB43)</f>
        <v>0</v>
      </c>
      <c r="BB133" s="402">
        <f>IF(ISBLANK(Actuals!BC43),0*Escalation!$B$51,Actuals!BC43)</f>
        <v>0</v>
      </c>
      <c r="BC133" s="402">
        <f>IF(ISBLANK(Actuals!BD43),0*Escalation!$B$52,Actuals!BD43)</f>
        <v>0</v>
      </c>
      <c r="BD133" s="402">
        <f>IF(ISBLANK(Actuals!BE43),0*Escalation!$B$53,Actuals!BE43)</f>
        <v>0</v>
      </c>
      <c r="BE133" s="402">
        <f>IF(ISBLANK(Actuals!BF43),0*Escalation!$B$54,Actuals!BF43)</f>
        <v>0</v>
      </c>
      <c r="BF133" s="402">
        <f>IF(ISBLANK(Actuals!BG43),0*Escalation!$B$55,Actuals!BG43)</f>
        <v>0</v>
      </c>
      <c r="BG133" s="402">
        <f>IF(ISBLANK(Actuals!BH43),0*Escalation!$B$56,Actuals!BH43)</f>
        <v>0</v>
      </c>
      <c r="BH133" s="402">
        <f>IF(ISBLANK(Actuals!BI43),0*Escalation!$B$57,Actuals!BI43)</f>
        <v>0</v>
      </c>
      <c r="BI133" s="402">
        <f>IF(ISBLANK(Actuals!BJ43),0*Escalation!$B$58,Actuals!BJ43)</f>
        <v>0</v>
      </c>
      <c r="BJ133" s="402">
        <f>IF(ISBLANK(Actuals!BK43),0*Escalation!$B$59,Actuals!BK43)</f>
        <v>0</v>
      </c>
      <c r="BK133" s="402">
        <f>IF(ISBLANK(Actuals!BL43),0*Escalation!$B$60,Actuals!BL43)</f>
        <v>0</v>
      </c>
      <c r="BL133" s="402">
        <f>IF(ISBLANK(Actuals!BM43),0*Escalation!$B$61,Actuals!BM43)</f>
        <v>0</v>
      </c>
      <c r="BM133" s="402">
        <f>IF(ISBLANK(Actuals!BN43),0*Escalation!$B$62,Actuals!BN43)</f>
        <v>0</v>
      </c>
      <c r="BN133" s="402">
        <f>IF(ISBLANK(Actuals!BO43),0*Escalation!$B$63,Actuals!BO43)</f>
        <v>0</v>
      </c>
      <c r="BO133" s="402">
        <f>IF(ISBLANK(Actuals!BP43),0*Escalation!$B$64,Actuals!BP43)</f>
        <v>0</v>
      </c>
      <c r="BP133" s="402">
        <f>IF(ISBLANK(Actuals!BQ43),0*Escalation!$B$65,Actuals!BQ43)</f>
        <v>0</v>
      </c>
      <c r="BQ133" s="402">
        <f>IF(ISBLANK(Actuals!BR43),0*Escalation!$B$66,Actuals!BR43)</f>
        <v>0</v>
      </c>
      <c r="BR133" s="402">
        <f>IF(ISBLANK(Actuals!BS43),0*Escalation!$B$67,Actuals!BS43)</f>
        <v>0</v>
      </c>
      <c r="BS133" s="402">
        <f>IF(ISBLANK(Actuals!BT43),0*Escalation!$B$68,Actuals!BT43)</f>
        <v>0</v>
      </c>
      <c r="BT133" s="402">
        <f>IF(ISBLANK(Actuals!BU43),0*Escalation!$B$69,Actuals!BU43)</f>
        <v>0</v>
      </c>
      <c r="BU133" s="402">
        <f>IF(ISBLANK(Actuals!BV43),0*Escalation!$B$70,Actuals!BV43)</f>
        <v>0</v>
      </c>
      <c r="BV133" s="402">
        <f>IF(ISBLANK(Actuals!BW43),0*Escalation!$B$71,Actuals!BW43)</f>
        <v>0</v>
      </c>
      <c r="BW133" s="402">
        <f>IF(ISBLANK(Actuals!BX43),0*Escalation!$B$72,Actuals!BX43)</f>
        <v>0</v>
      </c>
      <c r="BX133" s="402">
        <f>IF(ISBLANK(Actuals!BY43),0*Escalation!$B$73,Actuals!BY43)</f>
        <v>0</v>
      </c>
      <c r="BY133" s="402">
        <f>IF(ISBLANK(Actuals!BZ43),0*Escalation!$B$74,Actuals!BZ43)</f>
        <v>0</v>
      </c>
      <c r="BZ133" s="402">
        <f>IF(ISBLANK(Actuals!CA43),0*Escalation!$B$75,Actuals!CA43)</f>
        <v>0</v>
      </c>
      <c r="CA133" s="402">
        <f>IF(ISBLANK(Actuals!CB43),0*Escalation!$B$76,Actuals!CB43)</f>
        <v>0</v>
      </c>
      <c r="CB133" s="402">
        <f>IF(ISBLANK(Actuals!CC43),0*Escalation!$B$77,Actuals!CC43)</f>
        <v>0</v>
      </c>
      <c r="CC133" s="402">
        <f>IF(ISBLANK(Actuals!CD43),0*Escalation!$B$78,Actuals!CD43)</f>
        <v>0</v>
      </c>
      <c r="CD133" s="402">
        <f>IF(ISBLANK(Actuals!CE43),0*Escalation!$B$79,Actuals!CE43)</f>
        <v>0</v>
      </c>
      <c r="CE133" s="402">
        <f>IF(ISBLANK(Actuals!CF43),0*Escalation!$B$80,Actuals!CF43)</f>
        <v>0</v>
      </c>
      <c r="CF133" s="402">
        <f>IF(ISBLANK(Actuals!CG43),0*Escalation!$B$81,Actuals!CG43)</f>
        <v>0</v>
      </c>
      <c r="CG133" s="402">
        <f>IF(ISBLANK(Actuals!CH43),0*Escalation!$B$82,Actuals!CH43)</f>
        <v>0</v>
      </c>
      <c r="CH133" s="402">
        <f>IF(ISBLANK(Actuals!CI43),0*Escalation!$B$83,Actuals!CI43)</f>
        <v>0</v>
      </c>
      <c r="CI133" s="402">
        <f>IF(ISBLANK(Actuals!CJ43),0*Escalation!$B$84,Actuals!CJ43)</f>
        <v>0</v>
      </c>
      <c r="CJ133" s="402">
        <f>IF(ISBLANK(Actuals!CK43),0*Escalation!$B$85,Actuals!CK43)</f>
        <v>0</v>
      </c>
      <c r="CK133" s="402">
        <f>IF(ISBLANK(Actuals!CL43),0*Escalation!$B$86,Actuals!CL43)</f>
        <v>0</v>
      </c>
      <c r="CL133" s="402">
        <f>IF(ISBLANK(Actuals!CM43),0*Escalation!$B$87,Actuals!CM43)</f>
        <v>0</v>
      </c>
      <c r="CM133" s="402">
        <f>IF(ISBLANK(Actuals!CN43),0*Escalation!$B$88,Actuals!CN43)</f>
        <v>0</v>
      </c>
      <c r="CN133" s="402">
        <f>IF(ISBLANK(Actuals!CO43),0*Escalation!$B$89,Actuals!CO43)</f>
        <v>0</v>
      </c>
      <c r="CO133" s="402">
        <f>IF(ISBLANK(Actuals!CP43),0*Escalation!$B$90,Actuals!CP43)</f>
        <v>0</v>
      </c>
      <c r="CP133" s="402">
        <f>IF(ISBLANK(Actuals!CQ43),0*Escalation!$B$91,Actuals!CQ43)</f>
        <v>0</v>
      </c>
      <c r="CQ133" s="402">
        <f>IF(ISBLANK(Actuals!CR43),0*Escalation!$B$92,Actuals!CR43)</f>
        <v>0</v>
      </c>
      <c r="CR133" s="402">
        <f>IF(ISBLANK(Actuals!CS43),0*Escalation!$B$93,Actuals!CS43)</f>
        <v>0</v>
      </c>
      <c r="CS133" s="402">
        <f>IF(ISBLANK(Actuals!CT43),0*Escalation!$B$94,Actuals!CT43)</f>
        <v>0</v>
      </c>
      <c r="CT133" s="402">
        <f>IF(ISBLANK(Actuals!CU43),0*Escalation!$B$95,Actuals!CU43)</f>
        <v>0</v>
      </c>
      <c r="CU133" s="402">
        <f>IF(ISBLANK(Actuals!CV43),0*Escalation!$B$96,Actuals!CV43)</f>
        <v>0</v>
      </c>
      <c r="CV133" s="402">
        <f>IF(ISBLANK(Actuals!CW43),0*Escalation!$B$97,Actuals!CW43)</f>
        <v>0</v>
      </c>
      <c r="CW133" s="402">
        <f>IF(ISBLANK(Actuals!CX43),0*Escalation!$B$98,Actuals!CX43)</f>
        <v>0</v>
      </c>
      <c r="CX133" s="402">
        <f>IF(ISBLANK(Actuals!CY43),0*Escalation!$B$99,Actuals!CY43)</f>
        <v>0</v>
      </c>
      <c r="CY133" s="402">
        <f>IF(ISBLANK(Actuals!CZ43),0*Escalation!$B$100,Actuals!CZ43)</f>
        <v>0</v>
      </c>
      <c r="CZ133" s="402">
        <f>IF(ISBLANK(Actuals!DA43),0*Escalation!$B$101,Actuals!DA43)</f>
        <v>0</v>
      </c>
      <c r="DA133" s="402">
        <f>IF(ISBLANK(Actuals!DB43),0*Escalation!$B$102,Actuals!DB43)</f>
        <v>0</v>
      </c>
      <c r="DB133" s="402">
        <f>IF(ISBLANK(Actuals!DC43),0*Escalation!$B$103,Actuals!DC43)</f>
        <v>0</v>
      </c>
      <c r="DC133" s="402">
        <f>IF(ISBLANK(Actuals!DD43),0*Escalation!$B$104,Actuals!DD43)</f>
        <v>0</v>
      </c>
      <c r="DD133" s="402">
        <f>IF(ISBLANK(Actuals!DE43),0*Escalation!$B$105,Actuals!DE43)</f>
        <v>0</v>
      </c>
      <c r="DE133" s="402">
        <f>IF(ISBLANK(Actuals!DF43),0*Escalation!$B$106,Actuals!DF43)</f>
        <v>0</v>
      </c>
    </row>
    <row r="134" ht="15" customFormat="1" customHeight="1" s="381">
      <c r="A134" s="415" t="inlineStr">
        <is>
          <t>5900-1003 Janitorial and Cleaning Expenses</t>
        </is>
      </c>
      <c r="B134" s="402">
        <f>IF(ISBLANK(Actuals!C44),0,Actuals!C44)</f>
        <v>-550</v>
      </c>
      <c r="C134" s="402">
        <f>IF(ISBLANK(Actuals!D44),0,Actuals!D44)</f>
        <v>-550</v>
      </c>
      <c r="D134" s="402">
        <f>IF(ISBLANK(Actuals!E44),0,Actuals!E44)</f>
        <v>-550</v>
      </c>
      <c r="E134" s="402">
        <f>IF(ISBLANK(Actuals!F44),-550*Escalation!$B$2,Actuals!F44)</f>
        <v>-600</v>
      </c>
      <c r="F134" s="402">
        <f>IF(ISBLANK(Actuals!G44),-550*Escalation!$B$3,Actuals!G44)</f>
        <v>-650</v>
      </c>
      <c r="G134" s="402">
        <f>IF(ISBLANK(Actuals!H44),-550*Escalation!$B$4,Actuals!H44)</f>
        <v>-575</v>
      </c>
      <c r="H134" s="402">
        <f>IF(ISBLANK(Actuals!I44),-550*Escalation!$B$5,Actuals!I44)</f>
        <v>-550</v>
      </c>
      <c r="I134" s="402">
        <f>IF(ISBLANK(Actuals!J44),-550*Escalation!$B$6,Actuals!J44)</f>
        <v>-550</v>
      </c>
      <c r="J134" s="402">
        <f>IF(ISBLANK(Actuals!K44),-550*Escalation!$B$7,Actuals!K44)</f>
        <v>-550</v>
      </c>
      <c r="K134" s="402">
        <f>IF(ISBLANK(Actuals!L44),-550*Escalation!$B$8,Actuals!L44)</f>
        <v>-550</v>
      </c>
      <c r="L134" s="402">
        <f>IF(ISBLANK(Actuals!M44),-550*Escalation!$B$9,Actuals!M44)</f>
        <v>-550</v>
      </c>
      <c r="M134" s="402">
        <f>IF(ISBLANK(Actuals!N44),-550*Escalation!$B$10,Actuals!N44)</f>
        <v>-550</v>
      </c>
      <c r="N134" s="402">
        <f>IF(ISBLANK(Actuals!O44),-550*Escalation!$B$11,Actuals!O44)</f>
        <v>-550</v>
      </c>
      <c r="O134" s="402">
        <f>IF(ISBLANK(Actuals!P44),-550*Escalation!$B$12,Actuals!P44)</f>
        <v>-550</v>
      </c>
      <c r="P134" s="402">
        <f>IF(ISBLANK(Actuals!Q44),-550*Escalation!$B$13,Actuals!Q44)</f>
        <v>-550</v>
      </c>
      <c r="Q134" s="402">
        <f>IF(ISBLANK(Actuals!R44),-550*Escalation!$B$14,Actuals!R44)</f>
        <v>-561</v>
      </c>
      <c r="R134" s="402">
        <f>IF(ISBLANK(Actuals!S44),-550*Escalation!$B$15,Actuals!S44)</f>
        <v>-561</v>
      </c>
      <c r="S134" s="402">
        <f>IF(ISBLANK(Actuals!T44),-550*Escalation!$B$16,Actuals!T44)</f>
        <v>-561</v>
      </c>
      <c r="T134" s="402">
        <f>IF(ISBLANK(Actuals!U44),-550*Escalation!$B$17,Actuals!U44)</f>
        <v>-561</v>
      </c>
      <c r="U134" s="402">
        <f>IF(ISBLANK(Actuals!V44),-550*Escalation!$B$18,Actuals!V44)</f>
        <v>-561</v>
      </c>
      <c r="V134" s="402">
        <f>IF(ISBLANK(Actuals!W44),-550*Escalation!$B$19,Actuals!W44)</f>
        <v>-561</v>
      </c>
      <c r="W134" s="402">
        <f>IF(ISBLANK(Actuals!X44),-550*Escalation!$B$20,Actuals!X44)</f>
        <v>-561</v>
      </c>
      <c r="X134" s="402">
        <f>IF(ISBLANK(Actuals!Y44),-550*Escalation!$B$21,Actuals!Y44)</f>
        <v>-561</v>
      </c>
      <c r="Y134" s="402">
        <f>IF(ISBLANK(Actuals!Z44),-550*Escalation!$B$22,Actuals!Z44)</f>
        <v>-561</v>
      </c>
      <c r="Z134" s="402">
        <f>IF(ISBLANK(Actuals!AA44),-550*Escalation!$B$23,Actuals!AA44)</f>
        <v>-561</v>
      </c>
      <c r="AA134" s="402">
        <f>IF(ISBLANK(Actuals!AB44),-550*Escalation!$B$24,Actuals!AB44)</f>
        <v>-561</v>
      </c>
      <c r="AB134" s="402">
        <f>IF(ISBLANK(Actuals!AC44),-550*Escalation!$B$25,Actuals!AC44)</f>
        <v>-561</v>
      </c>
      <c r="AC134" s="402">
        <f>IF(ISBLANK(Actuals!AD44),-550*Escalation!$B$26,Actuals!AD44)</f>
        <v>-572.22</v>
      </c>
      <c r="AD134" s="402">
        <f>IF(ISBLANK(Actuals!AE44),-550*Escalation!$B$27,Actuals!AE44)</f>
        <v>-572.22</v>
      </c>
      <c r="AE134" s="402">
        <f>IF(ISBLANK(Actuals!AF44),-550*Escalation!$B$28,Actuals!AF44)</f>
        <v>-572.22</v>
      </c>
      <c r="AF134" s="402">
        <f>IF(ISBLANK(Actuals!AG44),-550*Escalation!$B$29,Actuals!AG44)</f>
        <v>-572.22</v>
      </c>
      <c r="AG134" s="402">
        <f>IF(ISBLANK(Actuals!AH44),-550*Escalation!$B$30,Actuals!AH44)</f>
        <v>-572.22</v>
      </c>
      <c r="AH134" s="402">
        <f>IF(ISBLANK(Actuals!AI44),-550*Escalation!$B$31,Actuals!AI44)</f>
        <v>-572.22</v>
      </c>
      <c r="AI134" s="402">
        <f>IF(ISBLANK(Actuals!AJ44),-550*Escalation!$B$32,Actuals!AJ44)</f>
        <v>-572.22</v>
      </c>
      <c r="AJ134" s="402">
        <f>IF(ISBLANK(Actuals!AK44),-550*Escalation!$B$33,Actuals!AK44)</f>
        <v>-572.22</v>
      </c>
      <c r="AK134" s="402">
        <f>IF(ISBLANK(Actuals!AL44),-550*Escalation!$B$34,Actuals!AL44)</f>
        <v>-572.22</v>
      </c>
      <c r="AL134" s="402">
        <f>IF(ISBLANK(Actuals!AM44),-550*Escalation!$B$35,Actuals!AM44)</f>
        <v>-572.22</v>
      </c>
      <c r="AM134" s="402">
        <f>IF(ISBLANK(Actuals!AN44),-550*Escalation!$B$36,Actuals!AN44)</f>
        <v>-572.22</v>
      </c>
      <c r="AN134" s="402">
        <f>IF(ISBLANK(Actuals!AO44),-550*Escalation!$B$37,Actuals!AO44)</f>
        <v>-572.22</v>
      </c>
      <c r="AO134" s="402">
        <f>IF(ISBLANK(Actuals!AP44),-550*Escalation!$B$38,Actuals!AP44)</f>
        <v>-583.6644</v>
      </c>
      <c r="AP134" s="402">
        <f>IF(ISBLANK(Actuals!AQ44),-550*Escalation!$B$39,Actuals!AQ44)</f>
        <v>-583.6644</v>
      </c>
      <c r="AQ134" s="402">
        <f>IF(ISBLANK(Actuals!AR44),-550*Escalation!$B$40,Actuals!AR44)</f>
        <v>-583.6644</v>
      </c>
      <c r="AR134" s="402">
        <f>IF(ISBLANK(Actuals!AS44),-550*Escalation!$B$41,Actuals!AS44)</f>
        <v>-583.6644</v>
      </c>
      <c r="AS134" s="402">
        <f>IF(ISBLANK(Actuals!AT44),-550*Escalation!$B$42,Actuals!AT44)</f>
        <v>-583.6644</v>
      </c>
      <c r="AT134" s="402">
        <f>IF(ISBLANK(Actuals!AU44),-550*Escalation!$B$43,Actuals!AU44)</f>
        <v>-583.6644</v>
      </c>
      <c r="AU134" s="402">
        <f>IF(ISBLANK(Actuals!AV44),-550*Escalation!$B$44,Actuals!AV44)</f>
        <v>-583.6644</v>
      </c>
      <c r="AV134" s="402">
        <f>IF(ISBLANK(Actuals!AW44),-550*Escalation!$B$45,Actuals!AW44)</f>
        <v>-583.6644</v>
      </c>
      <c r="AW134" s="402">
        <f>IF(ISBLANK(Actuals!AX44),-550*Escalation!$B$46,Actuals!AX44)</f>
        <v>-583.6644</v>
      </c>
      <c r="AX134" s="402">
        <f>IF(ISBLANK(Actuals!AY44),-550*Escalation!$B$47,Actuals!AY44)</f>
        <v>-583.6644</v>
      </c>
      <c r="AY134" s="402">
        <f>IF(ISBLANK(Actuals!AZ44),-550*Escalation!$B$48,Actuals!AZ44)</f>
        <v>-583.6644</v>
      </c>
      <c r="AZ134" s="402">
        <f>IF(ISBLANK(Actuals!BA44),-550*Escalation!$B$49,Actuals!BA44)</f>
        <v>-583.6644</v>
      </c>
      <c r="BA134" s="402">
        <f>IF(ISBLANK(Actuals!BB44),-550*Escalation!$B$50,Actuals!BB44)</f>
        <v>-595.337688</v>
      </c>
      <c r="BB134" s="402">
        <f>IF(ISBLANK(Actuals!BC44),-550*Escalation!$B$51,Actuals!BC44)</f>
        <v>-595.337688</v>
      </c>
      <c r="BC134" s="402">
        <f>IF(ISBLANK(Actuals!BD44),-550*Escalation!$B$52,Actuals!BD44)</f>
        <v>-595.337688</v>
      </c>
      <c r="BD134" s="402">
        <f>IF(ISBLANK(Actuals!BE44),-550*Escalation!$B$53,Actuals!BE44)</f>
        <v>-595.337688</v>
      </c>
      <c r="BE134" s="402">
        <f>IF(ISBLANK(Actuals!BF44),-550*Escalation!$B$54,Actuals!BF44)</f>
        <v>-595.337688</v>
      </c>
      <c r="BF134" s="402">
        <f>IF(ISBLANK(Actuals!BG44),-550*Escalation!$B$55,Actuals!BG44)</f>
        <v>-595.337688</v>
      </c>
      <c r="BG134" s="402">
        <f>IF(ISBLANK(Actuals!BH44),-550*Escalation!$B$56,Actuals!BH44)</f>
        <v>-595.337688</v>
      </c>
      <c r="BH134" s="402">
        <f>IF(ISBLANK(Actuals!BI44),-550*Escalation!$B$57,Actuals!BI44)</f>
        <v>-595.337688</v>
      </c>
      <c r="BI134" s="402">
        <f>IF(ISBLANK(Actuals!BJ44),-550*Escalation!$B$58,Actuals!BJ44)</f>
        <v>-595.337688</v>
      </c>
      <c r="BJ134" s="402">
        <f>IF(ISBLANK(Actuals!BK44),-550*Escalation!$B$59,Actuals!BK44)</f>
        <v>-595.337688</v>
      </c>
      <c r="BK134" s="402">
        <f>IF(ISBLANK(Actuals!BL44),-550*Escalation!$B$60,Actuals!BL44)</f>
        <v>-595.337688</v>
      </c>
      <c r="BL134" s="402">
        <f>IF(ISBLANK(Actuals!BM44),-550*Escalation!$B$61,Actuals!BM44)</f>
        <v>-595.337688</v>
      </c>
      <c r="BM134" s="402">
        <f>IF(ISBLANK(Actuals!BN44),-550*Escalation!$B$62,Actuals!BN44)</f>
        <v>-607.24444176</v>
      </c>
      <c r="BN134" s="402">
        <f>IF(ISBLANK(Actuals!BO44),-550*Escalation!$B$63,Actuals!BO44)</f>
        <v>-607.24444176</v>
      </c>
      <c r="BO134" s="402">
        <f>IF(ISBLANK(Actuals!BP44),-550*Escalation!$B$64,Actuals!BP44)</f>
        <v>-607.24444176</v>
      </c>
      <c r="BP134" s="402">
        <f>IF(ISBLANK(Actuals!BQ44),-550*Escalation!$B$65,Actuals!BQ44)</f>
        <v>-607.24444176</v>
      </c>
      <c r="BQ134" s="402">
        <f>IF(ISBLANK(Actuals!BR44),-550*Escalation!$B$66,Actuals!BR44)</f>
        <v>-607.24444176</v>
      </c>
      <c r="BR134" s="402">
        <f>IF(ISBLANK(Actuals!BS44),-550*Escalation!$B$67,Actuals!BS44)</f>
        <v>-607.24444176</v>
      </c>
      <c r="BS134" s="402">
        <f>IF(ISBLANK(Actuals!BT44),-550*Escalation!$B$68,Actuals!BT44)</f>
        <v>-607.24444176</v>
      </c>
      <c r="BT134" s="402">
        <f>IF(ISBLANK(Actuals!BU44),-550*Escalation!$B$69,Actuals!BU44)</f>
        <v>-607.24444176</v>
      </c>
      <c r="BU134" s="402">
        <f>IF(ISBLANK(Actuals!BV44),-550*Escalation!$B$70,Actuals!BV44)</f>
        <v>-607.24444176</v>
      </c>
      <c r="BV134" s="402">
        <f>IF(ISBLANK(Actuals!BW44),-550*Escalation!$B$71,Actuals!BW44)</f>
        <v>-607.24444176</v>
      </c>
      <c r="BW134" s="402">
        <f>IF(ISBLANK(Actuals!BX44),-550*Escalation!$B$72,Actuals!BX44)</f>
        <v>-607.24444176</v>
      </c>
      <c r="BX134" s="402">
        <f>IF(ISBLANK(Actuals!BY44),-550*Escalation!$B$73,Actuals!BY44)</f>
        <v>-607.24444176</v>
      </c>
      <c r="BY134" s="402">
        <f>IF(ISBLANK(Actuals!BZ44),-550*Escalation!$B$74,Actuals!BZ44)</f>
        <v>-619.3893305952</v>
      </c>
      <c r="BZ134" s="402">
        <f>IF(ISBLANK(Actuals!CA44),-550*Escalation!$B$75,Actuals!CA44)</f>
        <v>-619.3893305952</v>
      </c>
      <c r="CA134" s="402">
        <f>IF(ISBLANK(Actuals!CB44),-550*Escalation!$B$76,Actuals!CB44)</f>
        <v>-619.3893305952</v>
      </c>
      <c r="CB134" s="402">
        <f>IF(ISBLANK(Actuals!CC44),-550*Escalation!$B$77,Actuals!CC44)</f>
        <v>-619.3893305952</v>
      </c>
      <c r="CC134" s="402">
        <f>IF(ISBLANK(Actuals!CD44),-550*Escalation!$B$78,Actuals!CD44)</f>
        <v>-619.3893305952</v>
      </c>
      <c r="CD134" s="402">
        <f>IF(ISBLANK(Actuals!CE44),-550*Escalation!$B$79,Actuals!CE44)</f>
        <v>-619.3893305952</v>
      </c>
      <c r="CE134" s="402">
        <f>IF(ISBLANK(Actuals!CF44),-550*Escalation!$B$80,Actuals!CF44)</f>
        <v>-619.3893305952</v>
      </c>
      <c r="CF134" s="402">
        <f>IF(ISBLANK(Actuals!CG44),-550*Escalation!$B$81,Actuals!CG44)</f>
        <v>-619.3893305952</v>
      </c>
      <c r="CG134" s="402">
        <f>IF(ISBLANK(Actuals!CH44),-550*Escalation!$B$82,Actuals!CH44)</f>
        <v>-619.3893305952</v>
      </c>
      <c r="CH134" s="402">
        <f>IF(ISBLANK(Actuals!CI44),-550*Escalation!$B$83,Actuals!CI44)</f>
        <v>-619.3893305952</v>
      </c>
      <c r="CI134" s="402">
        <f>IF(ISBLANK(Actuals!CJ44),-550*Escalation!$B$84,Actuals!CJ44)</f>
        <v>-619.3893305952</v>
      </c>
      <c r="CJ134" s="402">
        <f>IF(ISBLANK(Actuals!CK44),-550*Escalation!$B$85,Actuals!CK44)</f>
        <v>-619.3893305952</v>
      </c>
      <c r="CK134" s="402">
        <f>IF(ISBLANK(Actuals!CL44),-550*Escalation!$B$86,Actuals!CL44)</f>
        <v>-631.777117207104</v>
      </c>
      <c r="CL134" s="402">
        <f>IF(ISBLANK(Actuals!CM44),-550*Escalation!$B$87,Actuals!CM44)</f>
        <v>-631.777117207104</v>
      </c>
      <c r="CM134" s="402">
        <f>IF(ISBLANK(Actuals!CN44),-550*Escalation!$B$88,Actuals!CN44)</f>
        <v>-631.777117207104</v>
      </c>
      <c r="CN134" s="402">
        <f>IF(ISBLANK(Actuals!CO44),-550*Escalation!$B$89,Actuals!CO44)</f>
        <v>-631.777117207104</v>
      </c>
      <c r="CO134" s="402">
        <f>IF(ISBLANK(Actuals!CP44),-550*Escalation!$B$90,Actuals!CP44)</f>
        <v>-631.777117207104</v>
      </c>
      <c r="CP134" s="402">
        <f>IF(ISBLANK(Actuals!CQ44),-550*Escalation!$B$91,Actuals!CQ44)</f>
        <v>-631.777117207104</v>
      </c>
      <c r="CQ134" s="402">
        <f>IF(ISBLANK(Actuals!CR44),-550*Escalation!$B$92,Actuals!CR44)</f>
        <v>-631.777117207104</v>
      </c>
      <c r="CR134" s="402">
        <f>IF(ISBLANK(Actuals!CS44),-550*Escalation!$B$93,Actuals!CS44)</f>
        <v>-631.777117207104</v>
      </c>
      <c r="CS134" s="402">
        <f>IF(ISBLANK(Actuals!CT44),-550*Escalation!$B$94,Actuals!CT44)</f>
        <v>-631.777117207104</v>
      </c>
      <c r="CT134" s="402">
        <f>IF(ISBLANK(Actuals!CU44),-550*Escalation!$B$95,Actuals!CU44)</f>
        <v>-631.777117207104</v>
      </c>
      <c r="CU134" s="402">
        <f>IF(ISBLANK(Actuals!CV44),-550*Escalation!$B$96,Actuals!CV44)</f>
        <v>-631.777117207104</v>
      </c>
      <c r="CV134" s="402">
        <f>IF(ISBLANK(Actuals!CW44),-550*Escalation!$B$97,Actuals!CW44)</f>
        <v>-631.777117207104</v>
      </c>
      <c r="CW134" s="402">
        <f>IF(ISBLANK(Actuals!CX44),-550*Escalation!$B$98,Actuals!CX44)</f>
        <v>-644.412659551246</v>
      </c>
      <c r="CX134" s="402">
        <f>IF(ISBLANK(Actuals!CY44),-550*Escalation!$B$99,Actuals!CY44)</f>
        <v>-644.412659551246</v>
      </c>
      <c r="CY134" s="402">
        <f>IF(ISBLANK(Actuals!CZ44),-550*Escalation!$B$100,Actuals!CZ44)</f>
        <v>-644.412659551246</v>
      </c>
      <c r="CZ134" s="402">
        <f>IF(ISBLANK(Actuals!DA44),-550*Escalation!$B$101,Actuals!DA44)</f>
        <v>-644.412659551246</v>
      </c>
      <c r="DA134" s="402">
        <f>IF(ISBLANK(Actuals!DB44),-550*Escalation!$B$102,Actuals!DB44)</f>
        <v>-644.412659551246</v>
      </c>
      <c r="DB134" s="402">
        <f>IF(ISBLANK(Actuals!DC44),-550*Escalation!$B$103,Actuals!DC44)</f>
        <v>-644.412659551246</v>
      </c>
      <c r="DC134" s="402">
        <f>IF(ISBLANK(Actuals!DD44),-550*Escalation!$B$104,Actuals!DD44)</f>
        <v>-644.412659551246</v>
      </c>
      <c r="DD134" s="402">
        <f>IF(ISBLANK(Actuals!DE44),-550*Escalation!$B$105,Actuals!DE44)</f>
        <v>-644.412659551246</v>
      </c>
      <c r="DE134" s="402">
        <f>IF(ISBLANK(Actuals!DF44),-550*Escalation!$B$106,Actuals!DF44)</f>
        <v>-644.412659551246</v>
      </c>
    </row>
    <row r="135" ht="15" customFormat="1" customHeight="1" s="381">
      <c r="A135" s="415" t="inlineStr">
        <is>
          <t>5900-1005 Supplies and Other Job Site Overhead</t>
        </is>
      </c>
      <c r="B135" s="402">
        <f>IF(ISBLANK(Actuals!C45),0,Actuals!C45)</f>
        <v>-19223.75</v>
      </c>
      <c r="C135" s="402">
        <f>IF(ISBLANK(Actuals!D45),0,Actuals!D45)</f>
        <v>-13381.97</v>
      </c>
      <c r="D135" s="402">
        <f>IF(ISBLANK(Actuals!E45),0,Actuals!E45)</f>
        <v>-20308.69</v>
      </c>
      <c r="E135" s="402">
        <f>IF(ISBLANK(Actuals!F45),-17638.14*Escalation!$B$2,Actuals!F45)</f>
        <v>-16948.76</v>
      </c>
      <c r="F135" s="402">
        <f>IF(ISBLANK(Actuals!G45),-17638.14*Escalation!$B$3,Actuals!G45)</f>
        <v>-29716.98</v>
      </c>
      <c r="G135" s="402">
        <f>IF(ISBLANK(Actuals!H45),-17638.14*Escalation!$B$4,Actuals!H45)</f>
        <v>-11335.64</v>
      </c>
      <c r="H135" s="402">
        <f>IF(ISBLANK(Actuals!I45),-17638.14*Escalation!$B$5,Actuals!I45)</f>
        <v>-17638.14</v>
      </c>
      <c r="I135" s="402">
        <f>IF(ISBLANK(Actuals!J45),-17638.14*Escalation!$B$6,Actuals!J45)</f>
        <v>-17638.14</v>
      </c>
      <c r="J135" s="402">
        <f>IF(ISBLANK(Actuals!K45),-17638.14*Escalation!$B$7,Actuals!K45)</f>
        <v>-17638.14</v>
      </c>
      <c r="K135" s="402">
        <f>IF(ISBLANK(Actuals!L45),-17638.14*Escalation!$B$8,Actuals!L45)</f>
        <v>-17638.14</v>
      </c>
      <c r="L135" s="402">
        <f>IF(ISBLANK(Actuals!M45),-17638.14*Escalation!$B$9,Actuals!M45)</f>
        <v>-17638.14</v>
      </c>
      <c r="M135" s="402">
        <f>IF(ISBLANK(Actuals!N45),-17638.14*Escalation!$B$10,Actuals!N45)</f>
        <v>-17638.14</v>
      </c>
      <c r="N135" s="402">
        <f>IF(ISBLANK(Actuals!O45),-17638.14*Escalation!$B$11,Actuals!O45)</f>
        <v>-17638.14</v>
      </c>
      <c r="O135" s="402">
        <f>IF(ISBLANK(Actuals!P45),-17638.14*Escalation!$B$12,Actuals!P45)</f>
        <v>-17638.14</v>
      </c>
      <c r="P135" s="402">
        <f>IF(ISBLANK(Actuals!Q45),-17638.14*Escalation!$B$13,Actuals!Q45)</f>
        <v>-17638.14</v>
      </c>
      <c r="Q135" s="402">
        <f>IF(ISBLANK(Actuals!R45),-17638.14*Escalation!$B$14,Actuals!R45)</f>
        <v>-17990.9028</v>
      </c>
      <c r="R135" s="402">
        <f>IF(ISBLANK(Actuals!S45),-17638.14*Escalation!$B$15,Actuals!S45)</f>
        <v>-17990.9028</v>
      </c>
      <c r="S135" s="402">
        <f>IF(ISBLANK(Actuals!T45),-17638.14*Escalation!$B$16,Actuals!T45)</f>
        <v>-17990.9028</v>
      </c>
      <c r="T135" s="402">
        <f>IF(ISBLANK(Actuals!U45),-17638.14*Escalation!$B$17,Actuals!U45)</f>
        <v>-17990.9028</v>
      </c>
      <c r="U135" s="402">
        <f>IF(ISBLANK(Actuals!V45),-17638.14*Escalation!$B$18,Actuals!V45)</f>
        <v>-17990.9028</v>
      </c>
      <c r="V135" s="402">
        <f>IF(ISBLANK(Actuals!W45),-17638.14*Escalation!$B$19,Actuals!W45)</f>
        <v>-17990.9028</v>
      </c>
      <c r="W135" s="402">
        <f>IF(ISBLANK(Actuals!X45),-17638.14*Escalation!$B$20,Actuals!X45)</f>
        <v>-17990.9028</v>
      </c>
      <c r="X135" s="402">
        <f>IF(ISBLANK(Actuals!Y45),-17638.14*Escalation!$B$21,Actuals!Y45)</f>
        <v>-17990.9028</v>
      </c>
      <c r="Y135" s="402">
        <f>IF(ISBLANK(Actuals!Z45),-17638.14*Escalation!$B$22,Actuals!Z45)</f>
        <v>-17990.9028</v>
      </c>
      <c r="Z135" s="402">
        <f>IF(ISBLANK(Actuals!AA45),-17638.14*Escalation!$B$23,Actuals!AA45)</f>
        <v>-17990.9028</v>
      </c>
      <c r="AA135" s="402">
        <f>IF(ISBLANK(Actuals!AB45),-17638.14*Escalation!$B$24,Actuals!AB45)</f>
        <v>-17990.9028</v>
      </c>
      <c r="AB135" s="402">
        <f>IF(ISBLANK(Actuals!AC45),-17638.14*Escalation!$B$25,Actuals!AC45)</f>
        <v>-17990.9028</v>
      </c>
      <c r="AC135" s="402">
        <f>IF(ISBLANK(Actuals!AD45),-17638.14*Escalation!$B$26,Actuals!AD45)</f>
        <v>-18350.720856</v>
      </c>
      <c r="AD135" s="402">
        <f>IF(ISBLANK(Actuals!AE45),-17638.14*Escalation!$B$27,Actuals!AE45)</f>
        <v>-18350.720856</v>
      </c>
      <c r="AE135" s="402">
        <f>IF(ISBLANK(Actuals!AF45),-17638.14*Escalation!$B$28,Actuals!AF45)</f>
        <v>-18350.720856</v>
      </c>
      <c r="AF135" s="402">
        <f>IF(ISBLANK(Actuals!AG45),-17638.14*Escalation!$B$29,Actuals!AG45)</f>
        <v>-18350.720856</v>
      </c>
      <c r="AG135" s="402">
        <f>IF(ISBLANK(Actuals!AH45),-17638.14*Escalation!$B$30,Actuals!AH45)</f>
        <v>-18350.720856</v>
      </c>
      <c r="AH135" s="402">
        <f>IF(ISBLANK(Actuals!AI45),-17638.14*Escalation!$B$31,Actuals!AI45)</f>
        <v>-18350.720856</v>
      </c>
      <c r="AI135" s="402">
        <f>IF(ISBLANK(Actuals!AJ45),-17638.14*Escalation!$B$32,Actuals!AJ45)</f>
        <v>-18350.720856</v>
      </c>
      <c r="AJ135" s="402">
        <f>IF(ISBLANK(Actuals!AK45),-17638.14*Escalation!$B$33,Actuals!AK45)</f>
        <v>-18350.720856</v>
      </c>
      <c r="AK135" s="402">
        <f>IF(ISBLANK(Actuals!AL45),-17638.14*Escalation!$B$34,Actuals!AL45)</f>
        <v>-18350.720856</v>
      </c>
      <c r="AL135" s="402">
        <f>IF(ISBLANK(Actuals!AM45),-17638.14*Escalation!$B$35,Actuals!AM45)</f>
        <v>-18350.720856</v>
      </c>
      <c r="AM135" s="402">
        <f>IF(ISBLANK(Actuals!AN45),-17638.14*Escalation!$B$36,Actuals!AN45)</f>
        <v>-18350.720856</v>
      </c>
      <c r="AN135" s="402">
        <f>IF(ISBLANK(Actuals!AO45),-17638.14*Escalation!$B$37,Actuals!AO45)</f>
        <v>-18350.720856</v>
      </c>
      <c r="AO135" s="402">
        <f>IF(ISBLANK(Actuals!AP45),-17638.14*Escalation!$B$38,Actuals!AP45)</f>
        <v>-18717.73527312</v>
      </c>
      <c r="AP135" s="402">
        <f>IF(ISBLANK(Actuals!AQ45),-17638.14*Escalation!$B$39,Actuals!AQ45)</f>
        <v>-18717.73527312</v>
      </c>
      <c r="AQ135" s="402">
        <f>IF(ISBLANK(Actuals!AR45),-17638.14*Escalation!$B$40,Actuals!AR45)</f>
        <v>-18717.73527312</v>
      </c>
      <c r="AR135" s="402">
        <f>IF(ISBLANK(Actuals!AS45),-17638.14*Escalation!$B$41,Actuals!AS45)</f>
        <v>-18717.73527312</v>
      </c>
      <c r="AS135" s="402">
        <f>IF(ISBLANK(Actuals!AT45),-17638.14*Escalation!$B$42,Actuals!AT45)</f>
        <v>-18717.73527312</v>
      </c>
      <c r="AT135" s="402">
        <f>IF(ISBLANK(Actuals!AU45),-17638.14*Escalation!$B$43,Actuals!AU45)</f>
        <v>-18717.73527312</v>
      </c>
      <c r="AU135" s="402">
        <f>IF(ISBLANK(Actuals!AV45),-17638.14*Escalation!$B$44,Actuals!AV45)</f>
        <v>-18717.73527312</v>
      </c>
      <c r="AV135" s="402">
        <f>IF(ISBLANK(Actuals!AW45),-17638.14*Escalation!$B$45,Actuals!AW45)</f>
        <v>-18717.73527312</v>
      </c>
      <c r="AW135" s="402">
        <f>IF(ISBLANK(Actuals!AX45),-17638.14*Escalation!$B$46,Actuals!AX45)</f>
        <v>-18717.73527312</v>
      </c>
      <c r="AX135" s="402">
        <f>IF(ISBLANK(Actuals!AY45),-17638.14*Escalation!$B$47,Actuals!AY45)</f>
        <v>-18717.73527312</v>
      </c>
      <c r="AY135" s="402">
        <f>IF(ISBLANK(Actuals!AZ45),-17638.14*Escalation!$B$48,Actuals!AZ45)</f>
        <v>-18717.73527312</v>
      </c>
      <c r="AZ135" s="402">
        <f>IF(ISBLANK(Actuals!BA45),-17638.14*Escalation!$B$49,Actuals!BA45)</f>
        <v>-18717.73527312</v>
      </c>
      <c r="BA135" s="402">
        <f>IF(ISBLANK(Actuals!BB45),-17638.14*Escalation!$B$50,Actuals!BB45)</f>
        <v>-19092.0899785824</v>
      </c>
      <c r="BB135" s="402">
        <f>IF(ISBLANK(Actuals!BC45),-17638.14*Escalation!$B$51,Actuals!BC45)</f>
        <v>-19092.0899785824</v>
      </c>
      <c r="BC135" s="402">
        <f>IF(ISBLANK(Actuals!BD45),-17638.14*Escalation!$B$52,Actuals!BD45)</f>
        <v>-19092.0899785824</v>
      </c>
      <c r="BD135" s="402">
        <f>IF(ISBLANK(Actuals!BE45),-17638.14*Escalation!$B$53,Actuals!BE45)</f>
        <v>-19092.0899785824</v>
      </c>
      <c r="BE135" s="402">
        <f>IF(ISBLANK(Actuals!BF45),-17638.14*Escalation!$B$54,Actuals!BF45)</f>
        <v>-19092.0899785824</v>
      </c>
      <c r="BF135" s="402">
        <f>IF(ISBLANK(Actuals!BG45),-17638.14*Escalation!$B$55,Actuals!BG45)</f>
        <v>-19092.0899785824</v>
      </c>
      <c r="BG135" s="402">
        <f>IF(ISBLANK(Actuals!BH45),-17638.14*Escalation!$B$56,Actuals!BH45)</f>
        <v>-19092.0899785824</v>
      </c>
      <c r="BH135" s="402">
        <f>IF(ISBLANK(Actuals!BI45),-17638.14*Escalation!$B$57,Actuals!BI45)</f>
        <v>-19092.0899785824</v>
      </c>
      <c r="BI135" s="402">
        <f>IF(ISBLANK(Actuals!BJ45),-17638.14*Escalation!$B$58,Actuals!BJ45)</f>
        <v>-19092.0899785824</v>
      </c>
      <c r="BJ135" s="402">
        <f>IF(ISBLANK(Actuals!BK45),-17638.14*Escalation!$B$59,Actuals!BK45)</f>
        <v>-19092.0899785824</v>
      </c>
      <c r="BK135" s="402">
        <f>IF(ISBLANK(Actuals!BL45),-17638.14*Escalation!$B$60,Actuals!BL45)</f>
        <v>-19092.0899785824</v>
      </c>
      <c r="BL135" s="402">
        <f>IF(ISBLANK(Actuals!BM45),-17638.14*Escalation!$B$61,Actuals!BM45)</f>
        <v>-19092.0899785824</v>
      </c>
      <c r="BM135" s="402">
        <f>IF(ISBLANK(Actuals!BN45),-17638.14*Escalation!$B$62,Actuals!BN45)</f>
        <v>-19473.9317781541</v>
      </c>
      <c r="BN135" s="402">
        <f>IF(ISBLANK(Actuals!BO45),-17638.14*Escalation!$B$63,Actuals!BO45)</f>
        <v>-19473.9317781541</v>
      </c>
      <c r="BO135" s="402">
        <f>IF(ISBLANK(Actuals!BP45),-17638.14*Escalation!$B$64,Actuals!BP45)</f>
        <v>-19473.9317781541</v>
      </c>
      <c r="BP135" s="402">
        <f>IF(ISBLANK(Actuals!BQ45),-17638.14*Escalation!$B$65,Actuals!BQ45)</f>
        <v>-19473.9317781541</v>
      </c>
      <c r="BQ135" s="402">
        <f>IF(ISBLANK(Actuals!BR45),-17638.14*Escalation!$B$66,Actuals!BR45)</f>
        <v>-19473.9317781541</v>
      </c>
      <c r="BR135" s="402">
        <f>IF(ISBLANK(Actuals!BS45),-17638.14*Escalation!$B$67,Actuals!BS45)</f>
        <v>-19473.9317781541</v>
      </c>
      <c r="BS135" s="402">
        <f>IF(ISBLANK(Actuals!BT45),-17638.14*Escalation!$B$68,Actuals!BT45)</f>
        <v>-19473.9317781541</v>
      </c>
      <c r="BT135" s="402">
        <f>IF(ISBLANK(Actuals!BU45),-17638.14*Escalation!$B$69,Actuals!BU45)</f>
        <v>-19473.9317781541</v>
      </c>
      <c r="BU135" s="402">
        <f>IF(ISBLANK(Actuals!BV45),-17638.14*Escalation!$B$70,Actuals!BV45)</f>
        <v>-19473.9317781541</v>
      </c>
      <c r="BV135" s="402">
        <f>IF(ISBLANK(Actuals!BW45),-17638.14*Escalation!$B$71,Actuals!BW45)</f>
        <v>-19473.9317781541</v>
      </c>
      <c r="BW135" s="402">
        <f>IF(ISBLANK(Actuals!BX45),-17638.14*Escalation!$B$72,Actuals!BX45)</f>
        <v>-19473.9317781541</v>
      </c>
      <c r="BX135" s="402">
        <f>IF(ISBLANK(Actuals!BY45),-17638.14*Escalation!$B$73,Actuals!BY45)</f>
        <v>-19473.9317781541</v>
      </c>
      <c r="BY135" s="402">
        <f>IF(ISBLANK(Actuals!BZ45),-17638.14*Escalation!$B$74,Actuals!BZ45)</f>
        <v>-19863.4104137171</v>
      </c>
      <c r="BZ135" s="402">
        <f>IF(ISBLANK(Actuals!CA45),-17638.14*Escalation!$B$75,Actuals!CA45)</f>
        <v>-19863.4104137171</v>
      </c>
      <c r="CA135" s="402">
        <f>IF(ISBLANK(Actuals!CB45),-17638.14*Escalation!$B$76,Actuals!CB45)</f>
        <v>-19863.4104137171</v>
      </c>
      <c r="CB135" s="402">
        <f>IF(ISBLANK(Actuals!CC45),-17638.14*Escalation!$B$77,Actuals!CC45)</f>
        <v>-19863.4104137171</v>
      </c>
      <c r="CC135" s="402">
        <f>IF(ISBLANK(Actuals!CD45),-17638.14*Escalation!$B$78,Actuals!CD45)</f>
        <v>-19863.4104137171</v>
      </c>
      <c r="CD135" s="402">
        <f>IF(ISBLANK(Actuals!CE45),-17638.14*Escalation!$B$79,Actuals!CE45)</f>
        <v>-19863.4104137171</v>
      </c>
      <c r="CE135" s="402">
        <f>IF(ISBLANK(Actuals!CF45),-17638.14*Escalation!$B$80,Actuals!CF45)</f>
        <v>-19863.4104137171</v>
      </c>
      <c r="CF135" s="402">
        <f>IF(ISBLANK(Actuals!CG45),-17638.14*Escalation!$B$81,Actuals!CG45)</f>
        <v>-19863.4104137171</v>
      </c>
      <c r="CG135" s="402">
        <f>IF(ISBLANK(Actuals!CH45),-17638.14*Escalation!$B$82,Actuals!CH45)</f>
        <v>-19863.4104137171</v>
      </c>
      <c r="CH135" s="402">
        <f>IF(ISBLANK(Actuals!CI45),-17638.14*Escalation!$B$83,Actuals!CI45)</f>
        <v>-19863.4104137171</v>
      </c>
      <c r="CI135" s="402">
        <f>IF(ISBLANK(Actuals!CJ45),-17638.14*Escalation!$B$84,Actuals!CJ45)</f>
        <v>-19863.4104137171</v>
      </c>
      <c r="CJ135" s="402">
        <f>IF(ISBLANK(Actuals!CK45),-17638.14*Escalation!$B$85,Actuals!CK45)</f>
        <v>-19863.4104137171</v>
      </c>
      <c r="CK135" s="402">
        <f>IF(ISBLANK(Actuals!CL45),-17638.14*Escalation!$B$86,Actuals!CL45)</f>
        <v>-20260.6786219915</v>
      </c>
      <c r="CL135" s="402">
        <f>IF(ISBLANK(Actuals!CM45),-17638.14*Escalation!$B$87,Actuals!CM45)</f>
        <v>-20260.6786219915</v>
      </c>
      <c r="CM135" s="402">
        <f>IF(ISBLANK(Actuals!CN45),-17638.14*Escalation!$B$88,Actuals!CN45)</f>
        <v>-20260.6786219915</v>
      </c>
      <c r="CN135" s="402">
        <f>IF(ISBLANK(Actuals!CO45),-17638.14*Escalation!$B$89,Actuals!CO45)</f>
        <v>-20260.6786219915</v>
      </c>
      <c r="CO135" s="402">
        <f>IF(ISBLANK(Actuals!CP45),-17638.14*Escalation!$B$90,Actuals!CP45)</f>
        <v>-20260.6786219915</v>
      </c>
      <c r="CP135" s="402">
        <f>IF(ISBLANK(Actuals!CQ45),-17638.14*Escalation!$B$91,Actuals!CQ45)</f>
        <v>-20260.6786219915</v>
      </c>
      <c r="CQ135" s="402">
        <f>IF(ISBLANK(Actuals!CR45),-17638.14*Escalation!$B$92,Actuals!CR45)</f>
        <v>-20260.6786219915</v>
      </c>
      <c r="CR135" s="402">
        <f>IF(ISBLANK(Actuals!CS45),-17638.14*Escalation!$B$93,Actuals!CS45)</f>
        <v>-20260.6786219915</v>
      </c>
      <c r="CS135" s="402">
        <f>IF(ISBLANK(Actuals!CT45),-17638.14*Escalation!$B$94,Actuals!CT45)</f>
        <v>-20260.6786219915</v>
      </c>
      <c r="CT135" s="402">
        <f>IF(ISBLANK(Actuals!CU45),-17638.14*Escalation!$B$95,Actuals!CU45)</f>
        <v>-20260.6786219915</v>
      </c>
      <c r="CU135" s="402">
        <f>IF(ISBLANK(Actuals!CV45),-17638.14*Escalation!$B$96,Actuals!CV45)</f>
        <v>-20260.6786219915</v>
      </c>
      <c r="CV135" s="402">
        <f>IF(ISBLANK(Actuals!CW45),-17638.14*Escalation!$B$97,Actuals!CW45)</f>
        <v>-20260.6786219915</v>
      </c>
      <c r="CW135" s="402">
        <f>IF(ISBLANK(Actuals!CX45),-17638.14*Escalation!$B$98,Actuals!CX45)</f>
        <v>-20665.8921944313</v>
      </c>
      <c r="CX135" s="402">
        <f>IF(ISBLANK(Actuals!CY45),-17638.14*Escalation!$B$99,Actuals!CY45)</f>
        <v>-20665.8921944313</v>
      </c>
      <c r="CY135" s="402">
        <f>IF(ISBLANK(Actuals!CZ45),-17638.14*Escalation!$B$100,Actuals!CZ45)</f>
        <v>-20665.8921944313</v>
      </c>
      <c r="CZ135" s="402">
        <f>IF(ISBLANK(Actuals!DA45),-17638.14*Escalation!$B$101,Actuals!DA45)</f>
        <v>-20665.8921944313</v>
      </c>
      <c r="DA135" s="402">
        <f>IF(ISBLANK(Actuals!DB45),-17638.14*Escalation!$B$102,Actuals!DB45)</f>
        <v>-20665.8921944313</v>
      </c>
      <c r="DB135" s="402">
        <f>IF(ISBLANK(Actuals!DC45),-17638.14*Escalation!$B$103,Actuals!DC45)</f>
        <v>-20665.8921944313</v>
      </c>
      <c r="DC135" s="402">
        <f>IF(ISBLANK(Actuals!DD45),-17638.14*Escalation!$B$104,Actuals!DD45)</f>
        <v>-20665.8921944313</v>
      </c>
      <c r="DD135" s="402">
        <f>IF(ISBLANK(Actuals!DE45),-17638.14*Escalation!$B$105,Actuals!DE45)</f>
        <v>-20665.8921944313</v>
      </c>
      <c r="DE135" s="402">
        <f>IF(ISBLANK(Actuals!DF45),-17638.14*Escalation!$B$106,Actuals!DF45)</f>
        <v>-20665.8921944313</v>
      </c>
    </row>
    <row r="136" ht="15" customFormat="1" customHeight="1" s="381">
      <c r="A136" s="415" t="inlineStr">
        <is>
          <t>5900-1006 Auto and Truck Expense</t>
        </is>
      </c>
      <c r="B136" s="402">
        <f>IF(ISBLANK(Actuals!C46),0,Actuals!C46)</f>
        <v>-1909.98</v>
      </c>
      <c r="C136" s="402">
        <f>IF(ISBLANK(Actuals!D46),0,Actuals!D46)</f>
        <v>-190.1</v>
      </c>
      <c r="D136" s="402">
        <f>IF(ISBLANK(Actuals!E46),0,Actuals!E46)</f>
        <v>-2166.92</v>
      </c>
      <c r="E136" s="402">
        <f>IF(ISBLANK(Actuals!F46),-1422.33*Escalation!$B$2,Actuals!F46)</f>
        <v>-1816.95</v>
      </c>
      <c r="F136" s="402">
        <f>IF(ISBLANK(Actuals!G46),-1422.33*Escalation!$B$3,Actuals!G46)</f>
        <v>-1452.9</v>
      </c>
      <c r="G136" s="402">
        <f>IF(ISBLANK(Actuals!H46),-1422.33*Escalation!$B$4,Actuals!H46)</f>
        <v>-13918.31</v>
      </c>
      <c r="H136" s="402">
        <f>IF(ISBLANK(Actuals!I46),-1422.33*Escalation!$B$5,Actuals!I46)</f>
        <v>-1422.33</v>
      </c>
      <c r="I136" s="402">
        <f>IF(ISBLANK(Actuals!J46),-1422.33*Escalation!$B$6,Actuals!J46)</f>
        <v>-1422.33</v>
      </c>
      <c r="J136" s="402">
        <f>IF(ISBLANK(Actuals!K46),-1422.33*Escalation!$B$7,Actuals!K46)</f>
        <v>-1422.33</v>
      </c>
      <c r="K136" s="402">
        <f>IF(ISBLANK(Actuals!L46),-1422.33*Escalation!$B$8,Actuals!L46)</f>
        <v>-1422.33</v>
      </c>
      <c r="L136" s="402">
        <f>IF(ISBLANK(Actuals!M46),-1422.33*Escalation!$B$9,Actuals!M46)</f>
        <v>-1422.33</v>
      </c>
      <c r="M136" s="402">
        <f>IF(ISBLANK(Actuals!N46),-1422.33*Escalation!$B$10,Actuals!N46)</f>
        <v>-1422.33</v>
      </c>
      <c r="N136" s="402">
        <f>IF(ISBLANK(Actuals!O46),-1422.33*Escalation!$B$11,Actuals!O46)</f>
        <v>-1422.33</v>
      </c>
      <c r="O136" s="402">
        <f>IF(ISBLANK(Actuals!P46),-1422.33*Escalation!$B$12,Actuals!P46)</f>
        <v>-1422.33</v>
      </c>
      <c r="P136" s="402">
        <f>IF(ISBLANK(Actuals!Q46),-1422.33*Escalation!$B$13,Actuals!Q46)</f>
        <v>-1422.33</v>
      </c>
      <c r="Q136" s="402">
        <f>IF(ISBLANK(Actuals!R46),-1422.33*Escalation!$B$14,Actuals!R46)</f>
        <v>-1450.7766</v>
      </c>
      <c r="R136" s="402">
        <f>IF(ISBLANK(Actuals!S46),-1422.33*Escalation!$B$15,Actuals!S46)</f>
        <v>-1450.7766</v>
      </c>
      <c r="S136" s="402">
        <f>IF(ISBLANK(Actuals!T46),-1422.33*Escalation!$B$16,Actuals!T46)</f>
        <v>-1450.7766</v>
      </c>
      <c r="T136" s="402">
        <f>IF(ISBLANK(Actuals!U46),-1422.33*Escalation!$B$17,Actuals!U46)</f>
        <v>-1450.7766</v>
      </c>
      <c r="U136" s="402">
        <f>IF(ISBLANK(Actuals!V46),-1422.33*Escalation!$B$18,Actuals!V46)</f>
        <v>-1450.7766</v>
      </c>
      <c r="V136" s="402">
        <f>IF(ISBLANK(Actuals!W46),-1422.33*Escalation!$B$19,Actuals!W46)</f>
        <v>-1450.7766</v>
      </c>
      <c r="W136" s="402">
        <f>IF(ISBLANK(Actuals!X46),-1422.33*Escalation!$B$20,Actuals!X46)</f>
        <v>-1450.7766</v>
      </c>
      <c r="X136" s="402">
        <f>IF(ISBLANK(Actuals!Y46),-1422.33*Escalation!$B$21,Actuals!Y46)</f>
        <v>-1450.7766</v>
      </c>
      <c r="Y136" s="402">
        <f>IF(ISBLANK(Actuals!Z46),-1422.33*Escalation!$B$22,Actuals!Z46)</f>
        <v>-1450.7766</v>
      </c>
      <c r="Z136" s="402">
        <f>IF(ISBLANK(Actuals!AA46),-1422.33*Escalation!$B$23,Actuals!AA46)</f>
        <v>-1450.7766</v>
      </c>
      <c r="AA136" s="402">
        <f>IF(ISBLANK(Actuals!AB46),-1422.33*Escalation!$B$24,Actuals!AB46)</f>
        <v>-1450.7766</v>
      </c>
      <c r="AB136" s="402">
        <f>IF(ISBLANK(Actuals!AC46),-1422.33*Escalation!$B$25,Actuals!AC46)</f>
        <v>-1450.7766</v>
      </c>
      <c r="AC136" s="402">
        <f>IF(ISBLANK(Actuals!AD46),-1422.33*Escalation!$B$26,Actuals!AD46)</f>
        <v>-1479.792132</v>
      </c>
      <c r="AD136" s="402">
        <f>IF(ISBLANK(Actuals!AE46),-1422.33*Escalation!$B$27,Actuals!AE46)</f>
        <v>-1479.792132</v>
      </c>
      <c r="AE136" s="402">
        <f>IF(ISBLANK(Actuals!AF46),-1422.33*Escalation!$B$28,Actuals!AF46)</f>
        <v>-1479.792132</v>
      </c>
      <c r="AF136" s="402">
        <f>IF(ISBLANK(Actuals!AG46),-1422.33*Escalation!$B$29,Actuals!AG46)</f>
        <v>-1479.792132</v>
      </c>
      <c r="AG136" s="402">
        <f>IF(ISBLANK(Actuals!AH46),-1422.33*Escalation!$B$30,Actuals!AH46)</f>
        <v>-1479.792132</v>
      </c>
      <c r="AH136" s="402">
        <f>IF(ISBLANK(Actuals!AI46),-1422.33*Escalation!$B$31,Actuals!AI46)</f>
        <v>-1479.792132</v>
      </c>
      <c r="AI136" s="402">
        <f>IF(ISBLANK(Actuals!AJ46),-1422.33*Escalation!$B$32,Actuals!AJ46)</f>
        <v>-1479.792132</v>
      </c>
      <c r="AJ136" s="402">
        <f>IF(ISBLANK(Actuals!AK46),-1422.33*Escalation!$B$33,Actuals!AK46)</f>
        <v>-1479.792132</v>
      </c>
      <c r="AK136" s="402">
        <f>IF(ISBLANK(Actuals!AL46),-1422.33*Escalation!$B$34,Actuals!AL46)</f>
        <v>-1479.792132</v>
      </c>
      <c r="AL136" s="402">
        <f>IF(ISBLANK(Actuals!AM46),-1422.33*Escalation!$B$35,Actuals!AM46)</f>
        <v>-1479.792132</v>
      </c>
      <c r="AM136" s="402">
        <f>IF(ISBLANK(Actuals!AN46),-1422.33*Escalation!$B$36,Actuals!AN46)</f>
        <v>-1479.792132</v>
      </c>
      <c r="AN136" s="402">
        <f>IF(ISBLANK(Actuals!AO46),-1422.33*Escalation!$B$37,Actuals!AO46)</f>
        <v>-1479.792132</v>
      </c>
      <c r="AO136" s="402">
        <f>IF(ISBLANK(Actuals!AP46),-1422.33*Escalation!$B$38,Actuals!AP46)</f>
        <v>-1509.38797464</v>
      </c>
      <c r="AP136" s="402">
        <f>IF(ISBLANK(Actuals!AQ46),-1422.33*Escalation!$B$39,Actuals!AQ46)</f>
        <v>-1509.38797464</v>
      </c>
      <c r="AQ136" s="402">
        <f>IF(ISBLANK(Actuals!AR46),-1422.33*Escalation!$B$40,Actuals!AR46)</f>
        <v>-1509.38797464</v>
      </c>
      <c r="AR136" s="402">
        <f>IF(ISBLANK(Actuals!AS46),-1422.33*Escalation!$B$41,Actuals!AS46)</f>
        <v>-1509.38797464</v>
      </c>
      <c r="AS136" s="402">
        <f>IF(ISBLANK(Actuals!AT46),-1422.33*Escalation!$B$42,Actuals!AT46)</f>
        <v>-1509.38797464</v>
      </c>
      <c r="AT136" s="402">
        <f>IF(ISBLANK(Actuals!AU46),-1422.33*Escalation!$B$43,Actuals!AU46)</f>
        <v>-1509.38797464</v>
      </c>
      <c r="AU136" s="402">
        <f>IF(ISBLANK(Actuals!AV46),-1422.33*Escalation!$B$44,Actuals!AV46)</f>
        <v>-1509.38797464</v>
      </c>
      <c r="AV136" s="402">
        <f>IF(ISBLANK(Actuals!AW46),-1422.33*Escalation!$B$45,Actuals!AW46)</f>
        <v>-1509.38797464</v>
      </c>
      <c r="AW136" s="402">
        <f>IF(ISBLANK(Actuals!AX46),-1422.33*Escalation!$B$46,Actuals!AX46)</f>
        <v>-1509.38797464</v>
      </c>
      <c r="AX136" s="402">
        <f>IF(ISBLANK(Actuals!AY46),-1422.33*Escalation!$B$47,Actuals!AY46)</f>
        <v>-1509.38797464</v>
      </c>
      <c r="AY136" s="402">
        <f>IF(ISBLANK(Actuals!AZ46),-1422.33*Escalation!$B$48,Actuals!AZ46)</f>
        <v>-1509.38797464</v>
      </c>
      <c r="AZ136" s="402">
        <f>IF(ISBLANK(Actuals!BA46),-1422.33*Escalation!$B$49,Actuals!BA46)</f>
        <v>-1509.38797464</v>
      </c>
      <c r="BA136" s="402">
        <f>IF(ISBLANK(Actuals!BB46),-1422.33*Escalation!$B$50,Actuals!BB46)</f>
        <v>-1539.5757341328</v>
      </c>
      <c r="BB136" s="402">
        <f>IF(ISBLANK(Actuals!BC46),-1422.33*Escalation!$B$51,Actuals!BC46)</f>
        <v>-1539.5757341328</v>
      </c>
      <c r="BC136" s="402">
        <f>IF(ISBLANK(Actuals!BD46),-1422.33*Escalation!$B$52,Actuals!BD46)</f>
        <v>-1539.5757341328</v>
      </c>
      <c r="BD136" s="402">
        <f>IF(ISBLANK(Actuals!BE46),-1422.33*Escalation!$B$53,Actuals!BE46)</f>
        <v>-1539.5757341328</v>
      </c>
      <c r="BE136" s="402">
        <f>IF(ISBLANK(Actuals!BF46),-1422.33*Escalation!$B$54,Actuals!BF46)</f>
        <v>-1539.5757341328</v>
      </c>
      <c r="BF136" s="402">
        <f>IF(ISBLANK(Actuals!BG46),-1422.33*Escalation!$B$55,Actuals!BG46)</f>
        <v>-1539.5757341328</v>
      </c>
      <c r="BG136" s="402">
        <f>IF(ISBLANK(Actuals!BH46),-1422.33*Escalation!$B$56,Actuals!BH46)</f>
        <v>-1539.5757341328</v>
      </c>
      <c r="BH136" s="402">
        <f>IF(ISBLANK(Actuals!BI46),-1422.33*Escalation!$B$57,Actuals!BI46)</f>
        <v>-1539.5757341328</v>
      </c>
      <c r="BI136" s="402">
        <f>IF(ISBLANK(Actuals!BJ46),-1422.33*Escalation!$B$58,Actuals!BJ46)</f>
        <v>-1539.5757341328</v>
      </c>
      <c r="BJ136" s="402">
        <f>IF(ISBLANK(Actuals!BK46),-1422.33*Escalation!$B$59,Actuals!BK46)</f>
        <v>-1539.5757341328</v>
      </c>
      <c r="BK136" s="402">
        <f>IF(ISBLANK(Actuals!BL46),-1422.33*Escalation!$B$60,Actuals!BL46)</f>
        <v>-1539.5757341328</v>
      </c>
      <c r="BL136" s="402">
        <f>IF(ISBLANK(Actuals!BM46),-1422.33*Escalation!$B$61,Actuals!BM46)</f>
        <v>-1539.5757341328</v>
      </c>
      <c r="BM136" s="402">
        <f>IF(ISBLANK(Actuals!BN46),-1422.33*Escalation!$B$62,Actuals!BN46)</f>
        <v>-1570.36724881546</v>
      </c>
      <c r="BN136" s="402">
        <f>IF(ISBLANK(Actuals!BO46),-1422.33*Escalation!$B$63,Actuals!BO46)</f>
        <v>-1570.36724881546</v>
      </c>
      <c r="BO136" s="402">
        <f>IF(ISBLANK(Actuals!BP46),-1422.33*Escalation!$B$64,Actuals!BP46)</f>
        <v>-1570.36724881546</v>
      </c>
      <c r="BP136" s="402">
        <f>IF(ISBLANK(Actuals!BQ46),-1422.33*Escalation!$B$65,Actuals!BQ46)</f>
        <v>-1570.36724881546</v>
      </c>
      <c r="BQ136" s="402">
        <f>IF(ISBLANK(Actuals!BR46),-1422.33*Escalation!$B$66,Actuals!BR46)</f>
        <v>-1570.36724881546</v>
      </c>
      <c r="BR136" s="402">
        <f>IF(ISBLANK(Actuals!BS46),-1422.33*Escalation!$B$67,Actuals!BS46)</f>
        <v>-1570.36724881546</v>
      </c>
      <c r="BS136" s="402">
        <f>IF(ISBLANK(Actuals!BT46),-1422.33*Escalation!$B$68,Actuals!BT46)</f>
        <v>-1570.36724881546</v>
      </c>
      <c r="BT136" s="402">
        <f>IF(ISBLANK(Actuals!BU46),-1422.33*Escalation!$B$69,Actuals!BU46)</f>
        <v>-1570.36724881546</v>
      </c>
      <c r="BU136" s="402">
        <f>IF(ISBLANK(Actuals!BV46),-1422.33*Escalation!$B$70,Actuals!BV46)</f>
        <v>-1570.36724881546</v>
      </c>
      <c r="BV136" s="402">
        <f>IF(ISBLANK(Actuals!BW46),-1422.33*Escalation!$B$71,Actuals!BW46)</f>
        <v>-1570.36724881546</v>
      </c>
      <c r="BW136" s="402">
        <f>IF(ISBLANK(Actuals!BX46),-1422.33*Escalation!$B$72,Actuals!BX46)</f>
        <v>-1570.36724881546</v>
      </c>
      <c r="BX136" s="402">
        <f>IF(ISBLANK(Actuals!BY46),-1422.33*Escalation!$B$73,Actuals!BY46)</f>
        <v>-1570.36724881546</v>
      </c>
      <c r="BY136" s="402">
        <f>IF(ISBLANK(Actuals!BZ46),-1422.33*Escalation!$B$74,Actuals!BZ46)</f>
        <v>-1601.77459379177</v>
      </c>
      <c r="BZ136" s="402">
        <f>IF(ISBLANK(Actuals!CA46),-1422.33*Escalation!$B$75,Actuals!CA46)</f>
        <v>-1601.77459379177</v>
      </c>
      <c r="CA136" s="402">
        <f>IF(ISBLANK(Actuals!CB46),-1422.33*Escalation!$B$76,Actuals!CB46)</f>
        <v>-1601.77459379177</v>
      </c>
      <c r="CB136" s="402">
        <f>IF(ISBLANK(Actuals!CC46),-1422.33*Escalation!$B$77,Actuals!CC46)</f>
        <v>-1601.77459379177</v>
      </c>
      <c r="CC136" s="402">
        <f>IF(ISBLANK(Actuals!CD46),-1422.33*Escalation!$B$78,Actuals!CD46)</f>
        <v>-1601.77459379177</v>
      </c>
      <c r="CD136" s="402">
        <f>IF(ISBLANK(Actuals!CE46),-1422.33*Escalation!$B$79,Actuals!CE46)</f>
        <v>-1601.77459379177</v>
      </c>
      <c r="CE136" s="402">
        <f>IF(ISBLANK(Actuals!CF46),-1422.33*Escalation!$B$80,Actuals!CF46)</f>
        <v>-1601.77459379177</v>
      </c>
      <c r="CF136" s="402">
        <f>IF(ISBLANK(Actuals!CG46),-1422.33*Escalation!$B$81,Actuals!CG46)</f>
        <v>-1601.77459379177</v>
      </c>
      <c r="CG136" s="402">
        <f>IF(ISBLANK(Actuals!CH46),-1422.33*Escalation!$B$82,Actuals!CH46)</f>
        <v>-1601.77459379177</v>
      </c>
      <c r="CH136" s="402">
        <f>IF(ISBLANK(Actuals!CI46),-1422.33*Escalation!$B$83,Actuals!CI46)</f>
        <v>-1601.77459379177</v>
      </c>
      <c r="CI136" s="402">
        <f>IF(ISBLANK(Actuals!CJ46),-1422.33*Escalation!$B$84,Actuals!CJ46)</f>
        <v>-1601.77459379177</v>
      </c>
      <c r="CJ136" s="402">
        <f>IF(ISBLANK(Actuals!CK46),-1422.33*Escalation!$B$85,Actuals!CK46)</f>
        <v>-1601.77459379177</v>
      </c>
      <c r="CK136" s="402">
        <f>IF(ISBLANK(Actuals!CL46),-1422.33*Escalation!$B$86,Actuals!CL46)</f>
        <v>-1633.8100856676</v>
      </c>
      <c r="CL136" s="402">
        <f>IF(ISBLANK(Actuals!CM46),-1422.33*Escalation!$B$87,Actuals!CM46)</f>
        <v>-1633.8100856676</v>
      </c>
      <c r="CM136" s="402">
        <f>IF(ISBLANK(Actuals!CN46),-1422.33*Escalation!$B$88,Actuals!CN46)</f>
        <v>-1633.8100856676</v>
      </c>
      <c r="CN136" s="402">
        <f>IF(ISBLANK(Actuals!CO46),-1422.33*Escalation!$B$89,Actuals!CO46)</f>
        <v>-1633.8100856676</v>
      </c>
      <c r="CO136" s="402">
        <f>IF(ISBLANK(Actuals!CP46),-1422.33*Escalation!$B$90,Actuals!CP46)</f>
        <v>-1633.8100856676</v>
      </c>
      <c r="CP136" s="402">
        <f>IF(ISBLANK(Actuals!CQ46),-1422.33*Escalation!$B$91,Actuals!CQ46)</f>
        <v>-1633.8100856676</v>
      </c>
      <c r="CQ136" s="402">
        <f>IF(ISBLANK(Actuals!CR46),-1422.33*Escalation!$B$92,Actuals!CR46)</f>
        <v>-1633.8100856676</v>
      </c>
      <c r="CR136" s="402">
        <f>IF(ISBLANK(Actuals!CS46),-1422.33*Escalation!$B$93,Actuals!CS46)</f>
        <v>-1633.8100856676</v>
      </c>
      <c r="CS136" s="402">
        <f>IF(ISBLANK(Actuals!CT46),-1422.33*Escalation!$B$94,Actuals!CT46)</f>
        <v>-1633.8100856676</v>
      </c>
      <c r="CT136" s="402">
        <f>IF(ISBLANK(Actuals!CU46),-1422.33*Escalation!$B$95,Actuals!CU46)</f>
        <v>-1633.8100856676</v>
      </c>
      <c r="CU136" s="402">
        <f>IF(ISBLANK(Actuals!CV46),-1422.33*Escalation!$B$96,Actuals!CV46)</f>
        <v>-1633.8100856676</v>
      </c>
      <c r="CV136" s="402">
        <f>IF(ISBLANK(Actuals!CW46),-1422.33*Escalation!$B$97,Actuals!CW46)</f>
        <v>-1633.8100856676</v>
      </c>
      <c r="CW136" s="402">
        <f>IF(ISBLANK(Actuals!CX46),-1422.33*Escalation!$B$98,Actuals!CX46)</f>
        <v>-1666.48628738095</v>
      </c>
      <c r="CX136" s="402">
        <f>IF(ISBLANK(Actuals!CY46),-1422.33*Escalation!$B$99,Actuals!CY46)</f>
        <v>-1666.48628738095</v>
      </c>
      <c r="CY136" s="402">
        <f>IF(ISBLANK(Actuals!CZ46),-1422.33*Escalation!$B$100,Actuals!CZ46)</f>
        <v>-1666.48628738095</v>
      </c>
      <c r="CZ136" s="402">
        <f>IF(ISBLANK(Actuals!DA46),-1422.33*Escalation!$B$101,Actuals!DA46)</f>
        <v>-1666.48628738095</v>
      </c>
      <c r="DA136" s="402">
        <f>IF(ISBLANK(Actuals!DB46),-1422.33*Escalation!$B$102,Actuals!DB46)</f>
        <v>-1666.48628738095</v>
      </c>
      <c r="DB136" s="402">
        <f>IF(ISBLANK(Actuals!DC46),-1422.33*Escalation!$B$103,Actuals!DC46)</f>
        <v>-1666.48628738095</v>
      </c>
      <c r="DC136" s="402">
        <f>IF(ISBLANK(Actuals!DD46),-1422.33*Escalation!$B$104,Actuals!DD46)</f>
        <v>-1666.48628738095</v>
      </c>
      <c r="DD136" s="402">
        <f>IF(ISBLANK(Actuals!DE46),-1422.33*Escalation!$B$105,Actuals!DE46)</f>
        <v>-1666.48628738095</v>
      </c>
      <c r="DE136" s="402">
        <f>IF(ISBLANK(Actuals!DF46),-1422.33*Escalation!$B$106,Actuals!DF46)</f>
        <v>-1666.48628738095</v>
      </c>
    </row>
    <row r="137" ht="15" customFormat="1" customHeight="1" s="381">
      <c r="A137" s="415" t="inlineStr">
        <is>
          <t>5900-1007 Landscaping</t>
        </is>
      </c>
      <c r="B137" s="402">
        <f>IF(ISBLANK(Actuals!C47),0,Actuals!C47)</f>
        <v>-320</v>
      </c>
      <c r="C137" s="402">
        <f>IF(ISBLANK(Actuals!D47),0,Actuals!D47)</f>
        <v>-160</v>
      </c>
      <c r="D137" s="402">
        <f>IF(ISBLANK(Actuals!E47),0,Actuals!E47)</f>
        <v>0</v>
      </c>
      <c r="E137" s="402">
        <f>IF(ISBLANK(Actuals!F47),-160*Escalation!$B$2,Actuals!F47)</f>
        <v>0</v>
      </c>
      <c r="F137" s="402">
        <f>IF(ISBLANK(Actuals!G47),-160*Escalation!$B$3,Actuals!G47)</f>
        <v>-320</v>
      </c>
      <c r="G137" s="402">
        <f>IF(ISBLANK(Actuals!H47),-160*Escalation!$B$4,Actuals!H47)</f>
        <v>-320</v>
      </c>
      <c r="H137" s="402">
        <f>IF(ISBLANK(Actuals!I47),-160*Escalation!$B$5,Actuals!I47)</f>
        <v>-160</v>
      </c>
      <c r="I137" s="402">
        <f>IF(ISBLANK(Actuals!J47),-160*Escalation!$B$6,Actuals!J47)</f>
        <v>-160</v>
      </c>
      <c r="J137" s="402">
        <f>IF(ISBLANK(Actuals!K47),-160*Escalation!$B$7,Actuals!K47)</f>
        <v>-160</v>
      </c>
      <c r="K137" s="402">
        <f>IF(ISBLANK(Actuals!L47),-160*Escalation!$B$8,Actuals!L47)</f>
        <v>-160</v>
      </c>
      <c r="L137" s="402">
        <f>IF(ISBLANK(Actuals!M47),-160*Escalation!$B$9,Actuals!M47)</f>
        <v>-160</v>
      </c>
      <c r="M137" s="402">
        <f>IF(ISBLANK(Actuals!N47),-160*Escalation!$B$10,Actuals!N47)</f>
        <v>-160</v>
      </c>
      <c r="N137" s="402">
        <f>IF(ISBLANK(Actuals!O47),-160*Escalation!$B$11,Actuals!O47)</f>
        <v>-160</v>
      </c>
      <c r="O137" s="402">
        <f>IF(ISBLANK(Actuals!P47),-160*Escalation!$B$12,Actuals!P47)</f>
        <v>-160</v>
      </c>
      <c r="P137" s="402">
        <f>IF(ISBLANK(Actuals!Q47),-160*Escalation!$B$13,Actuals!Q47)</f>
        <v>-160</v>
      </c>
      <c r="Q137" s="402">
        <f>IF(ISBLANK(Actuals!R47),-160*Escalation!$B$14,Actuals!R47)</f>
        <v>-163.2</v>
      </c>
      <c r="R137" s="402">
        <f>IF(ISBLANK(Actuals!S47),-160*Escalation!$B$15,Actuals!S47)</f>
        <v>-163.2</v>
      </c>
      <c r="S137" s="402">
        <f>IF(ISBLANK(Actuals!T47),-160*Escalation!$B$16,Actuals!T47)</f>
        <v>-163.2</v>
      </c>
      <c r="T137" s="402">
        <f>IF(ISBLANK(Actuals!U47),-160*Escalation!$B$17,Actuals!U47)</f>
        <v>-163.2</v>
      </c>
      <c r="U137" s="402">
        <f>IF(ISBLANK(Actuals!V47),-160*Escalation!$B$18,Actuals!V47)</f>
        <v>-163.2</v>
      </c>
      <c r="V137" s="402">
        <f>IF(ISBLANK(Actuals!W47),-160*Escalation!$B$19,Actuals!W47)</f>
        <v>-163.2</v>
      </c>
      <c r="W137" s="402">
        <f>IF(ISBLANK(Actuals!X47),-160*Escalation!$B$20,Actuals!X47)</f>
        <v>-163.2</v>
      </c>
      <c r="X137" s="402">
        <f>IF(ISBLANK(Actuals!Y47),-160*Escalation!$B$21,Actuals!Y47)</f>
        <v>-163.2</v>
      </c>
      <c r="Y137" s="402">
        <f>IF(ISBLANK(Actuals!Z47),-160*Escalation!$B$22,Actuals!Z47)</f>
        <v>-163.2</v>
      </c>
      <c r="Z137" s="402">
        <f>IF(ISBLANK(Actuals!AA47),-160*Escalation!$B$23,Actuals!AA47)</f>
        <v>-163.2</v>
      </c>
      <c r="AA137" s="402">
        <f>IF(ISBLANK(Actuals!AB47),-160*Escalation!$B$24,Actuals!AB47)</f>
        <v>-163.2</v>
      </c>
      <c r="AB137" s="402">
        <f>IF(ISBLANK(Actuals!AC47),-160*Escalation!$B$25,Actuals!AC47)</f>
        <v>-163.2</v>
      </c>
      <c r="AC137" s="402">
        <f>IF(ISBLANK(Actuals!AD47),-160*Escalation!$B$26,Actuals!AD47)</f>
        <v>-166.464</v>
      </c>
      <c r="AD137" s="402">
        <f>IF(ISBLANK(Actuals!AE47),-160*Escalation!$B$27,Actuals!AE47)</f>
        <v>-166.464</v>
      </c>
      <c r="AE137" s="402">
        <f>IF(ISBLANK(Actuals!AF47),-160*Escalation!$B$28,Actuals!AF47)</f>
        <v>-166.464</v>
      </c>
      <c r="AF137" s="402">
        <f>IF(ISBLANK(Actuals!AG47),-160*Escalation!$B$29,Actuals!AG47)</f>
        <v>-166.464</v>
      </c>
      <c r="AG137" s="402">
        <f>IF(ISBLANK(Actuals!AH47),-160*Escalation!$B$30,Actuals!AH47)</f>
        <v>-166.464</v>
      </c>
      <c r="AH137" s="402">
        <f>IF(ISBLANK(Actuals!AI47),-160*Escalation!$B$31,Actuals!AI47)</f>
        <v>-166.464</v>
      </c>
      <c r="AI137" s="402">
        <f>IF(ISBLANK(Actuals!AJ47),-160*Escalation!$B$32,Actuals!AJ47)</f>
        <v>-166.464</v>
      </c>
      <c r="AJ137" s="402">
        <f>IF(ISBLANK(Actuals!AK47),-160*Escalation!$B$33,Actuals!AK47)</f>
        <v>-166.464</v>
      </c>
      <c r="AK137" s="402">
        <f>IF(ISBLANK(Actuals!AL47),-160*Escalation!$B$34,Actuals!AL47)</f>
        <v>-166.464</v>
      </c>
      <c r="AL137" s="402">
        <f>IF(ISBLANK(Actuals!AM47),-160*Escalation!$B$35,Actuals!AM47)</f>
        <v>-166.464</v>
      </c>
      <c r="AM137" s="402">
        <f>IF(ISBLANK(Actuals!AN47),-160*Escalation!$B$36,Actuals!AN47)</f>
        <v>-166.464</v>
      </c>
      <c r="AN137" s="402">
        <f>IF(ISBLANK(Actuals!AO47),-160*Escalation!$B$37,Actuals!AO47)</f>
        <v>-166.464</v>
      </c>
      <c r="AO137" s="402">
        <f>IF(ISBLANK(Actuals!AP47),-160*Escalation!$B$38,Actuals!AP47)</f>
        <v>-169.79328</v>
      </c>
      <c r="AP137" s="402">
        <f>IF(ISBLANK(Actuals!AQ47),-160*Escalation!$B$39,Actuals!AQ47)</f>
        <v>-169.79328</v>
      </c>
      <c r="AQ137" s="402">
        <f>IF(ISBLANK(Actuals!AR47),-160*Escalation!$B$40,Actuals!AR47)</f>
        <v>-169.79328</v>
      </c>
      <c r="AR137" s="402">
        <f>IF(ISBLANK(Actuals!AS47),-160*Escalation!$B$41,Actuals!AS47)</f>
        <v>-169.79328</v>
      </c>
      <c r="AS137" s="402">
        <f>IF(ISBLANK(Actuals!AT47),-160*Escalation!$B$42,Actuals!AT47)</f>
        <v>-169.79328</v>
      </c>
      <c r="AT137" s="402">
        <f>IF(ISBLANK(Actuals!AU47),-160*Escalation!$B$43,Actuals!AU47)</f>
        <v>-169.79328</v>
      </c>
      <c r="AU137" s="402">
        <f>IF(ISBLANK(Actuals!AV47),-160*Escalation!$B$44,Actuals!AV47)</f>
        <v>-169.79328</v>
      </c>
      <c r="AV137" s="402">
        <f>IF(ISBLANK(Actuals!AW47),-160*Escalation!$B$45,Actuals!AW47)</f>
        <v>-169.79328</v>
      </c>
      <c r="AW137" s="402">
        <f>IF(ISBLANK(Actuals!AX47),-160*Escalation!$B$46,Actuals!AX47)</f>
        <v>-169.79328</v>
      </c>
      <c r="AX137" s="402">
        <f>IF(ISBLANK(Actuals!AY47),-160*Escalation!$B$47,Actuals!AY47)</f>
        <v>-169.79328</v>
      </c>
      <c r="AY137" s="402">
        <f>IF(ISBLANK(Actuals!AZ47),-160*Escalation!$B$48,Actuals!AZ47)</f>
        <v>-169.79328</v>
      </c>
      <c r="AZ137" s="402">
        <f>IF(ISBLANK(Actuals!BA47),-160*Escalation!$B$49,Actuals!BA47)</f>
        <v>-169.79328</v>
      </c>
      <c r="BA137" s="402">
        <f>IF(ISBLANK(Actuals!BB47),-160*Escalation!$B$50,Actuals!BB47)</f>
        <v>-173.1891456</v>
      </c>
      <c r="BB137" s="402">
        <f>IF(ISBLANK(Actuals!BC47),-160*Escalation!$B$51,Actuals!BC47)</f>
        <v>-173.1891456</v>
      </c>
      <c r="BC137" s="402">
        <f>IF(ISBLANK(Actuals!BD47),-160*Escalation!$B$52,Actuals!BD47)</f>
        <v>-173.1891456</v>
      </c>
      <c r="BD137" s="402">
        <f>IF(ISBLANK(Actuals!BE47),-160*Escalation!$B$53,Actuals!BE47)</f>
        <v>-173.1891456</v>
      </c>
      <c r="BE137" s="402">
        <f>IF(ISBLANK(Actuals!BF47),-160*Escalation!$B$54,Actuals!BF47)</f>
        <v>-173.1891456</v>
      </c>
      <c r="BF137" s="402">
        <f>IF(ISBLANK(Actuals!BG47),-160*Escalation!$B$55,Actuals!BG47)</f>
        <v>-173.1891456</v>
      </c>
      <c r="BG137" s="402">
        <f>IF(ISBLANK(Actuals!BH47),-160*Escalation!$B$56,Actuals!BH47)</f>
        <v>-173.1891456</v>
      </c>
      <c r="BH137" s="402">
        <f>IF(ISBLANK(Actuals!BI47),-160*Escalation!$B$57,Actuals!BI47)</f>
        <v>-173.1891456</v>
      </c>
      <c r="BI137" s="402">
        <f>IF(ISBLANK(Actuals!BJ47),-160*Escalation!$B$58,Actuals!BJ47)</f>
        <v>-173.1891456</v>
      </c>
      <c r="BJ137" s="402">
        <f>IF(ISBLANK(Actuals!BK47),-160*Escalation!$B$59,Actuals!BK47)</f>
        <v>-173.1891456</v>
      </c>
      <c r="BK137" s="402">
        <f>IF(ISBLANK(Actuals!BL47),-160*Escalation!$B$60,Actuals!BL47)</f>
        <v>-173.1891456</v>
      </c>
      <c r="BL137" s="402">
        <f>IF(ISBLANK(Actuals!BM47),-160*Escalation!$B$61,Actuals!BM47)</f>
        <v>-173.1891456</v>
      </c>
      <c r="BM137" s="402">
        <f>IF(ISBLANK(Actuals!BN47),-160*Escalation!$B$62,Actuals!BN47)</f>
        <v>-176.652928512</v>
      </c>
      <c r="BN137" s="402">
        <f>IF(ISBLANK(Actuals!BO47),-160*Escalation!$B$63,Actuals!BO47)</f>
        <v>-176.652928512</v>
      </c>
      <c r="BO137" s="402">
        <f>IF(ISBLANK(Actuals!BP47),-160*Escalation!$B$64,Actuals!BP47)</f>
        <v>-176.652928512</v>
      </c>
      <c r="BP137" s="402">
        <f>IF(ISBLANK(Actuals!BQ47),-160*Escalation!$B$65,Actuals!BQ47)</f>
        <v>-176.652928512</v>
      </c>
      <c r="BQ137" s="402">
        <f>IF(ISBLANK(Actuals!BR47),-160*Escalation!$B$66,Actuals!BR47)</f>
        <v>-176.652928512</v>
      </c>
      <c r="BR137" s="402">
        <f>IF(ISBLANK(Actuals!BS47),-160*Escalation!$B$67,Actuals!BS47)</f>
        <v>-176.652928512</v>
      </c>
      <c r="BS137" s="402">
        <f>IF(ISBLANK(Actuals!BT47),-160*Escalation!$B$68,Actuals!BT47)</f>
        <v>-176.652928512</v>
      </c>
      <c r="BT137" s="402">
        <f>IF(ISBLANK(Actuals!BU47),-160*Escalation!$B$69,Actuals!BU47)</f>
        <v>-176.652928512</v>
      </c>
      <c r="BU137" s="402">
        <f>IF(ISBLANK(Actuals!BV47),-160*Escalation!$B$70,Actuals!BV47)</f>
        <v>-176.652928512</v>
      </c>
      <c r="BV137" s="402">
        <f>IF(ISBLANK(Actuals!BW47),-160*Escalation!$B$71,Actuals!BW47)</f>
        <v>-176.652928512</v>
      </c>
      <c r="BW137" s="402">
        <f>IF(ISBLANK(Actuals!BX47),-160*Escalation!$B$72,Actuals!BX47)</f>
        <v>-176.652928512</v>
      </c>
      <c r="BX137" s="402">
        <f>IF(ISBLANK(Actuals!BY47),-160*Escalation!$B$73,Actuals!BY47)</f>
        <v>-176.652928512</v>
      </c>
      <c r="BY137" s="402">
        <f>IF(ISBLANK(Actuals!BZ47),-160*Escalation!$B$74,Actuals!BZ47)</f>
        <v>-180.18598708224</v>
      </c>
      <c r="BZ137" s="402">
        <f>IF(ISBLANK(Actuals!CA47),-160*Escalation!$B$75,Actuals!CA47)</f>
        <v>-180.18598708224</v>
      </c>
      <c r="CA137" s="402">
        <f>IF(ISBLANK(Actuals!CB47),-160*Escalation!$B$76,Actuals!CB47)</f>
        <v>-180.18598708224</v>
      </c>
      <c r="CB137" s="402">
        <f>IF(ISBLANK(Actuals!CC47),-160*Escalation!$B$77,Actuals!CC47)</f>
        <v>-180.18598708224</v>
      </c>
      <c r="CC137" s="402">
        <f>IF(ISBLANK(Actuals!CD47),-160*Escalation!$B$78,Actuals!CD47)</f>
        <v>-180.18598708224</v>
      </c>
      <c r="CD137" s="402">
        <f>IF(ISBLANK(Actuals!CE47),-160*Escalation!$B$79,Actuals!CE47)</f>
        <v>-180.18598708224</v>
      </c>
      <c r="CE137" s="402">
        <f>IF(ISBLANK(Actuals!CF47),-160*Escalation!$B$80,Actuals!CF47)</f>
        <v>-180.18598708224</v>
      </c>
      <c r="CF137" s="402">
        <f>IF(ISBLANK(Actuals!CG47),-160*Escalation!$B$81,Actuals!CG47)</f>
        <v>-180.18598708224</v>
      </c>
      <c r="CG137" s="402">
        <f>IF(ISBLANK(Actuals!CH47),-160*Escalation!$B$82,Actuals!CH47)</f>
        <v>-180.18598708224</v>
      </c>
      <c r="CH137" s="402">
        <f>IF(ISBLANK(Actuals!CI47),-160*Escalation!$B$83,Actuals!CI47)</f>
        <v>-180.18598708224</v>
      </c>
      <c r="CI137" s="402">
        <f>IF(ISBLANK(Actuals!CJ47),-160*Escalation!$B$84,Actuals!CJ47)</f>
        <v>-180.18598708224</v>
      </c>
      <c r="CJ137" s="402">
        <f>IF(ISBLANK(Actuals!CK47),-160*Escalation!$B$85,Actuals!CK47)</f>
        <v>-180.18598708224</v>
      </c>
      <c r="CK137" s="402">
        <f>IF(ISBLANK(Actuals!CL47),-160*Escalation!$B$86,Actuals!CL47)</f>
        <v>-183.789706823885</v>
      </c>
      <c r="CL137" s="402">
        <f>IF(ISBLANK(Actuals!CM47),-160*Escalation!$B$87,Actuals!CM47)</f>
        <v>-183.789706823885</v>
      </c>
      <c r="CM137" s="402">
        <f>IF(ISBLANK(Actuals!CN47),-160*Escalation!$B$88,Actuals!CN47)</f>
        <v>-183.789706823885</v>
      </c>
      <c r="CN137" s="402">
        <f>IF(ISBLANK(Actuals!CO47),-160*Escalation!$B$89,Actuals!CO47)</f>
        <v>-183.789706823885</v>
      </c>
      <c r="CO137" s="402">
        <f>IF(ISBLANK(Actuals!CP47),-160*Escalation!$B$90,Actuals!CP47)</f>
        <v>-183.789706823885</v>
      </c>
      <c r="CP137" s="402">
        <f>IF(ISBLANK(Actuals!CQ47),-160*Escalation!$B$91,Actuals!CQ47)</f>
        <v>-183.789706823885</v>
      </c>
      <c r="CQ137" s="402">
        <f>IF(ISBLANK(Actuals!CR47),-160*Escalation!$B$92,Actuals!CR47)</f>
        <v>-183.789706823885</v>
      </c>
      <c r="CR137" s="402">
        <f>IF(ISBLANK(Actuals!CS47),-160*Escalation!$B$93,Actuals!CS47)</f>
        <v>-183.789706823885</v>
      </c>
      <c r="CS137" s="402">
        <f>IF(ISBLANK(Actuals!CT47),-160*Escalation!$B$94,Actuals!CT47)</f>
        <v>-183.789706823885</v>
      </c>
      <c r="CT137" s="402">
        <f>IF(ISBLANK(Actuals!CU47),-160*Escalation!$B$95,Actuals!CU47)</f>
        <v>-183.789706823885</v>
      </c>
      <c r="CU137" s="402">
        <f>IF(ISBLANK(Actuals!CV47),-160*Escalation!$B$96,Actuals!CV47)</f>
        <v>-183.789706823885</v>
      </c>
      <c r="CV137" s="402">
        <f>IF(ISBLANK(Actuals!CW47),-160*Escalation!$B$97,Actuals!CW47)</f>
        <v>-183.789706823885</v>
      </c>
      <c r="CW137" s="402">
        <f>IF(ISBLANK(Actuals!CX47),-160*Escalation!$B$98,Actuals!CX47)</f>
        <v>-187.465500960363</v>
      </c>
      <c r="CX137" s="402">
        <f>IF(ISBLANK(Actuals!CY47),-160*Escalation!$B$99,Actuals!CY47)</f>
        <v>-187.465500960363</v>
      </c>
      <c r="CY137" s="402">
        <f>IF(ISBLANK(Actuals!CZ47),-160*Escalation!$B$100,Actuals!CZ47)</f>
        <v>-187.465500960363</v>
      </c>
      <c r="CZ137" s="402">
        <f>IF(ISBLANK(Actuals!DA47),-160*Escalation!$B$101,Actuals!DA47)</f>
        <v>-187.465500960363</v>
      </c>
      <c r="DA137" s="402">
        <f>IF(ISBLANK(Actuals!DB47),-160*Escalation!$B$102,Actuals!DB47)</f>
        <v>-187.465500960363</v>
      </c>
      <c r="DB137" s="402">
        <f>IF(ISBLANK(Actuals!DC47),-160*Escalation!$B$103,Actuals!DC47)</f>
        <v>-187.465500960363</v>
      </c>
      <c r="DC137" s="402">
        <f>IF(ISBLANK(Actuals!DD47),-160*Escalation!$B$104,Actuals!DD47)</f>
        <v>-187.465500960363</v>
      </c>
      <c r="DD137" s="402">
        <f>IF(ISBLANK(Actuals!DE47),-160*Escalation!$B$105,Actuals!DE47)</f>
        <v>-187.465500960363</v>
      </c>
      <c r="DE137" s="402">
        <f>IF(ISBLANK(Actuals!DF47),-160*Escalation!$B$106,Actuals!DF47)</f>
        <v>-187.465500960363</v>
      </c>
    </row>
    <row r="138" ht="15" customFormat="1" customHeight="1" s="381">
      <c r="A138" s="415" t="inlineStr">
        <is>
          <t>5900-1040 Warranty and Other Job Adjustments</t>
        </is>
      </c>
      <c r="B138" s="402">
        <f>IF(ISBLANK(Actuals!C48),0,Actuals!C48)</f>
        <v>-17660.72</v>
      </c>
      <c r="C138" s="402">
        <f>IF(ISBLANK(Actuals!D48),0,Actuals!D48)</f>
        <v>-5799</v>
      </c>
      <c r="D138" s="402">
        <f>IF(ISBLANK(Actuals!E48),0,Actuals!E48)</f>
        <v>-3432.18</v>
      </c>
      <c r="E138" s="402">
        <f>IF(ISBLANK(Actuals!F48),-5000*Escalation!$B$2,Actuals!F48)</f>
        <v>0</v>
      </c>
      <c r="F138" s="402">
        <f>IF(ISBLANK(Actuals!G48),-5000*Escalation!$B$3,Actuals!G48)</f>
        <v>-73874.29</v>
      </c>
      <c r="G138" s="402">
        <f>IF(ISBLANK(Actuals!H48),-5000*Escalation!$B$4,Actuals!H48)</f>
        <v>0</v>
      </c>
      <c r="H138" s="402">
        <f>IF(ISBLANK(Actuals!I48),-5000*Escalation!$B$5,Actuals!I48)</f>
        <v>-5000</v>
      </c>
      <c r="I138" s="402">
        <f>IF(ISBLANK(Actuals!J48),-5000*Escalation!$B$6,Actuals!J48)</f>
        <v>-5000</v>
      </c>
      <c r="J138" s="402">
        <f>IF(ISBLANK(Actuals!K48),-5000*Escalation!$B$7,Actuals!K48)</f>
        <v>-5000</v>
      </c>
      <c r="K138" s="402">
        <f>IF(ISBLANK(Actuals!L48),-5000*Escalation!$B$8,Actuals!L48)</f>
        <v>-5000</v>
      </c>
      <c r="L138" s="402">
        <f>IF(ISBLANK(Actuals!M48),-5000*Escalation!$B$9,Actuals!M48)</f>
        <v>-5000</v>
      </c>
      <c r="M138" s="402">
        <f>IF(ISBLANK(Actuals!N48),-5000*Escalation!$B$10,Actuals!N48)</f>
        <v>-5000</v>
      </c>
      <c r="N138" s="402">
        <f>IF(ISBLANK(Actuals!O48),-5000*Escalation!$B$11,Actuals!O48)</f>
        <v>-5000</v>
      </c>
      <c r="O138" s="402">
        <f>IF(ISBLANK(Actuals!P48),-5000*Escalation!$B$12,Actuals!P48)</f>
        <v>-5000</v>
      </c>
      <c r="P138" s="402">
        <f>IF(ISBLANK(Actuals!Q48),-5000*Escalation!$B$13,Actuals!Q48)</f>
        <v>-5000</v>
      </c>
      <c r="Q138" s="402">
        <f>IF(ISBLANK(Actuals!R48),-5000*Escalation!$B$14,Actuals!R48)</f>
        <v>-5100</v>
      </c>
      <c r="R138" s="402">
        <f>IF(ISBLANK(Actuals!S48),-5000*Escalation!$B$15,Actuals!S48)</f>
        <v>-5100</v>
      </c>
      <c r="S138" s="402">
        <f>IF(ISBLANK(Actuals!T48),-5000*Escalation!$B$16,Actuals!T48)</f>
        <v>-5100</v>
      </c>
      <c r="T138" s="402">
        <f>IF(ISBLANK(Actuals!U48),-5000*Escalation!$B$17,Actuals!U48)</f>
        <v>-5100</v>
      </c>
      <c r="U138" s="402">
        <f>IF(ISBLANK(Actuals!V48),-5000*Escalation!$B$18,Actuals!V48)</f>
        <v>-5100</v>
      </c>
      <c r="V138" s="402">
        <f>IF(ISBLANK(Actuals!W48),-5000*Escalation!$B$19,Actuals!W48)</f>
        <v>-5100</v>
      </c>
      <c r="W138" s="402">
        <f>IF(ISBLANK(Actuals!X48),-5000*Escalation!$B$20,Actuals!X48)</f>
        <v>-5100</v>
      </c>
      <c r="X138" s="402">
        <f>IF(ISBLANK(Actuals!Y48),-5000*Escalation!$B$21,Actuals!Y48)</f>
        <v>-5100</v>
      </c>
      <c r="Y138" s="402">
        <f>IF(ISBLANK(Actuals!Z48),-5000*Escalation!$B$22,Actuals!Z48)</f>
        <v>-5100</v>
      </c>
      <c r="Z138" s="402">
        <f>IF(ISBLANK(Actuals!AA48),-5000*Escalation!$B$23,Actuals!AA48)</f>
        <v>-5100</v>
      </c>
      <c r="AA138" s="402">
        <f>IF(ISBLANK(Actuals!AB48),-5000*Escalation!$B$24,Actuals!AB48)</f>
        <v>-5100</v>
      </c>
      <c r="AB138" s="402">
        <f>IF(ISBLANK(Actuals!AC48),-5000*Escalation!$B$25,Actuals!AC48)</f>
        <v>-5100</v>
      </c>
      <c r="AC138" s="402">
        <f>IF(ISBLANK(Actuals!AD48),-5000*Escalation!$B$26,Actuals!AD48)</f>
        <v>-5202</v>
      </c>
      <c r="AD138" s="402">
        <f>IF(ISBLANK(Actuals!AE48),-5000*Escalation!$B$27,Actuals!AE48)</f>
        <v>-5202</v>
      </c>
      <c r="AE138" s="402">
        <f>IF(ISBLANK(Actuals!AF48),-5000*Escalation!$B$28,Actuals!AF48)</f>
        <v>-5202</v>
      </c>
      <c r="AF138" s="402">
        <f>IF(ISBLANK(Actuals!AG48),-5000*Escalation!$B$29,Actuals!AG48)</f>
        <v>-5202</v>
      </c>
      <c r="AG138" s="402">
        <f>IF(ISBLANK(Actuals!AH48),-5000*Escalation!$B$30,Actuals!AH48)</f>
        <v>-5202</v>
      </c>
      <c r="AH138" s="402">
        <f>IF(ISBLANK(Actuals!AI48),-5000*Escalation!$B$31,Actuals!AI48)</f>
        <v>-5202</v>
      </c>
      <c r="AI138" s="402">
        <f>IF(ISBLANK(Actuals!AJ48),-5000*Escalation!$B$32,Actuals!AJ48)</f>
        <v>-5202</v>
      </c>
      <c r="AJ138" s="402">
        <f>IF(ISBLANK(Actuals!AK48),-5000*Escalation!$B$33,Actuals!AK48)</f>
        <v>-5202</v>
      </c>
      <c r="AK138" s="402">
        <f>IF(ISBLANK(Actuals!AL48),-5000*Escalation!$B$34,Actuals!AL48)</f>
        <v>-5202</v>
      </c>
      <c r="AL138" s="402">
        <f>IF(ISBLANK(Actuals!AM48),-5000*Escalation!$B$35,Actuals!AM48)</f>
        <v>-5202</v>
      </c>
      <c r="AM138" s="402">
        <f>IF(ISBLANK(Actuals!AN48),-5000*Escalation!$B$36,Actuals!AN48)</f>
        <v>-5202</v>
      </c>
      <c r="AN138" s="402">
        <f>IF(ISBLANK(Actuals!AO48),-5000*Escalation!$B$37,Actuals!AO48)</f>
        <v>-5202</v>
      </c>
      <c r="AO138" s="402">
        <f>IF(ISBLANK(Actuals!AP48),-5000*Escalation!$B$38,Actuals!AP48)</f>
        <v>-5306.04</v>
      </c>
      <c r="AP138" s="402">
        <f>IF(ISBLANK(Actuals!AQ48),-5000*Escalation!$B$39,Actuals!AQ48)</f>
        <v>-5306.04</v>
      </c>
      <c r="AQ138" s="402">
        <f>IF(ISBLANK(Actuals!AR48),-5000*Escalation!$B$40,Actuals!AR48)</f>
        <v>-5306.04</v>
      </c>
      <c r="AR138" s="402">
        <f>IF(ISBLANK(Actuals!AS48),-5000*Escalation!$B$41,Actuals!AS48)</f>
        <v>-5306.04</v>
      </c>
      <c r="AS138" s="402">
        <f>IF(ISBLANK(Actuals!AT48),-5000*Escalation!$B$42,Actuals!AT48)</f>
        <v>-5306.04</v>
      </c>
      <c r="AT138" s="402">
        <f>IF(ISBLANK(Actuals!AU48),-5000*Escalation!$B$43,Actuals!AU48)</f>
        <v>-5306.04</v>
      </c>
      <c r="AU138" s="402">
        <f>IF(ISBLANK(Actuals!AV48),-5000*Escalation!$B$44,Actuals!AV48)</f>
        <v>-5306.04</v>
      </c>
      <c r="AV138" s="402">
        <f>IF(ISBLANK(Actuals!AW48),-5000*Escalation!$B$45,Actuals!AW48)</f>
        <v>-5306.04</v>
      </c>
      <c r="AW138" s="402">
        <f>IF(ISBLANK(Actuals!AX48),-5000*Escalation!$B$46,Actuals!AX48)</f>
        <v>-5306.04</v>
      </c>
      <c r="AX138" s="402">
        <f>IF(ISBLANK(Actuals!AY48),-5000*Escalation!$B$47,Actuals!AY48)</f>
        <v>-5306.04</v>
      </c>
      <c r="AY138" s="402">
        <f>IF(ISBLANK(Actuals!AZ48),-5000*Escalation!$B$48,Actuals!AZ48)</f>
        <v>-5306.04</v>
      </c>
      <c r="AZ138" s="402">
        <f>IF(ISBLANK(Actuals!BA48),-5000*Escalation!$B$49,Actuals!BA48)</f>
        <v>-5306.04</v>
      </c>
      <c r="BA138" s="402">
        <f>IF(ISBLANK(Actuals!BB48),-5000*Escalation!$B$50,Actuals!BB48)</f>
        <v>-5412.1608</v>
      </c>
      <c r="BB138" s="402">
        <f>IF(ISBLANK(Actuals!BC48),-5000*Escalation!$B$51,Actuals!BC48)</f>
        <v>-5412.1608</v>
      </c>
      <c r="BC138" s="402">
        <f>IF(ISBLANK(Actuals!BD48),-5000*Escalation!$B$52,Actuals!BD48)</f>
        <v>-5412.1608</v>
      </c>
      <c r="BD138" s="402">
        <f>IF(ISBLANK(Actuals!BE48),-5000*Escalation!$B$53,Actuals!BE48)</f>
        <v>-5412.1608</v>
      </c>
      <c r="BE138" s="402">
        <f>IF(ISBLANK(Actuals!BF48),-5000*Escalation!$B$54,Actuals!BF48)</f>
        <v>-5412.1608</v>
      </c>
      <c r="BF138" s="402">
        <f>IF(ISBLANK(Actuals!BG48),-5000*Escalation!$B$55,Actuals!BG48)</f>
        <v>-5412.1608</v>
      </c>
      <c r="BG138" s="402">
        <f>IF(ISBLANK(Actuals!BH48),-5000*Escalation!$B$56,Actuals!BH48)</f>
        <v>-5412.1608</v>
      </c>
      <c r="BH138" s="402">
        <f>IF(ISBLANK(Actuals!BI48),-5000*Escalation!$B$57,Actuals!BI48)</f>
        <v>-5412.1608</v>
      </c>
      <c r="BI138" s="402">
        <f>IF(ISBLANK(Actuals!BJ48),-5000*Escalation!$B$58,Actuals!BJ48)</f>
        <v>-5412.1608</v>
      </c>
      <c r="BJ138" s="402">
        <f>IF(ISBLANK(Actuals!BK48),-5000*Escalation!$B$59,Actuals!BK48)</f>
        <v>-5412.1608</v>
      </c>
      <c r="BK138" s="402">
        <f>IF(ISBLANK(Actuals!BL48),-5000*Escalation!$B$60,Actuals!BL48)</f>
        <v>-5412.1608</v>
      </c>
      <c r="BL138" s="402">
        <f>IF(ISBLANK(Actuals!BM48),-5000*Escalation!$B$61,Actuals!BM48)</f>
        <v>-5412.1608</v>
      </c>
      <c r="BM138" s="402">
        <f>IF(ISBLANK(Actuals!BN48),-5000*Escalation!$B$62,Actuals!BN48)</f>
        <v>-5520.404016</v>
      </c>
      <c r="BN138" s="402">
        <f>IF(ISBLANK(Actuals!BO48),-5000*Escalation!$B$63,Actuals!BO48)</f>
        <v>-5520.404016</v>
      </c>
      <c r="BO138" s="402">
        <f>IF(ISBLANK(Actuals!BP48),-5000*Escalation!$B$64,Actuals!BP48)</f>
        <v>-5520.404016</v>
      </c>
      <c r="BP138" s="402">
        <f>IF(ISBLANK(Actuals!BQ48),-5000*Escalation!$B$65,Actuals!BQ48)</f>
        <v>-5520.404016</v>
      </c>
      <c r="BQ138" s="402">
        <f>IF(ISBLANK(Actuals!BR48),-5000*Escalation!$B$66,Actuals!BR48)</f>
        <v>-5520.404016</v>
      </c>
      <c r="BR138" s="402">
        <f>IF(ISBLANK(Actuals!BS48),-5000*Escalation!$B$67,Actuals!BS48)</f>
        <v>-5520.404016</v>
      </c>
      <c r="BS138" s="402">
        <f>IF(ISBLANK(Actuals!BT48),-5000*Escalation!$B$68,Actuals!BT48)</f>
        <v>-5520.404016</v>
      </c>
      <c r="BT138" s="402">
        <f>IF(ISBLANK(Actuals!BU48),-5000*Escalation!$B$69,Actuals!BU48)</f>
        <v>-5520.404016</v>
      </c>
      <c r="BU138" s="402">
        <f>IF(ISBLANK(Actuals!BV48),-5000*Escalation!$B$70,Actuals!BV48)</f>
        <v>-5520.404016</v>
      </c>
      <c r="BV138" s="402">
        <f>IF(ISBLANK(Actuals!BW48),-5000*Escalation!$B$71,Actuals!BW48)</f>
        <v>-5520.404016</v>
      </c>
      <c r="BW138" s="402">
        <f>IF(ISBLANK(Actuals!BX48),-5000*Escalation!$B$72,Actuals!BX48)</f>
        <v>-5520.404016</v>
      </c>
      <c r="BX138" s="402">
        <f>IF(ISBLANK(Actuals!BY48),-5000*Escalation!$B$73,Actuals!BY48)</f>
        <v>-5520.404016</v>
      </c>
      <c r="BY138" s="402">
        <f>IF(ISBLANK(Actuals!BZ48),-5000*Escalation!$B$74,Actuals!BZ48)</f>
        <v>-5630.81209632</v>
      </c>
      <c r="BZ138" s="402">
        <f>IF(ISBLANK(Actuals!CA48),-5000*Escalation!$B$75,Actuals!CA48)</f>
        <v>-5630.81209632</v>
      </c>
      <c r="CA138" s="402">
        <f>IF(ISBLANK(Actuals!CB48),-5000*Escalation!$B$76,Actuals!CB48)</f>
        <v>-5630.81209632</v>
      </c>
      <c r="CB138" s="402">
        <f>IF(ISBLANK(Actuals!CC48),-5000*Escalation!$B$77,Actuals!CC48)</f>
        <v>-5630.81209632</v>
      </c>
      <c r="CC138" s="402">
        <f>IF(ISBLANK(Actuals!CD48),-5000*Escalation!$B$78,Actuals!CD48)</f>
        <v>-5630.81209632</v>
      </c>
      <c r="CD138" s="402">
        <f>IF(ISBLANK(Actuals!CE48),-5000*Escalation!$B$79,Actuals!CE48)</f>
        <v>-5630.81209632</v>
      </c>
      <c r="CE138" s="402">
        <f>IF(ISBLANK(Actuals!CF48),-5000*Escalation!$B$80,Actuals!CF48)</f>
        <v>-5630.81209632</v>
      </c>
      <c r="CF138" s="402">
        <f>IF(ISBLANK(Actuals!CG48),-5000*Escalation!$B$81,Actuals!CG48)</f>
        <v>-5630.81209632</v>
      </c>
      <c r="CG138" s="402">
        <f>IF(ISBLANK(Actuals!CH48),-5000*Escalation!$B$82,Actuals!CH48)</f>
        <v>-5630.81209632</v>
      </c>
      <c r="CH138" s="402">
        <f>IF(ISBLANK(Actuals!CI48),-5000*Escalation!$B$83,Actuals!CI48)</f>
        <v>-5630.81209632</v>
      </c>
      <c r="CI138" s="402">
        <f>IF(ISBLANK(Actuals!CJ48),-5000*Escalation!$B$84,Actuals!CJ48)</f>
        <v>-5630.81209632</v>
      </c>
      <c r="CJ138" s="402">
        <f>IF(ISBLANK(Actuals!CK48),-5000*Escalation!$B$85,Actuals!CK48)</f>
        <v>-5630.81209632</v>
      </c>
      <c r="CK138" s="402">
        <f>IF(ISBLANK(Actuals!CL48),-5000*Escalation!$B$86,Actuals!CL48)</f>
        <v>-5743.4283382464</v>
      </c>
      <c r="CL138" s="402">
        <f>IF(ISBLANK(Actuals!CM48),-5000*Escalation!$B$87,Actuals!CM48)</f>
        <v>-5743.4283382464</v>
      </c>
      <c r="CM138" s="402">
        <f>IF(ISBLANK(Actuals!CN48),-5000*Escalation!$B$88,Actuals!CN48)</f>
        <v>-5743.4283382464</v>
      </c>
      <c r="CN138" s="402">
        <f>IF(ISBLANK(Actuals!CO48),-5000*Escalation!$B$89,Actuals!CO48)</f>
        <v>-5743.4283382464</v>
      </c>
      <c r="CO138" s="402">
        <f>IF(ISBLANK(Actuals!CP48),-5000*Escalation!$B$90,Actuals!CP48)</f>
        <v>-5743.4283382464</v>
      </c>
      <c r="CP138" s="402">
        <f>IF(ISBLANK(Actuals!CQ48),-5000*Escalation!$B$91,Actuals!CQ48)</f>
        <v>-5743.4283382464</v>
      </c>
      <c r="CQ138" s="402">
        <f>IF(ISBLANK(Actuals!CR48),-5000*Escalation!$B$92,Actuals!CR48)</f>
        <v>-5743.4283382464</v>
      </c>
      <c r="CR138" s="402">
        <f>IF(ISBLANK(Actuals!CS48),-5000*Escalation!$B$93,Actuals!CS48)</f>
        <v>-5743.4283382464</v>
      </c>
      <c r="CS138" s="402">
        <f>IF(ISBLANK(Actuals!CT48),-5000*Escalation!$B$94,Actuals!CT48)</f>
        <v>-5743.4283382464</v>
      </c>
      <c r="CT138" s="402">
        <f>IF(ISBLANK(Actuals!CU48),-5000*Escalation!$B$95,Actuals!CU48)</f>
        <v>-5743.4283382464</v>
      </c>
      <c r="CU138" s="402">
        <f>IF(ISBLANK(Actuals!CV48),-5000*Escalation!$B$96,Actuals!CV48)</f>
        <v>-5743.4283382464</v>
      </c>
      <c r="CV138" s="402">
        <f>IF(ISBLANK(Actuals!CW48),-5000*Escalation!$B$97,Actuals!CW48)</f>
        <v>-5743.4283382464</v>
      </c>
      <c r="CW138" s="402">
        <f>IF(ISBLANK(Actuals!CX48),-5000*Escalation!$B$98,Actuals!CX48)</f>
        <v>-5858.29690501133</v>
      </c>
      <c r="CX138" s="402">
        <f>IF(ISBLANK(Actuals!CY48),-5000*Escalation!$B$99,Actuals!CY48)</f>
        <v>-5858.29690501133</v>
      </c>
      <c r="CY138" s="402">
        <f>IF(ISBLANK(Actuals!CZ48),-5000*Escalation!$B$100,Actuals!CZ48)</f>
        <v>-5858.29690501133</v>
      </c>
      <c r="CZ138" s="402">
        <f>IF(ISBLANK(Actuals!DA48),-5000*Escalation!$B$101,Actuals!DA48)</f>
        <v>-5858.29690501133</v>
      </c>
      <c r="DA138" s="402">
        <f>IF(ISBLANK(Actuals!DB48),-5000*Escalation!$B$102,Actuals!DB48)</f>
        <v>-5858.29690501133</v>
      </c>
      <c r="DB138" s="402">
        <f>IF(ISBLANK(Actuals!DC48),-5000*Escalation!$B$103,Actuals!DC48)</f>
        <v>-5858.29690501133</v>
      </c>
      <c r="DC138" s="402">
        <f>IF(ISBLANK(Actuals!DD48),-5000*Escalation!$B$104,Actuals!DD48)</f>
        <v>-5858.29690501133</v>
      </c>
      <c r="DD138" s="402">
        <f>IF(ISBLANK(Actuals!DE48),-5000*Escalation!$B$105,Actuals!DE48)</f>
        <v>-5858.29690501133</v>
      </c>
      <c r="DE138" s="402">
        <f>IF(ISBLANK(Actuals!DF48),-5000*Escalation!$B$106,Actuals!DF48)</f>
        <v>-5858.29690501133</v>
      </c>
    </row>
    <row r="139" ht="15" customFormat="1" customHeight="1" s="381">
      <c r="A139" s="415" t="inlineStr">
        <is>
          <t>5900-1075 Miscellaneous Expense</t>
        </is>
      </c>
      <c r="B139" s="402">
        <f>IF(ISBLANK(Actuals!C49),0,Actuals!C49)</f>
        <v>-1913.91</v>
      </c>
      <c r="C139" s="402">
        <f>IF(ISBLANK(Actuals!D49),0,Actuals!D49)</f>
        <v>-2254.72</v>
      </c>
      <c r="D139" s="402">
        <f>IF(ISBLANK(Actuals!E49),0,Actuals!E49)</f>
        <v>-1913.91</v>
      </c>
      <c r="E139" s="402">
        <f>IF(ISBLANK(Actuals!F49),-417.6*Escalation!$B$2,Actuals!F49)</f>
        <v>-1609.91</v>
      </c>
      <c r="F139" s="402">
        <f>IF(ISBLANK(Actuals!G49),-417.6*Escalation!$B$3,Actuals!G49)</f>
        <v>-2760.86</v>
      </c>
      <c r="G139" s="402">
        <f>IF(ISBLANK(Actuals!H49),-417.6*Escalation!$B$4,Actuals!H49)</f>
        <v>0</v>
      </c>
      <c r="H139" s="402">
        <f>IF(ISBLANK(Actuals!I49),-417.6*Escalation!$B$5,Actuals!I49)</f>
        <v>-417.6</v>
      </c>
      <c r="I139" s="402">
        <f>IF(ISBLANK(Actuals!J49),-417.6*Escalation!$B$6,Actuals!J49)</f>
        <v>-417.6</v>
      </c>
      <c r="J139" s="402">
        <f>IF(ISBLANK(Actuals!K49),-417.6*Escalation!$B$7,Actuals!K49)</f>
        <v>-417.6</v>
      </c>
      <c r="K139" s="402">
        <f>IF(ISBLANK(Actuals!L49),-417.6*Escalation!$B$8,Actuals!L49)</f>
        <v>-417.6</v>
      </c>
      <c r="L139" s="402">
        <f>IF(ISBLANK(Actuals!M49),-417.6*Escalation!$B$9,Actuals!M49)</f>
        <v>-417.6</v>
      </c>
      <c r="M139" s="402">
        <f>IF(ISBLANK(Actuals!N49),-417.6*Escalation!$B$10,Actuals!N49)</f>
        <v>-417.6</v>
      </c>
      <c r="N139" s="402">
        <f>IF(ISBLANK(Actuals!O49),-417.6*Escalation!$B$11,Actuals!O49)</f>
        <v>-417.6</v>
      </c>
      <c r="O139" s="402">
        <f>IF(ISBLANK(Actuals!P49),-417.6*Escalation!$B$12,Actuals!P49)</f>
        <v>-417.6</v>
      </c>
      <c r="P139" s="402">
        <f>IF(ISBLANK(Actuals!Q49),-417.6*Escalation!$B$13,Actuals!Q49)</f>
        <v>-417.6</v>
      </c>
      <c r="Q139" s="402">
        <f>IF(ISBLANK(Actuals!R49),-417.6*Escalation!$B$14,Actuals!R49)</f>
        <v>-425.952</v>
      </c>
      <c r="R139" s="402">
        <f>IF(ISBLANK(Actuals!S49),-417.6*Escalation!$B$15,Actuals!S49)</f>
        <v>-425.952</v>
      </c>
      <c r="S139" s="402">
        <f>IF(ISBLANK(Actuals!T49),-417.6*Escalation!$B$16,Actuals!T49)</f>
        <v>-425.952</v>
      </c>
      <c r="T139" s="402">
        <f>IF(ISBLANK(Actuals!U49),-417.6*Escalation!$B$17,Actuals!U49)</f>
        <v>-425.952</v>
      </c>
      <c r="U139" s="402">
        <f>IF(ISBLANK(Actuals!V49),-417.6*Escalation!$B$18,Actuals!V49)</f>
        <v>-425.952</v>
      </c>
      <c r="V139" s="402">
        <f>IF(ISBLANK(Actuals!W49),-417.6*Escalation!$B$19,Actuals!W49)</f>
        <v>-425.952</v>
      </c>
      <c r="W139" s="402">
        <f>IF(ISBLANK(Actuals!X49),-417.6*Escalation!$B$20,Actuals!X49)</f>
        <v>-425.952</v>
      </c>
      <c r="X139" s="402">
        <f>IF(ISBLANK(Actuals!Y49),-417.6*Escalation!$B$21,Actuals!Y49)</f>
        <v>-425.952</v>
      </c>
      <c r="Y139" s="402">
        <f>IF(ISBLANK(Actuals!Z49),-417.6*Escalation!$B$22,Actuals!Z49)</f>
        <v>-425.952</v>
      </c>
      <c r="Z139" s="402">
        <f>IF(ISBLANK(Actuals!AA49),-417.6*Escalation!$B$23,Actuals!AA49)</f>
        <v>-425.952</v>
      </c>
      <c r="AA139" s="402">
        <f>IF(ISBLANK(Actuals!AB49),-417.6*Escalation!$B$24,Actuals!AB49)</f>
        <v>-425.952</v>
      </c>
      <c r="AB139" s="402">
        <f>IF(ISBLANK(Actuals!AC49),-417.6*Escalation!$B$25,Actuals!AC49)</f>
        <v>-425.952</v>
      </c>
      <c r="AC139" s="402">
        <f>IF(ISBLANK(Actuals!AD49),-417.6*Escalation!$B$26,Actuals!AD49)</f>
        <v>-434.47104</v>
      </c>
      <c r="AD139" s="402">
        <f>IF(ISBLANK(Actuals!AE49),-417.6*Escalation!$B$27,Actuals!AE49)</f>
        <v>-434.47104</v>
      </c>
      <c r="AE139" s="402">
        <f>IF(ISBLANK(Actuals!AF49),-417.6*Escalation!$B$28,Actuals!AF49)</f>
        <v>-434.47104</v>
      </c>
      <c r="AF139" s="402">
        <f>IF(ISBLANK(Actuals!AG49),-417.6*Escalation!$B$29,Actuals!AG49)</f>
        <v>-434.47104</v>
      </c>
      <c r="AG139" s="402">
        <f>IF(ISBLANK(Actuals!AH49),-417.6*Escalation!$B$30,Actuals!AH49)</f>
        <v>-434.47104</v>
      </c>
      <c r="AH139" s="402">
        <f>IF(ISBLANK(Actuals!AI49),-417.6*Escalation!$B$31,Actuals!AI49)</f>
        <v>-434.47104</v>
      </c>
      <c r="AI139" s="402">
        <f>IF(ISBLANK(Actuals!AJ49),-417.6*Escalation!$B$32,Actuals!AJ49)</f>
        <v>-434.47104</v>
      </c>
      <c r="AJ139" s="402">
        <f>IF(ISBLANK(Actuals!AK49),-417.6*Escalation!$B$33,Actuals!AK49)</f>
        <v>-434.47104</v>
      </c>
      <c r="AK139" s="402">
        <f>IF(ISBLANK(Actuals!AL49),-417.6*Escalation!$B$34,Actuals!AL49)</f>
        <v>-434.47104</v>
      </c>
      <c r="AL139" s="402">
        <f>IF(ISBLANK(Actuals!AM49),-417.6*Escalation!$B$35,Actuals!AM49)</f>
        <v>-434.47104</v>
      </c>
      <c r="AM139" s="402">
        <f>IF(ISBLANK(Actuals!AN49),-417.6*Escalation!$B$36,Actuals!AN49)</f>
        <v>-434.47104</v>
      </c>
      <c r="AN139" s="402">
        <f>IF(ISBLANK(Actuals!AO49),-417.6*Escalation!$B$37,Actuals!AO49)</f>
        <v>-434.47104</v>
      </c>
      <c r="AO139" s="402">
        <f>IF(ISBLANK(Actuals!AP49),-417.6*Escalation!$B$38,Actuals!AP49)</f>
        <v>-443.1604608</v>
      </c>
      <c r="AP139" s="402">
        <f>IF(ISBLANK(Actuals!AQ49),-417.6*Escalation!$B$39,Actuals!AQ49)</f>
        <v>-443.1604608</v>
      </c>
      <c r="AQ139" s="402">
        <f>IF(ISBLANK(Actuals!AR49),-417.6*Escalation!$B$40,Actuals!AR49)</f>
        <v>-443.1604608</v>
      </c>
      <c r="AR139" s="402">
        <f>IF(ISBLANK(Actuals!AS49),-417.6*Escalation!$B$41,Actuals!AS49)</f>
        <v>-443.1604608</v>
      </c>
      <c r="AS139" s="402">
        <f>IF(ISBLANK(Actuals!AT49),-417.6*Escalation!$B$42,Actuals!AT49)</f>
        <v>-443.1604608</v>
      </c>
      <c r="AT139" s="402">
        <f>IF(ISBLANK(Actuals!AU49),-417.6*Escalation!$B$43,Actuals!AU49)</f>
        <v>-443.1604608</v>
      </c>
      <c r="AU139" s="402">
        <f>IF(ISBLANK(Actuals!AV49),-417.6*Escalation!$B$44,Actuals!AV49)</f>
        <v>-443.1604608</v>
      </c>
      <c r="AV139" s="402">
        <f>IF(ISBLANK(Actuals!AW49),-417.6*Escalation!$B$45,Actuals!AW49)</f>
        <v>-443.1604608</v>
      </c>
      <c r="AW139" s="402">
        <f>IF(ISBLANK(Actuals!AX49),-417.6*Escalation!$B$46,Actuals!AX49)</f>
        <v>-443.1604608</v>
      </c>
      <c r="AX139" s="402">
        <f>IF(ISBLANK(Actuals!AY49),-417.6*Escalation!$B$47,Actuals!AY49)</f>
        <v>-443.1604608</v>
      </c>
      <c r="AY139" s="402">
        <f>IF(ISBLANK(Actuals!AZ49),-417.6*Escalation!$B$48,Actuals!AZ49)</f>
        <v>-443.1604608</v>
      </c>
      <c r="AZ139" s="402">
        <f>IF(ISBLANK(Actuals!BA49),-417.6*Escalation!$B$49,Actuals!BA49)</f>
        <v>-443.1604608</v>
      </c>
      <c r="BA139" s="402">
        <f>IF(ISBLANK(Actuals!BB49),-417.6*Escalation!$B$50,Actuals!BB49)</f>
        <v>-452.023670016</v>
      </c>
      <c r="BB139" s="402">
        <f>IF(ISBLANK(Actuals!BC49),-417.6*Escalation!$B$51,Actuals!BC49)</f>
        <v>-452.023670016</v>
      </c>
      <c r="BC139" s="402">
        <f>IF(ISBLANK(Actuals!BD49),-417.6*Escalation!$B$52,Actuals!BD49)</f>
        <v>-452.023670016</v>
      </c>
      <c r="BD139" s="402">
        <f>IF(ISBLANK(Actuals!BE49),-417.6*Escalation!$B$53,Actuals!BE49)</f>
        <v>-452.023670016</v>
      </c>
      <c r="BE139" s="402">
        <f>IF(ISBLANK(Actuals!BF49),-417.6*Escalation!$B$54,Actuals!BF49)</f>
        <v>-452.023670016</v>
      </c>
      <c r="BF139" s="402">
        <f>IF(ISBLANK(Actuals!BG49),-417.6*Escalation!$B$55,Actuals!BG49)</f>
        <v>-452.023670016</v>
      </c>
      <c r="BG139" s="402">
        <f>IF(ISBLANK(Actuals!BH49),-417.6*Escalation!$B$56,Actuals!BH49)</f>
        <v>-452.023670016</v>
      </c>
      <c r="BH139" s="402">
        <f>IF(ISBLANK(Actuals!BI49),-417.6*Escalation!$B$57,Actuals!BI49)</f>
        <v>-452.023670016</v>
      </c>
      <c r="BI139" s="402">
        <f>IF(ISBLANK(Actuals!BJ49),-417.6*Escalation!$B$58,Actuals!BJ49)</f>
        <v>-452.023670016</v>
      </c>
      <c r="BJ139" s="402">
        <f>IF(ISBLANK(Actuals!BK49),-417.6*Escalation!$B$59,Actuals!BK49)</f>
        <v>-452.023670016</v>
      </c>
      <c r="BK139" s="402">
        <f>IF(ISBLANK(Actuals!BL49),-417.6*Escalation!$B$60,Actuals!BL49)</f>
        <v>-452.023670016</v>
      </c>
      <c r="BL139" s="402">
        <f>IF(ISBLANK(Actuals!BM49),-417.6*Escalation!$B$61,Actuals!BM49)</f>
        <v>-452.023670016</v>
      </c>
      <c r="BM139" s="402">
        <f>IF(ISBLANK(Actuals!BN49),-417.6*Escalation!$B$62,Actuals!BN49)</f>
        <v>-461.06414341632</v>
      </c>
      <c r="BN139" s="402">
        <f>IF(ISBLANK(Actuals!BO49),-417.6*Escalation!$B$63,Actuals!BO49)</f>
        <v>-461.06414341632</v>
      </c>
      <c r="BO139" s="402">
        <f>IF(ISBLANK(Actuals!BP49),-417.6*Escalation!$B$64,Actuals!BP49)</f>
        <v>-461.06414341632</v>
      </c>
      <c r="BP139" s="402">
        <f>IF(ISBLANK(Actuals!BQ49),-417.6*Escalation!$B$65,Actuals!BQ49)</f>
        <v>-461.06414341632</v>
      </c>
      <c r="BQ139" s="402">
        <f>IF(ISBLANK(Actuals!BR49),-417.6*Escalation!$B$66,Actuals!BR49)</f>
        <v>-461.06414341632</v>
      </c>
      <c r="BR139" s="402">
        <f>IF(ISBLANK(Actuals!BS49),-417.6*Escalation!$B$67,Actuals!BS49)</f>
        <v>-461.06414341632</v>
      </c>
      <c r="BS139" s="402">
        <f>IF(ISBLANK(Actuals!BT49),-417.6*Escalation!$B$68,Actuals!BT49)</f>
        <v>-461.06414341632</v>
      </c>
      <c r="BT139" s="402">
        <f>IF(ISBLANK(Actuals!BU49),-417.6*Escalation!$B$69,Actuals!BU49)</f>
        <v>-461.06414341632</v>
      </c>
      <c r="BU139" s="402">
        <f>IF(ISBLANK(Actuals!BV49),-417.6*Escalation!$B$70,Actuals!BV49)</f>
        <v>-461.06414341632</v>
      </c>
      <c r="BV139" s="402">
        <f>IF(ISBLANK(Actuals!BW49),-417.6*Escalation!$B$71,Actuals!BW49)</f>
        <v>-461.06414341632</v>
      </c>
      <c r="BW139" s="402">
        <f>IF(ISBLANK(Actuals!BX49),-417.6*Escalation!$B$72,Actuals!BX49)</f>
        <v>-461.06414341632</v>
      </c>
      <c r="BX139" s="402">
        <f>IF(ISBLANK(Actuals!BY49),-417.6*Escalation!$B$73,Actuals!BY49)</f>
        <v>-461.06414341632</v>
      </c>
      <c r="BY139" s="402">
        <f>IF(ISBLANK(Actuals!BZ49),-417.6*Escalation!$B$74,Actuals!BZ49)</f>
        <v>-470.285426284646</v>
      </c>
      <c r="BZ139" s="402">
        <f>IF(ISBLANK(Actuals!CA49),-417.6*Escalation!$B$75,Actuals!CA49)</f>
        <v>-470.285426284646</v>
      </c>
      <c r="CA139" s="402">
        <f>IF(ISBLANK(Actuals!CB49),-417.6*Escalation!$B$76,Actuals!CB49)</f>
        <v>-470.285426284646</v>
      </c>
      <c r="CB139" s="402">
        <f>IF(ISBLANK(Actuals!CC49),-417.6*Escalation!$B$77,Actuals!CC49)</f>
        <v>-470.285426284646</v>
      </c>
      <c r="CC139" s="402">
        <f>IF(ISBLANK(Actuals!CD49),-417.6*Escalation!$B$78,Actuals!CD49)</f>
        <v>-470.285426284646</v>
      </c>
      <c r="CD139" s="402">
        <f>IF(ISBLANK(Actuals!CE49),-417.6*Escalation!$B$79,Actuals!CE49)</f>
        <v>-470.285426284646</v>
      </c>
      <c r="CE139" s="402">
        <f>IF(ISBLANK(Actuals!CF49),-417.6*Escalation!$B$80,Actuals!CF49)</f>
        <v>-470.285426284646</v>
      </c>
      <c r="CF139" s="402">
        <f>IF(ISBLANK(Actuals!CG49),-417.6*Escalation!$B$81,Actuals!CG49)</f>
        <v>-470.285426284646</v>
      </c>
      <c r="CG139" s="402">
        <f>IF(ISBLANK(Actuals!CH49),-417.6*Escalation!$B$82,Actuals!CH49)</f>
        <v>-470.285426284646</v>
      </c>
      <c r="CH139" s="402">
        <f>IF(ISBLANK(Actuals!CI49),-417.6*Escalation!$B$83,Actuals!CI49)</f>
        <v>-470.285426284646</v>
      </c>
      <c r="CI139" s="402">
        <f>IF(ISBLANK(Actuals!CJ49),-417.6*Escalation!$B$84,Actuals!CJ49)</f>
        <v>-470.285426284646</v>
      </c>
      <c r="CJ139" s="402">
        <f>IF(ISBLANK(Actuals!CK49),-417.6*Escalation!$B$85,Actuals!CK49)</f>
        <v>-470.285426284646</v>
      </c>
      <c r="CK139" s="402">
        <f>IF(ISBLANK(Actuals!CL49),-417.6*Escalation!$B$86,Actuals!CL49)</f>
        <v>-479.691134810339</v>
      </c>
      <c r="CL139" s="402">
        <f>IF(ISBLANK(Actuals!CM49),-417.6*Escalation!$B$87,Actuals!CM49)</f>
        <v>-479.691134810339</v>
      </c>
      <c r="CM139" s="402">
        <f>IF(ISBLANK(Actuals!CN49),-417.6*Escalation!$B$88,Actuals!CN49)</f>
        <v>-479.691134810339</v>
      </c>
      <c r="CN139" s="402">
        <f>IF(ISBLANK(Actuals!CO49),-417.6*Escalation!$B$89,Actuals!CO49)</f>
        <v>-479.691134810339</v>
      </c>
      <c r="CO139" s="402">
        <f>IF(ISBLANK(Actuals!CP49),-417.6*Escalation!$B$90,Actuals!CP49)</f>
        <v>-479.691134810339</v>
      </c>
      <c r="CP139" s="402">
        <f>IF(ISBLANK(Actuals!CQ49),-417.6*Escalation!$B$91,Actuals!CQ49)</f>
        <v>-479.691134810339</v>
      </c>
      <c r="CQ139" s="402">
        <f>IF(ISBLANK(Actuals!CR49),-417.6*Escalation!$B$92,Actuals!CR49)</f>
        <v>-479.691134810339</v>
      </c>
      <c r="CR139" s="402">
        <f>IF(ISBLANK(Actuals!CS49),-417.6*Escalation!$B$93,Actuals!CS49)</f>
        <v>-479.691134810339</v>
      </c>
      <c r="CS139" s="402">
        <f>IF(ISBLANK(Actuals!CT49),-417.6*Escalation!$B$94,Actuals!CT49)</f>
        <v>-479.691134810339</v>
      </c>
      <c r="CT139" s="402">
        <f>IF(ISBLANK(Actuals!CU49),-417.6*Escalation!$B$95,Actuals!CU49)</f>
        <v>-479.691134810339</v>
      </c>
      <c r="CU139" s="402">
        <f>IF(ISBLANK(Actuals!CV49),-417.6*Escalation!$B$96,Actuals!CV49)</f>
        <v>-479.691134810339</v>
      </c>
      <c r="CV139" s="402">
        <f>IF(ISBLANK(Actuals!CW49),-417.6*Escalation!$B$97,Actuals!CW49)</f>
        <v>-479.691134810339</v>
      </c>
      <c r="CW139" s="402">
        <f>IF(ISBLANK(Actuals!CX49),-417.6*Escalation!$B$98,Actuals!CX49)</f>
        <v>-489.284957506546</v>
      </c>
      <c r="CX139" s="402">
        <f>IF(ISBLANK(Actuals!CY49),-417.6*Escalation!$B$99,Actuals!CY49)</f>
        <v>-489.284957506546</v>
      </c>
      <c r="CY139" s="402">
        <f>IF(ISBLANK(Actuals!CZ49),-417.6*Escalation!$B$100,Actuals!CZ49)</f>
        <v>-489.284957506546</v>
      </c>
      <c r="CZ139" s="402">
        <f>IF(ISBLANK(Actuals!DA49),-417.6*Escalation!$B$101,Actuals!DA49)</f>
        <v>-489.284957506546</v>
      </c>
      <c r="DA139" s="402">
        <f>IF(ISBLANK(Actuals!DB49),-417.6*Escalation!$B$102,Actuals!DB49)</f>
        <v>-489.284957506546</v>
      </c>
      <c r="DB139" s="402">
        <f>IF(ISBLANK(Actuals!DC49),-417.6*Escalation!$B$103,Actuals!DC49)</f>
        <v>-489.284957506546</v>
      </c>
      <c r="DC139" s="402">
        <f>IF(ISBLANK(Actuals!DD49),-417.6*Escalation!$B$104,Actuals!DD49)</f>
        <v>-489.284957506546</v>
      </c>
      <c r="DD139" s="402">
        <f>IF(ISBLANK(Actuals!DE49),-417.6*Escalation!$B$105,Actuals!DE49)</f>
        <v>-489.284957506546</v>
      </c>
      <c r="DE139" s="402">
        <f>IF(ISBLANK(Actuals!DF49),-417.6*Escalation!$B$106,Actuals!DF49)</f>
        <v>-489.284957506546</v>
      </c>
    </row>
    <row r="140" ht="15" customFormat="1" customHeight="1" s="381">
      <c r="A140" s="398" t="inlineStr">
        <is>
          <t>5900-1080 Bank Service Charges</t>
        </is>
      </c>
      <c r="B140" s="402">
        <f>IF(ISBLANK(Actuals!C50),0,Actuals!C50)</f>
        <v>0</v>
      </c>
      <c r="C140" s="402">
        <f>IF(ISBLANK(Actuals!D50),0,Actuals!D50)</f>
        <v>-75</v>
      </c>
      <c r="D140" s="402">
        <f>IF(ISBLANK(Actuals!E50),0,Actuals!E50)</f>
        <v>-5</v>
      </c>
      <c r="E140" s="402">
        <f>IF(ISBLANK(Actuals!F50),-26.67*Escalation!$B$2,Actuals!F50)</f>
        <v>0</v>
      </c>
      <c r="F140" s="402">
        <f>IF(ISBLANK(Actuals!G50),-26.67*Escalation!$B$3,Actuals!G50)</f>
        <v>0</v>
      </c>
      <c r="G140" s="402">
        <f>IF(ISBLANK(Actuals!H50),-26.67*Escalation!$B$4,Actuals!H50)</f>
        <v>0</v>
      </c>
      <c r="H140" s="402">
        <f>IF(ISBLANK(Actuals!I50),-26.67*Escalation!$B$5,Actuals!I50)</f>
        <v>-26.67</v>
      </c>
      <c r="I140" s="402">
        <f>IF(ISBLANK(Actuals!J50),-26.67*Escalation!$B$6,Actuals!J50)</f>
        <v>-26.67</v>
      </c>
      <c r="J140" s="402">
        <f>IF(ISBLANK(Actuals!K50),-26.67*Escalation!$B$7,Actuals!K50)</f>
        <v>-26.67</v>
      </c>
      <c r="K140" s="402">
        <f>IF(ISBLANK(Actuals!L50),-26.67*Escalation!$B$8,Actuals!L50)</f>
        <v>-26.67</v>
      </c>
      <c r="L140" s="402">
        <f>IF(ISBLANK(Actuals!M50),-26.67*Escalation!$B$9,Actuals!M50)</f>
        <v>-26.67</v>
      </c>
      <c r="M140" s="402">
        <f>IF(ISBLANK(Actuals!N50),-26.67*Escalation!$B$10,Actuals!N50)</f>
        <v>-26.67</v>
      </c>
      <c r="N140" s="402">
        <f>IF(ISBLANK(Actuals!O50),-26.67*Escalation!$B$11,Actuals!O50)</f>
        <v>-26.67</v>
      </c>
      <c r="O140" s="402">
        <f>IF(ISBLANK(Actuals!P50),-26.67*Escalation!$B$12,Actuals!P50)</f>
        <v>-26.67</v>
      </c>
      <c r="P140" s="402">
        <f>IF(ISBLANK(Actuals!Q50),-26.67*Escalation!$B$13,Actuals!Q50)</f>
        <v>-26.67</v>
      </c>
      <c r="Q140" s="402">
        <f>IF(ISBLANK(Actuals!R50),-26.67*Escalation!$B$14,Actuals!R50)</f>
        <v>-27.2034</v>
      </c>
      <c r="R140" s="402">
        <f>IF(ISBLANK(Actuals!S50),-26.67*Escalation!$B$15,Actuals!S50)</f>
        <v>-27.2034</v>
      </c>
      <c r="S140" s="402">
        <f>IF(ISBLANK(Actuals!T50),-26.67*Escalation!$B$16,Actuals!T50)</f>
        <v>-27.2034</v>
      </c>
      <c r="T140" s="402">
        <f>IF(ISBLANK(Actuals!U50),-26.67*Escalation!$B$17,Actuals!U50)</f>
        <v>-27.2034</v>
      </c>
      <c r="U140" s="402">
        <f>IF(ISBLANK(Actuals!V50),-26.67*Escalation!$B$18,Actuals!V50)</f>
        <v>-27.2034</v>
      </c>
      <c r="V140" s="402">
        <f>IF(ISBLANK(Actuals!W50),-26.67*Escalation!$B$19,Actuals!W50)</f>
        <v>-27.2034</v>
      </c>
      <c r="W140" s="402">
        <f>IF(ISBLANK(Actuals!X50),-26.67*Escalation!$B$20,Actuals!X50)</f>
        <v>-27.2034</v>
      </c>
      <c r="X140" s="402">
        <f>IF(ISBLANK(Actuals!Y50),-26.67*Escalation!$B$21,Actuals!Y50)</f>
        <v>-27.2034</v>
      </c>
      <c r="Y140" s="402">
        <f>IF(ISBLANK(Actuals!Z50),-26.67*Escalation!$B$22,Actuals!Z50)</f>
        <v>-27.2034</v>
      </c>
      <c r="Z140" s="402">
        <f>IF(ISBLANK(Actuals!AA50),-26.67*Escalation!$B$23,Actuals!AA50)</f>
        <v>-27.2034</v>
      </c>
      <c r="AA140" s="402">
        <f>IF(ISBLANK(Actuals!AB50),-26.67*Escalation!$B$24,Actuals!AB50)</f>
        <v>-27.2034</v>
      </c>
      <c r="AB140" s="402">
        <f>IF(ISBLANK(Actuals!AC50),-26.67*Escalation!$B$25,Actuals!AC50)</f>
        <v>-27.2034</v>
      </c>
      <c r="AC140" s="402">
        <f>IF(ISBLANK(Actuals!AD50),-26.67*Escalation!$B$26,Actuals!AD50)</f>
        <v>-27.747468</v>
      </c>
      <c r="AD140" s="402">
        <f>IF(ISBLANK(Actuals!AE50),-26.67*Escalation!$B$27,Actuals!AE50)</f>
        <v>-27.747468</v>
      </c>
      <c r="AE140" s="402">
        <f>IF(ISBLANK(Actuals!AF50),-26.67*Escalation!$B$28,Actuals!AF50)</f>
        <v>-27.747468</v>
      </c>
      <c r="AF140" s="402">
        <f>IF(ISBLANK(Actuals!AG50),-26.67*Escalation!$B$29,Actuals!AG50)</f>
        <v>-27.747468</v>
      </c>
      <c r="AG140" s="402">
        <f>IF(ISBLANK(Actuals!AH50),-26.67*Escalation!$B$30,Actuals!AH50)</f>
        <v>-27.747468</v>
      </c>
      <c r="AH140" s="402">
        <f>IF(ISBLANK(Actuals!AI50),-26.67*Escalation!$B$31,Actuals!AI50)</f>
        <v>-27.747468</v>
      </c>
      <c r="AI140" s="402">
        <f>IF(ISBLANK(Actuals!AJ50),-26.67*Escalation!$B$32,Actuals!AJ50)</f>
        <v>-27.747468</v>
      </c>
      <c r="AJ140" s="402">
        <f>IF(ISBLANK(Actuals!AK50),-26.67*Escalation!$B$33,Actuals!AK50)</f>
        <v>-27.747468</v>
      </c>
      <c r="AK140" s="402">
        <f>IF(ISBLANK(Actuals!AL50),-26.67*Escalation!$B$34,Actuals!AL50)</f>
        <v>-27.747468</v>
      </c>
      <c r="AL140" s="402">
        <f>IF(ISBLANK(Actuals!AM50),-26.67*Escalation!$B$35,Actuals!AM50)</f>
        <v>-27.747468</v>
      </c>
      <c r="AM140" s="402">
        <f>IF(ISBLANK(Actuals!AN50),-26.67*Escalation!$B$36,Actuals!AN50)</f>
        <v>-27.747468</v>
      </c>
      <c r="AN140" s="402">
        <f>IF(ISBLANK(Actuals!AO50),-26.67*Escalation!$B$37,Actuals!AO50)</f>
        <v>-27.747468</v>
      </c>
      <c r="AO140" s="402">
        <f>IF(ISBLANK(Actuals!AP50),-26.67*Escalation!$B$38,Actuals!AP50)</f>
        <v>-28.30241736</v>
      </c>
      <c r="AP140" s="402">
        <f>IF(ISBLANK(Actuals!AQ50),-26.67*Escalation!$B$39,Actuals!AQ50)</f>
        <v>-28.30241736</v>
      </c>
      <c r="AQ140" s="402">
        <f>IF(ISBLANK(Actuals!AR50),-26.67*Escalation!$B$40,Actuals!AR50)</f>
        <v>-28.30241736</v>
      </c>
      <c r="AR140" s="402">
        <f>IF(ISBLANK(Actuals!AS50),-26.67*Escalation!$B$41,Actuals!AS50)</f>
        <v>-28.30241736</v>
      </c>
      <c r="AS140" s="402">
        <f>IF(ISBLANK(Actuals!AT50),-26.67*Escalation!$B$42,Actuals!AT50)</f>
        <v>-28.30241736</v>
      </c>
      <c r="AT140" s="402">
        <f>IF(ISBLANK(Actuals!AU50),-26.67*Escalation!$B$43,Actuals!AU50)</f>
        <v>-28.30241736</v>
      </c>
      <c r="AU140" s="402">
        <f>IF(ISBLANK(Actuals!AV50),-26.67*Escalation!$B$44,Actuals!AV50)</f>
        <v>-28.30241736</v>
      </c>
      <c r="AV140" s="402">
        <f>IF(ISBLANK(Actuals!AW50),-26.67*Escalation!$B$45,Actuals!AW50)</f>
        <v>-28.30241736</v>
      </c>
      <c r="AW140" s="402">
        <f>IF(ISBLANK(Actuals!AX50),-26.67*Escalation!$B$46,Actuals!AX50)</f>
        <v>-28.30241736</v>
      </c>
      <c r="AX140" s="402">
        <f>IF(ISBLANK(Actuals!AY50),-26.67*Escalation!$B$47,Actuals!AY50)</f>
        <v>-28.30241736</v>
      </c>
      <c r="AY140" s="402">
        <f>IF(ISBLANK(Actuals!AZ50),-26.67*Escalation!$B$48,Actuals!AZ50)</f>
        <v>-28.30241736</v>
      </c>
      <c r="AZ140" s="402">
        <f>IF(ISBLANK(Actuals!BA50),-26.67*Escalation!$B$49,Actuals!BA50)</f>
        <v>-28.30241736</v>
      </c>
      <c r="BA140" s="402">
        <f>IF(ISBLANK(Actuals!BB50),-26.67*Escalation!$B$50,Actuals!BB50)</f>
        <v>-28.8684657072</v>
      </c>
      <c r="BB140" s="402">
        <f>IF(ISBLANK(Actuals!BC50),-26.67*Escalation!$B$51,Actuals!BC50)</f>
        <v>-28.8684657072</v>
      </c>
      <c r="BC140" s="402">
        <f>IF(ISBLANK(Actuals!BD50),-26.67*Escalation!$B$52,Actuals!BD50)</f>
        <v>-28.8684657072</v>
      </c>
      <c r="BD140" s="402">
        <f>IF(ISBLANK(Actuals!BE50),-26.67*Escalation!$B$53,Actuals!BE50)</f>
        <v>-28.8684657072</v>
      </c>
      <c r="BE140" s="402">
        <f>IF(ISBLANK(Actuals!BF50),-26.67*Escalation!$B$54,Actuals!BF50)</f>
        <v>-28.8684657072</v>
      </c>
      <c r="BF140" s="402">
        <f>IF(ISBLANK(Actuals!BG50),-26.67*Escalation!$B$55,Actuals!BG50)</f>
        <v>-28.8684657072</v>
      </c>
      <c r="BG140" s="402">
        <f>IF(ISBLANK(Actuals!BH50),-26.67*Escalation!$B$56,Actuals!BH50)</f>
        <v>-28.8684657072</v>
      </c>
      <c r="BH140" s="402">
        <f>IF(ISBLANK(Actuals!BI50),-26.67*Escalation!$B$57,Actuals!BI50)</f>
        <v>-28.8684657072</v>
      </c>
      <c r="BI140" s="402">
        <f>IF(ISBLANK(Actuals!BJ50),-26.67*Escalation!$B$58,Actuals!BJ50)</f>
        <v>-28.8684657072</v>
      </c>
      <c r="BJ140" s="402">
        <f>IF(ISBLANK(Actuals!BK50),-26.67*Escalation!$B$59,Actuals!BK50)</f>
        <v>-28.8684657072</v>
      </c>
      <c r="BK140" s="402">
        <f>IF(ISBLANK(Actuals!BL50),-26.67*Escalation!$B$60,Actuals!BL50)</f>
        <v>-28.8684657072</v>
      </c>
      <c r="BL140" s="402">
        <f>IF(ISBLANK(Actuals!BM50),-26.67*Escalation!$B$61,Actuals!BM50)</f>
        <v>-28.8684657072</v>
      </c>
      <c r="BM140" s="402">
        <f>IF(ISBLANK(Actuals!BN50),-26.67*Escalation!$B$62,Actuals!BN50)</f>
        <v>-29.445835021344</v>
      </c>
      <c r="BN140" s="402">
        <f>IF(ISBLANK(Actuals!BO50),-26.67*Escalation!$B$63,Actuals!BO50)</f>
        <v>-29.445835021344</v>
      </c>
      <c r="BO140" s="402">
        <f>IF(ISBLANK(Actuals!BP50),-26.67*Escalation!$B$64,Actuals!BP50)</f>
        <v>-29.445835021344</v>
      </c>
      <c r="BP140" s="402">
        <f>IF(ISBLANK(Actuals!BQ50),-26.67*Escalation!$B$65,Actuals!BQ50)</f>
        <v>-29.445835021344</v>
      </c>
      <c r="BQ140" s="402">
        <f>IF(ISBLANK(Actuals!BR50),-26.67*Escalation!$B$66,Actuals!BR50)</f>
        <v>-29.445835021344</v>
      </c>
      <c r="BR140" s="402">
        <f>IF(ISBLANK(Actuals!BS50),-26.67*Escalation!$B$67,Actuals!BS50)</f>
        <v>-29.445835021344</v>
      </c>
      <c r="BS140" s="402">
        <f>IF(ISBLANK(Actuals!BT50),-26.67*Escalation!$B$68,Actuals!BT50)</f>
        <v>-29.445835021344</v>
      </c>
      <c r="BT140" s="402">
        <f>IF(ISBLANK(Actuals!BU50),-26.67*Escalation!$B$69,Actuals!BU50)</f>
        <v>-29.445835021344</v>
      </c>
      <c r="BU140" s="402">
        <f>IF(ISBLANK(Actuals!BV50),-26.67*Escalation!$B$70,Actuals!BV50)</f>
        <v>-29.445835021344</v>
      </c>
      <c r="BV140" s="402">
        <f>IF(ISBLANK(Actuals!BW50),-26.67*Escalation!$B$71,Actuals!BW50)</f>
        <v>-29.445835021344</v>
      </c>
      <c r="BW140" s="402">
        <f>IF(ISBLANK(Actuals!BX50),-26.67*Escalation!$B$72,Actuals!BX50)</f>
        <v>-29.445835021344</v>
      </c>
      <c r="BX140" s="402">
        <f>IF(ISBLANK(Actuals!BY50),-26.67*Escalation!$B$73,Actuals!BY50)</f>
        <v>-29.445835021344</v>
      </c>
      <c r="BY140" s="402">
        <f>IF(ISBLANK(Actuals!BZ50),-26.67*Escalation!$B$74,Actuals!BZ50)</f>
        <v>-30.0347517217709</v>
      </c>
      <c r="BZ140" s="402">
        <f>IF(ISBLANK(Actuals!CA50),-26.67*Escalation!$B$75,Actuals!CA50)</f>
        <v>-30.0347517217709</v>
      </c>
      <c r="CA140" s="402">
        <f>IF(ISBLANK(Actuals!CB50),-26.67*Escalation!$B$76,Actuals!CB50)</f>
        <v>-30.0347517217709</v>
      </c>
      <c r="CB140" s="402">
        <f>IF(ISBLANK(Actuals!CC50),-26.67*Escalation!$B$77,Actuals!CC50)</f>
        <v>-30.0347517217709</v>
      </c>
      <c r="CC140" s="402">
        <f>IF(ISBLANK(Actuals!CD50),-26.67*Escalation!$B$78,Actuals!CD50)</f>
        <v>-30.0347517217709</v>
      </c>
      <c r="CD140" s="402">
        <f>IF(ISBLANK(Actuals!CE50),-26.67*Escalation!$B$79,Actuals!CE50)</f>
        <v>-30.0347517217709</v>
      </c>
      <c r="CE140" s="402">
        <f>IF(ISBLANK(Actuals!CF50),-26.67*Escalation!$B$80,Actuals!CF50)</f>
        <v>-30.0347517217709</v>
      </c>
      <c r="CF140" s="402">
        <f>IF(ISBLANK(Actuals!CG50),-26.67*Escalation!$B$81,Actuals!CG50)</f>
        <v>-30.0347517217709</v>
      </c>
      <c r="CG140" s="402">
        <f>IF(ISBLANK(Actuals!CH50),-26.67*Escalation!$B$82,Actuals!CH50)</f>
        <v>-30.0347517217709</v>
      </c>
      <c r="CH140" s="402">
        <f>IF(ISBLANK(Actuals!CI50),-26.67*Escalation!$B$83,Actuals!CI50)</f>
        <v>-30.0347517217709</v>
      </c>
      <c r="CI140" s="402">
        <f>IF(ISBLANK(Actuals!CJ50),-26.67*Escalation!$B$84,Actuals!CJ50)</f>
        <v>-30.0347517217709</v>
      </c>
      <c r="CJ140" s="402">
        <f>IF(ISBLANK(Actuals!CK50),-26.67*Escalation!$B$85,Actuals!CK50)</f>
        <v>-30.0347517217709</v>
      </c>
      <c r="CK140" s="402">
        <f>IF(ISBLANK(Actuals!CL50),-26.67*Escalation!$B$86,Actuals!CL50)</f>
        <v>-30.6354467562063</v>
      </c>
      <c r="CL140" s="402">
        <f>IF(ISBLANK(Actuals!CM50),-26.67*Escalation!$B$87,Actuals!CM50)</f>
        <v>-30.6354467562063</v>
      </c>
      <c r="CM140" s="402">
        <f>IF(ISBLANK(Actuals!CN50),-26.67*Escalation!$B$88,Actuals!CN50)</f>
        <v>-30.6354467562063</v>
      </c>
      <c r="CN140" s="402">
        <f>IF(ISBLANK(Actuals!CO50),-26.67*Escalation!$B$89,Actuals!CO50)</f>
        <v>-30.6354467562063</v>
      </c>
      <c r="CO140" s="402">
        <f>IF(ISBLANK(Actuals!CP50),-26.67*Escalation!$B$90,Actuals!CP50)</f>
        <v>-30.6354467562063</v>
      </c>
      <c r="CP140" s="402">
        <f>IF(ISBLANK(Actuals!CQ50),-26.67*Escalation!$B$91,Actuals!CQ50)</f>
        <v>-30.6354467562063</v>
      </c>
      <c r="CQ140" s="402">
        <f>IF(ISBLANK(Actuals!CR50),-26.67*Escalation!$B$92,Actuals!CR50)</f>
        <v>-30.6354467562063</v>
      </c>
      <c r="CR140" s="402">
        <f>IF(ISBLANK(Actuals!CS50),-26.67*Escalation!$B$93,Actuals!CS50)</f>
        <v>-30.6354467562063</v>
      </c>
      <c r="CS140" s="402">
        <f>IF(ISBLANK(Actuals!CT50),-26.67*Escalation!$B$94,Actuals!CT50)</f>
        <v>-30.6354467562063</v>
      </c>
      <c r="CT140" s="402">
        <f>IF(ISBLANK(Actuals!CU50),-26.67*Escalation!$B$95,Actuals!CU50)</f>
        <v>-30.6354467562063</v>
      </c>
      <c r="CU140" s="402">
        <f>IF(ISBLANK(Actuals!CV50),-26.67*Escalation!$B$96,Actuals!CV50)</f>
        <v>-30.6354467562063</v>
      </c>
      <c r="CV140" s="402">
        <f>IF(ISBLANK(Actuals!CW50),-26.67*Escalation!$B$97,Actuals!CW50)</f>
        <v>-30.6354467562063</v>
      </c>
      <c r="CW140" s="402">
        <f>IF(ISBLANK(Actuals!CX50),-26.67*Escalation!$B$98,Actuals!CX50)</f>
        <v>-31.2481556913304</v>
      </c>
      <c r="CX140" s="402">
        <f>IF(ISBLANK(Actuals!CY50),-26.67*Escalation!$B$99,Actuals!CY50)</f>
        <v>-31.2481556913304</v>
      </c>
      <c r="CY140" s="402">
        <f>IF(ISBLANK(Actuals!CZ50),-26.67*Escalation!$B$100,Actuals!CZ50)</f>
        <v>-31.2481556913304</v>
      </c>
      <c r="CZ140" s="402">
        <f>IF(ISBLANK(Actuals!DA50),-26.67*Escalation!$B$101,Actuals!DA50)</f>
        <v>-31.2481556913304</v>
      </c>
      <c r="DA140" s="402">
        <f>IF(ISBLANK(Actuals!DB50),-26.67*Escalation!$B$102,Actuals!DB50)</f>
        <v>-31.2481556913304</v>
      </c>
      <c r="DB140" s="402">
        <f>IF(ISBLANK(Actuals!DC50),-26.67*Escalation!$B$103,Actuals!DC50)</f>
        <v>-31.2481556913304</v>
      </c>
      <c r="DC140" s="402">
        <f>IF(ISBLANK(Actuals!DD50),-26.67*Escalation!$B$104,Actuals!DD50)</f>
        <v>-31.2481556913304</v>
      </c>
      <c r="DD140" s="402">
        <f>IF(ISBLANK(Actuals!DE50),-26.67*Escalation!$B$105,Actuals!DE50)</f>
        <v>-31.2481556913304</v>
      </c>
      <c r="DE140" s="402">
        <f>IF(ISBLANK(Actuals!DF50),-26.67*Escalation!$B$106,Actuals!DF50)</f>
        <v>-31.2481556913304</v>
      </c>
    </row>
    <row r="141" ht="15" customFormat="1" customHeight="1" s="381">
      <c r="A141" s="398" t="inlineStr">
        <is>
          <t>5900-3000 Charitable Contribution</t>
        </is>
      </c>
      <c r="B141" s="402">
        <f>IF(ISBLANK(Actuals!C51),0,Actuals!C51)</f>
        <v>0</v>
      </c>
      <c r="C141" s="402">
        <f>IF(ISBLANK(Actuals!D51),0,Actuals!D51)</f>
        <v>-63</v>
      </c>
      <c r="D141" s="402">
        <f>IF(ISBLANK(Actuals!E51),0,Actuals!E51)</f>
        <v>0</v>
      </c>
      <c r="E141" s="402">
        <f>IF(ISBLANK(Actuals!F51),-21*Escalation!$B$2,Actuals!F51)</f>
        <v>0</v>
      </c>
      <c r="F141" s="402">
        <f>IF(ISBLANK(Actuals!G51),-21*Escalation!$B$3,Actuals!G51)</f>
        <v>0</v>
      </c>
      <c r="G141" s="402">
        <f>IF(ISBLANK(Actuals!H51),-21*Escalation!$B$4,Actuals!H51)</f>
        <v>0</v>
      </c>
      <c r="H141" s="402">
        <f>IF(ISBLANK(Actuals!I51),-21*Escalation!$B$5,Actuals!I51)</f>
        <v>-21</v>
      </c>
      <c r="I141" s="402">
        <f>IF(ISBLANK(Actuals!J51),-21*Escalation!$B$6,Actuals!J51)</f>
        <v>-21</v>
      </c>
      <c r="J141" s="402">
        <f>IF(ISBLANK(Actuals!K51),-21*Escalation!$B$7,Actuals!K51)</f>
        <v>-21</v>
      </c>
      <c r="K141" s="402">
        <f>IF(ISBLANK(Actuals!L51),-21*Escalation!$B$8,Actuals!L51)</f>
        <v>-21</v>
      </c>
      <c r="L141" s="402">
        <f>IF(ISBLANK(Actuals!M51),-21*Escalation!$B$9,Actuals!M51)</f>
        <v>-21</v>
      </c>
      <c r="M141" s="402">
        <f>IF(ISBLANK(Actuals!N51),-21*Escalation!$B$10,Actuals!N51)</f>
        <v>-21</v>
      </c>
      <c r="N141" s="402">
        <f>IF(ISBLANK(Actuals!O51),-21*Escalation!$B$11,Actuals!O51)</f>
        <v>-21</v>
      </c>
      <c r="O141" s="402">
        <f>IF(ISBLANK(Actuals!P51),-21*Escalation!$B$12,Actuals!P51)</f>
        <v>-21</v>
      </c>
      <c r="P141" s="402">
        <f>IF(ISBLANK(Actuals!Q51),-21*Escalation!$B$13,Actuals!Q51)</f>
        <v>-21</v>
      </c>
      <c r="Q141" s="402">
        <f>IF(ISBLANK(Actuals!R51),-21*Escalation!$B$14,Actuals!R51)</f>
        <v>-21.42</v>
      </c>
      <c r="R141" s="402">
        <f>IF(ISBLANK(Actuals!S51),-21*Escalation!$B$15,Actuals!S51)</f>
        <v>-21.42</v>
      </c>
      <c r="S141" s="402">
        <f>IF(ISBLANK(Actuals!T51),-21*Escalation!$B$16,Actuals!T51)</f>
        <v>-21.42</v>
      </c>
      <c r="T141" s="402">
        <f>IF(ISBLANK(Actuals!U51),-21*Escalation!$B$17,Actuals!U51)</f>
        <v>-21.42</v>
      </c>
      <c r="U141" s="402">
        <f>IF(ISBLANK(Actuals!V51),-21*Escalation!$B$18,Actuals!V51)</f>
        <v>-21.42</v>
      </c>
      <c r="V141" s="402">
        <f>IF(ISBLANK(Actuals!W51),-21*Escalation!$B$19,Actuals!W51)</f>
        <v>-21.42</v>
      </c>
      <c r="W141" s="402">
        <f>IF(ISBLANK(Actuals!X51),-21*Escalation!$B$20,Actuals!X51)</f>
        <v>-21.42</v>
      </c>
      <c r="X141" s="402">
        <f>IF(ISBLANK(Actuals!Y51),-21*Escalation!$B$21,Actuals!Y51)</f>
        <v>-21.42</v>
      </c>
      <c r="Y141" s="402">
        <f>IF(ISBLANK(Actuals!Z51),-21*Escalation!$B$22,Actuals!Z51)</f>
        <v>-21.42</v>
      </c>
      <c r="Z141" s="402">
        <f>IF(ISBLANK(Actuals!AA51),-21*Escalation!$B$23,Actuals!AA51)</f>
        <v>-21.42</v>
      </c>
      <c r="AA141" s="402">
        <f>IF(ISBLANK(Actuals!AB51),-21*Escalation!$B$24,Actuals!AB51)</f>
        <v>-21.42</v>
      </c>
      <c r="AB141" s="402">
        <f>IF(ISBLANK(Actuals!AC51),-21*Escalation!$B$25,Actuals!AC51)</f>
        <v>-21.42</v>
      </c>
      <c r="AC141" s="402">
        <f>IF(ISBLANK(Actuals!AD51),-21*Escalation!$B$26,Actuals!AD51)</f>
        <v>-21.8484</v>
      </c>
      <c r="AD141" s="402">
        <f>IF(ISBLANK(Actuals!AE51),-21*Escalation!$B$27,Actuals!AE51)</f>
        <v>-21.8484</v>
      </c>
      <c r="AE141" s="402">
        <f>IF(ISBLANK(Actuals!AF51),-21*Escalation!$B$28,Actuals!AF51)</f>
        <v>-21.8484</v>
      </c>
      <c r="AF141" s="402">
        <f>IF(ISBLANK(Actuals!AG51),-21*Escalation!$B$29,Actuals!AG51)</f>
        <v>-21.8484</v>
      </c>
      <c r="AG141" s="402">
        <f>IF(ISBLANK(Actuals!AH51),-21*Escalation!$B$30,Actuals!AH51)</f>
        <v>-21.8484</v>
      </c>
      <c r="AH141" s="402">
        <f>IF(ISBLANK(Actuals!AI51),-21*Escalation!$B$31,Actuals!AI51)</f>
        <v>-21.8484</v>
      </c>
      <c r="AI141" s="402">
        <f>IF(ISBLANK(Actuals!AJ51),-21*Escalation!$B$32,Actuals!AJ51)</f>
        <v>-21.8484</v>
      </c>
      <c r="AJ141" s="402">
        <f>IF(ISBLANK(Actuals!AK51),-21*Escalation!$B$33,Actuals!AK51)</f>
        <v>-21.8484</v>
      </c>
      <c r="AK141" s="402">
        <f>IF(ISBLANK(Actuals!AL51),-21*Escalation!$B$34,Actuals!AL51)</f>
        <v>-21.8484</v>
      </c>
      <c r="AL141" s="402">
        <f>IF(ISBLANK(Actuals!AM51),-21*Escalation!$B$35,Actuals!AM51)</f>
        <v>-21.8484</v>
      </c>
      <c r="AM141" s="402">
        <f>IF(ISBLANK(Actuals!AN51),-21*Escalation!$B$36,Actuals!AN51)</f>
        <v>-21.8484</v>
      </c>
      <c r="AN141" s="402">
        <f>IF(ISBLANK(Actuals!AO51),-21*Escalation!$B$37,Actuals!AO51)</f>
        <v>-21.8484</v>
      </c>
      <c r="AO141" s="402">
        <f>IF(ISBLANK(Actuals!AP51),-21*Escalation!$B$38,Actuals!AP51)</f>
        <v>-22.285368</v>
      </c>
      <c r="AP141" s="402">
        <f>IF(ISBLANK(Actuals!AQ51),-21*Escalation!$B$39,Actuals!AQ51)</f>
        <v>-22.285368</v>
      </c>
      <c r="AQ141" s="402">
        <f>IF(ISBLANK(Actuals!AR51),-21*Escalation!$B$40,Actuals!AR51)</f>
        <v>-22.285368</v>
      </c>
      <c r="AR141" s="402">
        <f>IF(ISBLANK(Actuals!AS51),-21*Escalation!$B$41,Actuals!AS51)</f>
        <v>-22.285368</v>
      </c>
      <c r="AS141" s="402">
        <f>IF(ISBLANK(Actuals!AT51),-21*Escalation!$B$42,Actuals!AT51)</f>
        <v>-22.285368</v>
      </c>
      <c r="AT141" s="402">
        <f>IF(ISBLANK(Actuals!AU51),-21*Escalation!$B$43,Actuals!AU51)</f>
        <v>-22.285368</v>
      </c>
      <c r="AU141" s="402">
        <f>IF(ISBLANK(Actuals!AV51),-21*Escalation!$B$44,Actuals!AV51)</f>
        <v>-22.285368</v>
      </c>
      <c r="AV141" s="402">
        <f>IF(ISBLANK(Actuals!AW51),-21*Escalation!$B$45,Actuals!AW51)</f>
        <v>-22.285368</v>
      </c>
      <c r="AW141" s="402">
        <f>IF(ISBLANK(Actuals!AX51),-21*Escalation!$B$46,Actuals!AX51)</f>
        <v>-22.285368</v>
      </c>
      <c r="AX141" s="402">
        <f>IF(ISBLANK(Actuals!AY51),-21*Escalation!$B$47,Actuals!AY51)</f>
        <v>-22.285368</v>
      </c>
      <c r="AY141" s="402">
        <f>IF(ISBLANK(Actuals!AZ51),-21*Escalation!$B$48,Actuals!AZ51)</f>
        <v>-22.285368</v>
      </c>
      <c r="AZ141" s="402">
        <f>IF(ISBLANK(Actuals!BA51),-21*Escalation!$B$49,Actuals!BA51)</f>
        <v>-22.285368</v>
      </c>
      <c r="BA141" s="402">
        <f>IF(ISBLANK(Actuals!BB51),-21*Escalation!$B$50,Actuals!BB51)</f>
        <v>-22.73107536</v>
      </c>
      <c r="BB141" s="402">
        <f>IF(ISBLANK(Actuals!BC51),-21*Escalation!$B$51,Actuals!BC51)</f>
        <v>-22.73107536</v>
      </c>
      <c r="BC141" s="402">
        <f>IF(ISBLANK(Actuals!BD51),-21*Escalation!$B$52,Actuals!BD51)</f>
        <v>-22.73107536</v>
      </c>
      <c r="BD141" s="402">
        <f>IF(ISBLANK(Actuals!BE51),-21*Escalation!$B$53,Actuals!BE51)</f>
        <v>-22.73107536</v>
      </c>
      <c r="BE141" s="402">
        <f>IF(ISBLANK(Actuals!BF51),-21*Escalation!$B$54,Actuals!BF51)</f>
        <v>-22.73107536</v>
      </c>
      <c r="BF141" s="402">
        <f>IF(ISBLANK(Actuals!BG51),-21*Escalation!$B$55,Actuals!BG51)</f>
        <v>-22.73107536</v>
      </c>
      <c r="BG141" s="402">
        <f>IF(ISBLANK(Actuals!BH51),-21*Escalation!$B$56,Actuals!BH51)</f>
        <v>-22.73107536</v>
      </c>
      <c r="BH141" s="402">
        <f>IF(ISBLANK(Actuals!BI51),-21*Escalation!$B$57,Actuals!BI51)</f>
        <v>-22.73107536</v>
      </c>
      <c r="BI141" s="402">
        <f>IF(ISBLANK(Actuals!BJ51),-21*Escalation!$B$58,Actuals!BJ51)</f>
        <v>-22.73107536</v>
      </c>
      <c r="BJ141" s="402">
        <f>IF(ISBLANK(Actuals!BK51),-21*Escalation!$B$59,Actuals!BK51)</f>
        <v>-22.73107536</v>
      </c>
      <c r="BK141" s="402">
        <f>IF(ISBLANK(Actuals!BL51),-21*Escalation!$B$60,Actuals!BL51)</f>
        <v>-22.73107536</v>
      </c>
      <c r="BL141" s="402">
        <f>IF(ISBLANK(Actuals!BM51),-21*Escalation!$B$61,Actuals!BM51)</f>
        <v>-22.73107536</v>
      </c>
      <c r="BM141" s="402">
        <f>IF(ISBLANK(Actuals!BN51),-21*Escalation!$B$62,Actuals!BN51)</f>
        <v>-23.1856968672</v>
      </c>
      <c r="BN141" s="402">
        <f>IF(ISBLANK(Actuals!BO51),-21*Escalation!$B$63,Actuals!BO51)</f>
        <v>-23.1856968672</v>
      </c>
      <c r="BO141" s="402">
        <f>IF(ISBLANK(Actuals!BP51),-21*Escalation!$B$64,Actuals!BP51)</f>
        <v>-23.1856968672</v>
      </c>
      <c r="BP141" s="402">
        <f>IF(ISBLANK(Actuals!BQ51),-21*Escalation!$B$65,Actuals!BQ51)</f>
        <v>-23.1856968672</v>
      </c>
      <c r="BQ141" s="402">
        <f>IF(ISBLANK(Actuals!BR51),-21*Escalation!$B$66,Actuals!BR51)</f>
        <v>-23.1856968672</v>
      </c>
      <c r="BR141" s="402">
        <f>IF(ISBLANK(Actuals!BS51),-21*Escalation!$B$67,Actuals!BS51)</f>
        <v>-23.1856968672</v>
      </c>
      <c r="BS141" s="402">
        <f>IF(ISBLANK(Actuals!BT51),-21*Escalation!$B$68,Actuals!BT51)</f>
        <v>-23.1856968672</v>
      </c>
      <c r="BT141" s="402">
        <f>IF(ISBLANK(Actuals!BU51),-21*Escalation!$B$69,Actuals!BU51)</f>
        <v>-23.1856968672</v>
      </c>
      <c r="BU141" s="402">
        <f>IF(ISBLANK(Actuals!BV51),-21*Escalation!$B$70,Actuals!BV51)</f>
        <v>-23.1856968672</v>
      </c>
      <c r="BV141" s="402">
        <f>IF(ISBLANK(Actuals!BW51),-21*Escalation!$B$71,Actuals!BW51)</f>
        <v>-23.1856968672</v>
      </c>
      <c r="BW141" s="402">
        <f>IF(ISBLANK(Actuals!BX51),-21*Escalation!$B$72,Actuals!BX51)</f>
        <v>-23.1856968672</v>
      </c>
      <c r="BX141" s="402">
        <f>IF(ISBLANK(Actuals!BY51),-21*Escalation!$B$73,Actuals!BY51)</f>
        <v>-23.1856968672</v>
      </c>
      <c r="BY141" s="402">
        <f>IF(ISBLANK(Actuals!BZ51),-21*Escalation!$B$74,Actuals!BZ51)</f>
        <v>-23.649410804544</v>
      </c>
      <c r="BZ141" s="402">
        <f>IF(ISBLANK(Actuals!CA51),-21*Escalation!$B$75,Actuals!CA51)</f>
        <v>-23.649410804544</v>
      </c>
      <c r="CA141" s="402">
        <f>IF(ISBLANK(Actuals!CB51),-21*Escalation!$B$76,Actuals!CB51)</f>
        <v>-23.649410804544</v>
      </c>
      <c r="CB141" s="402">
        <f>IF(ISBLANK(Actuals!CC51),-21*Escalation!$B$77,Actuals!CC51)</f>
        <v>-23.649410804544</v>
      </c>
      <c r="CC141" s="402">
        <f>IF(ISBLANK(Actuals!CD51),-21*Escalation!$B$78,Actuals!CD51)</f>
        <v>-23.649410804544</v>
      </c>
      <c r="CD141" s="402">
        <f>IF(ISBLANK(Actuals!CE51),-21*Escalation!$B$79,Actuals!CE51)</f>
        <v>-23.649410804544</v>
      </c>
      <c r="CE141" s="402">
        <f>IF(ISBLANK(Actuals!CF51),-21*Escalation!$B$80,Actuals!CF51)</f>
        <v>-23.649410804544</v>
      </c>
      <c r="CF141" s="402">
        <f>IF(ISBLANK(Actuals!CG51),-21*Escalation!$B$81,Actuals!CG51)</f>
        <v>-23.649410804544</v>
      </c>
      <c r="CG141" s="402">
        <f>IF(ISBLANK(Actuals!CH51),-21*Escalation!$B$82,Actuals!CH51)</f>
        <v>-23.649410804544</v>
      </c>
      <c r="CH141" s="402">
        <f>IF(ISBLANK(Actuals!CI51),-21*Escalation!$B$83,Actuals!CI51)</f>
        <v>-23.649410804544</v>
      </c>
      <c r="CI141" s="402">
        <f>IF(ISBLANK(Actuals!CJ51),-21*Escalation!$B$84,Actuals!CJ51)</f>
        <v>-23.649410804544</v>
      </c>
      <c r="CJ141" s="402">
        <f>IF(ISBLANK(Actuals!CK51),-21*Escalation!$B$85,Actuals!CK51)</f>
        <v>-23.649410804544</v>
      </c>
      <c r="CK141" s="402">
        <f>IF(ISBLANK(Actuals!CL51),-21*Escalation!$B$86,Actuals!CL51)</f>
        <v>-24.1223990206349</v>
      </c>
      <c r="CL141" s="402">
        <f>IF(ISBLANK(Actuals!CM51),-21*Escalation!$B$87,Actuals!CM51)</f>
        <v>-24.1223990206349</v>
      </c>
      <c r="CM141" s="402">
        <f>IF(ISBLANK(Actuals!CN51),-21*Escalation!$B$88,Actuals!CN51)</f>
        <v>-24.1223990206349</v>
      </c>
      <c r="CN141" s="402">
        <f>IF(ISBLANK(Actuals!CO51),-21*Escalation!$B$89,Actuals!CO51)</f>
        <v>-24.1223990206349</v>
      </c>
      <c r="CO141" s="402">
        <f>IF(ISBLANK(Actuals!CP51),-21*Escalation!$B$90,Actuals!CP51)</f>
        <v>-24.1223990206349</v>
      </c>
      <c r="CP141" s="402">
        <f>IF(ISBLANK(Actuals!CQ51),-21*Escalation!$B$91,Actuals!CQ51)</f>
        <v>-24.1223990206349</v>
      </c>
      <c r="CQ141" s="402">
        <f>IF(ISBLANK(Actuals!CR51),-21*Escalation!$B$92,Actuals!CR51)</f>
        <v>-24.1223990206349</v>
      </c>
      <c r="CR141" s="402">
        <f>IF(ISBLANK(Actuals!CS51),-21*Escalation!$B$93,Actuals!CS51)</f>
        <v>-24.1223990206349</v>
      </c>
      <c r="CS141" s="402">
        <f>IF(ISBLANK(Actuals!CT51),-21*Escalation!$B$94,Actuals!CT51)</f>
        <v>-24.1223990206349</v>
      </c>
      <c r="CT141" s="402">
        <f>IF(ISBLANK(Actuals!CU51),-21*Escalation!$B$95,Actuals!CU51)</f>
        <v>-24.1223990206349</v>
      </c>
      <c r="CU141" s="402">
        <f>IF(ISBLANK(Actuals!CV51),-21*Escalation!$B$96,Actuals!CV51)</f>
        <v>-24.1223990206349</v>
      </c>
      <c r="CV141" s="402">
        <f>IF(ISBLANK(Actuals!CW51),-21*Escalation!$B$97,Actuals!CW51)</f>
        <v>-24.1223990206349</v>
      </c>
      <c r="CW141" s="402">
        <f>IF(ISBLANK(Actuals!CX51),-21*Escalation!$B$98,Actuals!CX51)</f>
        <v>-24.6048470010476</v>
      </c>
      <c r="CX141" s="402">
        <f>IF(ISBLANK(Actuals!CY51),-21*Escalation!$B$99,Actuals!CY51)</f>
        <v>-24.6048470010476</v>
      </c>
      <c r="CY141" s="402">
        <f>IF(ISBLANK(Actuals!CZ51),-21*Escalation!$B$100,Actuals!CZ51)</f>
        <v>-24.6048470010476</v>
      </c>
      <c r="CZ141" s="402">
        <f>IF(ISBLANK(Actuals!DA51),-21*Escalation!$B$101,Actuals!DA51)</f>
        <v>-24.6048470010476</v>
      </c>
      <c r="DA141" s="402">
        <f>IF(ISBLANK(Actuals!DB51),-21*Escalation!$B$102,Actuals!DB51)</f>
        <v>-24.6048470010476</v>
      </c>
      <c r="DB141" s="402">
        <f>IF(ISBLANK(Actuals!DC51),-21*Escalation!$B$103,Actuals!DC51)</f>
        <v>-24.6048470010476</v>
      </c>
      <c r="DC141" s="402">
        <f>IF(ISBLANK(Actuals!DD51),-21*Escalation!$B$104,Actuals!DD51)</f>
        <v>-24.6048470010476</v>
      </c>
      <c r="DD141" s="402">
        <f>IF(ISBLANK(Actuals!DE51),-21*Escalation!$B$105,Actuals!DE51)</f>
        <v>-24.6048470010476</v>
      </c>
      <c r="DE141" s="402">
        <f>IF(ISBLANK(Actuals!DF51),-21*Escalation!$B$106,Actuals!DF51)</f>
        <v>-24.6048470010476</v>
      </c>
    </row>
    <row r="142" ht="15" customFormat="1" customHeight="1" s="381">
      <c r="A142" s="398" t="inlineStr">
        <is>
          <t>BD Commission</t>
        </is>
      </c>
      <c r="B142" s="402">
        <f>IF(ISBLANK(Actuals!C52),-MAX(0,'BD Commission Detail'!C53),Actuals!C52)</f>
        <v>0</v>
      </c>
      <c r="C142" s="402">
        <f>IF(ISBLANK(Actuals!D52),-MAX(0,'BD Commission Detail'!D53),Actuals!D52)</f>
        <v>0</v>
      </c>
      <c r="D142" s="402">
        <f>IF(ISBLANK(Actuals!E52),-MAX(0,'BD Commission Detail'!E53),Actuals!E52)</f>
        <v>0</v>
      </c>
      <c r="E142" s="402">
        <f>IF(ISBLANK(Actuals!F52),-MAX(0,'BD Commission Detail'!F53),Actuals!F52)</f>
        <v>0</v>
      </c>
      <c r="F142" s="402">
        <f>IF(ISBLANK(Actuals!G52),-MAX(0,'BD Commission Detail'!G53),Actuals!G52)</f>
        <v>0</v>
      </c>
      <c r="G142" s="402">
        <f>IF(ISBLANK(Actuals!H52),-MAX(0,'BD Commission Detail'!H53),Actuals!H52)</f>
        <v>0</v>
      </c>
      <c r="H142" s="402">
        <f>IF(ISBLANK(Actuals!I52),-MAX(0,'BD Commission Detail'!I53),Actuals!I52)</f>
        <v>0</v>
      </c>
      <c r="I142" s="402">
        <f>IF(ISBLANK(Actuals!J52),-MAX(0,'BD Commission Detail'!J53),Actuals!J52)</f>
        <v>0</v>
      </c>
      <c r="J142" s="402">
        <f>IF(ISBLANK(Actuals!K52),-MAX(0,'BD Commission Detail'!K53),Actuals!K52)</f>
        <v>0</v>
      </c>
      <c r="K142" s="402">
        <f>IF(ISBLANK(Actuals!L52),-MAX(0,'BD Commission Detail'!L53),Actuals!L52)</f>
        <v>0</v>
      </c>
      <c r="L142" s="402">
        <f>IF(ISBLANK(Actuals!M52),-MAX(0,'BD Commission Detail'!M53),Actuals!M52)</f>
        <v>0</v>
      </c>
      <c r="M142" s="402">
        <f>IF(ISBLANK(Actuals!N52),-MAX(0,'BD Commission Detail'!N53),Actuals!N52)</f>
        <v>0</v>
      </c>
      <c r="N142" s="402">
        <f>IF(ISBLANK(Actuals!O52),-MAX(0,'BD Commission Detail'!O53),Actuals!O52)</f>
        <v>0</v>
      </c>
      <c r="O142" s="402">
        <f>IF(ISBLANK(Actuals!P52),-MAX(0,'BD Commission Detail'!P53),Actuals!P52)</f>
        <v>-37973.771875</v>
      </c>
      <c r="P142" s="402">
        <f>IF(ISBLANK(Actuals!Q52),-MAX(0,'BD Commission Detail'!Q53),Actuals!Q52)</f>
        <v>0</v>
      </c>
      <c r="Q142" s="402">
        <f>IF(ISBLANK(Actuals!R52),-MAX(0,'BD Commission Detail'!R53),Actuals!R52)</f>
        <v>0</v>
      </c>
      <c r="R142" s="402">
        <f>IF(ISBLANK(Actuals!S52),-MAX(0,'BD Commission Detail'!S53),Actuals!S52)</f>
        <v>0</v>
      </c>
      <c r="S142" s="402">
        <f>IF(ISBLANK(Actuals!T52),-MAX(0,'BD Commission Detail'!T53),Actuals!T52)</f>
        <v>-38290.0375</v>
      </c>
      <c r="T142" s="402">
        <f>IF(ISBLANK(Actuals!U52),-MAX(0,'BD Commission Detail'!U53),Actuals!U52)</f>
        <v>-28293.4625</v>
      </c>
      <c r="U142" s="402">
        <f>IF(ISBLANK(Actuals!V52),-MAX(0,'BD Commission Detail'!V53),Actuals!V52)</f>
        <v>-46106.9225</v>
      </c>
      <c r="V142" s="402">
        <f>IF(ISBLANK(Actuals!W52),-MAX(0,'BD Commission Detail'!W53),Actuals!W52)</f>
        <v>0</v>
      </c>
      <c r="W142" s="402">
        <f>IF(ISBLANK(Actuals!X52),-MAX(0,'BD Commission Detail'!X53),Actuals!X52)</f>
        <v>0</v>
      </c>
      <c r="X142" s="402">
        <f>IF(ISBLANK(Actuals!Y52),-MAX(0,'BD Commission Detail'!Y53),Actuals!Y52)</f>
        <v>0</v>
      </c>
      <c r="Y142" s="402">
        <f>IF(ISBLANK(Actuals!Z52),-MAX(0,'BD Commission Detail'!Z53),Actuals!Z52)</f>
        <v>-62565.82645</v>
      </c>
      <c r="Z142" s="402">
        <f>IF(ISBLANK(Actuals!AA52),-MAX(0,'BD Commission Detail'!AA53),Actuals!AA52)</f>
        <v>0</v>
      </c>
      <c r="AA142" s="402">
        <f>IF(ISBLANK(Actuals!AB52),-MAX(0,'BD Commission Detail'!AB53),Actuals!AB52)</f>
        <v>0</v>
      </c>
      <c r="AB142" s="402">
        <f>IF(ISBLANK(Actuals!AC52),-MAX(0,'BD Commission Detail'!AC53),Actuals!AC52)</f>
        <v>0</v>
      </c>
      <c r="AC142" s="402">
        <f>IF(ISBLANK(Actuals!AD52),-MAX(0,'BD Commission Detail'!AD53),Actuals!AD52)</f>
        <v>-45000</v>
      </c>
      <c r="AD142" s="402">
        <f>IF(ISBLANK(Actuals!AE52),-MAX(0,'BD Commission Detail'!AE53),Actuals!AE52)</f>
        <v>0</v>
      </c>
      <c r="AE142" s="402">
        <f>IF(ISBLANK(Actuals!AF52),-MAX(0,'BD Commission Detail'!AF53),Actuals!AF52)</f>
        <v>0</v>
      </c>
      <c r="AF142" s="402">
        <f>IF(ISBLANK(Actuals!AG52),-MAX(0,'BD Commission Detail'!AG53),Actuals!AG52)</f>
        <v>0</v>
      </c>
      <c r="AG142" s="402">
        <f>IF(ISBLANK(Actuals!AH52),-MAX(0,'BD Commission Detail'!AH53),Actuals!AH52)</f>
        <v>0</v>
      </c>
      <c r="AH142" s="402">
        <f>IF(ISBLANK(Actuals!AI52),-MAX(0,'BD Commission Detail'!AI53),Actuals!AI52)</f>
        <v>-45000</v>
      </c>
      <c r="AI142" s="402">
        <f>IF(ISBLANK(Actuals!AJ52),-MAX(0,'BD Commission Detail'!AJ53),Actuals!AJ52)</f>
        <v>-45000</v>
      </c>
      <c r="AJ142" s="402">
        <f>IF(ISBLANK(Actuals!AK52),-MAX(0,'BD Commission Detail'!AK53),Actuals!AK52)</f>
        <v>0</v>
      </c>
      <c r="AK142" s="402">
        <f>IF(ISBLANK(Actuals!AL52),-MAX(0,'BD Commission Detail'!AL53),Actuals!AL52)</f>
        <v>-9206.5375</v>
      </c>
      <c r="AL142" s="402">
        <f>IF(ISBLANK(Actuals!AM52),-MAX(0,'BD Commission Detail'!AM53),Actuals!AM52)</f>
        <v>-37500</v>
      </c>
      <c r="AM142" s="402">
        <f>IF(ISBLANK(Actuals!AN52),-MAX(0,'BD Commission Detail'!AN53),Actuals!AN52)</f>
        <v>-37500</v>
      </c>
      <c r="AN142" s="402">
        <f>IF(ISBLANK(Actuals!AO52),-MAX(0,'BD Commission Detail'!AO53),Actuals!AO52)</f>
        <v>-45000</v>
      </c>
      <c r="AO142" s="402">
        <f>IF(ISBLANK(Actuals!AP52),-MAX(0,'BD Commission Detail'!AP53),Actuals!AP52)</f>
        <v>-37500</v>
      </c>
      <c r="AP142" s="402">
        <f>IF(ISBLANK(Actuals!AQ52),-MAX(0,'BD Commission Detail'!AQ53),Actuals!AQ52)</f>
        <v>-37500</v>
      </c>
      <c r="AQ142" s="402">
        <f>IF(ISBLANK(Actuals!AR52),-MAX(0,'BD Commission Detail'!AR53),Actuals!AR52)</f>
        <v>-45000</v>
      </c>
      <c r="AR142" s="402">
        <f>IF(ISBLANK(Actuals!AS52),-MAX(0,'BD Commission Detail'!AS53),Actuals!AS52)</f>
        <v>-37500</v>
      </c>
      <c r="AS142" s="402">
        <f>IF(ISBLANK(Actuals!AT52),-MAX(0,'BD Commission Detail'!AT53),Actuals!AT52)</f>
        <v>0</v>
      </c>
      <c r="AT142" s="402">
        <f>IF(ISBLANK(Actuals!AU52),-MAX(0,'BD Commission Detail'!AU53),Actuals!AU52)</f>
        <v>0</v>
      </c>
      <c r="AU142" s="402">
        <f>IF(ISBLANK(Actuals!AV52),-MAX(0,'BD Commission Detail'!AV53),Actuals!AV52)</f>
        <v>0</v>
      </c>
      <c r="AV142" s="402">
        <f>IF(ISBLANK(Actuals!AW52),-MAX(0,'BD Commission Detail'!AW53),Actuals!AW52)</f>
        <v>-45000</v>
      </c>
      <c r="AW142" s="402">
        <f>IF(ISBLANK(Actuals!AX52),-MAX(0,'BD Commission Detail'!AX53),Actuals!AX52)</f>
        <v>-37500</v>
      </c>
      <c r="AX142" s="402">
        <f>IF(ISBLANK(Actuals!AY52),-MAX(0,'BD Commission Detail'!AY53),Actuals!AY52)</f>
        <v>0</v>
      </c>
      <c r="AY142" s="402">
        <f>IF(ISBLANK(Actuals!AZ52),-MAX(0,'BD Commission Detail'!AZ53),Actuals!AZ52)</f>
        <v>0</v>
      </c>
      <c r="AZ142" s="402">
        <f>IF(ISBLANK(Actuals!BA52),-MAX(0,'BD Commission Detail'!BA53),Actuals!BA52)</f>
        <v>0</v>
      </c>
      <c r="BA142" s="402">
        <f>IF(ISBLANK(Actuals!BB52),-MAX(0,'BD Commission Detail'!BB53),Actuals!BB52)</f>
        <v>-37500</v>
      </c>
      <c r="BB142" s="402">
        <f>IF(ISBLANK(Actuals!BC52),-MAX(0,'BD Commission Detail'!BC53),Actuals!BC52)</f>
        <v>-45000</v>
      </c>
      <c r="BC142" s="402">
        <f>IF(ISBLANK(Actuals!BD52),-MAX(0,'BD Commission Detail'!BD53),Actuals!BD52)</f>
        <v>-37500</v>
      </c>
      <c r="BD142" s="402">
        <f>IF(ISBLANK(Actuals!BE52),-MAX(0,'BD Commission Detail'!BE53),Actuals!BE52)</f>
        <v>-37500</v>
      </c>
      <c r="BE142" s="402">
        <f>IF(ISBLANK(Actuals!BF52),-MAX(0,'BD Commission Detail'!BF53),Actuals!BF52)</f>
        <v>-45000</v>
      </c>
      <c r="BF142" s="402">
        <f>IF(ISBLANK(Actuals!BG52),-MAX(0,'BD Commission Detail'!BG53),Actuals!BG52)</f>
        <v>-37500</v>
      </c>
      <c r="BG142" s="402">
        <f>IF(ISBLANK(Actuals!BH52),-MAX(0,'BD Commission Detail'!BH53),Actuals!BH52)</f>
        <v>-37500</v>
      </c>
      <c r="BH142" s="402">
        <f>IF(ISBLANK(Actuals!BI52),-MAX(0,'BD Commission Detail'!BI53),Actuals!BI52)</f>
        <v>-45000</v>
      </c>
      <c r="BI142" s="402">
        <f>IF(ISBLANK(Actuals!BJ52),-MAX(0,'BD Commission Detail'!BJ53),Actuals!BJ52)</f>
        <v>-37500</v>
      </c>
      <c r="BJ142" s="402">
        <f>IF(ISBLANK(Actuals!BK52),-MAX(0,'BD Commission Detail'!BK53),Actuals!BK52)</f>
        <v>0</v>
      </c>
      <c r="BK142" s="402">
        <f>IF(ISBLANK(Actuals!BL52),-MAX(0,'BD Commission Detail'!BL53),Actuals!BL52)</f>
        <v>0</v>
      </c>
      <c r="BL142" s="402">
        <f>IF(ISBLANK(Actuals!BM52),-MAX(0,'BD Commission Detail'!BM53),Actuals!BM52)</f>
        <v>0</v>
      </c>
      <c r="BM142" s="402">
        <f>IF(ISBLANK(Actuals!BN52),-MAX(0,'BD Commission Detail'!BN53),Actuals!BN52)</f>
        <v>0</v>
      </c>
      <c r="BN142" s="402">
        <f>IF(ISBLANK(Actuals!BO52),-MAX(0,'BD Commission Detail'!BO53),Actuals!BO52)</f>
        <v>0</v>
      </c>
      <c r="BO142" s="402">
        <f>IF(ISBLANK(Actuals!BP52),-MAX(0,'BD Commission Detail'!BP53),Actuals!BP52)</f>
        <v>0</v>
      </c>
      <c r="BP142" s="402">
        <f>IF(ISBLANK(Actuals!BQ52),-MAX(0,'BD Commission Detail'!BQ53),Actuals!BQ52)</f>
        <v>0</v>
      </c>
      <c r="BQ142" s="402">
        <f>IF(ISBLANK(Actuals!BR52),-MAX(0,'BD Commission Detail'!BR53),Actuals!BR52)</f>
        <v>0</v>
      </c>
      <c r="BR142" s="402">
        <f>IF(ISBLANK(Actuals!BS52),-MAX(0,'BD Commission Detail'!BS53),Actuals!BS52)</f>
        <v>0</v>
      </c>
      <c r="BS142" s="402">
        <f>IF(ISBLANK(Actuals!BT52),-MAX(0,'BD Commission Detail'!BT53),Actuals!BT52)</f>
        <v>0</v>
      </c>
      <c r="BT142" s="402">
        <f>IF(ISBLANK(Actuals!BU52),-MAX(0,'BD Commission Detail'!BU53),Actuals!BU52)</f>
        <v>0</v>
      </c>
      <c r="BU142" s="402">
        <f>IF(ISBLANK(Actuals!BV52),-MAX(0,'BD Commission Detail'!BV53),Actuals!BV52)</f>
        <v>0</v>
      </c>
      <c r="BV142" s="402">
        <f>IF(ISBLANK(Actuals!BW52),-MAX(0,'BD Commission Detail'!BW53),Actuals!BW52)</f>
        <v>0</v>
      </c>
      <c r="BW142" s="402">
        <f>IF(ISBLANK(Actuals!BX52),-MAX(0,'BD Commission Detail'!BX53),Actuals!BX52)</f>
        <v>0</v>
      </c>
      <c r="BX142" s="402">
        <f>IF(ISBLANK(Actuals!BY52),-MAX(0,'BD Commission Detail'!BY53),Actuals!BY52)</f>
        <v>0</v>
      </c>
      <c r="BY142" s="402">
        <f>IF(ISBLANK(Actuals!BZ52),-MAX(0,'BD Commission Detail'!BZ53),Actuals!BZ52)</f>
        <v>0</v>
      </c>
      <c r="BZ142" s="402">
        <f>IF(ISBLANK(Actuals!CA52),-MAX(0,'BD Commission Detail'!CA53),Actuals!CA52)</f>
        <v>0</v>
      </c>
      <c r="CA142" s="402">
        <f>IF(ISBLANK(Actuals!CB52),-MAX(0,'BD Commission Detail'!CB53),Actuals!CB52)</f>
        <v>0</v>
      </c>
      <c r="CB142" s="402">
        <f>IF(ISBLANK(Actuals!CC52),-MAX(0,'BD Commission Detail'!CC53),Actuals!CC52)</f>
        <v>0</v>
      </c>
      <c r="CC142" s="402">
        <f>IF(ISBLANK(Actuals!CD52),-MAX(0,'BD Commission Detail'!CD53),Actuals!CD52)</f>
        <v>0</v>
      </c>
      <c r="CD142" s="402">
        <f>IF(ISBLANK(Actuals!CE52),-MAX(0,'BD Commission Detail'!CE53),Actuals!CE52)</f>
        <v>0</v>
      </c>
      <c r="CE142" s="402">
        <f>IF(ISBLANK(Actuals!CF52),-MAX(0,'BD Commission Detail'!CF53),Actuals!CF52)</f>
        <v>0</v>
      </c>
      <c r="CF142" s="402">
        <f>IF(ISBLANK(Actuals!CG52),-MAX(0,'BD Commission Detail'!CG53),Actuals!CG52)</f>
        <v>0</v>
      </c>
      <c r="CG142" s="402">
        <f>IF(ISBLANK(Actuals!CH52),-MAX(0,'BD Commission Detail'!CH53),Actuals!CH52)</f>
        <v>0</v>
      </c>
      <c r="CH142" s="402">
        <f>IF(ISBLANK(Actuals!CI52),-MAX(0,'BD Commission Detail'!CI53),Actuals!CI52)</f>
        <v>0</v>
      </c>
      <c r="CI142" s="402">
        <f>IF(ISBLANK(Actuals!CJ52),-MAX(0,'BD Commission Detail'!CJ53),Actuals!CJ52)</f>
        <v>0</v>
      </c>
      <c r="CJ142" s="402">
        <f>IF(ISBLANK(Actuals!CK52),-MAX(0,'BD Commission Detail'!CK53),Actuals!CK52)</f>
        <v>0</v>
      </c>
      <c r="CK142" s="402">
        <f>IF(ISBLANK(Actuals!CL52),-MAX(0,'BD Commission Detail'!CL53),Actuals!CL52)</f>
        <v>0</v>
      </c>
      <c r="CL142" s="402">
        <f>IF(ISBLANK(Actuals!CM52),-MAX(0,'BD Commission Detail'!CM53),Actuals!CM52)</f>
        <v>0</v>
      </c>
      <c r="CM142" s="402">
        <f>IF(ISBLANK(Actuals!CN52),-MAX(0,'BD Commission Detail'!CN53),Actuals!CN52)</f>
        <v>0</v>
      </c>
      <c r="CN142" s="402">
        <f>IF(ISBLANK(Actuals!CO52),-MAX(0,'BD Commission Detail'!CO53),Actuals!CO52)</f>
        <v>0</v>
      </c>
      <c r="CO142" s="402">
        <f>IF(ISBLANK(Actuals!CP52),-MAX(0,'BD Commission Detail'!CP53),Actuals!CP52)</f>
        <v>0</v>
      </c>
      <c r="CP142" s="402">
        <f>IF(ISBLANK(Actuals!CQ52),-MAX(0,'BD Commission Detail'!CQ53),Actuals!CQ52)</f>
        <v>0</v>
      </c>
      <c r="CQ142" s="402">
        <f>IF(ISBLANK(Actuals!CR52),-MAX(0,'BD Commission Detail'!CR53),Actuals!CR52)</f>
        <v>0</v>
      </c>
      <c r="CR142" s="402">
        <f>IF(ISBLANK(Actuals!CS52),-MAX(0,'BD Commission Detail'!CS53),Actuals!CS52)</f>
        <v>0</v>
      </c>
      <c r="CS142" s="402">
        <f>IF(ISBLANK(Actuals!CT52),-MAX(0,'BD Commission Detail'!CT53),Actuals!CT52)</f>
        <v>0</v>
      </c>
      <c r="CT142" s="402">
        <f>IF(ISBLANK(Actuals!CU52),-MAX(0,'BD Commission Detail'!CU53),Actuals!CU52)</f>
        <v>0</v>
      </c>
      <c r="CU142" s="402">
        <f>IF(ISBLANK(Actuals!CV52),-MAX(0,'BD Commission Detail'!CV53),Actuals!CV52)</f>
        <v>0</v>
      </c>
      <c r="CV142" s="402">
        <f>IF(ISBLANK(Actuals!CW52),-MAX(0,'BD Commission Detail'!CW53),Actuals!CW52)</f>
        <v>0</v>
      </c>
      <c r="CW142" s="402">
        <f>IF(ISBLANK(Actuals!CX52),-MAX(0,'BD Commission Detail'!CX53),Actuals!CX52)</f>
        <v>0</v>
      </c>
      <c r="CX142" s="402">
        <f>IF(ISBLANK(Actuals!CY52),-MAX(0,'BD Commission Detail'!CY53),Actuals!CY52)</f>
        <v>0</v>
      </c>
      <c r="CY142" s="402">
        <f>IF(ISBLANK(Actuals!CZ52),-MAX(0,'BD Commission Detail'!CZ53),Actuals!CZ52)</f>
        <v>0</v>
      </c>
      <c r="CZ142" s="402">
        <f>IF(ISBLANK(Actuals!DA52),-MAX(0,'BD Commission Detail'!DA53),Actuals!DA52)</f>
        <v>0</v>
      </c>
      <c r="DA142" s="402">
        <f>IF(ISBLANK(Actuals!DB52),-MAX(0,'BD Commission Detail'!DB53),Actuals!DB52)</f>
        <v>0</v>
      </c>
      <c r="DB142" s="402">
        <f>IF(ISBLANK(Actuals!DC52),-MAX(0,'BD Commission Detail'!DC53),Actuals!DC52)</f>
        <v>0</v>
      </c>
      <c r="DC142" s="402">
        <f>IF(ISBLANK(Actuals!DD52),-MAX(0,'BD Commission Detail'!DD53),Actuals!DD52)</f>
        <v>0</v>
      </c>
      <c r="DD142" s="402">
        <f>IF(ISBLANK(Actuals!DE52),-MAX(0,'BD Commission Detail'!DE53),Actuals!DE52)</f>
        <v>0</v>
      </c>
      <c r="DE142" s="402">
        <f>IF(ISBLANK(Actuals!DF52),-MAX(0,'BD Commission Detail'!DF53),Actuals!DF52)</f>
        <v>0</v>
      </c>
      <c r="DF142" s="381">
        <f>IF(ISBLANK(Actuals!DG52),-MAX(0,'BD Commission Detail'!DF53),Actuals!DG52)</f>
        <v>0</v>
      </c>
      <c r="DG142" s="381">
        <f>IF(ISBLANK(Actuals!DH52),-MAX(0,'BD Commission Detail'!DG53),Actuals!DH52)</f>
        <v>0</v>
      </c>
      <c r="DH142" s="381">
        <f>IF(ISBLANK(Actuals!DI52),-MAX(0,'BD Commission Detail'!DH53),Actuals!DI52)</f>
        <v>0</v>
      </c>
      <c r="DI142" s="381">
        <f>IF(ISBLANK(Actuals!DJ52),-MAX(0,'BD Commission Detail'!DI53),Actuals!DJ52)</f>
        <v>0</v>
      </c>
      <c r="DJ142" s="381">
        <f>IF(ISBLANK(Actuals!DK52),-MAX(0,'BD Commission Detail'!DJ53),Actuals!DK52)</f>
        <v>0</v>
      </c>
      <c r="DK142" s="381">
        <f>IF(ISBLANK(Actuals!DL52),-MAX(0,'BD Commission Detail'!DK53),Actuals!DL52)</f>
        <v>0</v>
      </c>
      <c r="DL142" s="381">
        <f>IF(ISBLANK(Actuals!DM52),-MAX(0,'BD Commission Detail'!DL53),Actuals!DM52)</f>
        <v>0</v>
      </c>
      <c r="DM142" s="381">
        <f>IF(ISBLANK(Actuals!DN52),-MAX(0,'BD Commission Detail'!DM53),Actuals!DN52)</f>
        <v>0</v>
      </c>
      <c r="DN142" s="381">
        <f>IF(ISBLANK(Actuals!DO52),-MAX(0,'BD Commission Detail'!DN53),Actuals!DO52)</f>
        <v>0</v>
      </c>
      <c r="DO142" s="381">
        <f>IF(ISBLANK(Actuals!DP52),-MAX(0,'BD Commission Detail'!DO53),Actuals!DP52)</f>
        <v>0</v>
      </c>
      <c r="DP142" s="381">
        <f>IF(ISBLANK(Actuals!DQ52),-MAX(0,'BD Commission Detail'!DP53),Actuals!DQ52)</f>
        <v>0</v>
      </c>
      <c r="DQ142" s="381">
        <f>IF(ISBLANK(Actuals!DR52),-MAX(0,'BD Commission Detail'!DQ53),Actuals!DR52)</f>
        <v>0</v>
      </c>
      <c r="DR142" s="381">
        <f>IF(ISBLANK(Actuals!DS52),-MAX(0,'BD Commission Detail'!DR53),Actuals!DS52)</f>
        <v>0</v>
      </c>
      <c r="DS142" s="381">
        <f>IF(ISBLANK(Actuals!DT52),-MAX(0,'BD Commission Detail'!DS53),Actuals!DT52)</f>
        <v>0</v>
      </c>
      <c r="DT142" s="381">
        <f>IF(ISBLANK(Actuals!DU52),-MAX(0,'BD Commission Detail'!DT53),Actuals!DU52)</f>
        <v>0</v>
      </c>
      <c r="DU142" s="381">
        <f>IF(ISBLANK(Actuals!DV52),-MAX(0,'BD Commission Detail'!DU53),Actuals!DV52)</f>
        <v>0</v>
      </c>
      <c r="DV142" s="381">
        <f>IF(ISBLANK(Actuals!DW52),-MAX(0,'BD Commission Detail'!DV53),Actuals!DW52)</f>
        <v>0</v>
      </c>
      <c r="DW142" s="381">
        <f>IF(ISBLANK(Actuals!DX52),-MAX(0,'BD Commission Detail'!DW53),Actuals!DX52)</f>
        <v>0</v>
      </c>
      <c r="DX142" s="381">
        <f>IF(ISBLANK(Actuals!DY52),-MAX(0,'BD Commission Detail'!DX53),Actuals!DY52)</f>
        <v>0</v>
      </c>
      <c r="DY142" s="381">
        <f>IF(ISBLANK(Actuals!DZ52),-MAX(0,'BD Commission Detail'!DY53),Actuals!DZ52)</f>
        <v>0</v>
      </c>
      <c r="DZ142" s="381">
        <f>IF(ISBLANK(Actuals!EA52),-MAX(0,'BD Commission Detail'!DZ53),Actuals!EA52)</f>
        <v>0</v>
      </c>
      <c r="EA142" s="381">
        <f>IF(ISBLANK(Actuals!EB52),-MAX(0,'BD Commission Detail'!EA53),Actuals!EB52)</f>
        <v>0</v>
      </c>
      <c r="EB142" s="381">
        <f>IF(ISBLANK(Actuals!EC52),-MAX(0,'BD Commission Detail'!EB53),Actuals!EC52)</f>
        <v>0</v>
      </c>
      <c r="EC142" s="381">
        <f>IF(ISBLANK(Actuals!ED52),-MAX(0,'BD Commission Detail'!EC53),Actuals!ED52)</f>
        <v>0</v>
      </c>
      <c r="ED142" s="381">
        <f>IF(ISBLANK(Actuals!EE52),-MAX(0,'BD Commission Detail'!ED53),Actuals!EE52)</f>
        <v>0</v>
      </c>
      <c r="EE142" s="381">
        <f>IF(ISBLANK(Actuals!EF52),-MAX(0,'BD Commission Detail'!EE53),Actuals!EF52)</f>
        <v>0</v>
      </c>
      <c r="EF142" s="381">
        <f>IF(ISBLANK(Actuals!EG52),-MAX(0,'BD Commission Detail'!EF53),Actuals!EG52)</f>
        <v>0</v>
      </c>
      <c r="EG142" s="381">
        <f>IF(ISBLANK(Actuals!EH52),-MAX(0,'BD Commission Detail'!EG53),Actuals!EH52)</f>
        <v>0</v>
      </c>
      <c r="EH142" s="381">
        <f>IF(ISBLANK(Actuals!EI52),-MAX(0,'BD Commission Detail'!EH53),Actuals!EI52)</f>
        <v>0</v>
      </c>
      <c r="EI142" s="381">
        <f>IF(ISBLANK(Actuals!EJ52),-MAX(0,'BD Commission Detail'!EI53),Actuals!EJ52)</f>
        <v>0</v>
      </c>
      <c r="EJ142" s="381">
        <f>IF(ISBLANK(Actuals!EK52),-MAX(0,'BD Commission Detail'!EJ53),Actuals!EK52)</f>
        <v>0</v>
      </c>
      <c r="EK142" s="381">
        <f>IF(ISBLANK(Actuals!EL52),-MAX(0,'BD Commission Detail'!EK53),Actuals!EL52)</f>
        <v>0</v>
      </c>
      <c r="EL142" s="381">
        <f>IF(ISBLANK(Actuals!EM52),-MAX(0,'BD Commission Detail'!EL53),Actuals!EM52)</f>
        <v>0</v>
      </c>
      <c r="EM142" s="381">
        <f>IF(ISBLANK(Actuals!EN52),-MAX(0,'BD Commission Detail'!EM53),Actuals!EN52)</f>
        <v>0</v>
      </c>
      <c r="EN142" s="381">
        <f>IF(ISBLANK(Actuals!EO52),-MAX(0,'BD Commission Detail'!EN53),Actuals!EO52)</f>
        <v>0</v>
      </c>
      <c r="EO142" s="381">
        <f>IF(ISBLANK(Actuals!EP52),-MAX(0,'BD Commission Detail'!EO53),Actuals!EP52)</f>
        <v>0</v>
      </c>
      <c r="EP142" s="381">
        <f>IF(ISBLANK(Actuals!EQ52),-MAX(0,'BD Commission Detail'!EP53),Actuals!EQ52)</f>
        <v>0</v>
      </c>
      <c r="EQ142" s="381">
        <f>IF(ISBLANK(Actuals!ER52),-MAX(0,'BD Commission Detail'!EQ53),Actuals!ER52)</f>
        <v>0</v>
      </c>
      <c r="ER142" s="381">
        <f>IF(ISBLANK(Actuals!ES52),-MAX(0,'BD Commission Detail'!ER53),Actuals!ES52)</f>
        <v>0</v>
      </c>
      <c r="ES142" s="381">
        <f>IF(ISBLANK(Actuals!ET52),-MAX(0,'BD Commission Detail'!ES53),Actuals!ET52)</f>
        <v>0</v>
      </c>
      <c r="ET142" s="381">
        <f>IF(ISBLANK(Actuals!EU52),-MAX(0,'BD Commission Detail'!ET53),Actuals!EU52)</f>
        <v>0</v>
      </c>
      <c r="EU142" s="381">
        <f>IF(ISBLANK(Actuals!EV52),-MAX(0,'BD Commission Detail'!EU53),Actuals!EV52)</f>
        <v>0</v>
      </c>
      <c r="EV142" s="381">
        <f>IF(ISBLANK(Actuals!EW52),-MAX(0,'BD Commission Detail'!EV53),Actuals!EW52)</f>
        <v>0</v>
      </c>
      <c r="EW142" s="381">
        <f>IF(ISBLANK(Actuals!EX52),-MAX(0,'BD Commission Detail'!EW53),Actuals!EX52)</f>
        <v>0</v>
      </c>
      <c r="EX142" s="381">
        <f>IF(ISBLANK(Actuals!EY52),-MAX(0,'BD Commission Detail'!EX53),Actuals!EY52)</f>
        <v>0</v>
      </c>
      <c r="EY142" s="381">
        <f>IF(ISBLANK(Actuals!EZ52),-MAX(0,'BD Commission Detail'!EY53),Actuals!EZ52)</f>
        <v>0</v>
      </c>
      <c r="EZ142" s="381">
        <f>IF(ISBLANK(Actuals!FA52),-MAX(0,'BD Commission Detail'!EZ53),Actuals!FA52)</f>
        <v>0</v>
      </c>
      <c r="FA142" s="381">
        <f>IF(ISBLANK(Actuals!FB52),-MAX(0,'BD Commission Detail'!FA53),Actuals!FB52)</f>
        <v>0</v>
      </c>
      <c r="FB142" s="381">
        <f>IF(ISBLANK(Actuals!FC52),-MAX(0,'BD Commission Detail'!FB53),Actuals!FC52)</f>
        <v>0</v>
      </c>
      <c r="FC142" s="381">
        <f>IF(ISBLANK(Actuals!FD52),-MAX(0,'BD Commission Detail'!FC53),Actuals!FD52)</f>
        <v>0</v>
      </c>
      <c r="FD142" s="381">
        <f>IF(ISBLANK(Actuals!FE52),-MAX(0,'BD Commission Detail'!FD53),Actuals!FE52)</f>
        <v>0</v>
      </c>
      <c r="FE142" s="381">
        <f>IF(ISBLANK(Actuals!FF52),-MAX(0,'BD Commission Detail'!FE53),Actuals!FF52)</f>
        <v>0</v>
      </c>
      <c r="FF142" s="381">
        <f>IF(ISBLANK(Actuals!FG52),-MAX(0,'BD Commission Detail'!FF53),Actuals!FG52)</f>
        <v>0</v>
      </c>
      <c r="FG142" s="381">
        <f>IF(ISBLANK(Actuals!FH52),-MAX(0,'BD Commission Detail'!FG53),Actuals!FH52)</f>
        <v>0</v>
      </c>
      <c r="FH142" s="381">
        <f>IF(ISBLANK(Actuals!FI52),-MAX(0,'BD Commission Detail'!FH53),Actuals!FI52)</f>
        <v>0</v>
      </c>
      <c r="FI142" s="381">
        <f>IF(ISBLANK(Actuals!FJ52),-MAX(0,'BD Commission Detail'!FI53),Actuals!FJ52)</f>
        <v>0</v>
      </c>
      <c r="FJ142" s="381">
        <f>IF(ISBLANK(Actuals!FK52),-MAX(0,'BD Commission Detail'!FJ53),Actuals!FK52)</f>
        <v>0</v>
      </c>
      <c r="FK142" s="381">
        <f>IF(ISBLANK(Actuals!FL52),-MAX(0,'BD Commission Detail'!FK53),Actuals!FL52)</f>
        <v>0</v>
      </c>
      <c r="FL142" s="381">
        <f>IF(ISBLANK(Actuals!FM52),-MAX(0,'BD Commission Detail'!FL53),Actuals!FM52)</f>
        <v>0</v>
      </c>
      <c r="FM142" s="381">
        <f>IF(ISBLANK(Actuals!FN52),-MAX(0,'BD Commission Detail'!FM53),Actuals!FN52)</f>
        <v>0</v>
      </c>
      <c r="FN142" s="381">
        <f>IF(ISBLANK(Actuals!FO52),-MAX(0,'BD Commission Detail'!FN53),Actuals!FO52)</f>
        <v>0</v>
      </c>
      <c r="FO142" s="381">
        <f>IF(ISBLANK(Actuals!FP52),-MAX(0,'BD Commission Detail'!FO53),Actuals!FP52)</f>
        <v>0</v>
      </c>
      <c r="FP142" s="381">
        <f>IF(ISBLANK(Actuals!FQ52),-MAX(0,'BD Commission Detail'!FP53),Actuals!FQ52)</f>
        <v>0</v>
      </c>
      <c r="FQ142" s="381">
        <f>IF(ISBLANK(Actuals!FR52),-MAX(0,'BD Commission Detail'!FQ53),Actuals!FR52)</f>
        <v>0</v>
      </c>
      <c r="FR142" s="381">
        <f>IF(ISBLANK(Actuals!FS52),-MAX(0,'BD Commission Detail'!FR53),Actuals!FS52)</f>
        <v>0</v>
      </c>
      <c r="FS142" s="381">
        <f>IF(ISBLANK(Actuals!FT52),-MAX(0,'BD Commission Detail'!FS53),Actuals!FT52)</f>
        <v>0</v>
      </c>
      <c r="FT142" s="381">
        <f>IF(ISBLANK(Actuals!FU52),-MAX(0,'BD Commission Detail'!FT53),Actuals!FU52)</f>
        <v>0</v>
      </c>
      <c r="FU142" s="381">
        <f>IF(ISBLANK(Actuals!FV52),-MAX(0,'BD Commission Detail'!FU53),Actuals!FV52)</f>
        <v>0</v>
      </c>
      <c r="FV142" s="381">
        <f>IF(ISBLANK(Actuals!FW52),-MAX(0,'BD Commission Detail'!FV53),Actuals!FW52)</f>
        <v>0</v>
      </c>
      <c r="FW142" s="381">
        <f>IF(ISBLANK(Actuals!FX52),-MAX(0,'BD Commission Detail'!FW53),Actuals!FX52)</f>
        <v>0</v>
      </c>
      <c r="FX142" s="381">
        <f>IF(ISBLANK(Actuals!FY52),-MAX(0,'BD Commission Detail'!FX53),Actuals!FY52)</f>
        <v>0</v>
      </c>
      <c r="FY142" s="381">
        <f>IF(ISBLANK(Actuals!FZ52),-MAX(0,'BD Commission Detail'!FY53),Actuals!FZ52)</f>
        <v>0</v>
      </c>
      <c r="FZ142" s="381">
        <f>IF(ISBLANK(Actuals!GA52),-MAX(0,'BD Commission Detail'!FZ53),Actuals!GA52)</f>
        <v>0</v>
      </c>
      <c r="GA142" s="381">
        <f>IF(ISBLANK(Actuals!GB52),-MAX(0,'BD Commission Detail'!GA53),Actuals!GB52)</f>
        <v>0</v>
      </c>
      <c r="GB142" s="381">
        <f>IF(ISBLANK(Actuals!GC52),-MAX(0,'BD Commission Detail'!GB53),Actuals!GC52)</f>
        <v>0</v>
      </c>
      <c r="GC142" s="381">
        <f>IF(ISBLANK(Actuals!GD52),-MAX(0,'BD Commission Detail'!GC53),Actuals!GD52)</f>
        <v>0</v>
      </c>
      <c r="GD142" s="381">
        <f>IF(ISBLANK(Actuals!GE52),-MAX(0,'BD Commission Detail'!GD53),Actuals!GE52)</f>
        <v>0</v>
      </c>
      <c r="GE142" s="381">
        <f>IF(ISBLANK(Actuals!GF52),-MAX(0,'BD Commission Detail'!GE53),Actuals!GF52)</f>
        <v>0</v>
      </c>
      <c r="GF142" s="381">
        <f>IF(ISBLANK(Actuals!GG52),-MAX(0,'BD Commission Detail'!GF53),Actuals!GG52)</f>
        <v>0</v>
      </c>
      <c r="GG142" s="381">
        <f>IF(ISBLANK(Actuals!GH52),-MAX(0,'BD Commission Detail'!GG53),Actuals!GH52)</f>
        <v>0</v>
      </c>
      <c r="GH142" s="381">
        <f>IF(ISBLANK(Actuals!GI52),-MAX(0,'BD Commission Detail'!GH53),Actuals!GI52)</f>
        <v>0</v>
      </c>
      <c r="GI142" s="381">
        <f>IF(ISBLANK(Actuals!GJ52),-MAX(0,'BD Commission Detail'!GI53),Actuals!GJ52)</f>
        <v>0</v>
      </c>
      <c r="GJ142" s="381">
        <f>IF(ISBLANK(Actuals!GK52),-MAX(0,'BD Commission Detail'!GJ53),Actuals!GK52)</f>
        <v>0</v>
      </c>
      <c r="GK142" s="381">
        <f>IF(ISBLANK(Actuals!GL52),-MAX(0,'BD Commission Detail'!GK53),Actuals!GL52)</f>
        <v>0</v>
      </c>
      <c r="GL142" s="381">
        <f>IF(ISBLANK(Actuals!GM52),-MAX(0,'BD Commission Detail'!GL53),Actuals!GM52)</f>
        <v>0</v>
      </c>
      <c r="GM142" s="381">
        <f>IF(ISBLANK(Actuals!GN52),-MAX(0,'BD Commission Detail'!GM53),Actuals!GN52)</f>
        <v>0</v>
      </c>
      <c r="GN142" s="381">
        <f>IF(ISBLANK(Actuals!GO52),-MAX(0,'BD Commission Detail'!GN53),Actuals!GO52)</f>
        <v>0</v>
      </c>
      <c r="GO142" s="381">
        <f>IF(ISBLANK(Actuals!GP52),-MAX(0,'BD Commission Detail'!GO53),Actuals!GP52)</f>
        <v>0</v>
      </c>
      <c r="GP142" s="381">
        <f>IF(ISBLANK(Actuals!GQ52),-MAX(0,'BD Commission Detail'!GP53),Actuals!GQ52)</f>
        <v>0</v>
      </c>
      <c r="GQ142" s="381">
        <f>IF(ISBLANK(Actuals!GR52),-MAX(0,'BD Commission Detail'!GQ53),Actuals!GR52)</f>
        <v>0</v>
      </c>
      <c r="GR142" s="381">
        <f>IF(ISBLANK(Actuals!GS52),-MAX(0,'BD Commission Detail'!GR53),Actuals!GS52)</f>
        <v>0</v>
      </c>
      <c r="GS142" s="381">
        <f>IF(ISBLANK(Actuals!GT52),-MAX(0,'BD Commission Detail'!GS53),Actuals!GT52)</f>
        <v>0</v>
      </c>
      <c r="GT142" s="381">
        <f>IF(ISBLANK(Actuals!GU52),-MAX(0,'BD Commission Detail'!GT53),Actuals!GU52)</f>
        <v>0</v>
      </c>
      <c r="GU142" s="381">
        <f>IF(ISBLANK(Actuals!GV52),-MAX(0,'BD Commission Detail'!GU53),Actuals!GV52)</f>
        <v>0</v>
      </c>
      <c r="GV142" s="381">
        <f>IF(ISBLANK(Actuals!GW52),-MAX(0,'BD Commission Detail'!GV53),Actuals!GW52)</f>
        <v>0</v>
      </c>
      <c r="GW142" s="381">
        <f>IF(ISBLANK(Actuals!GX52),-MAX(0,'BD Commission Detail'!GW53),Actuals!GX52)</f>
        <v>0</v>
      </c>
      <c r="GX142" s="381">
        <f>IF(ISBLANK(Actuals!GY52),-MAX(0,'BD Commission Detail'!GX53),Actuals!GY52)</f>
        <v>0</v>
      </c>
      <c r="GY142" s="381">
        <f>IF(ISBLANK(Actuals!GZ52),-MAX(0,'BD Commission Detail'!GY53),Actuals!GZ52)</f>
        <v>0</v>
      </c>
      <c r="GZ142" s="381">
        <f>IF(ISBLANK(Actuals!HA52),-MAX(0,'BD Commission Detail'!GZ53),Actuals!HA52)</f>
        <v>0</v>
      </c>
      <c r="HA142" s="381">
        <f>IF(ISBLANK(Actuals!HB52),-MAX(0,'BD Commission Detail'!HA53),Actuals!HB52)</f>
        <v>0</v>
      </c>
      <c r="HB142" s="381">
        <f>IF(ISBLANK(Actuals!HC52),-MAX(0,'BD Commission Detail'!HB53),Actuals!HC52)</f>
        <v>0</v>
      </c>
      <c r="HC142" s="381">
        <f>IF(ISBLANK(Actuals!HD52),-MAX(0,'BD Commission Detail'!HC53),Actuals!HD52)</f>
        <v>0</v>
      </c>
      <c r="HD142" s="381">
        <f>IF(ISBLANK(Actuals!HE52),-MAX(0,'BD Commission Detail'!HD53),Actuals!HE52)</f>
        <v>0</v>
      </c>
      <c r="HE142" s="381">
        <f>IF(ISBLANK(Actuals!HF52),-MAX(0,'BD Commission Detail'!HE53),Actuals!HF52)</f>
        <v>0</v>
      </c>
      <c r="HF142" s="381">
        <f>IF(ISBLANK(Actuals!HG52),-MAX(0,'BD Commission Detail'!HF53),Actuals!HG52)</f>
        <v>0</v>
      </c>
      <c r="HG142" s="381">
        <f>IF(ISBLANK(Actuals!HH52),-MAX(0,'BD Commission Detail'!HG53),Actuals!HH52)</f>
        <v>0</v>
      </c>
      <c r="HH142" s="381">
        <f>IF(ISBLANK(Actuals!HI52),-MAX(0,'BD Commission Detail'!HH53),Actuals!HI52)</f>
        <v>0</v>
      </c>
      <c r="HI142" s="381">
        <f>IF(ISBLANK(Actuals!HJ52),-MAX(0,'BD Commission Detail'!HI53),Actuals!HJ52)</f>
        <v>0</v>
      </c>
      <c r="HJ142" s="381">
        <f>IF(ISBLANK(Actuals!HK52),-MAX(0,'BD Commission Detail'!HJ53),Actuals!HK52)</f>
        <v>0</v>
      </c>
      <c r="HK142" s="381">
        <f>IF(ISBLANK(Actuals!HL52),-MAX(0,'BD Commission Detail'!HK53),Actuals!HL52)</f>
        <v>0</v>
      </c>
      <c r="HL142" s="381">
        <f>IF(ISBLANK(Actuals!HM52),-MAX(0,'BD Commission Detail'!HL53),Actuals!HM52)</f>
        <v>0</v>
      </c>
      <c r="HM142" s="381">
        <f>IF(ISBLANK(Actuals!HN52),-MAX(0,'BD Commission Detail'!HM53),Actuals!HN52)</f>
        <v>0</v>
      </c>
      <c r="HN142" s="381">
        <f>IF(ISBLANK(Actuals!HO52),-MAX(0,'BD Commission Detail'!HN53),Actuals!HO52)</f>
        <v>0</v>
      </c>
      <c r="HO142" s="381">
        <f>IF(ISBLANK(Actuals!HP52),-MAX(0,'BD Commission Detail'!HO53),Actuals!HP52)</f>
        <v>0</v>
      </c>
      <c r="HP142" s="381">
        <f>IF(ISBLANK(Actuals!HQ52),-MAX(0,'BD Commission Detail'!HP53),Actuals!HQ52)</f>
        <v>0</v>
      </c>
      <c r="HQ142" s="381">
        <f>IF(ISBLANK(Actuals!HR52),-MAX(0,'BD Commission Detail'!HQ53),Actuals!HR52)</f>
        <v>0</v>
      </c>
      <c r="HR142" s="381">
        <f>IF(ISBLANK(Actuals!HS52),-MAX(0,'BD Commission Detail'!HR53),Actuals!HS52)</f>
        <v>0</v>
      </c>
      <c r="HS142" s="381">
        <f>IF(ISBLANK(Actuals!HT52),-MAX(0,'BD Commission Detail'!HS53),Actuals!HT52)</f>
        <v>0</v>
      </c>
      <c r="HT142" s="381">
        <f>IF(ISBLANK(Actuals!HU52),-MAX(0,'BD Commission Detail'!HT53),Actuals!HU52)</f>
        <v>0</v>
      </c>
      <c r="HU142" s="381">
        <f>IF(ISBLANK(Actuals!HV52),-MAX(0,'BD Commission Detail'!HU53),Actuals!HV52)</f>
        <v>0</v>
      </c>
      <c r="HV142" s="381">
        <f>IF(ISBLANK(Actuals!HW52),-MAX(0,'BD Commission Detail'!HV53),Actuals!HW52)</f>
        <v>0</v>
      </c>
      <c r="HW142" s="381">
        <f>IF(ISBLANK(Actuals!HX52),-MAX(0,'BD Commission Detail'!HW53),Actuals!HX52)</f>
        <v>0</v>
      </c>
      <c r="HX142" s="381">
        <f>IF(ISBLANK(Actuals!HY52),-MAX(0,'BD Commission Detail'!HX53),Actuals!HY52)</f>
        <v>0</v>
      </c>
      <c r="HY142" s="381">
        <f>IF(ISBLANK(Actuals!HZ52),-MAX(0,'BD Commission Detail'!HY53),Actuals!HZ52)</f>
        <v>0</v>
      </c>
      <c r="HZ142" s="381">
        <f>IF(ISBLANK(Actuals!IA52),-MAX(0,'BD Commission Detail'!HZ53),Actuals!IA52)</f>
        <v>0</v>
      </c>
      <c r="IA142" s="381">
        <f>IF(ISBLANK(Actuals!IB52),-MAX(0,'BD Commission Detail'!IA53),Actuals!IB52)</f>
        <v>0</v>
      </c>
      <c r="IB142" s="381">
        <f>IF(ISBLANK(Actuals!IC52),-MAX(0,'BD Commission Detail'!IB53),Actuals!IC52)</f>
        <v>0</v>
      </c>
      <c r="IC142" s="381">
        <f>IF(ISBLANK(Actuals!ID52),-MAX(0,'BD Commission Detail'!IC53),Actuals!ID52)</f>
        <v>0</v>
      </c>
      <c r="ID142" s="381">
        <f>IF(ISBLANK(Actuals!IE52),-MAX(0,'BD Commission Detail'!ID53),Actuals!IE52)</f>
        <v>0</v>
      </c>
      <c r="IE142" s="381">
        <f>IF(ISBLANK(Actuals!IF52),-MAX(0,'BD Commission Detail'!IE53),Actuals!IF52)</f>
        <v>0</v>
      </c>
      <c r="IF142" s="381">
        <f>IF(ISBLANK(Actuals!IG52),-MAX(0,'BD Commission Detail'!IF53),Actuals!IG52)</f>
        <v>0</v>
      </c>
      <c r="IG142" s="381">
        <f>IF(ISBLANK(Actuals!IH52),-MAX(0,'BD Commission Detail'!IG53),Actuals!IH52)</f>
        <v>0</v>
      </c>
      <c r="IH142" s="381">
        <f>IF(ISBLANK(Actuals!II52),-MAX(0,'BD Commission Detail'!IH53),Actuals!II52)</f>
        <v>0</v>
      </c>
      <c r="II142" s="381">
        <f>IF(ISBLANK(Actuals!IJ52),-MAX(0,'BD Commission Detail'!II53),Actuals!IJ52)</f>
        <v>0</v>
      </c>
      <c r="IJ142" s="381">
        <f>IF(ISBLANK(Actuals!IK52),-MAX(0,'BD Commission Detail'!IJ53),Actuals!IK52)</f>
        <v>0</v>
      </c>
      <c r="IK142" s="381">
        <f>IF(ISBLANK(Actuals!IL52),-MAX(0,'BD Commission Detail'!IK53),Actuals!IL52)</f>
        <v>0</v>
      </c>
      <c r="IL142" s="381">
        <f>IF(ISBLANK(Actuals!IM52),-MAX(0,'BD Commission Detail'!IL53),Actuals!IM52)</f>
        <v>0</v>
      </c>
      <c r="IM142" s="381">
        <f>IF(ISBLANK(Actuals!IN52),-MAX(0,'BD Commission Detail'!IM53),Actuals!IN52)</f>
        <v>0</v>
      </c>
      <c r="IN142" s="381">
        <f>IF(ISBLANK(Actuals!IO52),-MAX(0,'BD Commission Detail'!IN53),Actuals!IO52)</f>
        <v>0</v>
      </c>
      <c r="IO142" s="381">
        <f>IF(ISBLANK(Actuals!IP52),-MAX(0,'BD Commission Detail'!IO53),Actuals!IP52)</f>
        <v>0</v>
      </c>
      <c r="IP142" s="381">
        <f>IF(ISBLANK(Actuals!IQ52),-MAX(0,'BD Commission Detail'!IP53),Actuals!IQ52)</f>
        <v>0</v>
      </c>
      <c r="IQ142" s="381">
        <f>IF(ISBLANK(Actuals!IR52),-MAX(0,'BD Commission Detail'!IQ53),Actuals!IR52)</f>
        <v>0</v>
      </c>
      <c r="IR142" s="381">
        <f>IF(ISBLANK(Actuals!IS52),-MAX(0,'BD Commission Detail'!IR53),Actuals!IS52)</f>
        <v>0</v>
      </c>
      <c r="IS142" s="381">
        <f>IF(ISBLANK(Actuals!IT52),-MAX(0,'BD Commission Detail'!IS53),Actuals!IT52)</f>
        <v>0</v>
      </c>
      <c r="IT142" s="381">
        <f>IF(ISBLANK(Actuals!IU52),-MAX(0,'BD Commission Detail'!IT53),Actuals!IU52)</f>
        <v>0</v>
      </c>
      <c r="IU142" s="381">
        <f>IF(ISBLANK(Actuals!IV52),-MAX(0,'BD Commission Detail'!IU53),Actuals!IV52)</f>
        <v>0</v>
      </c>
      <c r="IV142" s="381">
        <f>IF(ISBLANK(Actuals!IW52),-MAX(0,'BD Commission Detail'!IV53),Actuals!IW52)</f>
        <v>0</v>
      </c>
      <c r="IW142" s="381">
        <f>IF(ISBLANK(Actuals!IX52),-MAX(0,'BD Commission Detail'!IW53),Actuals!IX52)</f>
        <v>0</v>
      </c>
      <c r="IX142" s="381">
        <f>IF(ISBLANK(Actuals!IY52),-MAX(0,'BD Commission Detail'!IX53),Actuals!IY52)</f>
        <v>0</v>
      </c>
      <c r="IY142" s="381">
        <f>IF(ISBLANK(Actuals!IZ52),-MAX(0,'BD Commission Detail'!IY53),Actuals!IZ52)</f>
        <v>0</v>
      </c>
      <c r="IZ142" s="381">
        <f>IF(ISBLANK(Actuals!JA52),-MAX(0,'BD Commission Detail'!IZ53),Actuals!JA52)</f>
        <v>0</v>
      </c>
      <c r="JA142" s="381">
        <f>IF(ISBLANK(Actuals!JB52),-MAX(0,'BD Commission Detail'!JA53),Actuals!JB52)</f>
        <v>0</v>
      </c>
      <c r="JB142" s="381">
        <f>IF(ISBLANK(Actuals!JC52),-MAX(0,'BD Commission Detail'!JB53),Actuals!JC52)</f>
        <v>0</v>
      </c>
      <c r="JC142" s="381">
        <f>IF(ISBLANK(Actuals!JD52),-MAX(0,'BD Commission Detail'!JC53),Actuals!JD52)</f>
        <v>0</v>
      </c>
      <c r="JD142" s="381">
        <f>IF(ISBLANK(Actuals!JE52),-MAX(0,'BD Commission Detail'!JD53),Actuals!JE52)</f>
        <v>0</v>
      </c>
      <c r="JE142" s="381">
        <f>IF(ISBLANK(Actuals!JF52),-MAX(0,'BD Commission Detail'!JE53),Actuals!JF52)</f>
        <v>0</v>
      </c>
      <c r="JF142" s="381">
        <f>IF(ISBLANK(Actuals!JG52),-MAX(0,'BD Commission Detail'!JF53),Actuals!JG52)</f>
        <v>0</v>
      </c>
      <c r="JG142" s="381">
        <f>IF(ISBLANK(Actuals!JH52),-MAX(0,'BD Commission Detail'!JG53),Actuals!JH52)</f>
        <v>0</v>
      </c>
      <c r="JH142" s="381">
        <f>IF(ISBLANK(Actuals!JI52),-MAX(0,'BD Commission Detail'!JH53),Actuals!JI52)</f>
        <v>0</v>
      </c>
      <c r="JI142" s="381">
        <f>IF(ISBLANK(Actuals!JJ52),-MAX(0,'BD Commission Detail'!JI53),Actuals!JJ52)</f>
        <v>0</v>
      </c>
      <c r="JJ142" s="381">
        <f>IF(ISBLANK(Actuals!JK52),-MAX(0,'BD Commission Detail'!JJ53),Actuals!JK52)</f>
        <v>0</v>
      </c>
      <c r="JK142" s="381">
        <f>IF(ISBLANK(Actuals!JL52),-MAX(0,'BD Commission Detail'!JK53),Actuals!JL52)</f>
        <v>0</v>
      </c>
      <c r="JL142" s="381">
        <f>IF(ISBLANK(Actuals!JM52),-MAX(0,'BD Commission Detail'!JL53),Actuals!JM52)</f>
        <v>0</v>
      </c>
      <c r="JM142" s="381">
        <f>IF(ISBLANK(Actuals!JN52),-MAX(0,'BD Commission Detail'!JM53),Actuals!JN52)</f>
        <v>0</v>
      </c>
      <c r="JN142" s="381">
        <f>IF(ISBLANK(Actuals!JO52),-MAX(0,'BD Commission Detail'!JN53),Actuals!JO52)</f>
        <v>0</v>
      </c>
      <c r="JO142" s="381">
        <f>IF(ISBLANK(Actuals!JP52),-MAX(0,'BD Commission Detail'!JO53),Actuals!JP52)</f>
        <v>0</v>
      </c>
      <c r="JP142" s="381">
        <f>IF(ISBLANK(Actuals!JQ52),-MAX(0,'BD Commission Detail'!JP53),Actuals!JQ52)</f>
        <v>0</v>
      </c>
      <c r="JQ142" s="381">
        <f>IF(ISBLANK(Actuals!JR52),-MAX(0,'BD Commission Detail'!JQ53),Actuals!JR52)</f>
        <v>0</v>
      </c>
      <c r="JR142" s="381">
        <f>IF(ISBLANK(Actuals!JS52),-MAX(0,'BD Commission Detail'!JR53),Actuals!JS52)</f>
        <v>0</v>
      </c>
      <c r="JS142" s="381">
        <f>IF(ISBLANK(Actuals!JT52),-MAX(0,'BD Commission Detail'!JS53),Actuals!JT52)</f>
        <v>0</v>
      </c>
      <c r="JT142" s="381">
        <f>IF(ISBLANK(Actuals!JU52),-MAX(0,'BD Commission Detail'!JT53),Actuals!JU52)</f>
        <v>0</v>
      </c>
      <c r="JU142" s="381">
        <f>IF(ISBLANK(Actuals!JV52),-MAX(0,'BD Commission Detail'!JU53),Actuals!JV52)</f>
        <v>0</v>
      </c>
      <c r="JV142" s="381">
        <f>IF(ISBLANK(Actuals!JW52),-MAX(0,'BD Commission Detail'!JV53),Actuals!JW52)</f>
        <v>0</v>
      </c>
      <c r="JW142" s="381">
        <f>IF(ISBLANK(Actuals!JX52),-MAX(0,'BD Commission Detail'!JW53),Actuals!JX52)</f>
        <v>0</v>
      </c>
      <c r="JX142" s="381">
        <f>IF(ISBLANK(Actuals!JY52),-MAX(0,'BD Commission Detail'!JX53),Actuals!JY52)</f>
        <v>0</v>
      </c>
      <c r="JY142" s="381">
        <f>IF(ISBLANK(Actuals!JZ52),-MAX(0,'BD Commission Detail'!JY53),Actuals!JZ52)</f>
        <v>0</v>
      </c>
      <c r="JZ142" s="381">
        <f>IF(ISBLANK(Actuals!KA52),-MAX(0,'BD Commission Detail'!JZ53),Actuals!KA52)</f>
        <v>0</v>
      </c>
      <c r="KA142" s="381">
        <f>IF(ISBLANK(Actuals!KB52),-MAX(0,'BD Commission Detail'!KA53),Actuals!KB52)</f>
        <v>0</v>
      </c>
      <c r="KB142" s="381">
        <f>IF(ISBLANK(Actuals!KC52),-MAX(0,'BD Commission Detail'!KB53),Actuals!KC52)</f>
        <v>0</v>
      </c>
      <c r="KC142" s="381">
        <f>IF(ISBLANK(Actuals!KD52),-MAX(0,'BD Commission Detail'!KC53),Actuals!KD52)</f>
        <v>0</v>
      </c>
      <c r="KD142" s="381">
        <f>IF(ISBLANK(Actuals!KE52),-MAX(0,'BD Commission Detail'!KD53),Actuals!KE52)</f>
        <v>0</v>
      </c>
      <c r="KE142" s="381">
        <f>IF(ISBLANK(Actuals!KF52),-MAX(0,'BD Commission Detail'!KE53),Actuals!KF52)</f>
        <v>0</v>
      </c>
      <c r="KF142" s="381">
        <f>IF(ISBLANK(Actuals!KG52),-MAX(0,'BD Commission Detail'!KF53),Actuals!KG52)</f>
        <v>0</v>
      </c>
      <c r="KG142" s="381">
        <f>IF(ISBLANK(Actuals!KH52),-MAX(0,'BD Commission Detail'!KG53),Actuals!KH52)</f>
        <v>0</v>
      </c>
      <c r="KH142" s="381">
        <f>IF(ISBLANK(Actuals!KI52),-MAX(0,'BD Commission Detail'!KH53),Actuals!KI52)</f>
        <v>0</v>
      </c>
      <c r="KI142" s="381">
        <f>IF(ISBLANK(Actuals!KJ52),-MAX(0,'BD Commission Detail'!KI53),Actuals!KJ52)</f>
        <v>0</v>
      </c>
      <c r="KJ142" s="381">
        <f>IF(ISBLANK(Actuals!KK52),-MAX(0,'BD Commission Detail'!KJ53),Actuals!KK52)</f>
        <v>0</v>
      </c>
      <c r="KK142" s="381">
        <f>IF(ISBLANK(Actuals!KL52),-MAX(0,'BD Commission Detail'!KK53),Actuals!KL52)</f>
        <v>0</v>
      </c>
      <c r="KL142" s="381">
        <f>IF(ISBLANK(Actuals!KM52),-MAX(0,'BD Commission Detail'!KL53),Actuals!KM52)</f>
        <v>0</v>
      </c>
      <c r="KM142" s="381">
        <f>IF(ISBLANK(Actuals!KN52),-MAX(0,'BD Commission Detail'!KM53),Actuals!KN52)</f>
        <v>0</v>
      </c>
      <c r="KN142" s="381">
        <f>IF(ISBLANK(Actuals!KO52),-MAX(0,'BD Commission Detail'!KN53),Actuals!KO52)</f>
        <v>0</v>
      </c>
      <c r="KO142" s="381">
        <f>IF(ISBLANK(Actuals!KP52),-MAX(0,'BD Commission Detail'!KO53),Actuals!KP52)</f>
        <v>0</v>
      </c>
      <c r="KP142" s="381">
        <f>IF(ISBLANK(Actuals!KQ52),-MAX(0,'BD Commission Detail'!KP53),Actuals!KQ52)</f>
        <v>0</v>
      </c>
      <c r="KQ142" s="381">
        <f>IF(ISBLANK(Actuals!KR52),-MAX(0,'BD Commission Detail'!KQ53),Actuals!KR52)</f>
        <v>0</v>
      </c>
      <c r="KR142" s="381">
        <f>IF(ISBLANK(Actuals!KS52),-MAX(0,'BD Commission Detail'!KR53),Actuals!KS52)</f>
        <v>0</v>
      </c>
      <c r="KS142" s="381">
        <f>IF(ISBLANK(Actuals!KT52),-MAX(0,'BD Commission Detail'!KS53),Actuals!KT52)</f>
        <v>0</v>
      </c>
      <c r="KT142" s="381">
        <f>IF(ISBLANK(Actuals!KU52),-MAX(0,'BD Commission Detail'!KT53),Actuals!KU52)</f>
        <v>0</v>
      </c>
      <c r="KU142" s="381">
        <f>IF(ISBLANK(Actuals!KV52),-MAX(0,'BD Commission Detail'!KU53),Actuals!KV52)</f>
        <v>0</v>
      </c>
      <c r="KV142" s="381">
        <f>IF(ISBLANK(Actuals!KW52),-MAX(0,'BD Commission Detail'!KV53),Actuals!KW52)</f>
        <v>0</v>
      </c>
      <c r="KW142" s="381">
        <f>IF(ISBLANK(Actuals!KX52),-MAX(0,'BD Commission Detail'!KW53),Actuals!KX52)</f>
        <v>0</v>
      </c>
      <c r="KX142" s="381">
        <f>IF(ISBLANK(Actuals!KY52),-MAX(0,'BD Commission Detail'!KX53),Actuals!KY52)</f>
        <v>0</v>
      </c>
      <c r="KY142" s="381">
        <f>IF(ISBLANK(Actuals!KZ52),-MAX(0,'BD Commission Detail'!KY53),Actuals!KZ52)</f>
        <v>0</v>
      </c>
      <c r="KZ142" s="381">
        <f>IF(ISBLANK(Actuals!LA52),-MAX(0,'BD Commission Detail'!KZ53),Actuals!LA52)</f>
        <v>0</v>
      </c>
      <c r="LA142" s="381">
        <f>IF(ISBLANK(Actuals!LB52),-MAX(0,'BD Commission Detail'!LA53),Actuals!LB52)</f>
        <v>0</v>
      </c>
      <c r="LB142" s="381">
        <f>IF(ISBLANK(Actuals!LC52),-MAX(0,'BD Commission Detail'!LB53),Actuals!LC52)</f>
        <v>0</v>
      </c>
      <c r="LC142" s="381">
        <f>IF(ISBLANK(Actuals!LD52),-MAX(0,'BD Commission Detail'!LC53),Actuals!LD52)</f>
        <v>0</v>
      </c>
      <c r="LD142" s="381">
        <f>IF(ISBLANK(Actuals!LE52),-MAX(0,'BD Commission Detail'!LD53),Actuals!LE52)</f>
        <v>0</v>
      </c>
      <c r="LE142" s="381">
        <f>IF(ISBLANK(Actuals!LF52),-MAX(0,'BD Commission Detail'!LE53),Actuals!LF52)</f>
        <v>0</v>
      </c>
      <c r="LF142" s="381">
        <f>IF(ISBLANK(Actuals!LG52),-MAX(0,'BD Commission Detail'!LF53),Actuals!LG52)</f>
        <v>0</v>
      </c>
      <c r="LG142" s="381">
        <f>IF(ISBLANK(Actuals!LH52),-MAX(0,'BD Commission Detail'!LG53),Actuals!LH52)</f>
        <v>0</v>
      </c>
      <c r="LH142" s="381">
        <f>IF(ISBLANK(Actuals!LI52),-MAX(0,'BD Commission Detail'!LH53),Actuals!LI52)</f>
        <v>0</v>
      </c>
      <c r="LI142" s="381">
        <f>IF(ISBLANK(Actuals!LJ52),-MAX(0,'BD Commission Detail'!LI53),Actuals!LJ52)</f>
        <v>0</v>
      </c>
      <c r="LJ142" s="381">
        <f>IF(ISBLANK(Actuals!LK52),-MAX(0,'BD Commission Detail'!LJ53),Actuals!LK52)</f>
        <v>0</v>
      </c>
      <c r="LK142" s="381">
        <f>IF(ISBLANK(Actuals!LL52),-MAX(0,'BD Commission Detail'!LK53),Actuals!LL52)</f>
        <v>0</v>
      </c>
      <c r="LL142" s="381">
        <f>IF(ISBLANK(Actuals!LM52),-MAX(0,'BD Commission Detail'!LL53),Actuals!LM52)</f>
        <v>0</v>
      </c>
      <c r="LM142" s="381">
        <f>IF(ISBLANK(Actuals!LN52),-MAX(0,'BD Commission Detail'!LM53),Actuals!LN52)</f>
        <v>0</v>
      </c>
      <c r="LN142" s="381">
        <f>IF(ISBLANK(Actuals!LO52),-MAX(0,'BD Commission Detail'!LN53),Actuals!LO52)</f>
        <v>0</v>
      </c>
      <c r="LO142" s="381">
        <f>IF(ISBLANK(Actuals!LP52),-MAX(0,'BD Commission Detail'!LO53),Actuals!LP52)</f>
        <v>0</v>
      </c>
      <c r="LP142" s="381">
        <f>IF(ISBLANK(Actuals!LQ52),-MAX(0,'BD Commission Detail'!LP53),Actuals!LQ52)</f>
        <v>0</v>
      </c>
      <c r="LQ142" s="381">
        <f>IF(ISBLANK(Actuals!LR52),-MAX(0,'BD Commission Detail'!LQ53),Actuals!LR52)</f>
        <v>0</v>
      </c>
      <c r="LR142" s="381">
        <f>IF(ISBLANK(Actuals!LS52),-MAX(0,'BD Commission Detail'!LR53),Actuals!LS52)</f>
        <v>0</v>
      </c>
      <c r="LS142" s="381">
        <f>IF(ISBLANK(Actuals!LT52),-MAX(0,'BD Commission Detail'!LS53),Actuals!LT52)</f>
        <v>0</v>
      </c>
      <c r="LT142" s="381">
        <f>IF(ISBLANK(Actuals!LU52),-MAX(0,'BD Commission Detail'!LT53),Actuals!LU52)</f>
        <v>0</v>
      </c>
      <c r="LU142" s="381">
        <f>IF(ISBLANK(Actuals!LV52),-MAX(0,'BD Commission Detail'!LU53),Actuals!LV52)</f>
        <v>0</v>
      </c>
      <c r="LV142" s="381">
        <f>IF(ISBLANK(Actuals!LW52),-MAX(0,'BD Commission Detail'!LV53),Actuals!LW52)</f>
        <v>0</v>
      </c>
      <c r="LW142" s="381">
        <f>IF(ISBLANK(Actuals!LX52),-MAX(0,'BD Commission Detail'!LW53),Actuals!LX52)</f>
        <v>0</v>
      </c>
      <c r="LX142" s="381">
        <f>IF(ISBLANK(Actuals!LY52),-MAX(0,'BD Commission Detail'!LX53),Actuals!LY52)</f>
        <v>0</v>
      </c>
      <c r="LY142" s="381">
        <f>IF(ISBLANK(Actuals!LZ52),-MAX(0,'BD Commission Detail'!LY53),Actuals!LZ52)</f>
        <v>0</v>
      </c>
      <c r="LZ142" s="381">
        <f>IF(ISBLANK(Actuals!MA52),-MAX(0,'BD Commission Detail'!LZ53),Actuals!MA52)</f>
        <v>0</v>
      </c>
      <c r="MA142" s="381">
        <f>IF(ISBLANK(Actuals!MB52),-MAX(0,'BD Commission Detail'!MA53),Actuals!MB52)</f>
        <v>0</v>
      </c>
      <c r="MB142" s="381">
        <f>IF(ISBLANK(Actuals!MC52),-MAX(0,'BD Commission Detail'!MB53),Actuals!MC52)</f>
        <v>0</v>
      </c>
      <c r="MC142" s="381">
        <f>IF(ISBLANK(Actuals!MD52),-MAX(0,'BD Commission Detail'!MC53),Actuals!MD52)</f>
        <v>0</v>
      </c>
      <c r="MD142" s="381">
        <f>IF(ISBLANK(Actuals!ME52),-MAX(0,'BD Commission Detail'!MD53),Actuals!ME52)</f>
        <v>0</v>
      </c>
      <c r="ME142" s="381">
        <f>IF(ISBLANK(Actuals!MF52),-MAX(0,'BD Commission Detail'!ME53),Actuals!MF52)</f>
        <v>0</v>
      </c>
      <c r="MF142" s="381">
        <f>IF(ISBLANK(Actuals!MG52),-MAX(0,'BD Commission Detail'!MF53),Actuals!MG52)</f>
        <v>0</v>
      </c>
      <c r="MG142" s="381">
        <f>IF(ISBLANK(Actuals!MH52),-MAX(0,'BD Commission Detail'!MG53),Actuals!MH52)</f>
        <v>0</v>
      </c>
      <c r="MH142" s="381">
        <f>IF(ISBLANK(Actuals!MI52),-MAX(0,'BD Commission Detail'!MH53),Actuals!MI52)</f>
        <v>0</v>
      </c>
      <c r="MI142" s="381">
        <f>IF(ISBLANK(Actuals!MJ52),-MAX(0,'BD Commission Detail'!MI53),Actuals!MJ52)</f>
        <v>0</v>
      </c>
      <c r="MJ142" s="381">
        <f>IF(ISBLANK(Actuals!MK52),-MAX(0,'BD Commission Detail'!MJ53),Actuals!MK52)</f>
        <v>0</v>
      </c>
      <c r="MK142" s="381">
        <f>IF(ISBLANK(Actuals!ML52),-MAX(0,'BD Commission Detail'!MK53),Actuals!ML52)</f>
        <v>0</v>
      </c>
      <c r="ML142" s="381">
        <f>IF(ISBLANK(Actuals!MM52),-MAX(0,'BD Commission Detail'!ML53),Actuals!MM52)</f>
        <v>0</v>
      </c>
      <c r="MM142" s="381">
        <f>IF(ISBLANK(Actuals!MN52),-MAX(0,'BD Commission Detail'!MM53),Actuals!MN52)</f>
        <v>0</v>
      </c>
      <c r="MN142" s="381">
        <f>IF(ISBLANK(Actuals!MO52),-MAX(0,'BD Commission Detail'!MN53),Actuals!MO52)</f>
        <v>0</v>
      </c>
      <c r="MO142" s="381">
        <f>IF(ISBLANK(Actuals!MP52),-MAX(0,'BD Commission Detail'!MO53),Actuals!MP52)</f>
        <v>0</v>
      </c>
      <c r="MP142" s="381">
        <f>IF(ISBLANK(Actuals!MQ52),-MAX(0,'BD Commission Detail'!MP53),Actuals!MQ52)</f>
        <v>0</v>
      </c>
      <c r="MQ142" s="381">
        <f>IF(ISBLANK(Actuals!MR52),-MAX(0,'BD Commission Detail'!MQ53),Actuals!MR52)</f>
        <v>0</v>
      </c>
      <c r="MR142" s="381">
        <f>IF(ISBLANK(Actuals!MS52),-MAX(0,'BD Commission Detail'!MR53),Actuals!MS52)</f>
        <v>0</v>
      </c>
      <c r="MS142" s="381">
        <f>IF(ISBLANK(Actuals!MT52),-MAX(0,'BD Commission Detail'!MS53),Actuals!MT52)</f>
        <v>0</v>
      </c>
      <c r="MT142" s="381">
        <f>IF(ISBLANK(Actuals!MU52),-MAX(0,'BD Commission Detail'!MT53),Actuals!MU52)</f>
        <v>0</v>
      </c>
      <c r="MU142" s="381">
        <f>IF(ISBLANK(Actuals!MV52),-MAX(0,'BD Commission Detail'!MU53),Actuals!MV52)</f>
        <v>0</v>
      </c>
      <c r="MV142" s="381">
        <f>IF(ISBLANK(Actuals!MW52),-MAX(0,'BD Commission Detail'!MV53),Actuals!MW52)</f>
        <v>0</v>
      </c>
      <c r="MW142" s="381">
        <f>IF(ISBLANK(Actuals!MX52),-MAX(0,'BD Commission Detail'!MW53),Actuals!MX52)</f>
        <v>0</v>
      </c>
      <c r="MX142" s="381">
        <f>IF(ISBLANK(Actuals!MY52),-MAX(0,'BD Commission Detail'!MX53),Actuals!MY52)</f>
        <v>0</v>
      </c>
      <c r="MY142" s="381">
        <f>IF(ISBLANK(Actuals!MZ52),-MAX(0,'BD Commission Detail'!MY53),Actuals!MZ52)</f>
        <v>0</v>
      </c>
      <c r="MZ142" s="381">
        <f>IF(ISBLANK(Actuals!NA52),-MAX(0,'BD Commission Detail'!MZ53),Actuals!NA52)</f>
        <v>0</v>
      </c>
      <c r="NA142" s="381">
        <f>IF(ISBLANK(Actuals!NB52),-MAX(0,'BD Commission Detail'!NA53),Actuals!NB52)</f>
        <v>0</v>
      </c>
      <c r="NB142" s="381">
        <f>IF(ISBLANK(Actuals!NC52),-MAX(0,'BD Commission Detail'!NB53),Actuals!NC52)</f>
        <v>0</v>
      </c>
      <c r="NC142" s="381">
        <f>IF(ISBLANK(Actuals!ND52),-MAX(0,'BD Commission Detail'!NC53),Actuals!ND52)</f>
        <v>0</v>
      </c>
      <c r="ND142" s="381">
        <f>IF(ISBLANK(Actuals!NE52),-MAX(0,'BD Commission Detail'!ND53),Actuals!NE52)</f>
        <v>0</v>
      </c>
      <c r="NE142" s="381">
        <f>IF(ISBLANK(Actuals!NF52),-MAX(0,'BD Commission Detail'!NE53),Actuals!NF52)</f>
        <v>0</v>
      </c>
      <c r="NF142" s="381">
        <f>IF(ISBLANK(Actuals!NG52),-MAX(0,'BD Commission Detail'!NF53),Actuals!NG52)</f>
        <v>0</v>
      </c>
      <c r="NG142" s="381">
        <f>IF(ISBLANK(Actuals!NH52),-MAX(0,'BD Commission Detail'!NG53),Actuals!NH52)</f>
        <v>0</v>
      </c>
      <c r="NH142" s="381">
        <f>IF(ISBLANK(Actuals!NI52),-MAX(0,'BD Commission Detail'!NH53),Actuals!NI52)</f>
        <v>0</v>
      </c>
      <c r="NI142" s="381">
        <f>IF(ISBLANK(Actuals!NJ52),-MAX(0,'BD Commission Detail'!NI53),Actuals!NJ52)</f>
        <v>0</v>
      </c>
      <c r="NJ142" s="381">
        <f>IF(ISBLANK(Actuals!NK52),-MAX(0,'BD Commission Detail'!NJ53),Actuals!NK52)</f>
        <v>0</v>
      </c>
      <c r="NK142" s="381">
        <f>IF(ISBLANK(Actuals!NL52),-MAX(0,'BD Commission Detail'!NK53),Actuals!NL52)</f>
        <v>0</v>
      </c>
      <c r="NL142" s="381">
        <f>IF(ISBLANK(Actuals!NM52),-MAX(0,'BD Commission Detail'!NL53),Actuals!NM52)</f>
        <v>0</v>
      </c>
      <c r="NM142" s="381">
        <f>IF(ISBLANK(Actuals!NN52),-MAX(0,'BD Commission Detail'!NM53),Actuals!NN52)</f>
        <v>0</v>
      </c>
      <c r="NN142" s="381">
        <f>IF(ISBLANK(Actuals!NO52),-MAX(0,'BD Commission Detail'!NN53),Actuals!NO52)</f>
        <v>0</v>
      </c>
      <c r="NO142" s="381">
        <f>IF(ISBLANK(Actuals!NP52),-MAX(0,'BD Commission Detail'!NO53),Actuals!NP52)</f>
        <v>0</v>
      </c>
      <c r="NP142" s="381">
        <f>IF(ISBLANK(Actuals!NQ52),-MAX(0,'BD Commission Detail'!NP53),Actuals!NQ52)</f>
        <v>0</v>
      </c>
      <c r="NQ142" s="381">
        <f>IF(ISBLANK(Actuals!NR52),-MAX(0,'BD Commission Detail'!NQ53),Actuals!NR52)</f>
        <v>0</v>
      </c>
      <c r="NR142" s="381">
        <f>IF(ISBLANK(Actuals!NS52),-MAX(0,'BD Commission Detail'!NR53),Actuals!NS52)</f>
        <v>0</v>
      </c>
      <c r="NS142" s="381">
        <f>IF(ISBLANK(Actuals!NT52),-MAX(0,'BD Commission Detail'!NS53),Actuals!NT52)</f>
        <v>0</v>
      </c>
      <c r="NT142" s="381">
        <f>IF(ISBLANK(Actuals!NU52),-MAX(0,'BD Commission Detail'!NT53),Actuals!NU52)</f>
        <v>0</v>
      </c>
      <c r="NU142" s="381">
        <f>IF(ISBLANK(Actuals!NV52),-MAX(0,'BD Commission Detail'!NU53),Actuals!NV52)</f>
        <v>0</v>
      </c>
      <c r="NV142" s="381">
        <f>IF(ISBLANK(Actuals!NW52),-MAX(0,'BD Commission Detail'!NV53),Actuals!NW52)</f>
        <v>0</v>
      </c>
      <c r="NW142" s="381">
        <f>IF(ISBLANK(Actuals!NX52),-MAX(0,'BD Commission Detail'!NW53),Actuals!NX52)</f>
        <v>0</v>
      </c>
      <c r="NX142" s="381">
        <f>IF(ISBLANK(Actuals!NY52),-MAX(0,'BD Commission Detail'!NX53),Actuals!NY52)</f>
        <v>0</v>
      </c>
      <c r="NY142" s="381">
        <f>IF(ISBLANK(Actuals!NZ52),-MAX(0,'BD Commission Detail'!NY53),Actuals!NZ52)</f>
        <v>0</v>
      </c>
      <c r="NZ142" s="381">
        <f>IF(ISBLANK(Actuals!OA52),-MAX(0,'BD Commission Detail'!NZ53),Actuals!OA52)</f>
        <v>0</v>
      </c>
      <c r="OA142" s="381">
        <f>IF(ISBLANK(Actuals!OB52),-MAX(0,'BD Commission Detail'!OA53),Actuals!OB52)</f>
        <v>0</v>
      </c>
      <c r="OB142" s="381">
        <f>IF(ISBLANK(Actuals!OC52),-MAX(0,'BD Commission Detail'!OB53),Actuals!OC52)</f>
        <v>0</v>
      </c>
      <c r="OC142" s="381">
        <f>IF(ISBLANK(Actuals!OD52),-MAX(0,'BD Commission Detail'!OC53),Actuals!OD52)</f>
        <v>0</v>
      </c>
      <c r="OD142" s="381">
        <f>IF(ISBLANK(Actuals!OE52),-MAX(0,'BD Commission Detail'!OD53),Actuals!OE52)</f>
        <v>0</v>
      </c>
      <c r="OE142" s="381">
        <f>IF(ISBLANK(Actuals!OF52),-MAX(0,'BD Commission Detail'!OE53),Actuals!OF52)</f>
        <v>0</v>
      </c>
      <c r="OF142" s="381">
        <f>IF(ISBLANK(Actuals!OG52),-MAX(0,'BD Commission Detail'!OF53),Actuals!OG52)</f>
        <v>0</v>
      </c>
      <c r="OG142" s="381">
        <f>IF(ISBLANK(Actuals!OH52),-MAX(0,'BD Commission Detail'!OG53),Actuals!OH52)</f>
        <v>0</v>
      </c>
      <c r="OH142" s="381">
        <f>IF(ISBLANK(Actuals!OI52),-MAX(0,'BD Commission Detail'!OH53),Actuals!OI52)</f>
        <v>0</v>
      </c>
      <c r="OI142" s="381">
        <f>IF(ISBLANK(Actuals!OJ52),-MAX(0,'BD Commission Detail'!OI53),Actuals!OJ52)</f>
        <v>0</v>
      </c>
      <c r="OJ142" s="381">
        <f>IF(ISBLANK(Actuals!OK52),-MAX(0,'BD Commission Detail'!OJ53),Actuals!OK52)</f>
        <v>0</v>
      </c>
      <c r="OK142" s="381">
        <f>IF(ISBLANK(Actuals!OL52),-MAX(0,'BD Commission Detail'!OK53),Actuals!OL52)</f>
        <v>0</v>
      </c>
      <c r="OL142" s="381">
        <f>IF(ISBLANK(Actuals!OM52),-MAX(0,'BD Commission Detail'!OL53),Actuals!OM52)</f>
        <v>0</v>
      </c>
      <c r="OM142" s="381">
        <f>IF(ISBLANK(Actuals!ON52),-MAX(0,'BD Commission Detail'!OM53),Actuals!ON52)</f>
        <v>0</v>
      </c>
      <c r="ON142" s="381">
        <f>IF(ISBLANK(Actuals!OO52),-MAX(0,'BD Commission Detail'!ON53),Actuals!OO52)</f>
        <v>0</v>
      </c>
      <c r="OO142" s="381">
        <f>IF(ISBLANK(Actuals!OP52),-MAX(0,'BD Commission Detail'!OO53),Actuals!OP52)</f>
        <v>0</v>
      </c>
      <c r="OP142" s="381">
        <f>IF(ISBLANK(Actuals!OQ52),-MAX(0,'BD Commission Detail'!OP53),Actuals!OQ52)</f>
        <v>0</v>
      </c>
      <c r="OQ142" s="381">
        <f>IF(ISBLANK(Actuals!OR52),-MAX(0,'BD Commission Detail'!OQ53),Actuals!OR52)</f>
        <v>0</v>
      </c>
      <c r="OR142" s="381">
        <f>IF(ISBLANK(Actuals!OS52),-MAX(0,'BD Commission Detail'!OR53),Actuals!OS52)</f>
        <v>0</v>
      </c>
      <c r="OS142" s="381">
        <f>IF(ISBLANK(Actuals!OT52),-MAX(0,'BD Commission Detail'!OS53),Actuals!OT52)</f>
        <v>0</v>
      </c>
      <c r="OT142" s="381">
        <f>IF(ISBLANK(Actuals!OU52),-MAX(0,'BD Commission Detail'!OT53),Actuals!OU52)</f>
        <v>0</v>
      </c>
      <c r="OU142" s="381">
        <f>IF(ISBLANK(Actuals!OV52),-MAX(0,'BD Commission Detail'!OU53),Actuals!OV52)</f>
        <v>0</v>
      </c>
      <c r="OV142" s="381">
        <f>IF(ISBLANK(Actuals!OW52),-MAX(0,'BD Commission Detail'!OV53),Actuals!OW52)</f>
        <v>0</v>
      </c>
      <c r="OW142" s="381">
        <f>IF(ISBLANK(Actuals!OX52),-MAX(0,'BD Commission Detail'!OW53),Actuals!OX52)</f>
        <v>0</v>
      </c>
      <c r="OX142" s="381">
        <f>IF(ISBLANK(Actuals!OY52),-MAX(0,'BD Commission Detail'!OX53),Actuals!OY52)</f>
        <v>0</v>
      </c>
      <c r="OY142" s="381">
        <f>IF(ISBLANK(Actuals!OZ52),-MAX(0,'BD Commission Detail'!OY53),Actuals!OZ52)</f>
        <v>0</v>
      </c>
      <c r="OZ142" s="381">
        <f>IF(ISBLANK(Actuals!PA52),-MAX(0,'BD Commission Detail'!OZ53),Actuals!PA52)</f>
        <v>0</v>
      </c>
      <c r="PA142" s="381">
        <f>IF(ISBLANK(Actuals!PB52),-MAX(0,'BD Commission Detail'!PA53),Actuals!PB52)</f>
        <v>0</v>
      </c>
      <c r="PB142" s="381">
        <f>IF(ISBLANK(Actuals!PC52),-MAX(0,'BD Commission Detail'!PB53),Actuals!PC52)</f>
        <v>0</v>
      </c>
      <c r="PC142" s="381">
        <f>IF(ISBLANK(Actuals!PD52),-MAX(0,'BD Commission Detail'!PC53),Actuals!PD52)</f>
        <v>0</v>
      </c>
      <c r="PD142" s="381">
        <f>IF(ISBLANK(Actuals!PE52),-MAX(0,'BD Commission Detail'!PD53),Actuals!PE52)</f>
        <v>0</v>
      </c>
      <c r="PE142" s="381">
        <f>IF(ISBLANK(Actuals!PF52),-MAX(0,'BD Commission Detail'!PE53),Actuals!PF52)</f>
        <v>0</v>
      </c>
      <c r="PF142" s="381">
        <f>IF(ISBLANK(Actuals!PG52),-MAX(0,'BD Commission Detail'!PF53),Actuals!PG52)</f>
        <v>0</v>
      </c>
      <c r="PG142" s="381">
        <f>IF(ISBLANK(Actuals!PH52),-MAX(0,'BD Commission Detail'!PG53),Actuals!PH52)</f>
        <v>0</v>
      </c>
      <c r="PH142" s="381">
        <f>IF(ISBLANK(Actuals!PI52),-MAX(0,'BD Commission Detail'!PH53),Actuals!PI52)</f>
        <v>0</v>
      </c>
      <c r="PI142" s="381">
        <f>IF(ISBLANK(Actuals!PJ52),-MAX(0,'BD Commission Detail'!PI53),Actuals!PJ52)</f>
        <v>0</v>
      </c>
      <c r="PJ142" s="381">
        <f>IF(ISBLANK(Actuals!PK52),-MAX(0,'BD Commission Detail'!PJ53),Actuals!PK52)</f>
        <v>0</v>
      </c>
      <c r="PK142" s="381">
        <f>IF(ISBLANK(Actuals!PL52),-MAX(0,'BD Commission Detail'!PK53),Actuals!PL52)</f>
        <v>0</v>
      </c>
      <c r="PL142" s="381">
        <f>IF(ISBLANK(Actuals!PM52),-MAX(0,'BD Commission Detail'!PL53),Actuals!PM52)</f>
        <v>0</v>
      </c>
      <c r="PM142" s="381">
        <f>IF(ISBLANK(Actuals!PN52),-MAX(0,'BD Commission Detail'!PM53),Actuals!PN52)</f>
        <v>0</v>
      </c>
      <c r="PN142" s="381">
        <f>IF(ISBLANK(Actuals!PO52),-MAX(0,'BD Commission Detail'!PN53),Actuals!PO52)</f>
        <v>0</v>
      </c>
      <c r="PO142" s="381">
        <f>IF(ISBLANK(Actuals!PP52),-MAX(0,'BD Commission Detail'!PO53),Actuals!PP52)</f>
        <v>0</v>
      </c>
      <c r="PP142" s="381">
        <f>IF(ISBLANK(Actuals!PQ52),-MAX(0,'BD Commission Detail'!PP53),Actuals!PQ52)</f>
        <v>0</v>
      </c>
      <c r="PQ142" s="381">
        <f>IF(ISBLANK(Actuals!PR52),-MAX(0,'BD Commission Detail'!PQ53),Actuals!PR52)</f>
        <v>0</v>
      </c>
      <c r="PR142" s="381">
        <f>IF(ISBLANK(Actuals!PS52),-MAX(0,'BD Commission Detail'!PR53),Actuals!PS52)</f>
        <v>0</v>
      </c>
      <c r="PS142" s="381">
        <f>IF(ISBLANK(Actuals!PT52),-MAX(0,'BD Commission Detail'!PS53),Actuals!PT52)</f>
        <v>0</v>
      </c>
      <c r="PT142" s="381">
        <f>IF(ISBLANK(Actuals!PU52),-MAX(0,'BD Commission Detail'!PT53),Actuals!PU52)</f>
        <v>0</v>
      </c>
      <c r="PU142" s="381">
        <f>IF(ISBLANK(Actuals!PV52),-MAX(0,'BD Commission Detail'!PU53),Actuals!PV52)</f>
        <v>0</v>
      </c>
      <c r="PV142" s="381">
        <f>IF(ISBLANK(Actuals!PW52),-MAX(0,'BD Commission Detail'!PV53),Actuals!PW52)</f>
        <v>0</v>
      </c>
      <c r="PW142" s="381">
        <f>IF(ISBLANK(Actuals!PX52),-MAX(0,'BD Commission Detail'!PW53),Actuals!PX52)</f>
        <v>0</v>
      </c>
      <c r="PX142" s="381">
        <f>IF(ISBLANK(Actuals!PY52),-MAX(0,'BD Commission Detail'!PX53),Actuals!PY52)</f>
        <v>0</v>
      </c>
      <c r="PY142" s="381">
        <f>IF(ISBLANK(Actuals!PZ52),-MAX(0,'BD Commission Detail'!PY53),Actuals!PZ52)</f>
        <v>0</v>
      </c>
      <c r="PZ142" s="381">
        <f>IF(ISBLANK(Actuals!QA52),-MAX(0,'BD Commission Detail'!PZ53),Actuals!QA52)</f>
        <v>0</v>
      </c>
      <c r="QA142" s="381">
        <f>IF(ISBLANK(Actuals!QB52),-MAX(0,'BD Commission Detail'!QA53),Actuals!QB52)</f>
        <v>0</v>
      </c>
      <c r="QB142" s="381">
        <f>IF(ISBLANK(Actuals!QC52),-MAX(0,'BD Commission Detail'!QB53),Actuals!QC52)</f>
        <v>0</v>
      </c>
      <c r="QC142" s="381">
        <f>IF(ISBLANK(Actuals!QD52),-MAX(0,'BD Commission Detail'!QC53),Actuals!QD52)</f>
        <v>0</v>
      </c>
      <c r="QD142" s="381">
        <f>IF(ISBLANK(Actuals!QE52),-MAX(0,'BD Commission Detail'!QD53),Actuals!QE52)</f>
        <v>0</v>
      </c>
      <c r="QE142" s="381">
        <f>IF(ISBLANK(Actuals!QF52),-MAX(0,'BD Commission Detail'!QE53),Actuals!QF52)</f>
        <v>0</v>
      </c>
      <c r="QF142" s="381">
        <f>IF(ISBLANK(Actuals!QG52),-MAX(0,'BD Commission Detail'!QF53),Actuals!QG52)</f>
        <v>0</v>
      </c>
      <c r="QG142" s="381">
        <f>IF(ISBLANK(Actuals!QH52),-MAX(0,'BD Commission Detail'!QG53),Actuals!QH52)</f>
        <v>0</v>
      </c>
      <c r="QH142" s="381">
        <f>IF(ISBLANK(Actuals!QI52),-MAX(0,'BD Commission Detail'!QH53),Actuals!QI52)</f>
        <v>0</v>
      </c>
      <c r="QI142" s="381">
        <f>IF(ISBLANK(Actuals!QJ52),-MAX(0,'BD Commission Detail'!QI53),Actuals!QJ52)</f>
        <v>0</v>
      </c>
      <c r="QJ142" s="381">
        <f>IF(ISBLANK(Actuals!QK52),-MAX(0,'BD Commission Detail'!QJ53),Actuals!QK52)</f>
        <v>0</v>
      </c>
      <c r="QK142" s="381">
        <f>IF(ISBLANK(Actuals!QL52),-MAX(0,'BD Commission Detail'!QK53),Actuals!QL52)</f>
        <v>0</v>
      </c>
      <c r="QL142" s="381">
        <f>IF(ISBLANK(Actuals!QM52),-MAX(0,'BD Commission Detail'!QL53),Actuals!QM52)</f>
        <v>0</v>
      </c>
      <c r="QM142" s="381">
        <f>IF(ISBLANK(Actuals!QN52),-MAX(0,'BD Commission Detail'!QM53),Actuals!QN52)</f>
        <v>0</v>
      </c>
      <c r="QN142" s="381">
        <f>IF(ISBLANK(Actuals!QO52),-MAX(0,'BD Commission Detail'!QN53),Actuals!QO52)</f>
        <v>0</v>
      </c>
      <c r="QO142" s="381">
        <f>IF(ISBLANK(Actuals!QP52),-MAX(0,'BD Commission Detail'!QO53),Actuals!QP52)</f>
        <v>0</v>
      </c>
      <c r="QP142" s="381">
        <f>IF(ISBLANK(Actuals!QQ52),-MAX(0,'BD Commission Detail'!QP53),Actuals!QQ52)</f>
        <v>0</v>
      </c>
      <c r="QQ142" s="381">
        <f>IF(ISBLANK(Actuals!QR52),-MAX(0,'BD Commission Detail'!QQ53),Actuals!QR52)</f>
        <v>0</v>
      </c>
      <c r="QR142" s="381">
        <f>IF(ISBLANK(Actuals!QS52),-MAX(0,'BD Commission Detail'!QR53),Actuals!QS52)</f>
        <v>0</v>
      </c>
      <c r="QS142" s="381">
        <f>IF(ISBLANK(Actuals!QT52),-MAX(0,'BD Commission Detail'!QS53),Actuals!QT52)</f>
        <v>0</v>
      </c>
      <c r="QT142" s="381">
        <f>IF(ISBLANK(Actuals!QU52),-MAX(0,'BD Commission Detail'!QT53),Actuals!QU52)</f>
        <v>0</v>
      </c>
      <c r="QU142" s="381">
        <f>IF(ISBLANK(Actuals!QV52),-MAX(0,'BD Commission Detail'!QU53),Actuals!QV52)</f>
        <v>0</v>
      </c>
      <c r="QV142" s="381">
        <f>IF(ISBLANK(Actuals!QW52),-MAX(0,'BD Commission Detail'!QV53),Actuals!QW52)</f>
        <v>0</v>
      </c>
      <c r="QW142" s="381">
        <f>IF(ISBLANK(Actuals!QX52),-MAX(0,'BD Commission Detail'!QW53),Actuals!QX52)</f>
        <v>0</v>
      </c>
      <c r="QX142" s="381">
        <f>IF(ISBLANK(Actuals!QY52),-MAX(0,'BD Commission Detail'!QX53),Actuals!QY52)</f>
        <v>0</v>
      </c>
      <c r="QY142" s="381">
        <f>IF(ISBLANK(Actuals!QZ52),-MAX(0,'BD Commission Detail'!QY53),Actuals!QZ52)</f>
        <v>0</v>
      </c>
      <c r="QZ142" s="381">
        <f>IF(ISBLANK(Actuals!RA52),-MAX(0,'BD Commission Detail'!QZ53),Actuals!RA52)</f>
        <v>0</v>
      </c>
      <c r="RA142" s="381">
        <f>IF(ISBLANK(Actuals!RB52),-MAX(0,'BD Commission Detail'!RA53),Actuals!RB52)</f>
        <v>0</v>
      </c>
      <c r="RB142" s="381">
        <f>IF(ISBLANK(Actuals!RC52),-MAX(0,'BD Commission Detail'!RB53),Actuals!RC52)</f>
        <v>0</v>
      </c>
      <c r="RC142" s="381">
        <f>IF(ISBLANK(Actuals!RD52),-MAX(0,'BD Commission Detail'!RC53),Actuals!RD52)</f>
        <v>0</v>
      </c>
      <c r="RD142" s="381">
        <f>IF(ISBLANK(Actuals!RE52),-MAX(0,'BD Commission Detail'!RD53),Actuals!RE52)</f>
        <v>0</v>
      </c>
      <c r="RE142" s="381">
        <f>IF(ISBLANK(Actuals!RF52),-MAX(0,'BD Commission Detail'!RE53),Actuals!RF52)</f>
        <v>0</v>
      </c>
      <c r="RF142" s="381">
        <f>IF(ISBLANK(Actuals!RG52),-MAX(0,'BD Commission Detail'!RF53),Actuals!RG52)</f>
        <v>0</v>
      </c>
      <c r="RG142" s="381">
        <f>IF(ISBLANK(Actuals!RH52),-MAX(0,'BD Commission Detail'!RG53),Actuals!RH52)</f>
        <v>0</v>
      </c>
      <c r="RH142" s="381">
        <f>IF(ISBLANK(Actuals!RI52),-MAX(0,'BD Commission Detail'!RH53),Actuals!RI52)</f>
        <v>0</v>
      </c>
      <c r="RI142" s="381">
        <f>IF(ISBLANK(Actuals!RJ52),-MAX(0,'BD Commission Detail'!RI53),Actuals!RJ52)</f>
        <v>0</v>
      </c>
      <c r="RJ142" s="381">
        <f>IF(ISBLANK(Actuals!RK52),-MAX(0,'BD Commission Detail'!RJ53),Actuals!RK52)</f>
        <v>0</v>
      </c>
      <c r="RK142" s="381">
        <f>IF(ISBLANK(Actuals!RL52),-MAX(0,'BD Commission Detail'!RK53),Actuals!RL52)</f>
        <v>0</v>
      </c>
      <c r="RL142" s="381">
        <f>IF(ISBLANK(Actuals!RM52),-MAX(0,'BD Commission Detail'!RL53),Actuals!RM52)</f>
        <v>0</v>
      </c>
      <c r="RM142" s="381">
        <f>IF(ISBLANK(Actuals!RN52),-MAX(0,'BD Commission Detail'!RM53),Actuals!RN52)</f>
        <v>0</v>
      </c>
      <c r="RN142" s="381">
        <f>IF(ISBLANK(Actuals!RO52),-MAX(0,'BD Commission Detail'!RN53),Actuals!RO52)</f>
        <v>0</v>
      </c>
      <c r="RO142" s="381">
        <f>IF(ISBLANK(Actuals!RP52),-MAX(0,'BD Commission Detail'!RO53),Actuals!RP52)</f>
        <v>0</v>
      </c>
      <c r="RP142" s="381">
        <f>IF(ISBLANK(Actuals!RQ52),-MAX(0,'BD Commission Detail'!RP53),Actuals!RQ52)</f>
        <v>0</v>
      </c>
      <c r="RQ142" s="381">
        <f>IF(ISBLANK(Actuals!RR52),-MAX(0,'BD Commission Detail'!RQ53),Actuals!RR52)</f>
        <v>0</v>
      </c>
      <c r="RR142" s="381">
        <f>IF(ISBLANK(Actuals!RS52),-MAX(0,'BD Commission Detail'!RR53),Actuals!RS52)</f>
        <v>0</v>
      </c>
      <c r="RS142" s="381">
        <f>IF(ISBLANK(Actuals!RT52),-MAX(0,'BD Commission Detail'!RS53),Actuals!RT52)</f>
        <v>0</v>
      </c>
      <c r="RT142" s="381">
        <f>IF(ISBLANK(Actuals!RU52),-MAX(0,'BD Commission Detail'!RT53),Actuals!RU52)</f>
        <v>0</v>
      </c>
      <c r="RU142" s="381">
        <f>IF(ISBLANK(Actuals!RV52),-MAX(0,'BD Commission Detail'!RU53),Actuals!RV52)</f>
        <v>0</v>
      </c>
      <c r="RV142" s="381">
        <f>IF(ISBLANK(Actuals!RW52),-MAX(0,'BD Commission Detail'!RV53),Actuals!RW52)</f>
        <v>0</v>
      </c>
      <c r="RW142" s="381">
        <f>IF(ISBLANK(Actuals!RX52),-MAX(0,'BD Commission Detail'!RW53),Actuals!RX52)</f>
        <v>0</v>
      </c>
      <c r="RX142" s="381">
        <f>IF(ISBLANK(Actuals!RY52),-MAX(0,'BD Commission Detail'!RX53),Actuals!RY52)</f>
        <v>0</v>
      </c>
      <c r="RY142" s="381">
        <f>IF(ISBLANK(Actuals!RZ52),-MAX(0,'BD Commission Detail'!RY53),Actuals!RZ52)</f>
        <v>0</v>
      </c>
      <c r="RZ142" s="381">
        <f>IF(ISBLANK(Actuals!SA52),-MAX(0,'BD Commission Detail'!RZ53),Actuals!SA52)</f>
        <v>0</v>
      </c>
      <c r="SA142" s="381">
        <f>IF(ISBLANK(Actuals!SB52),-MAX(0,'BD Commission Detail'!SA53),Actuals!SB52)</f>
        <v>0</v>
      </c>
      <c r="SB142" s="381">
        <f>IF(ISBLANK(Actuals!SC52),-MAX(0,'BD Commission Detail'!SB53),Actuals!SC52)</f>
        <v>0</v>
      </c>
      <c r="SC142" s="381">
        <f>IF(ISBLANK(Actuals!SD52),-MAX(0,'BD Commission Detail'!SC53),Actuals!SD52)</f>
        <v>0</v>
      </c>
      <c r="SD142" s="381">
        <f>IF(ISBLANK(Actuals!SE52),-MAX(0,'BD Commission Detail'!SD53),Actuals!SE52)</f>
        <v>0</v>
      </c>
      <c r="SE142" s="381">
        <f>IF(ISBLANK(Actuals!SF52),-MAX(0,'BD Commission Detail'!SE53),Actuals!SF52)</f>
        <v>0</v>
      </c>
      <c r="SF142" s="381">
        <f>IF(ISBLANK(Actuals!SG52),-MAX(0,'BD Commission Detail'!SF53),Actuals!SG52)</f>
        <v>0</v>
      </c>
      <c r="SG142" s="381">
        <f>IF(ISBLANK(Actuals!SH52),-MAX(0,'BD Commission Detail'!SG53),Actuals!SH52)</f>
        <v>0</v>
      </c>
      <c r="SH142" s="381">
        <f>IF(ISBLANK(Actuals!SI52),-MAX(0,'BD Commission Detail'!SH53),Actuals!SI52)</f>
        <v>0</v>
      </c>
      <c r="SI142" s="381">
        <f>IF(ISBLANK(Actuals!SJ52),-MAX(0,'BD Commission Detail'!SI53),Actuals!SJ52)</f>
        <v>0</v>
      </c>
      <c r="SJ142" s="381">
        <f>IF(ISBLANK(Actuals!SK52),-MAX(0,'BD Commission Detail'!SJ53),Actuals!SK52)</f>
        <v>0</v>
      </c>
      <c r="SK142" s="381">
        <f>IF(ISBLANK(Actuals!SL52),-MAX(0,'BD Commission Detail'!SK53),Actuals!SL52)</f>
        <v>0</v>
      </c>
      <c r="SL142" s="381">
        <f>IF(ISBLANK(Actuals!SM52),-MAX(0,'BD Commission Detail'!SL53),Actuals!SM52)</f>
        <v>0</v>
      </c>
      <c r="SM142" s="381">
        <f>IF(ISBLANK(Actuals!SN52),-MAX(0,'BD Commission Detail'!SM53),Actuals!SN52)</f>
        <v>0</v>
      </c>
      <c r="SN142" s="381">
        <f>IF(ISBLANK(Actuals!SO52),-MAX(0,'BD Commission Detail'!SN53),Actuals!SO52)</f>
        <v>0</v>
      </c>
      <c r="SO142" s="381">
        <f>IF(ISBLANK(Actuals!SP52),-MAX(0,'BD Commission Detail'!SO53),Actuals!SP52)</f>
        <v>0</v>
      </c>
      <c r="SP142" s="381">
        <f>IF(ISBLANK(Actuals!SQ52),-MAX(0,'BD Commission Detail'!SP53),Actuals!SQ52)</f>
        <v>0</v>
      </c>
      <c r="SQ142" s="381">
        <f>IF(ISBLANK(Actuals!SR52),-MAX(0,'BD Commission Detail'!SQ53),Actuals!SR52)</f>
        <v>0</v>
      </c>
      <c r="SR142" s="381">
        <f>IF(ISBLANK(Actuals!SS52),-MAX(0,'BD Commission Detail'!SR53),Actuals!SS52)</f>
        <v>0</v>
      </c>
      <c r="SS142" s="381">
        <f>IF(ISBLANK(Actuals!ST52),-MAX(0,'BD Commission Detail'!SS53),Actuals!ST52)</f>
        <v>0</v>
      </c>
      <c r="ST142" s="381">
        <f>IF(ISBLANK(Actuals!SU52),-MAX(0,'BD Commission Detail'!ST53),Actuals!SU52)</f>
        <v>0</v>
      </c>
      <c r="SU142" s="381">
        <f>IF(ISBLANK(Actuals!SV52),-MAX(0,'BD Commission Detail'!SU53),Actuals!SV52)</f>
        <v>0</v>
      </c>
      <c r="SV142" s="381">
        <f>IF(ISBLANK(Actuals!SW52),-MAX(0,'BD Commission Detail'!SV53),Actuals!SW52)</f>
        <v>0</v>
      </c>
      <c r="SW142" s="381">
        <f>IF(ISBLANK(Actuals!SX52),-MAX(0,'BD Commission Detail'!SW53),Actuals!SX52)</f>
        <v>0</v>
      </c>
      <c r="SX142" s="381">
        <f>IF(ISBLANK(Actuals!SY52),-MAX(0,'BD Commission Detail'!SX53),Actuals!SY52)</f>
        <v>0</v>
      </c>
      <c r="SY142" s="381">
        <f>IF(ISBLANK(Actuals!SZ52),-MAX(0,'BD Commission Detail'!SY53),Actuals!SZ52)</f>
        <v>0</v>
      </c>
      <c r="SZ142" s="381">
        <f>IF(ISBLANK(Actuals!TA52),-MAX(0,'BD Commission Detail'!SZ53),Actuals!TA52)</f>
        <v>0</v>
      </c>
      <c r="TA142" s="381">
        <f>IF(ISBLANK(Actuals!TB52),-MAX(0,'BD Commission Detail'!TA53),Actuals!TB52)</f>
        <v>0</v>
      </c>
      <c r="TB142" s="381">
        <f>IF(ISBLANK(Actuals!TC52),-MAX(0,'BD Commission Detail'!TB53),Actuals!TC52)</f>
        <v>0</v>
      </c>
      <c r="TC142" s="381">
        <f>IF(ISBLANK(Actuals!TD52),-MAX(0,'BD Commission Detail'!TC53),Actuals!TD52)</f>
        <v>0</v>
      </c>
      <c r="TD142" s="381">
        <f>IF(ISBLANK(Actuals!TE52),-MAX(0,'BD Commission Detail'!TD53),Actuals!TE52)</f>
        <v>0</v>
      </c>
      <c r="TE142" s="381">
        <f>IF(ISBLANK(Actuals!TF52),-MAX(0,'BD Commission Detail'!TE53),Actuals!TF52)</f>
        <v>0</v>
      </c>
      <c r="TF142" s="381">
        <f>IF(ISBLANK(Actuals!TG52),-MAX(0,'BD Commission Detail'!TF53),Actuals!TG52)</f>
        <v>0</v>
      </c>
      <c r="TG142" s="381">
        <f>IF(ISBLANK(Actuals!TH52),-MAX(0,'BD Commission Detail'!TG53),Actuals!TH52)</f>
        <v>0</v>
      </c>
      <c r="TH142" s="381">
        <f>IF(ISBLANK(Actuals!TI52),-MAX(0,'BD Commission Detail'!TH53),Actuals!TI52)</f>
        <v>0</v>
      </c>
      <c r="TI142" s="381">
        <f>IF(ISBLANK(Actuals!TJ52),-MAX(0,'BD Commission Detail'!TI53),Actuals!TJ52)</f>
        <v>0</v>
      </c>
      <c r="TJ142" s="381">
        <f>IF(ISBLANK(Actuals!TK52),-MAX(0,'BD Commission Detail'!TJ53),Actuals!TK52)</f>
        <v>0</v>
      </c>
      <c r="TK142" s="381">
        <f>IF(ISBLANK(Actuals!TL52),-MAX(0,'BD Commission Detail'!TK53),Actuals!TL52)</f>
        <v>0</v>
      </c>
      <c r="TL142" s="381">
        <f>IF(ISBLANK(Actuals!TM52),-MAX(0,'BD Commission Detail'!TL53),Actuals!TM52)</f>
        <v>0</v>
      </c>
      <c r="TM142" s="381">
        <f>IF(ISBLANK(Actuals!TN52),-MAX(0,'BD Commission Detail'!TM53),Actuals!TN52)</f>
        <v>0</v>
      </c>
      <c r="TN142" s="381">
        <f>IF(ISBLANK(Actuals!TO52),-MAX(0,'BD Commission Detail'!TN53),Actuals!TO52)</f>
        <v>0</v>
      </c>
      <c r="TO142" s="381">
        <f>IF(ISBLANK(Actuals!TP52),-MAX(0,'BD Commission Detail'!TO53),Actuals!TP52)</f>
        <v>0</v>
      </c>
      <c r="TP142" s="381">
        <f>IF(ISBLANK(Actuals!TQ52),-MAX(0,'BD Commission Detail'!TP53),Actuals!TQ52)</f>
        <v>0</v>
      </c>
      <c r="TQ142" s="381">
        <f>IF(ISBLANK(Actuals!TR52),-MAX(0,'BD Commission Detail'!TQ53),Actuals!TR52)</f>
        <v>0</v>
      </c>
      <c r="TR142" s="381">
        <f>IF(ISBLANK(Actuals!TS52),-MAX(0,'BD Commission Detail'!TR53),Actuals!TS52)</f>
        <v>0</v>
      </c>
      <c r="TS142" s="381">
        <f>IF(ISBLANK(Actuals!TT52),-MAX(0,'BD Commission Detail'!TS53),Actuals!TT52)</f>
        <v>0</v>
      </c>
      <c r="TT142" s="381">
        <f>IF(ISBLANK(Actuals!TU52),-MAX(0,'BD Commission Detail'!TT53),Actuals!TU52)</f>
        <v>0</v>
      </c>
      <c r="TU142" s="381">
        <f>IF(ISBLANK(Actuals!TV52),-MAX(0,'BD Commission Detail'!TU53),Actuals!TV52)</f>
        <v>0</v>
      </c>
      <c r="TV142" s="381">
        <f>IF(ISBLANK(Actuals!TW52),-MAX(0,'BD Commission Detail'!TV53),Actuals!TW52)</f>
        <v>0</v>
      </c>
      <c r="TW142" s="381">
        <f>IF(ISBLANK(Actuals!TX52),-MAX(0,'BD Commission Detail'!TW53),Actuals!TX52)</f>
        <v>0</v>
      </c>
      <c r="TX142" s="381">
        <f>IF(ISBLANK(Actuals!TY52),-MAX(0,'BD Commission Detail'!TX53),Actuals!TY52)</f>
        <v>0</v>
      </c>
      <c r="TY142" s="381">
        <f>IF(ISBLANK(Actuals!TZ52),-MAX(0,'BD Commission Detail'!TY53),Actuals!TZ52)</f>
        <v>0</v>
      </c>
      <c r="TZ142" s="381">
        <f>IF(ISBLANK(Actuals!UA52),-MAX(0,'BD Commission Detail'!TZ53),Actuals!UA52)</f>
        <v>0</v>
      </c>
      <c r="UA142" s="381">
        <f>IF(ISBLANK(Actuals!UB52),-MAX(0,'BD Commission Detail'!UA53),Actuals!UB52)</f>
        <v>0</v>
      </c>
      <c r="UB142" s="381">
        <f>IF(ISBLANK(Actuals!UC52),-MAX(0,'BD Commission Detail'!UB53),Actuals!UC52)</f>
        <v>0</v>
      </c>
      <c r="UC142" s="381">
        <f>IF(ISBLANK(Actuals!UD52),-MAX(0,'BD Commission Detail'!UC53),Actuals!UD52)</f>
        <v>0</v>
      </c>
      <c r="UD142" s="381">
        <f>IF(ISBLANK(Actuals!UE52),-MAX(0,'BD Commission Detail'!UD53),Actuals!UE52)</f>
        <v>0</v>
      </c>
      <c r="UE142" s="381">
        <f>IF(ISBLANK(Actuals!UF52),-MAX(0,'BD Commission Detail'!UE53),Actuals!UF52)</f>
        <v>0</v>
      </c>
      <c r="UF142" s="381">
        <f>IF(ISBLANK(Actuals!UG52),-MAX(0,'BD Commission Detail'!UF53),Actuals!UG52)</f>
        <v>0</v>
      </c>
      <c r="UG142" s="381">
        <f>IF(ISBLANK(Actuals!UH52),-MAX(0,'BD Commission Detail'!UG53),Actuals!UH52)</f>
        <v>0</v>
      </c>
      <c r="UH142" s="381">
        <f>IF(ISBLANK(Actuals!UI52),-MAX(0,'BD Commission Detail'!UH53),Actuals!UI52)</f>
        <v>0</v>
      </c>
      <c r="UI142" s="381">
        <f>IF(ISBLANK(Actuals!UJ52),-MAX(0,'BD Commission Detail'!UI53),Actuals!UJ52)</f>
        <v>0</v>
      </c>
      <c r="UJ142" s="381">
        <f>IF(ISBLANK(Actuals!UK52),-MAX(0,'BD Commission Detail'!UJ53),Actuals!UK52)</f>
        <v>0</v>
      </c>
      <c r="UK142" s="381">
        <f>IF(ISBLANK(Actuals!UL52),-MAX(0,'BD Commission Detail'!UK53),Actuals!UL52)</f>
        <v>0</v>
      </c>
      <c r="UL142" s="381">
        <f>IF(ISBLANK(Actuals!UM52),-MAX(0,'BD Commission Detail'!UL53),Actuals!UM52)</f>
        <v>0</v>
      </c>
      <c r="UM142" s="381">
        <f>IF(ISBLANK(Actuals!UN52),-MAX(0,'BD Commission Detail'!UM53),Actuals!UN52)</f>
        <v>0</v>
      </c>
      <c r="UN142" s="381">
        <f>IF(ISBLANK(Actuals!UO52),-MAX(0,'BD Commission Detail'!UN53),Actuals!UO52)</f>
        <v>0</v>
      </c>
      <c r="UO142" s="381">
        <f>IF(ISBLANK(Actuals!UP52),-MAX(0,'BD Commission Detail'!UO53),Actuals!UP52)</f>
        <v>0</v>
      </c>
      <c r="UP142" s="381">
        <f>IF(ISBLANK(Actuals!UQ52),-MAX(0,'BD Commission Detail'!UP53),Actuals!UQ52)</f>
        <v>0</v>
      </c>
      <c r="UQ142" s="381">
        <f>IF(ISBLANK(Actuals!UR52),-MAX(0,'BD Commission Detail'!UQ53),Actuals!UR52)</f>
        <v>0</v>
      </c>
      <c r="UR142" s="381">
        <f>IF(ISBLANK(Actuals!US52),-MAX(0,'BD Commission Detail'!UR53),Actuals!US52)</f>
        <v>0</v>
      </c>
      <c r="US142" s="381">
        <f>IF(ISBLANK(Actuals!UT52),-MAX(0,'BD Commission Detail'!US53),Actuals!UT52)</f>
        <v>0</v>
      </c>
      <c r="UT142" s="381">
        <f>IF(ISBLANK(Actuals!UU52),-MAX(0,'BD Commission Detail'!UT53),Actuals!UU52)</f>
        <v>0</v>
      </c>
      <c r="UU142" s="381">
        <f>IF(ISBLANK(Actuals!UV52),-MAX(0,'BD Commission Detail'!UU53),Actuals!UV52)</f>
        <v>0</v>
      </c>
      <c r="UV142" s="381">
        <f>IF(ISBLANK(Actuals!UW52),-MAX(0,'BD Commission Detail'!UV53),Actuals!UW52)</f>
        <v>0</v>
      </c>
      <c r="UW142" s="381">
        <f>IF(ISBLANK(Actuals!UX52),-MAX(0,'BD Commission Detail'!UW53),Actuals!UX52)</f>
        <v>0</v>
      </c>
      <c r="UX142" s="381">
        <f>IF(ISBLANK(Actuals!UY52),-MAX(0,'BD Commission Detail'!UX53),Actuals!UY52)</f>
        <v>0</v>
      </c>
      <c r="UY142" s="381">
        <f>IF(ISBLANK(Actuals!UZ52),-MAX(0,'BD Commission Detail'!UY53),Actuals!UZ52)</f>
        <v>0</v>
      </c>
      <c r="UZ142" s="381">
        <f>IF(ISBLANK(Actuals!VA52),-MAX(0,'BD Commission Detail'!UZ53),Actuals!VA52)</f>
        <v>0</v>
      </c>
      <c r="VA142" s="381">
        <f>IF(ISBLANK(Actuals!VB52),-MAX(0,'BD Commission Detail'!VA53),Actuals!VB52)</f>
        <v>0</v>
      </c>
      <c r="VB142" s="381">
        <f>IF(ISBLANK(Actuals!VC52),-MAX(0,'BD Commission Detail'!VB53),Actuals!VC52)</f>
        <v>0</v>
      </c>
      <c r="VC142" s="381">
        <f>IF(ISBLANK(Actuals!VD52),-MAX(0,'BD Commission Detail'!VC53),Actuals!VD52)</f>
        <v>0</v>
      </c>
      <c r="VD142" s="381">
        <f>IF(ISBLANK(Actuals!VE52),-MAX(0,'BD Commission Detail'!VD53),Actuals!VE52)</f>
        <v>0</v>
      </c>
      <c r="VE142" s="381">
        <f>IF(ISBLANK(Actuals!VF52),-MAX(0,'BD Commission Detail'!VE53),Actuals!VF52)</f>
        <v>0</v>
      </c>
      <c r="VF142" s="381">
        <f>IF(ISBLANK(Actuals!VG52),-MAX(0,'BD Commission Detail'!VF53),Actuals!VG52)</f>
        <v>0</v>
      </c>
      <c r="VG142" s="381">
        <f>IF(ISBLANK(Actuals!VH52),-MAX(0,'BD Commission Detail'!VG53),Actuals!VH52)</f>
        <v>0</v>
      </c>
      <c r="VH142" s="381">
        <f>IF(ISBLANK(Actuals!VI52),-MAX(0,'BD Commission Detail'!VH53),Actuals!VI52)</f>
        <v>0</v>
      </c>
      <c r="VI142" s="381">
        <f>IF(ISBLANK(Actuals!VJ52),-MAX(0,'BD Commission Detail'!VI53),Actuals!VJ52)</f>
        <v>0</v>
      </c>
      <c r="VJ142" s="381">
        <f>IF(ISBLANK(Actuals!VK52),-MAX(0,'BD Commission Detail'!VJ53),Actuals!VK52)</f>
        <v>0</v>
      </c>
      <c r="VK142" s="381">
        <f>IF(ISBLANK(Actuals!VL52),-MAX(0,'BD Commission Detail'!VK53),Actuals!VL52)</f>
        <v>0</v>
      </c>
      <c r="VL142" s="381">
        <f>IF(ISBLANK(Actuals!VM52),-MAX(0,'BD Commission Detail'!VL53),Actuals!VM52)</f>
        <v>0</v>
      </c>
      <c r="VM142" s="381">
        <f>IF(ISBLANK(Actuals!VN52),-MAX(0,'BD Commission Detail'!VM53),Actuals!VN52)</f>
        <v>0</v>
      </c>
      <c r="VN142" s="381">
        <f>IF(ISBLANK(Actuals!VO52),-MAX(0,'BD Commission Detail'!VN53),Actuals!VO52)</f>
        <v>0</v>
      </c>
      <c r="VO142" s="381">
        <f>IF(ISBLANK(Actuals!VP52),-MAX(0,'BD Commission Detail'!VO53),Actuals!VP52)</f>
        <v>0</v>
      </c>
      <c r="VP142" s="381">
        <f>IF(ISBLANK(Actuals!VQ52),-MAX(0,'BD Commission Detail'!VP53),Actuals!VQ52)</f>
        <v>0</v>
      </c>
      <c r="VQ142" s="381">
        <f>IF(ISBLANK(Actuals!VR52),-MAX(0,'BD Commission Detail'!VQ53),Actuals!VR52)</f>
        <v>0</v>
      </c>
      <c r="VR142" s="381">
        <f>IF(ISBLANK(Actuals!VS52),-MAX(0,'BD Commission Detail'!VR53),Actuals!VS52)</f>
        <v>0</v>
      </c>
      <c r="VS142" s="381">
        <f>IF(ISBLANK(Actuals!VT52),-MAX(0,'BD Commission Detail'!VS53),Actuals!VT52)</f>
        <v>0</v>
      </c>
      <c r="VT142" s="381">
        <f>IF(ISBLANK(Actuals!VU52),-MAX(0,'BD Commission Detail'!VT53),Actuals!VU52)</f>
        <v>0</v>
      </c>
      <c r="VU142" s="381">
        <f>IF(ISBLANK(Actuals!VV52),-MAX(0,'BD Commission Detail'!VU53),Actuals!VV52)</f>
        <v>0</v>
      </c>
      <c r="VV142" s="381">
        <f>IF(ISBLANK(Actuals!VW52),-MAX(0,'BD Commission Detail'!VV53),Actuals!VW52)</f>
        <v>0</v>
      </c>
      <c r="VW142" s="381">
        <f>IF(ISBLANK(Actuals!VX52),-MAX(0,'BD Commission Detail'!VW53),Actuals!VX52)</f>
        <v>0</v>
      </c>
      <c r="VX142" s="381">
        <f>IF(ISBLANK(Actuals!VY52),-MAX(0,'BD Commission Detail'!VX53),Actuals!VY52)</f>
        <v>0</v>
      </c>
    </row>
    <row r="143" ht="15" customFormat="1" customHeight="1" s="381">
      <c r="A143" s="398" t="inlineStr">
        <is>
          <t>8200-2000 State Tax and Fees</t>
        </is>
      </c>
      <c r="B143" s="402">
        <f>IF(ISBLANK(Actuals!C53),0,Actuals!C53)</f>
        <v>0</v>
      </c>
      <c r="C143" s="402">
        <f>IF(ISBLANK(Actuals!D53),0,Actuals!D53)</f>
        <v>0</v>
      </c>
      <c r="D143" s="402">
        <f>IF(ISBLANK(Actuals!E53),0,Actuals!E53)</f>
        <v>-11105.35</v>
      </c>
      <c r="E143" s="402">
        <f>IF(ISBLANK(Actuals!F53),-3701.78*Escalation!$B$2,Actuals!F53)</f>
        <v>0</v>
      </c>
      <c r="F143" s="402">
        <f>IF(ISBLANK(Actuals!G53),-3701.78*Escalation!$B$3,Actuals!G53)</f>
        <v>0</v>
      </c>
      <c r="G143" s="402">
        <f>IF(ISBLANK(Actuals!H53),-3701.78*Escalation!$B$4,Actuals!H53)</f>
        <v>0</v>
      </c>
      <c r="H143" s="402">
        <f>IF(ISBLANK(Actuals!I53),-3701.78*Escalation!$B$5,Actuals!I53)</f>
        <v>-3701.78</v>
      </c>
      <c r="I143" s="402">
        <f>IF(ISBLANK(Actuals!J53),-3701.78*Escalation!$B$6,Actuals!J53)</f>
        <v>-3701.78</v>
      </c>
      <c r="J143" s="402">
        <f>IF(ISBLANK(Actuals!K53),-3701.78*Escalation!$B$7,Actuals!K53)</f>
        <v>-3701.78</v>
      </c>
      <c r="K143" s="402">
        <f>IF(ISBLANK(Actuals!L53),-3701.78*Escalation!$B$8,Actuals!L53)</f>
        <v>-3701.78</v>
      </c>
      <c r="L143" s="402">
        <f>IF(ISBLANK(Actuals!M53),-3701.78*Escalation!$B$9,Actuals!M53)</f>
        <v>-3701.78</v>
      </c>
      <c r="M143" s="402">
        <f>IF(ISBLANK(Actuals!N53),-3701.78*Escalation!$B$10,Actuals!N53)</f>
        <v>-3701.78</v>
      </c>
      <c r="N143" s="402">
        <f>IF(ISBLANK(Actuals!O53),-3701.78*Escalation!$B$11,Actuals!O53)</f>
        <v>-3701.78</v>
      </c>
      <c r="O143" s="402">
        <f>IF(ISBLANK(Actuals!P53),-3701.78*Escalation!$B$12,Actuals!P53)</f>
        <v>-3701.78</v>
      </c>
      <c r="P143" s="402">
        <f>IF(ISBLANK(Actuals!Q53),-3701.78*Escalation!$B$13,Actuals!Q53)</f>
        <v>-3701.78</v>
      </c>
      <c r="Q143" s="402">
        <f>IF(ISBLANK(Actuals!R53),-3701.78*Escalation!$B$14,Actuals!R53)</f>
        <v>-3775.8156</v>
      </c>
      <c r="R143" s="402">
        <f>IF(ISBLANK(Actuals!S53),-3701.78*Escalation!$B$15,Actuals!S53)</f>
        <v>-3775.8156</v>
      </c>
      <c r="S143" s="402">
        <f>IF(ISBLANK(Actuals!T53),-3701.78*Escalation!$B$16,Actuals!T53)</f>
        <v>-3775.8156</v>
      </c>
      <c r="T143" s="402">
        <f>IF(ISBLANK(Actuals!U53),-3701.78*Escalation!$B$17,Actuals!U53)</f>
        <v>-3775.8156</v>
      </c>
      <c r="U143" s="402">
        <f>IF(ISBLANK(Actuals!V53),-3701.78*Escalation!$B$18,Actuals!V53)</f>
        <v>-3775.8156</v>
      </c>
      <c r="V143" s="402">
        <f>IF(ISBLANK(Actuals!W53),-3701.78*Escalation!$B$19,Actuals!W53)</f>
        <v>-3775.8156</v>
      </c>
      <c r="W143" s="402">
        <f>IF(ISBLANK(Actuals!X53),-3701.78*Escalation!$B$20,Actuals!X53)</f>
        <v>-3775.8156</v>
      </c>
      <c r="X143" s="402">
        <f>IF(ISBLANK(Actuals!Y53),-3701.78*Escalation!$B$21,Actuals!Y53)</f>
        <v>-3775.8156</v>
      </c>
      <c r="Y143" s="402">
        <f>IF(ISBLANK(Actuals!Z53),-3701.78*Escalation!$B$22,Actuals!Z53)</f>
        <v>-3775.8156</v>
      </c>
      <c r="Z143" s="402">
        <f>IF(ISBLANK(Actuals!AA53),-3701.78*Escalation!$B$23,Actuals!AA53)</f>
        <v>-3775.8156</v>
      </c>
      <c r="AA143" s="402">
        <f>IF(ISBLANK(Actuals!AB53),-3701.78*Escalation!$B$24,Actuals!AB53)</f>
        <v>-3775.8156</v>
      </c>
      <c r="AB143" s="402">
        <f>IF(ISBLANK(Actuals!AC53),-3701.78*Escalation!$B$25,Actuals!AC53)</f>
        <v>-3775.8156</v>
      </c>
      <c r="AC143" s="402">
        <f>IF(ISBLANK(Actuals!AD53),-3701.78*Escalation!$B$26,Actuals!AD53)</f>
        <v>-3851.331912</v>
      </c>
      <c r="AD143" s="402">
        <f>IF(ISBLANK(Actuals!AE53),-3701.78*Escalation!$B$27,Actuals!AE53)</f>
        <v>-3851.331912</v>
      </c>
      <c r="AE143" s="402">
        <f>IF(ISBLANK(Actuals!AF53),-3701.78*Escalation!$B$28,Actuals!AF53)</f>
        <v>-3851.331912</v>
      </c>
      <c r="AF143" s="402">
        <f>IF(ISBLANK(Actuals!AG53),-3701.78*Escalation!$B$29,Actuals!AG53)</f>
        <v>-3851.331912</v>
      </c>
      <c r="AG143" s="402">
        <f>IF(ISBLANK(Actuals!AH53),-3701.78*Escalation!$B$30,Actuals!AH53)</f>
        <v>-3851.331912</v>
      </c>
      <c r="AH143" s="402">
        <f>IF(ISBLANK(Actuals!AI53),-3701.78*Escalation!$B$31,Actuals!AI53)</f>
        <v>-3851.331912</v>
      </c>
      <c r="AI143" s="402">
        <f>IF(ISBLANK(Actuals!AJ53),-3701.78*Escalation!$B$32,Actuals!AJ53)</f>
        <v>-3851.331912</v>
      </c>
      <c r="AJ143" s="402">
        <f>IF(ISBLANK(Actuals!AK53),-3701.78*Escalation!$B$33,Actuals!AK53)</f>
        <v>-3851.331912</v>
      </c>
      <c r="AK143" s="402">
        <f>IF(ISBLANK(Actuals!AL53),-3701.78*Escalation!$B$34,Actuals!AL53)</f>
        <v>-3851.331912</v>
      </c>
      <c r="AL143" s="402">
        <f>IF(ISBLANK(Actuals!AM53),-3701.78*Escalation!$B$35,Actuals!AM53)</f>
        <v>-3851.331912</v>
      </c>
      <c r="AM143" s="402">
        <f>IF(ISBLANK(Actuals!AN53),-3701.78*Escalation!$B$36,Actuals!AN53)</f>
        <v>-3851.331912</v>
      </c>
      <c r="AN143" s="402">
        <f>IF(ISBLANK(Actuals!AO53),-3701.78*Escalation!$B$37,Actuals!AO53)</f>
        <v>-3851.331912</v>
      </c>
      <c r="AO143" s="402">
        <f>IF(ISBLANK(Actuals!AP53),-3701.78*Escalation!$B$38,Actuals!AP53)</f>
        <v>-3928.35855024</v>
      </c>
      <c r="AP143" s="402">
        <f>IF(ISBLANK(Actuals!AQ53),-3701.78*Escalation!$B$39,Actuals!AQ53)</f>
        <v>-3928.35855024</v>
      </c>
      <c r="AQ143" s="402">
        <f>IF(ISBLANK(Actuals!AR53),-3701.78*Escalation!$B$40,Actuals!AR53)</f>
        <v>-3928.35855024</v>
      </c>
      <c r="AR143" s="402">
        <f>IF(ISBLANK(Actuals!AS53),-3701.78*Escalation!$B$41,Actuals!AS53)</f>
        <v>-3928.35855024</v>
      </c>
      <c r="AS143" s="402">
        <f>IF(ISBLANK(Actuals!AT53),-3701.78*Escalation!$B$42,Actuals!AT53)</f>
        <v>-3928.35855024</v>
      </c>
      <c r="AT143" s="402">
        <f>IF(ISBLANK(Actuals!AU53),-3701.78*Escalation!$B$43,Actuals!AU53)</f>
        <v>-3928.35855024</v>
      </c>
      <c r="AU143" s="402">
        <f>IF(ISBLANK(Actuals!AV53),-3701.78*Escalation!$B$44,Actuals!AV53)</f>
        <v>-3928.35855024</v>
      </c>
      <c r="AV143" s="402">
        <f>IF(ISBLANK(Actuals!AW53),-3701.78*Escalation!$B$45,Actuals!AW53)</f>
        <v>-3928.35855024</v>
      </c>
      <c r="AW143" s="402">
        <f>IF(ISBLANK(Actuals!AX53),-3701.78*Escalation!$B$46,Actuals!AX53)</f>
        <v>-3928.35855024</v>
      </c>
      <c r="AX143" s="402">
        <f>IF(ISBLANK(Actuals!AY53),-3701.78*Escalation!$B$47,Actuals!AY53)</f>
        <v>-3928.35855024</v>
      </c>
      <c r="AY143" s="402">
        <f>IF(ISBLANK(Actuals!AZ53),-3701.78*Escalation!$B$48,Actuals!AZ53)</f>
        <v>-3928.35855024</v>
      </c>
      <c r="AZ143" s="402">
        <f>IF(ISBLANK(Actuals!BA53),-3701.78*Escalation!$B$49,Actuals!BA53)</f>
        <v>-3928.35855024</v>
      </c>
      <c r="BA143" s="402">
        <f>IF(ISBLANK(Actuals!BB53),-3701.78*Escalation!$B$50,Actuals!BB53)</f>
        <v>-4006.9257212448</v>
      </c>
      <c r="BB143" s="402">
        <f>IF(ISBLANK(Actuals!BC53),-3701.78*Escalation!$B$51,Actuals!BC53)</f>
        <v>-4006.9257212448</v>
      </c>
      <c r="BC143" s="402">
        <f>IF(ISBLANK(Actuals!BD53),-3701.78*Escalation!$B$52,Actuals!BD53)</f>
        <v>-4006.9257212448</v>
      </c>
      <c r="BD143" s="402">
        <f>IF(ISBLANK(Actuals!BE53),-3701.78*Escalation!$B$53,Actuals!BE53)</f>
        <v>-4006.9257212448</v>
      </c>
      <c r="BE143" s="402">
        <f>IF(ISBLANK(Actuals!BF53),-3701.78*Escalation!$B$54,Actuals!BF53)</f>
        <v>-4006.9257212448</v>
      </c>
      <c r="BF143" s="402">
        <f>IF(ISBLANK(Actuals!BG53),-3701.78*Escalation!$B$55,Actuals!BG53)</f>
        <v>-4006.9257212448</v>
      </c>
      <c r="BG143" s="402">
        <f>IF(ISBLANK(Actuals!BH53),-3701.78*Escalation!$B$56,Actuals!BH53)</f>
        <v>-4006.9257212448</v>
      </c>
      <c r="BH143" s="402">
        <f>IF(ISBLANK(Actuals!BI53),-3701.78*Escalation!$B$57,Actuals!BI53)</f>
        <v>-4006.9257212448</v>
      </c>
      <c r="BI143" s="402">
        <f>IF(ISBLANK(Actuals!BJ53),-3701.78*Escalation!$B$58,Actuals!BJ53)</f>
        <v>-4006.9257212448</v>
      </c>
      <c r="BJ143" s="402">
        <f>IF(ISBLANK(Actuals!BK53),-3701.78*Escalation!$B$59,Actuals!BK53)</f>
        <v>-4006.9257212448</v>
      </c>
      <c r="BK143" s="402">
        <f>IF(ISBLANK(Actuals!BL53),-3701.78*Escalation!$B$60,Actuals!BL53)</f>
        <v>-4006.9257212448</v>
      </c>
      <c r="BL143" s="402">
        <f>IF(ISBLANK(Actuals!BM53),-3701.78*Escalation!$B$61,Actuals!BM53)</f>
        <v>-4006.9257212448</v>
      </c>
      <c r="BM143" s="402">
        <f>IF(ISBLANK(Actuals!BN53),-3701.78*Escalation!$B$62,Actuals!BN53)</f>
        <v>-4087.0642356697</v>
      </c>
      <c r="BN143" s="402">
        <f>IF(ISBLANK(Actuals!BO53),-3701.78*Escalation!$B$63,Actuals!BO53)</f>
        <v>-4087.0642356697</v>
      </c>
      <c r="BO143" s="402">
        <f>IF(ISBLANK(Actuals!BP53),-3701.78*Escalation!$B$64,Actuals!BP53)</f>
        <v>-4087.0642356697</v>
      </c>
      <c r="BP143" s="402">
        <f>IF(ISBLANK(Actuals!BQ53),-3701.78*Escalation!$B$65,Actuals!BQ53)</f>
        <v>-4087.0642356697</v>
      </c>
      <c r="BQ143" s="402">
        <f>IF(ISBLANK(Actuals!BR53),-3701.78*Escalation!$B$66,Actuals!BR53)</f>
        <v>-4087.0642356697</v>
      </c>
      <c r="BR143" s="402">
        <f>IF(ISBLANK(Actuals!BS53),-3701.78*Escalation!$B$67,Actuals!BS53)</f>
        <v>-4087.0642356697</v>
      </c>
      <c r="BS143" s="402">
        <f>IF(ISBLANK(Actuals!BT53),-3701.78*Escalation!$B$68,Actuals!BT53)</f>
        <v>-4087.0642356697</v>
      </c>
      <c r="BT143" s="402">
        <f>IF(ISBLANK(Actuals!BU53),-3701.78*Escalation!$B$69,Actuals!BU53)</f>
        <v>-4087.0642356697</v>
      </c>
      <c r="BU143" s="402">
        <f>IF(ISBLANK(Actuals!BV53),-3701.78*Escalation!$B$70,Actuals!BV53)</f>
        <v>-4087.0642356697</v>
      </c>
      <c r="BV143" s="402">
        <f>IF(ISBLANK(Actuals!BW53),-3701.78*Escalation!$B$71,Actuals!BW53)</f>
        <v>-4087.0642356697</v>
      </c>
      <c r="BW143" s="402">
        <f>IF(ISBLANK(Actuals!BX53),-3701.78*Escalation!$B$72,Actuals!BX53)</f>
        <v>-4087.0642356697</v>
      </c>
      <c r="BX143" s="402">
        <f>IF(ISBLANK(Actuals!BY53),-3701.78*Escalation!$B$73,Actuals!BY53)</f>
        <v>-4087.0642356697</v>
      </c>
      <c r="BY143" s="402">
        <f>IF(ISBLANK(Actuals!BZ53),-3701.78*Escalation!$B$74,Actuals!BZ53)</f>
        <v>-4168.80552038309</v>
      </c>
      <c r="BZ143" s="402">
        <f>IF(ISBLANK(Actuals!CA53),-3701.78*Escalation!$B$75,Actuals!CA53)</f>
        <v>-4168.80552038309</v>
      </c>
      <c r="CA143" s="402">
        <f>IF(ISBLANK(Actuals!CB53),-3701.78*Escalation!$B$76,Actuals!CB53)</f>
        <v>-4168.80552038309</v>
      </c>
      <c r="CB143" s="402">
        <f>IF(ISBLANK(Actuals!CC53),-3701.78*Escalation!$B$77,Actuals!CC53)</f>
        <v>-4168.80552038309</v>
      </c>
      <c r="CC143" s="402">
        <f>IF(ISBLANK(Actuals!CD53),-3701.78*Escalation!$B$78,Actuals!CD53)</f>
        <v>-4168.80552038309</v>
      </c>
      <c r="CD143" s="402">
        <f>IF(ISBLANK(Actuals!CE53),-3701.78*Escalation!$B$79,Actuals!CE53)</f>
        <v>-4168.80552038309</v>
      </c>
      <c r="CE143" s="402">
        <f>IF(ISBLANK(Actuals!CF53),-3701.78*Escalation!$B$80,Actuals!CF53)</f>
        <v>-4168.80552038309</v>
      </c>
      <c r="CF143" s="402">
        <f>IF(ISBLANK(Actuals!CG53),-3701.78*Escalation!$B$81,Actuals!CG53)</f>
        <v>-4168.80552038309</v>
      </c>
      <c r="CG143" s="402">
        <f>IF(ISBLANK(Actuals!CH53),-3701.78*Escalation!$B$82,Actuals!CH53)</f>
        <v>-4168.80552038309</v>
      </c>
      <c r="CH143" s="402">
        <f>IF(ISBLANK(Actuals!CI53),-3701.78*Escalation!$B$83,Actuals!CI53)</f>
        <v>-4168.80552038309</v>
      </c>
      <c r="CI143" s="402">
        <f>IF(ISBLANK(Actuals!CJ53),-3701.78*Escalation!$B$84,Actuals!CJ53)</f>
        <v>-4168.80552038309</v>
      </c>
      <c r="CJ143" s="402">
        <f>IF(ISBLANK(Actuals!CK53),-3701.78*Escalation!$B$85,Actuals!CK53)</f>
        <v>-4168.80552038309</v>
      </c>
      <c r="CK143" s="402">
        <f>IF(ISBLANK(Actuals!CL53),-3701.78*Escalation!$B$86,Actuals!CL53)</f>
        <v>-4252.18163079075</v>
      </c>
      <c r="CL143" s="402">
        <f>IF(ISBLANK(Actuals!CM53),-3701.78*Escalation!$B$87,Actuals!CM53)</f>
        <v>-4252.18163079075</v>
      </c>
      <c r="CM143" s="402">
        <f>IF(ISBLANK(Actuals!CN53),-3701.78*Escalation!$B$88,Actuals!CN53)</f>
        <v>-4252.18163079075</v>
      </c>
      <c r="CN143" s="402">
        <f>IF(ISBLANK(Actuals!CO53),-3701.78*Escalation!$B$89,Actuals!CO53)</f>
        <v>-4252.18163079075</v>
      </c>
      <c r="CO143" s="402">
        <f>IF(ISBLANK(Actuals!CP53),-3701.78*Escalation!$B$90,Actuals!CP53)</f>
        <v>-4252.18163079075</v>
      </c>
      <c r="CP143" s="402">
        <f>IF(ISBLANK(Actuals!CQ53),-3701.78*Escalation!$B$91,Actuals!CQ53)</f>
        <v>-4252.18163079075</v>
      </c>
      <c r="CQ143" s="402">
        <f>IF(ISBLANK(Actuals!CR53),-3701.78*Escalation!$B$92,Actuals!CR53)</f>
        <v>-4252.18163079075</v>
      </c>
      <c r="CR143" s="402">
        <f>IF(ISBLANK(Actuals!CS53),-3701.78*Escalation!$B$93,Actuals!CS53)</f>
        <v>-4252.18163079075</v>
      </c>
      <c r="CS143" s="402">
        <f>IF(ISBLANK(Actuals!CT53),-3701.78*Escalation!$B$94,Actuals!CT53)</f>
        <v>-4252.18163079075</v>
      </c>
      <c r="CT143" s="402">
        <f>IF(ISBLANK(Actuals!CU53),-3701.78*Escalation!$B$95,Actuals!CU53)</f>
        <v>-4252.18163079075</v>
      </c>
      <c r="CU143" s="402">
        <f>IF(ISBLANK(Actuals!CV53),-3701.78*Escalation!$B$96,Actuals!CV53)</f>
        <v>-4252.18163079075</v>
      </c>
      <c r="CV143" s="402">
        <f>IF(ISBLANK(Actuals!CW53),-3701.78*Escalation!$B$97,Actuals!CW53)</f>
        <v>-4252.18163079075</v>
      </c>
      <c r="CW143" s="402">
        <f>IF(ISBLANK(Actuals!CX53),-3701.78*Escalation!$B$98,Actuals!CX53)</f>
        <v>-4337.22526340657</v>
      </c>
      <c r="CX143" s="402">
        <f>IF(ISBLANK(Actuals!CY53),-3701.78*Escalation!$B$99,Actuals!CY53)</f>
        <v>-4337.22526340657</v>
      </c>
      <c r="CY143" s="402">
        <f>IF(ISBLANK(Actuals!CZ53),-3701.78*Escalation!$B$100,Actuals!CZ53)</f>
        <v>-4337.22526340657</v>
      </c>
      <c r="CZ143" s="402">
        <f>IF(ISBLANK(Actuals!DA53),-3701.78*Escalation!$B$101,Actuals!DA53)</f>
        <v>-4337.22526340657</v>
      </c>
      <c r="DA143" s="402">
        <f>IF(ISBLANK(Actuals!DB53),-3701.78*Escalation!$B$102,Actuals!DB53)</f>
        <v>-4337.22526340657</v>
      </c>
      <c r="DB143" s="402">
        <f>IF(ISBLANK(Actuals!DC53),-3701.78*Escalation!$B$103,Actuals!DC53)</f>
        <v>-4337.22526340657</v>
      </c>
      <c r="DC143" s="402">
        <f>IF(ISBLANK(Actuals!DD53),-3701.78*Escalation!$B$104,Actuals!DD53)</f>
        <v>-4337.22526340657</v>
      </c>
      <c r="DD143" s="402">
        <f>IF(ISBLANK(Actuals!DE53),-3701.78*Escalation!$B$105,Actuals!DE53)</f>
        <v>-4337.22526340657</v>
      </c>
      <c r="DE143" s="402">
        <f>IF(ISBLANK(Actuals!DF53),-3701.78*Escalation!$B$106,Actuals!DF53)</f>
        <v>-4337.22526340657</v>
      </c>
    </row>
    <row r="144" ht="15" customFormat="1" customHeight="1" s="381">
      <c r="A144" s="409" t="inlineStr">
        <is>
          <t>Total GC Costs</t>
        </is>
      </c>
      <c r="B144" s="410">
        <f>SUM(B110:B143)</f>
        <v>-260601.5</v>
      </c>
      <c r="C144" s="410">
        <f>SUM(C110:C143)</f>
        <v>-260308.54</v>
      </c>
      <c r="D144" s="410">
        <f>SUM(D110:D143)</f>
        <v>-351937.74</v>
      </c>
      <c r="E144" s="410">
        <f>SUM(E110:E143)</f>
        <v>-73431.56</v>
      </c>
      <c r="F144" s="410">
        <f>SUM(F110:F143)</f>
        <v>-437914.85</v>
      </c>
      <c r="G144" s="410">
        <f>SUM(G110:G143)</f>
        <v>-322841.21</v>
      </c>
      <c r="H144" s="410">
        <f>SUM(H110:H143)</f>
        <v>-529245.725</v>
      </c>
      <c r="I144" s="410">
        <f>SUM(I110:I143)</f>
        <v>-484245.725</v>
      </c>
      <c r="J144" s="410">
        <f>SUM(J110:J143)</f>
        <v>-484245.725</v>
      </c>
      <c r="K144" s="410">
        <f>SUM(K110:K143)</f>
        <v>-484245.725</v>
      </c>
      <c r="L144" s="410">
        <f>SUM(L110:L143)</f>
        <v>-523512.391666667</v>
      </c>
      <c r="M144" s="410">
        <f>SUM(M110:M143)</f>
        <v>-531416.558333333</v>
      </c>
      <c r="N144" s="410">
        <f>SUM(N110:N143)</f>
        <v>-590193.648333333</v>
      </c>
      <c r="O144" s="410">
        <f>SUM(O110:O143)</f>
        <v>-566667.420208333</v>
      </c>
      <c r="P144" s="410">
        <f>SUM(P110:P143)</f>
        <v>-528693.648333333</v>
      </c>
      <c r="Q144" s="410">
        <f>SUM(Q110:Q143)</f>
        <v>-537190.854633333</v>
      </c>
      <c r="R144" s="410">
        <f>SUM(R110:R143)</f>
        <v>-647250.479633333</v>
      </c>
      <c r="S144" s="410">
        <f>SUM(S110:S143)</f>
        <v>-618790.517133333</v>
      </c>
      <c r="T144" s="410">
        <f>SUM(T110:T143)</f>
        <v>-608793.942133333</v>
      </c>
      <c r="U144" s="410">
        <f>SUM(U110:U143)</f>
        <v>-626607.402133333</v>
      </c>
      <c r="V144" s="410">
        <f>SUM(V110:V143)</f>
        <v>-580500.479633333</v>
      </c>
      <c r="W144" s="410">
        <f>SUM(W110:W143)</f>
        <v>-580500.479633333</v>
      </c>
      <c r="X144" s="410">
        <f>SUM(X110:X143)</f>
        <v>-580500.479633333</v>
      </c>
      <c r="Y144" s="410">
        <f>SUM(Y110:Y143)</f>
        <v>-643066.306083333</v>
      </c>
      <c r="Z144" s="410">
        <f>SUM(Z110:Z143)</f>
        <v>-580500.479633333</v>
      </c>
      <c r="AA144" s="410">
        <f>SUM(AA110:AA143)</f>
        <v>-580500.479633333</v>
      </c>
      <c r="AB144" s="410">
        <f>SUM(AB110:AB143)</f>
        <v>-580500.479633333</v>
      </c>
      <c r="AC144" s="410">
        <f>SUM(AC110:AC143)</f>
        <v>-635033.822559333</v>
      </c>
      <c r="AD144" s="410">
        <f>SUM(AD110:AD143)</f>
        <v>-590033.822559333</v>
      </c>
      <c r="AE144" s="410">
        <f>SUM(AE110:AE143)</f>
        <v>-590033.822559333</v>
      </c>
      <c r="AF144" s="410">
        <f>SUM(AF110:AF143)</f>
        <v>-590033.822559333</v>
      </c>
      <c r="AG144" s="410">
        <f>SUM(AG110:AG143)</f>
        <v>-590033.822559333</v>
      </c>
      <c r="AH144" s="410">
        <f>SUM(AH110:AH143)</f>
        <v>-635033.822559333</v>
      </c>
      <c r="AI144" s="410">
        <f>SUM(AI110:AI143)</f>
        <v>-635033.822559333</v>
      </c>
      <c r="AJ144" s="410">
        <f>SUM(AJ110:AJ143)</f>
        <v>-590033.822559333</v>
      </c>
      <c r="AK144" s="410">
        <f>SUM(AK110:AK143)</f>
        <v>-599240.360059333</v>
      </c>
      <c r="AL144" s="410">
        <f>SUM(AL110:AL143)</f>
        <v>-627533.822559333</v>
      </c>
      <c r="AM144" s="410">
        <f>SUM(AM110:AM143)</f>
        <v>-627533.822559333</v>
      </c>
      <c r="AN144" s="410">
        <f>SUM(AN110:AN143)</f>
        <v>-635033.822559333</v>
      </c>
      <c r="AO144" s="410">
        <f>SUM(AO110:AO143)</f>
        <v>-637257.832343853</v>
      </c>
      <c r="AP144" s="410">
        <f>SUM(AP110:AP143)</f>
        <v>-637257.832343853</v>
      </c>
      <c r="AQ144" s="410">
        <f>SUM(AQ110:AQ143)</f>
        <v>-644757.832343853</v>
      </c>
      <c r="AR144" s="410">
        <f>SUM(AR110:AR143)</f>
        <v>-637257.832343853</v>
      </c>
      <c r="AS144" s="410">
        <f>SUM(AS110:AS143)</f>
        <v>-599757.832343853</v>
      </c>
      <c r="AT144" s="410">
        <f>SUM(AT110:AT143)</f>
        <v>-599757.832343853</v>
      </c>
      <c r="AU144" s="410">
        <f>SUM(AU110:AU143)</f>
        <v>-599757.832343853</v>
      </c>
      <c r="AV144" s="410">
        <f>SUM(AV110:AV143)</f>
        <v>-644757.832343853</v>
      </c>
      <c r="AW144" s="410">
        <f>SUM(AW110:AW143)</f>
        <v>-637257.832343853</v>
      </c>
      <c r="AX144" s="410">
        <f>SUM(AX110:AX143)</f>
        <v>-599757.832343853</v>
      </c>
      <c r="AY144" s="410">
        <f>SUM(AY110:AY143)</f>
        <v>-599757.832343853</v>
      </c>
      <c r="AZ144" s="410">
        <f>SUM(AZ110:AZ143)</f>
        <v>-599757.832343853</v>
      </c>
      <c r="BA144" s="410">
        <f>SUM(BA110:BA143)</f>
        <v>-647176.322324064</v>
      </c>
      <c r="BB144" s="410">
        <f>SUM(BB110:BB143)</f>
        <v>-654676.322324064</v>
      </c>
      <c r="BC144" s="410">
        <f>SUM(BC110:BC143)</f>
        <v>-647176.322324064</v>
      </c>
      <c r="BD144" s="410">
        <f>SUM(BD110:BD143)</f>
        <v>-647176.322324064</v>
      </c>
      <c r="BE144" s="410">
        <f>SUM(BE110:BE143)</f>
        <v>-654676.322324064</v>
      </c>
      <c r="BF144" s="410">
        <f>SUM(BF110:BF143)</f>
        <v>-647176.322324064</v>
      </c>
      <c r="BG144" s="410">
        <f>SUM(BG110:BG143)</f>
        <v>-647176.322324064</v>
      </c>
      <c r="BH144" s="410">
        <f>SUM(BH110:BH143)</f>
        <v>-654676.322324064</v>
      </c>
      <c r="BI144" s="410">
        <f>SUM(BI110:BI143)</f>
        <v>-647176.322324064</v>
      </c>
      <c r="BJ144" s="410">
        <f>SUM(BJ110:BJ143)</f>
        <v>-609676.322324064</v>
      </c>
      <c r="BK144" s="410">
        <f>SUM(BK110:BK143)</f>
        <v>-609676.322324064</v>
      </c>
      <c r="BL144" s="410">
        <f>SUM(BL110:BL143)</f>
        <v>-609676.322324064</v>
      </c>
      <c r="BM144" s="410">
        <f>SUM(BM110:BM143)</f>
        <v>-619793.182103878</v>
      </c>
      <c r="BN144" s="410">
        <f>SUM(BN110:BN143)</f>
        <v>-619793.182103878</v>
      </c>
      <c r="BO144" s="410">
        <f>SUM(BO110:BO143)</f>
        <v>-619793.182103878</v>
      </c>
      <c r="BP144" s="410">
        <f>SUM(BP110:BP143)</f>
        <v>-619793.182103878</v>
      </c>
      <c r="BQ144" s="410">
        <f>SUM(BQ110:BQ143)</f>
        <v>-619793.182103878</v>
      </c>
      <c r="BR144" s="410">
        <f>SUM(BR110:BR143)</f>
        <v>-619793.182103878</v>
      </c>
      <c r="BS144" s="410">
        <f>SUM(BS110:BS143)</f>
        <v>-619793.182103878</v>
      </c>
      <c r="BT144" s="410">
        <f>SUM(BT110:BT143)</f>
        <v>-619793.182103878</v>
      </c>
      <c r="BU144" s="410">
        <f>SUM(BU110:BU143)</f>
        <v>-619793.182103878</v>
      </c>
      <c r="BV144" s="410">
        <f>SUM(BV110:BV143)</f>
        <v>-619793.182103878</v>
      </c>
      <c r="BW144" s="410">
        <f>SUM(BW110:BW143)</f>
        <v>-619793.182103878</v>
      </c>
      <c r="BX144" s="410">
        <f>SUM(BX110:BX143)</f>
        <v>-619793.182103878</v>
      </c>
      <c r="BY144" s="410">
        <f>SUM(BY110:BY143)</f>
        <v>-630112.379079289</v>
      </c>
      <c r="BZ144" s="410">
        <f>SUM(BZ110:BZ143)</f>
        <v>-630112.379079289</v>
      </c>
      <c r="CA144" s="410">
        <f>SUM(CA110:CA143)</f>
        <v>-630112.379079289</v>
      </c>
      <c r="CB144" s="410">
        <f>SUM(CB110:CB143)</f>
        <v>-630112.379079289</v>
      </c>
      <c r="CC144" s="410">
        <f>SUM(CC110:CC143)</f>
        <v>-630112.379079289</v>
      </c>
      <c r="CD144" s="410">
        <f>SUM(CD110:CD143)</f>
        <v>-630112.379079289</v>
      </c>
      <c r="CE144" s="410">
        <f>SUM(CE110:CE143)</f>
        <v>-630112.379079289</v>
      </c>
      <c r="CF144" s="410">
        <f>SUM(CF110:CF143)</f>
        <v>-630112.379079289</v>
      </c>
      <c r="CG144" s="410">
        <f>SUM(CG110:CG143)</f>
        <v>-630112.379079289</v>
      </c>
      <c r="CH144" s="410">
        <f>SUM(CH110:CH143)</f>
        <v>-630112.379079289</v>
      </c>
      <c r="CI144" s="410">
        <f>SUM(CI110:CI143)</f>
        <v>-630112.379079289</v>
      </c>
      <c r="CJ144" s="410">
        <f>SUM(CJ110:CJ143)</f>
        <v>-630112.379079289</v>
      </c>
      <c r="CK144" s="410">
        <f>SUM(CK110:CK143)</f>
        <v>-640637.959994208</v>
      </c>
      <c r="CL144" s="410">
        <f>SUM(CL110:CL143)</f>
        <v>-640637.959994208</v>
      </c>
      <c r="CM144" s="410">
        <f>SUM(CM110:CM143)</f>
        <v>-640637.959994208</v>
      </c>
      <c r="CN144" s="410">
        <f>SUM(CN110:CN143)</f>
        <v>-640637.959994208</v>
      </c>
      <c r="CO144" s="410">
        <f>SUM(CO110:CO143)</f>
        <v>-640637.959994208</v>
      </c>
      <c r="CP144" s="410">
        <f>SUM(CP110:CP143)</f>
        <v>-640637.959994208</v>
      </c>
      <c r="CQ144" s="410">
        <f>SUM(CQ110:CQ143)</f>
        <v>-640637.959994208</v>
      </c>
      <c r="CR144" s="410">
        <f>SUM(CR110:CR143)</f>
        <v>-640637.959994208</v>
      </c>
      <c r="CS144" s="410">
        <f>SUM(CS110:CS143)</f>
        <v>-640637.959994208</v>
      </c>
      <c r="CT144" s="410">
        <f>SUM(CT110:CT143)</f>
        <v>-576547.282477231</v>
      </c>
      <c r="CU144" s="410">
        <f>SUM(CU110:CU143)</f>
        <v>-576547.282477231</v>
      </c>
      <c r="CV144" s="410">
        <f>SUM(CV110:CV143)</f>
        <v>-576547.282477231</v>
      </c>
      <c r="CW144" s="410">
        <f>SUM(CW110:CW143)</f>
        <v>-586001.561460109</v>
      </c>
      <c r="CX144" s="410">
        <f>SUM(CX110:CX143)</f>
        <v>-586001.561460109</v>
      </c>
      <c r="CY144" s="410">
        <f>SUM(CY110:CY143)</f>
        <v>-586001.561460109</v>
      </c>
      <c r="CZ144" s="410">
        <f>SUM(CZ110:CZ143)</f>
        <v>-586001.561460109</v>
      </c>
      <c r="DA144" s="410">
        <f>SUM(DA110:DA143)</f>
        <v>-586001.561460109</v>
      </c>
      <c r="DB144" s="410">
        <f>SUM(DB110:DB143)</f>
        <v>-586001.561460109</v>
      </c>
      <c r="DC144" s="410">
        <f>SUM(DC110:DC143)</f>
        <v>-586001.561460109</v>
      </c>
      <c r="DD144" s="410">
        <f>SUM(DD110:DD143)</f>
        <v>-586001.561460109</v>
      </c>
      <c r="DE144" s="410">
        <f>SUM(DE110:DE143)</f>
        <v>-586001.561460109</v>
      </c>
    </row>
    <row r="145" ht="19.5" customFormat="1" customHeight="1" s="381">
      <c r="A145" s="416" t="inlineStr">
        <is>
          <t>GC Net Income</t>
        </is>
      </c>
      <c r="B145" s="417">
        <f>B107+B144</f>
        <v>-41844.6399999999</v>
      </c>
      <c r="C145" s="417">
        <f>C107+C144</f>
        <v>-311309.31</v>
      </c>
      <c r="D145" s="417">
        <f>D107+D144</f>
        <v>242246.78</v>
      </c>
      <c r="E145" s="417">
        <f>E107+E144</f>
        <v>373926.69</v>
      </c>
      <c r="F145" s="417">
        <f>F107+F144</f>
        <v>35871.8500000002</v>
      </c>
      <c r="G145" s="417">
        <f>G107+G144</f>
        <v>328803.92</v>
      </c>
      <c r="H145" s="417">
        <f>H107+H144</f>
        <v>-76035.185416696</v>
      </c>
      <c r="I145" s="417">
        <f>I107+I144</f>
        <v>296394.633165302</v>
      </c>
      <c r="J145" s="417">
        <f>J107+J144</f>
        <v>246722.752978079</v>
      </c>
      <c r="K145" s="417">
        <f>K107+K144</f>
        <v>228381.398752175</v>
      </c>
      <c r="L145" s="417">
        <f>L107+L144</f>
        <v>-105570.939973411</v>
      </c>
      <c r="M145" s="417">
        <f>M107+M144</f>
        <v>170524.974394201</v>
      </c>
      <c r="N145" s="417">
        <f>N107+N144</f>
        <v>284300.439214778</v>
      </c>
      <c r="O145" s="417">
        <f>O107+O144</f>
        <v>282229.992822035</v>
      </c>
      <c r="P145" s="417">
        <f>P107+P144</f>
        <v>292277.140054829</v>
      </c>
      <c r="Q145" s="417">
        <f>Q107+Q144</f>
        <v>254854.105563098</v>
      </c>
      <c r="R145" s="417">
        <f>R107+R144</f>
        <v>-679343.027901371</v>
      </c>
      <c r="S145" s="417">
        <f>S107+S144</f>
        <v>251949.651956525</v>
      </c>
      <c r="T145" s="417">
        <f>T107+T144</f>
        <v>173134.038590165</v>
      </c>
      <c r="U145" s="417">
        <f>U107+U144</f>
        <v>425510.701009604</v>
      </c>
      <c r="V145" s="417">
        <f>V107+V144</f>
        <v>468834.722851967</v>
      </c>
      <c r="W145" s="417">
        <f>W107+W144</f>
        <v>466249.329055466</v>
      </c>
      <c r="X145" s="417">
        <f>X107+X144</f>
        <v>574532.091489354</v>
      </c>
      <c r="Y145" s="417">
        <f>Y107+Y144</f>
        <v>511966.265039354</v>
      </c>
      <c r="Z145" s="417">
        <f>Z107+Z144</f>
        <v>574532.091489354</v>
      </c>
      <c r="AA145" s="417">
        <f>AA107+AA144</f>
        <v>652748.776111131</v>
      </c>
      <c r="AB145" s="417">
        <f>AB107+AB144</f>
        <v>604667.306867575</v>
      </c>
      <c r="AC145" s="417">
        <f>AC107+AC144</f>
        <v>550133.963941575</v>
      </c>
      <c r="AD145" s="417">
        <f>AD107+AD144</f>
        <v>595133.963941575</v>
      </c>
      <c r="AE145" s="417">
        <f>AE107+AE144</f>
        <v>29087.5448101234</v>
      </c>
      <c r="AF145" s="417">
        <f>AF107+AF144</f>
        <v>947296.225405785</v>
      </c>
      <c r="AG145" s="417">
        <f>AG107+AG144</f>
        <v>666642.88421446</v>
      </c>
      <c r="AH145" s="417">
        <f>AH107+AH144</f>
        <v>729994.78421446</v>
      </c>
      <c r="AI145" s="417">
        <f>AI107+AI144</f>
        <v>948284.16378221</v>
      </c>
      <c r="AJ145" s="417">
        <f>AJ107+AJ144</f>
        <v>946446.533066574</v>
      </c>
      <c r="AK145" s="417">
        <f>AK107+AK144</f>
        <v>911267.774256824</v>
      </c>
      <c r="AL145" s="417">
        <f>AL107+AL144</f>
        <v>1291941.18315416</v>
      </c>
      <c r="AM145" s="417">
        <f>AM107+AM144</f>
        <v>616543.027225345</v>
      </c>
      <c r="AN145" s="417">
        <f>AN107+AN144</f>
        <v>699336.277225345</v>
      </c>
      <c r="AO145" s="417">
        <f>AO107+AO144</f>
        <v>787405.517440825</v>
      </c>
      <c r="AP145" s="417">
        <f>AP107+AP144</f>
        <v>895757.417440825</v>
      </c>
      <c r="AQ145" s="417">
        <f>AQ107+AQ144</f>
        <v>978550.667440825</v>
      </c>
      <c r="AR145" s="417">
        <f>AR107+AR144</f>
        <v>986050.667440825</v>
      </c>
      <c r="AS145" s="417">
        <f>AS107+AS144</f>
        <v>1023550.66744082</v>
      </c>
      <c r="AT145" s="417">
        <f>AT107+AT144</f>
        <v>1131902.56744082</v>
      </c>
      <c r="AU145" s="417">
        <f>AU107+AU144</f>
        <v>1446683.50103716</v>
      </c>
      <c r="AV145" s="417">
        <f>AV107+AV144</f>
        <v>777007.308524693</v>
      </c>
      <c r="AW145" s="417">
        <f>AW107+AW144</f>
        <v>784507.308524693</v>
      </c>
      <c r="AX145" s="417">
        <f>AX107+AX144</f>
        <v>822007.308524693</v>
      </c>
      <c r="AY145" s="417">
        <f>AY107+AY144</f>
        <v>930359.208524694</v>
      </c>
      <c r="AZ145" s="417">
        <f>AZ107+AZ144</f>
        <v>912300.558524693</v>
      </c>
      <c r="BA145" s="417">
        <f>BA107+BA144</f>
        <v>846823.418544482</v>
      </c>
      <c r="BB145" s="417">
        <f>BB107+BB144</f>
        <v>839323.418544482</v>
      </c>
      <c r="BC145" s="417">
        <f>BC107+BC144</f>
        <v>846823.418544482</v>
      </c>
      <c r="BD145" s="417">
        <f>BD107+BD144</f>
        <v>864882.068544483</v>
      </c>
      <c r="BE145" s="417">
        <f>BE107+BE144</f>
        <v>875440.718544483</v>
      </c>
      <c r="BF145" s="417">
        <f>BF107+BF144</f>
        <v>846823.418544482</v>
      </c>
      <c r="BG145" s="417">
        <f>BG107+BG144</f>
        <v>864882.068544483</v>
      </c>
      <c r="BH145" s="417">
        <f>BH107+BH144</f>
        <v>1124376.99360008</v>
      </c>
      <c r="BI145" s="417">
        <f>BI107+BI144</f>
        <v>598870.527675936</v>
      </c>
      <c r="BJ145" s="417">
        <f>BJ107+BJ144</f>
        <v>455784.027675936</v>
      </c>
      <c r="BK145" s="417">
        <f>BK107+BK144</f>
        <v>455784.027675936</v>
      </c>
      <c r="BL145" s="417">
        <f>BL107+BL144</f>
        <v>455784.027675936</v>
      </c>
      <c r="BM145" s="417">
        <f>BM107+BM144</f>
        <v>554019.067896122</v>
      </c>
      <c r="BN145" s="417">
        <f>BN107+BN144</f>
        <v>427608.517896121</v>
      </c>
      <c r="BO145" s="417">
        <f>BO107+BO144</f>
        <v>247022.017896121</v>
      </c>
      <c r="BP145" s="417">
        <f>BP107+BP144</f>
        <v>247022.017896122</v>
      </c>
      <c r="BQ145" s="417">
        <f>BQ107+BQ144</f>
        <v>247022.017896122</v>
      </c>
      <c r="BR145" s="417">
        <f>BR107+BR144</f>
        <v>337315.267896122</v>
      </c>
      <c r="BS145" s="417">
        <f>BS107+BS144</f>
        <v>265080.667896121</v>
      </c>
      <c r="BT145" s="417">
        <f>BT107+BT144</f>
        <v>138670.117896122</v>
      </c>
      <c r="BU145" s="417">
        <f>BU107+BU144</f>
        <v>48376.8678961216</v>
      </c>
      <c r="BV145" s="417">
        <f>BV107+BV144</f>
        <v>-23857.7321038781</v>
      </c>
      <c r="BW145" s="417">
        <f>BW107+BW144</f>
        <v>-150268.282103878</v>
      </c>
      <c r="BX145" s="417">
        <f>BX107+BX144</f>
        <v>-240561.532103878</v>
      </c>
      <c r="BY145" s="417">
        <f>BY107+BY144</f>
        <v>-323115.329079289</v>
      </c>
      <c r="BZ145" s="417">
        <f>BZ107+BZ144</f>
        <v>-449525.879079289</v>
      </c>
      <c r="CA145" s="417">
        <f>CA107+CA144</f>
        <v>-630112.379079289</v>
      </c>
      <c r="CB145" s="417">
        <f>CB107+CB144</f>
        <v>-630112.379079289</v>
      </c>
      <c r="CC145" s="417">
        <f>CC107+CC144</f>
        <v>-630112.379079289</v>
      </c>
      <c r="CD145" s="417">
        <f>CD107+CD144</f>
        <v>-630112.379079289</v>
      </c>
      <c r="CE145" s="417">
        <f>CE107+CE144</f>
        <v>-630112.379079289</v>
      </c>
      <c r="CF145" s="417">
        <f>CF107+CF144</f>
        <v>-630112.379079289</v>
      </c>
      <c r="CG145" s="417">
        <f>CG107+CG144</f>
        <v>-630112.379079289</v>
      </c>
      <c r="CH145" s="417">
        <f>CH107+CH144</f>
        <v>-630112.379079289</v>
      </c>
      <c r="CI145" s="417">
        <f>CI107+CI144</f>
        <v>-630112.379079289</v>
      </c>
      <c r="CJ145" s="417">
        <f>CJ107+CJ144</f>
        <v>-630112.379079289</v>
      </c>
      <c r="CK145" s="417">
        <f>CK107+CK144</f>
        <v>-640637.959994208</v>
      </c>
      <c r="CL145" s="417">
        <f>CL107+CL144</f>
        <v>-640637.959994208</v>
      </c>
      <c r="CM145" s="417">
        <f>CM107+CM144</f>
        <v>-640637.959994208</v>
      </c>
      <c r="CN145" s="417">
        <f>CN107+CN144</f>
        <v>-640637.959994208</v>
      </c>
      <c r="CO145" s="417">
        <f>CO107+CO144</f>
        <v>-640637.959994208</v>
      </c>
      <c r="CP145" s="417">
        <f>CP107+CP144</f>
        <v>-640637.959994208</v>
      </c>
      <c r="CQ145" s="417">
        <f>CQ107+CQ144</f>
        <v>-640637.959994208</v>
      </c>
      <c r="CR145" s="417">
        <f>CR107+CR144</f>
        <v>-640637.959994208</v>
      </c>
      <c r="CS145" s="417">
        <f>CS107+CS144</f>
        <v>-640637.959994208</v>
      </c>
      <c r="CT145" s="417">
        <f>CT107+CT144</f>
        <v>-576547.282477231</v>
      </c>
      <c r="CU145" s="417">
        <f>CU107+CU144</f>
        <v>-576547.282477231</v>
      </c>
      <c r="CV145" s="417">
        <f>CV107+CV144</f>
        <v>-576547.282477231</v>
      </c>
      <c r="CW145" s="417">
        <f>CW107+CW144</f>
        <v>-586001.561460109</v>
      </c>
      <c r="CX145" s="417">
        <f>CX107+CX144</f>
        <v>-586001.561460109</v>
      </c>
      <c r="CY145" s="417">
        <f>CY107+CY144</f>
        <v>-586001.561460109</v>
      </c>
      <c r="CZ145" s="417">
        <f>CZ107+CZ144</f>
        <v>-586001.561460109</v>
      </c>
      <c r="DA145" s="417">
        <f>DA107+DA144</f>
        <v>-586001.561460109</v>
      </c>
      <c r="DB145" s="417">
        <f>DB107+DB144</f>
        <v>-586001.561460109</v>
      </c>
      <c r="DC145" s="417">
        <f>DC107+DC144</f>
        <v>-586001.561460109</v>
      </c>
      <c r="DD145" s="417">
        <f>DD107+DD144</f>
        <v>-586001.561460109</v>
      </c>
      <c r="DE145" s="417">
        <f>DE107+DE144</f>
        <v>-586001.561460109</v>
      </c>
    </row>
    <row r="146" ht="19.5" customFormat="1" customHeight="1" s="381">
      <c r="A146" s="398" t="inlineStr">
        <is>
          <t>GC Net Profit Margin %</t>
        </is>
      </c>
      <c r="B146" s="413">
        <f>IFERROR(B145/B58,0)</f>
        <v>-0.0287831236019867</v>
      </c>
      <c r="C146" s="413">
        <f>IFERROR(C145/C58,0)</f>
        <v>-0.102996554608564</v>
      </c>
      <c r="D146" s="413">
        <f>IFERROR(D145/D58,0)</f>
        <v>0.090653886323328</v>
      </c>
      <c r="E146" s="413">
        <f>IFERROR(E145/E58,0)</f>
        <v>0.101270434808067</v>
      </c>
      <c r="F146" s="413">
        <f>IFERROR(F145/F58,0)</f>
        <v>0.00812304107268544</v>
      </c>
      <c r="G146" s="413">
        <f>IFERROR(G145/G58,0)</f>
        <v>0.0525895857310851</v>
      </c>
      <c r="H146" s="413">
        <f>IFERROR(H145/H58,0)</f>
        <v>-0.0154135036026272</v>
      </c>
      <c r="I146" s="413">
        <f>IFERROR(I145/I58,0)</f>
        <v>0.0481802202887558</v>
      </c>
      <c r="J146" s="413">
        <f>IFERROR(J145/J58,0)</f>
        <v>0.0394663709154437</v>
      </c>
      <c r="K146" s="413">
        <f>IFERROR(K145/K58,0)</f>
        <v>0.0362850821813323</v>
      </c>
      <c r="L146" s="413">
        <f>IFERROR(L145/L58,0)</f>
        <v>-0.0157195316564858</v>
      </c>
      <c r="M146" s="413">
        <f>IFERROR(M145/M58,0)</f>
        <v>0.0276193723791491</v>
      </c>
      <c r="N146" s="413">
        <f>IFERROR(N145/N58,0)</f>
        <v>0.0400196511715761</v>
      </c>
      <c r="O146" s="413">
        <f>IFERROR(O145/O58,0)</f>
        <v>0.0385129353176268</v>
      </c>
      <c r="P146" s="413">
        <f>IFERROR(P145/P58,0)</f>
        <v>0.0388562230131252</v>
      </c>
      <c r="Q146" s="413">
        <f>IFERROR(Q145/Q58,0)</f>
        <v>0.0331747073232931</v>
      </c>
      <c r="R146" s="413">
        <f>IFERROR(R145/R58,0)</f>
        <v>-0.0760072256402438</v>
      </c>
      <c r="S146" s="413">
        <f>IFERROR(S145/S58,0)</f>
        <v>0.0264750040480985</v>
      </c>
      <c r="T146" s="413">
        <f>IFERROR(T145/T58,0)</f>
        <v>0.0178288038094235</v>
      </c>
      <c r="U146" s="413">
        <f>IFERROR(U145/U58,0)</f>
        <v>0.0436418722739793</v>
      </c>
      <c r="V146" s="413">
        <f>IFERROR(V145/V58,0)</f>
        <v>0.0456780406085974</v>
      </c>
      <c r="W146" s="413">
        <f>IFERROR(W145/W58,0)</f>
        <v>0.0437203418260019</v>
      </c>
      <c r="X146" s="413">
        <f>IFERROR(X145/X58,0)</f>
        <v>0.0498142632571177</v>
      </c>
      <c r="Y146" s="413">
        <f>IFERROR(Y145/Y58,0)</f>
        <v>0.0432696071179793</v>
      </c>
      <c r="Z146" s="413">
        <f>IFERROR(Z145/Z58,0)</f>
        <v>0.0479132310278916</v>
      </c>
      <c r="AA146" s="413">
        <f>IFERROR(AA145/AA58,0)</f>
        <v>0.0543755340461271</v>
      </c>
      <c r="AB146" s="413">
        <f>IFERROR(AB145/AB58,0)</f>
        <v>0.0500705665229577</v>
      </c>
      <c r="AC146" s="413">
        <f>IFERROR(AC145/AC58,0)</f>
        <v>0.045939117225506</v>
      </c>
      <c r="AD146" s="413">
        <f>IFERROR(AD145/AD58,0)</f>
        <v>0.0506950416486833</v>
      </c>
      <c r="AE146" s="413">
        <f>IFERROR(AE145/AE58,0)</f>
        <v>0.00241499721582866</v>
      </c>
      <c r="AF146" s="413">
        <f>IFERROR(AF145/AF58,0)</f>
        <v>0.0811601199968977</v>
      </c>
      <c r="AG146" s="413">
        <f>IFERROR(AG145/AG58,0)</f>
        <v>0.0605470859767492</v>
      </c>
      <c r="AH146" s="413">
        <f>IFERROR(AH145/AH58,0)</f>
        <v>0.0650658470051972</v>
      </c>
      <c r="AI146" s="413">
        <f>IFERROR(AI145/AI58,0)</f>
        <v>0.0832788945929305</v>
      </c>
      <c r="AJ146" s="413">
        <f>IFERROR(AJ145/AJ58,0)</f>
        <v>0.0842496133982127</v>
      </c>
      <c r="AK146" s="413">
        <f>IFERROR(AK145/AK58,0)</f>
        <v>0.0810465208034977</v>
      </c>
      <c r="AL146" s="413">
        <f>IFERROR(AL145/AL58,0)</f>
        <v>0.112663010732778</v>
      </c>
      <c r="AM146" s="413">
        <f>IFERROR(AM145/AM58,0)</f>
        <v>0.0564116825221064</v>
      </c>
      <c r="AN146" s="413">
        <f>IFERROR(AN145/AN58,0)</f>
        <v>0.0595369676454352</v>
      </c>
      <c r="AO146" s="413">
        <f>IFERROR(AO145/AO58,0)</f>
        <v>0.0626911603780162</v>
      </c>
      <c r="AP146" s="413">
        <f>IFERROR(AP145/AP58,0)</f>
        <v>0.0666686998409831</v>
      </c>
      <c r="AQ146" s="413">
        <f>IFERROR(AQ145/AQ58,0)</f>
        <v>0.071462255406814</v>
      </c>
      <c r="AR146" s="413">
        <f>IFERROR(AR145/AR58,0)</f>
        <v>0.0696953794951154</v>
      </c>
      <c r="AS146" s="413">
        <f>IFERROR(AS145/AS58,0)</f>
        <v>0.0709634544020036</v>
      </c>
      <c r="AT146" s="413">
        <f>IFERROR(AT145/AT58,0)</f>
        <v>0.0780637455008984</v>
      </c>
      <c r="AU146" s="413">
        <f>IFERROR(AU145/AU58,0)</f>
        <v>0.100011706628452</v>
      </c>
      <c r="AV146" s="413">
        <f>IFERROR(AV145/AV58,0)</f>
        <v>0.0551587419350069</v>
      </c>
      <c r="AW146" s="413">
        <f>IFERROR(AW145/AW58,0)</f>
        <v>0.0563790216104431</v>
      </c>
      <c r="AX146" s="413">
        <f>IFERROR(AX145/AX58,0)</f>
        <v>0.0606795046309356</v>
      </c>
      <c r="AY146" s="413">
        <f>IFERROR(AY145/AY58,0)</f>
        <v>0.0715560228430389</v>
      </c>
      <c r="AZ146" s="413">
        <f>IFERROR(AZ145/AZ58,0)</f>
        <v>0.0740100923001176</v>
      </c>
      <c r="BA146" s="413">
        <f>IFERROR(BA145/BA58,0)</f>
        <v>0.071826697710681</v>
      </c>
      <c r="BB146" s="413">
        <f>IFERROR(BB145/BB58,0)</f>
        <v>0.074029482374546</v>
      </c>
      <c r="BC146" s="413">
        <f>IFERROR(BC145/BC58,0)</f>
        <v>0.0771512188794636</v>
      </c>
      <c r="BD146" s="413">
        <f>IFERROR(BD145/BD58,0)</f>
        <v>0.080067445027507</v>
      </c>
      <c r="BE146" s="413">
        <f>IFERROR(BE145/BE58,0)</f>
        <v>0.0819317190583889</v>
      </c>
      <c r="BF146" s="413">
        <f>IFERROR(BF145/BF58,0)</f>
        <v>0.0796810033229891</v>
      </c>
      <c r="BG146" s="413">
        <f>IFERROR(BG145/BG58,0)</f>
        <v>0.0797581571243966</v>
      </c>
      <c r="BH146" s="413">
        <f>IFERROR(BH145/BH58,0)</f>
        <v>0.101290233779238</v>
      </c>
      <c r="BI146" s="413">
        <f>IFERROR(BI145/BI58,0)</f>
        <v>0.0575411739107773</v>
      </c>
      <c r="BJ146" s="413">
        <f>IFERROR(BJ145/BJ58,0)</f>
        <v>0.0437532029058152</v>
      </c>
      <c r="BK146" s="413">
        <f>IFERROR(BK145/BK58,0)</f>
        <v>0.0427368990054496</v>
      </c>
      <c r="BL146" s="413">
        <f>IFERROR(BL145/BL58,0)</f>
        <v>0.0424508689578213</v>
      </c>
      <c r="BM146" s="413">
        <f>IFERROR(BM145/BM58,0)</f>
        <v>0.0521452630337843</v>
      </c>
      <c r="BN146" s="413">
        <f>IFERROR(BN145/BN58,0)</f>
        <v>0.0429646373610794</v>
      </c>
      <c r="BO146" s="413">
        <f>IFERROR(BO145/BO58,0)</f>
        <v>0.0266819288706029</v>
      </c>
      <c r="BP146" s="413">
        <f>IFERROR(BP145/BP58,0)</f>
        <v>0.0281235049074127</v>
      </c>
      <c r="BQ146" s="413">
        <f>IFERROR(BQ145/BQ58,0)</f>
        <v>0.0302753559116031</v>
      </c>
      <c r="BR146" s="413">
        <f>IFERROR(BR145/BR58,0)</f>
        <v>0.0454570685164716</v>
      </c>
      <c r="BS146" s="413">
        <f>IFERROR(BS145/BS58,0)</f>
        <v>0.0421238161678772</v>
      </c>
      <c r="BT146" s="413">
        <f>IFERROR(BT145/BT58,0)</f>
        <v>0.0269799501602164</v>
      </c>
      <c r="BU146" s="413">
        <f>IFERROR(BU145/BU58,0)</f>
        <v>0.0117231300835822</v>
      </c>
      <c r="BV146" s="413">
        <f>IFERROR(BV145/BV58,0)</f>
        <v>-0.0074680572797091</v>
      </c>
      <c r="BW146" s="413">
        <f>IFERROR(BW145/BW58,0)</f>
        <v>-0.0654471169332919</v>
      </c>
      <c r="BX146" s="413">
        <f>IFERROR(BX145/BX58,0)</f>
        <v>-0.152284687563187</v>
      </c>
      <c r="BY146" s="413">
        <f>IFERROR(BY145/BY58,0)</f>
        <v>-0.333548389143303</v>
      </c>
      <c r="BZ146" s="413">
        <f>IFERROR(BZ145/BZ58,0)</f>
        <v>-1.13015770783344</v>
      </c>
      <c r="CA146" s="413">
        <f>IFERROR(CA145/CA58,0)</f>
        <v>0</v>
      </c>
      <c r="CB146" s="413">
        <f>IFERROR(CB145/CB58,0)</f>
        <v>0</v>
      </c>
      <c r="CC146" s="413">
        <f>IFERROR(CC145/CC58,0)</f>
        <v>0</v>
      </c>
      <c r="CD146" s="413">
        <f>IFERROR(CD145/CD58,0)</f>
        <v>0</v>
      </c>
      <c r="CE146" s="413">
        <f>IFERROR(CE145/CE58,0)</f>
        <v>0</v>
      </c>
      <c r="CF146" s="413">
        <f>IFERROR(CF145/CF58,0)</f>
        <v>0</v>
      </c>
      <c r="CG146" s="413">
        <f>IFERROR(CG145/CG58,0)</f>
        <v>0</v>
      </c>
      <c r="CH146" s="413">
        <f>IFERROR(CH145/CH58,0)</f>
        <v>0</v>
      </c>
      <c r="CI146" s="413">
        <f>IFERROR(CI145/CI58,0)</f>
        <v>0</v>
      </c>
      <c r="CJ146" s="413">
        <f>IFERROR(CJ145/CJ58,0)</f>
        <v>0</v>
      </c>
      <c r="CK146" s="413">
        <f>IFERROR(CK145/CK58,0)</f>
        <v>0</v>
      </c>
      <c r="CL146" s="413">
        <f>IFERROR(CL145/CL58,0)</f>
        <v>0</v>
      </c>
      <c r="CM146" s="413">
        <f>IFERROR(CM145/CM58,0)</f>
        <v>0</v>
      </c>
      <c r="CN146" s="413">
        <f>IFERROR(CN145/CN58,0)</f>
        <v>0</v>
      </c>
      <c r="CO146" s="413">
        <f>IFERROR(CO145/CO58,0)</f>
        <v>0</v>
      </c>
      <c r="CP146" s="413">
        <f>IFERROR(CP145/CP58,0)</f>
        <v>0</v>
      </c>
      <c r="CQ146" s="413">
        <f>IFERROR(CQ145/CQ58,0)</f>
        <v>0</v>
      </c>
      <c r="CR146" s="413">
        <f>IFERROR(CR145/CR58,0)</f>
        <v>0</v>
      </c>
      <c r="CS146" s="413">
        <f>IFERROR(CS145/CS58,0)</f>
        <v>0</v>
      </c>
      <c r="CT146" s="413">
        <f>IFERROR(CT145/CT58,0)</f>
        <v>0</v>
      </c>
      <c r="CU146" s="413">
        <f>IFERROR(CU145/CU58,0)</f>
        <v>0</v>
      </c>
      <c r="CV146" s="413">
        <f>IFERROR(CV145/CV58,0)</f>
        <v>0</v>
      </c>
      <c r="CW146" s="413">
        <f>IFERROR(CW145/CW58,0)</f>
        <v>0</v>
      </c>
      <c r="CX146" s="413">
        <f>IFERROR(CX145/CX58,0)</f>
        <v>0</v>
      </c>
      <c r="CY146" s="413">
        <f>IFERROR(CY145/CY58,0)</f>
        <v>0</v>
      </c>
      <c r="CZ146" s="413">
        <f>IFERROR(CZ145/CZ58,0)</f>
        <v>0</v>
      </c>
      <c r="DA146" s="413">
        <f>IFERROR(DA145/DA58,0)</f>
        <v>0</v>
      </c>
      <c r="DB146" s="413">
        <f>IFERROR(DB145/DB58,0)</f>
        <v>0</v>
      </c>
      <c r="DC146" s="413">
        <f>IFERROR(DC145/DC58,0)</f>
        <v>0</v>
      </c>
      <c r="DD146" s="413">
        <f>IFERROR(DD145/DD58,0)</f>
        <v>0</v>
      </c>
      <c r="DE146" s="413">
        <f>IFERROR(DE145/DE58,0)</f>
        <v>0</v>
      </c>
    </row>
    <row r="147" ht="15" customFormat="1" customHeight="1" s="381">
      <c r="A147" s="383" t="n"/>
      <c r="B147" s="393" t="n"/>
      <c r="C147" s="393" t="n"/>
      <c r="D147" s="393" t="n"/>
      <c r="E147" s="393" t="n"/>
      <c r="F147" s="393" t="n"/>
      <c r="G147" s="393" t="n"/>
      <c r="H147" s="393" t="n"/>
      <c r="I147" s="393" t="n"/>
      <c r="J147" s="393" t="n"/>
      <c r="K147" s="393" t="n"/>
      <c r="L147" s="393" t="n"/>
      <c r="M147" s="393" t="n"/>
      <c r="N147" s="393" t="n"/>
      <c r="O147" s="393" t="n"/>
      <c r="P147" s="393" t="n"/>
      <c r="Q147" s="393" t="n"/>
      <c r="R147" s="393" t="n"/>
      <c r="S147" s="393" t="n"/>
      <c r="T147" s="393" t="n"/>
      <c r="U147" s="393" t="n"/>
      <c r="V147" s="393" t="n"/>
      <c r="W147" s="393" t="n"/>
      <c r="X147" s="393" t="n"/>
      <c r="Y147" s="393" t="n"/>
      <c r="Z147" s="393" t="n"/>
      <c r="AA147" s="393" t="n"/>
      <c r="AB147" s="393" t="n"/>
      <c r="AC147" s="393" t="n"/>
      <c r="AD147" s="393" t="n"/>
      <c r="AE147" s="393" t="n"/>
      <c r="AF147" s="393" t="n"/>
      <c r="AG147" s="393" t="n"/>
      <c r="AH147" s="393" t="n"/>
      <c r="AI147" s="393" t="n"/>
      <c r="AJ147" s="393" t="n"/>
      <c r="AK147" s="393" t="n"/>
      <c r="AL147" s="393" t="n"/>
      <c r="AM147" s="393" t="n"/>
      <c r="AN147" s="393" t="n"/>
      <c r="AO147" s="393" t="n"/>
      <c r="AP147" s="393" t="n"/>
      <c r="AQ147" s="393" t="n"/>
      <c r="AR147" s="393" t="n"/>
      <c r="AS147" s="393" t="n"/>
      <c r="AT147" s="393" t="n"/>
      <c r="AU147" s="393" t="n"/>
      <c r="AV147" s="393" t="n"/>
      <c r="AW147" s="393" t="n"/>
      <c r="AX147" s="393" t="n"/>
      <c r="AY147" s="393" t="n"/>
      <c r="AZ147" s="393" t="n"/>
      <c r="BA147" s="393" t="n"/>
      <c r="BB147" s="393" t="n"/>
      <c r="BC147" s="393" t="n"/>
      <c r="BD147" s="393" t="n"/>
      <c r="BE147" s="393" t="n"/>
      <c r="BF147" s="393" t="n"/>
      <c r="BG147" s="393" t="n"/>
      <c r="BH147" s="393" t="n"/>
      <c r="BI147" s="393" t="n"/>
      <c r="BJ147" s="393" t="n"/>
      <c r="BK147" s="393" t="n"/>
      <c r="BL147" s="393" t="n"/>
      <c r="BM147" s="393" t="n"/>
      <c r="BN147" s="393" t="n"/>
      <c r="BO147" s="393" t="n"/>
      <c r="BP147" s="393" t="n"/>
      <c r="BQ147" s="393" t="n"/>
      <c r="BR147" s="393" t="n"/>
      <c r="BS147" s="393" t="n"/>
      <c r="BT147" s="393" t="n"/>
      <c r="BU147" s="393" t="n"/>
      <c r="BV147" s="393" t="n"/>
      <c r="BW147" s="393" t="n"/>
      <c r="BX147" s="393" t="n"/>
      <c r="BY147" s="393" t="n"/>
      <c r="BZ147" s="393" t="n"/>
      <c r="CA147" s="393" t="n"/>
      <c r="CB147" s="393" t="n"/>
      <c r="CC147" s="393" t="n"/>
      <c r="CD147" s="393" t="n"/>
      <c r="CE147" s="393" t="n"/>
      <c r="CF147" s="393" t="n"/>
      <c r="CG147" s="393" t="n"/>
      <c r="CH147" s="393" t="n"/>
      <c r="CI147" s="393" t="n"/>
      <c r="CJ147" s="393" t="n"/>
      <c r="CK147" s="393" t="n"/>
      <c r="CL147" s="393" t="n"/>
      <c r="CM147" s="393" t="n"/>
      <c r="CN147" s="393" t="n"/>
      <c r="CO147" s="393" t="n"/>
      <c r="CP147" s="393" t="n"/>
      <c r="CQ147" s="393" t="n"/>
      <c r="CR147" s="393" t="n"/>
      <c r="CS147" s="393" t="n"/>
      <c r="CT147" s="393" t="n"/>
      <c r="CU147" s="393" t="n"/>
      <c r="CV147" s="393" t="n"/>
      <c r="CW147" s="393" t="n"/>
      <c r="CX147" s="393" t="n"/>
      <c r="CY147" s="393" t="n"/>
      <c r="CZ147" s="393" t="n"/>
      <c r="DA147" s="393" t="n"/>
      <c r="DB147" s="393" t="n"/>
      <c r="DC147" s="393" t="n"/>
      <c r="DD147" s="393" t="n"/>
      <c r="DE147" s="393" t="n"/>
    </row>
    <row r="148" ht="15" customFormat="1" customHeight="1" s="381">
      <c r="A148" s="403" t="inlineStr">
        <is>
          <t>Six Peak Revenue</t>
        </is>
      </c>
      <c r="B148" s="414" t="n"/>
      <c r="C148" s="414" t="n"/>
      <c r="D148" s="414" t="n"/>
      <c r="E148" s="414" t="n"/>
      <c r="F148" s="414" t="n"/>
      <c r="G148" s="414" t="n"/>
      <c r="H148" s="414" t="n"/>
      <c r="I148" s="414" t="n"/>
      <c r="J148" s="414" t="n"/>
      <c r="K148" s="414" t="n"/>
      <c r="L148" s="414" t="n"/>
      <c r="M148" s="414" t="n"/>
      <c r="N148" s="414" t="n"/>
      <c r="O148" s="414" t="n"/>
      <c r="P148" s="414" t="n"/>
      <c r="Q148" s="414" t="n"/>
      <c r="R148" s="414" t="n"/>
      <c r="S148" s="414" t="n"/>
      <c r="T148" s="414" t="n"/>
      <c r="U148" s="414" t="n"/>
      <c r="V148" s="414" t="n"/>
      <c r="W148" s="414" t="n"/>
      <c r="X148" s="414" t="n"/>
      <c r="Y148" s="414" t="n"/>
      <c r="Z148" s="414" t="n"/>
      <c r="AA148" s="414" t="n"/>
      <c r="AB148" s="414" t="n"/>
      <c r="AC148" s="414" t="n"/>
      <c r="AD148" s="414" t="n"/>
      <c r="AE148" s="414" t="n"/>
      <c r="AF148" s="414" t="n"/>
      <c r="AG148" s="414" t="n"/>
      <c r="AH148" s="414" t="n"/>
      <c r="AI148" s="414" t="n"/>
      <c r="AJ148" s="414" t="n"/>
      <c r="AK148" s="414" t="n"/>
      <c r="AL148" s="414" t="n"/>
      <c r="AM148" s="414" t="n"/>
      <c r="AN148" s="414" t="n"/>
      <c r="AO148" s="414" t="n"/>
      <c r="AP148" s="414" t="n"/>
      <c r="AQ148" s="414" t="n"/>
      <c r="AR148" s="414" t="n"/>
      <c r="AS148" s="414" t="n"/>
      <c r="AT148" s="414" t="n"/>
      <c r="AU148" s="414" t="n"/>
      <c r="AV148" s="414" t="n"/>
      <c r="AW148" s="414" t="n"/>
      <c r="AX148" s="414" t="n"/>
      <c r="AY148" s="414" t="n"/>
      <c r="AZ148" s="414" t="n"/>
      <c r="BA148" s="414" t="n"/>
      <c r="BB148" s="414" t="n"/>
      <c r="BC148" s="414" t="n"/>
      <c r="BD148" s="414" t="n"/>
      <c r="BE148" s="414" t="n"/>
      <c r="BF148" s="414" t="n"/>
      <c r="BG148" s="414" t="n"/>
      <c r="BH148" s="414" t="n"/>
      <c r="BI148" s="414" t="n"/>
      <c r="BJ148" s="414" t="n"/>
      <c r="BK148" s="414" t="n"/>
      <c r="BL148" s="414" t="n"/>
      <c r="BM148" s="414" t="n"/>
      <c r="BN148" s="414" t="n"/>
      <c r="BO148" s="414" t="n"/>
      <c r="BP148" s="414" t="n"/>
      <c r="BQ148" s="414" t="n"/>
      <c r="BR148" s="414" t="n"/>
      <c r="BS148" s="414" t="n"/>
      <c r="BT148" s="414" t="n"/>
      <c r="BU148" s="414" t="n"/>
      <c r="BV148" s="414" t="n"/>
      <c r="BW148" s="414" t="n"/>
      <c r="BX148" s="414" t="n"/>
      <c r="BY148" s="414" t="n"/>
      <c r="BZ148" s="414" t="n"/>
      <c r="CA148" s="414" t="n"/>
      <c r="CB148" s="414" t="n"/>
      <c r="CC148" s="414" t="n"/>
      <c r="CD148" s="414" t="n"/>
      <c r="CE148" s="414" t="n"/>
      <c r="CF148" s="414" t="n"/>
      <c r="CG148" s="414" t="n"/>
      <c r="CH148" s="414" t="n"/>
      <c r="CI148" s="414" t="n"/>
      <c r="CJ148" s="414" t="n"/>
      <c r="CK148" s="414" t="n"/>
      <c r="CL148" s="414" t="n"/>
      <c r="CM148" s="414" t="n"/>
      <c r="CN148" s="414" t="n"/>
      <c r="CO148" s="414" t="n"/>
      <c r="CP148" s="414" t="n"/>
      <c r="CQ148" s="414" t="n"/>
      <c r="CR148" s="414" t="n"/>
      <c r="CS148" s="414" t="n"/>
      <c r="CT148" s="414" t="n"/>
      <c r="CU148" s="414" t="n"/>
      <c r="CV148" s="414" t="n"/>
      <c r="CW148" s="414" t="n"/>
      <c r="CX148" s="414" t="n"/>
      <c r="CY148" s="414" t="n"/>
      <c r="CZ148" s="414" t="n"/>
      <c r="DA148" s="414" t="n"/>
      <c r="DB148" s="414" t="n"/>
      <c r="DC148" s="414" t="n"/>
      <c r="DD148" s="414" t="n"/>
      <c r="DE148" s="414" t="n"/>
    </row>
    <row r="149" ht="15" customFormat="1" customHeight="1" s="381">
      <c r="A149" s="398" t="inlineStr">
        <is>
          <t>Edgemont Management Fee</t>
        </is>
      </c>
      <c r="B149" s="393">
        <f>IF(ISBLANK(Actuals!C64),0,Actuals!C64)</f>
        <v>833.33</v>
      </c>
      <c r="C149" s="393">
        <f>IF(ISBLANK(Actuals!D64),0,Actuals!D64)</f>
        <v>833.33</v>
      </c>
      <c r="D149" s="393">
        <f>IF(ISBLANK(Actuals!E64),0,Actuals!E64)</f>
        <v>833.33</v>
      </c>
      <c r="E149" s="393">
        <f>IF(ISBLANK(Actuals!F64),IF(1&lt;=Assumptions!$B$68,Assumptions!$B$67,0),Actuals!F64)</f>
        <v>833.33</v>
      </c>
      <c r="F149" s="393">
        <f>IF(ISBLANK(Actuals!G64),IF(2&lt;=Assumptions!$B$68,Assumptions!$B$67,0),Actuals!G64)</f>
        <v>833.33</v>
      </c>
      <c r="G149" s="393">
        <f>IF(ISBLANK(Actuals!H64),IF(3&lt;=Assumptions!$B$68,Assumptions!$B$67,0),Actuals!H64)</f>
        <v>833.33</v>
      </c>
      <c r="H149" s="393">
        <f>IF(ISBLANK(Actuals!I64),IF(4&lt;=Assumptions!$B$68,Assumptions!$B$67,0),Actuals!I64)</f>
        <v>833.33</v>
      </c>
      <c r="I149" s="393">
        <f>IF(ISBLANK(Actuals!J64),IF(5&lt;=Assumptions!$B$68,Assumptions!$B$67,0),Actuals!J64)</f>
        <v>833.33</v>
      </c>
      <c r="J149" s="393">
        <f>IF(ISBLANK(Actuals!K64),IF(6&lt;=Assumptions!$B$68,Assumptions!$B$67,0),Actuals!K64)</f>
        <v>0</v>
      </c>
      <c r="K149" s="393">
        <f>IF(ISBLANK(Actuals!L64),IF(7&lt;=Assumptions!$B$68,Assumptions!$B$67,0),Actuals!L64)</f>
        <v>0</v>
      </c>
      <c r="L149" s="393">
        <f>IF(ISBLANK(Actuals!M64),IF(8&lt;=Assumptions!$B$68,Assumptions!$B$67,0),Actuals!M64)</f>
        <v>0</v>
      </c>
      <c r="M149" s="393">
        <f>IF(ISBLANK(Actuals!N64),IF(9&lt;=Assumptions!$B$68,Assumptions!$B$67,0),Actuals!N64)</f>
        <v>0</v>
      </c>
      <c r="N149" s="393">
        <f>IF(ISBLANK(Actuals!O64),IF(10&lt;=Assumptions!$B$68,Assumptions!$B$67,0),Actuals!O64)</f>
        <v>0</v>
      </c>
      <c r="O149" s="393">
        <f>IF(ISBLANK(Actuals!P64),IF(11&lt;=Assumptions!$B$68,Assumptions!$B$67,0),Actuals!P64)</f>
        <v>0</v>
      </c>
      <c r="P149" s="393">
        <f>IF(ISBLANK(Actuals!Q64),IF(12&lt;=Assumptions!$B$68,Assumptions!$B$67,0),Actuals!Q64)</f>
        <v>0</v>
      </c>
      <c r="Q149" s="393">
        <f>IF(ISBLANK(Actuals!R64),IF(13&lt;=Assumptions!$B$68,Assumptions!$B$67,0),Actuals!R64)</f>
        <v>0</v>
      </c>
      <c r="R149" s="393">
        <f>IF(ISBLANK(Actuals!S64),IF(14&lt;=Assumptions!$B$68,Assumptions!$B$67,0),Actuals!S64)</f>
        <v>0</v>
      </c>
      <c r="S149" s="393">
        <f>IF(ISBLANK(Actuals!T64),IF(15&lt;=Assumptions!$B$68,Assumptions!$B$67,0),Actuals!T64)</f>
        <v>0</v>
      </c>
      <c r="T149" s="393">
        <f>IF(ISBLANK(Actuals!U64),IF(16&lt;=Assumptions!$B$68,Assumptions!$B$67,0),Actuals!U64)</f>
        <v>0</v>
      </c>
      <c r="U149" s="393">
        <f>IF(ISBLANK(Actuals!V64),IF(17&lt;=Assumptions!$B$68,Assumptions!$B$67,0),Actuals!V64)</f>
        <v>0</v>
      </c>
      <c r="V149" s="393">
        <f>IF(ISBLANK(Actuals!W64),IF(18&lt;=Assumptions!$B$68,Assumptions!$B$67,0),Actuals!W64)</f>
        <v>0</v>
      </c>
      <c r="W149" s="393">
        <f>IF(ISBLANK(Actuals!X64),IF(19&lt;=Assumptions!$B$68,Assumptions!$B$67,0),Actuals!X64)</f>
        <v>0</v>
      </c>
      <c r="X149" s="393">
        <f>IF(ISBLANK(Actuals!Y64),IF(20&lt;=Assumptions!$B$68,Assumptions!$B$67,0),Actuals!Y64)</f>
        <v>0</v>
      </c>
      <c r="Y149" s="393">
        <f>IF(ISBLANK(Actuals!Z64),IF(21&lt;=Assumptions!$B$68,Assumptions!$B$67,0),Actuals!Z64)</f>
        <v>0</v>
      </c>
      <c r="Z149" s="393">
        <f>IF(ISBLANK(Actuals!AA64),IF(22&lt;=Assumptions!$B$68,Assumptions!$B$67,0),Actuals!AA64)</f>
        <v>0</v>
      </c>
      <c r="AA149" s="393">
        <f>IF(ISBLANK(Actuals!AB64),IF(23&lt;=Assumptions!$B$68,Assumptions!$B$67,0),Actuals!AB64)</f>
        <v>0</v>
      </c>
      <c r="AB149" s="393">
        <f>IF(ISBLANK(Actuals!AC64),IF(24&lt;=Assumptions!$B$68,Assumptions!$B$67,0),Actuals!AC64)</f>
        <v>0</v>
      </c>
      <c r="AC149" s="393">
        <f>IF(ISBLANK(Actuals!AD64),IF(25&lt;=Assumptions!$B$68,Assumptions!$B$67,0),Actuals!AD64)</f>
        <v>0</v>
      </c>
      <c r="AD149" s="393">
        <f>IF(ISBLANK(Actuals!AE64),IF(26&lt;=Assumptions!$B$68,Assumptions!$B$67,0),Actuals!AE64)</f>
        <v>0</v>
      </c>
      <c r="AE149" s="393">
        <f>IF(ISBLANK(Actuals!AF64),IF(27&lt;=Assumptions!$B$68,Assumptions!$B$67,0),Actuals!AF64)</f>
        <v>0</v>
      </c>
      <c r="AF149" s="393">
        <f>IF(ISBLANK(Actuals!AG64),IF(28&lt;=Assumptions!$B$68,Assumptions!$B$67,0),Actuals!AG64)</f>
        <v>0</v>
      </c>
      <c r="AG149" s="393">
        <f>IF(ISBLANK(Actuals!AH64),IF(29&lt;=Assumptions!$B$68,Assumptions!$B$67,0),Actuals!AH64)</f>
        <v>0</v>
      </c>
      <c r="AH149" s="393">
        <f>IF(ISBLANK(Actuals!AI64),IF(30&lt;=Assumptions!$B$68,Assumptions!$B$67,0),Actuals!AI64)</f>
        <v>0</v>
      </c>
      <c r="AI149" s="393">
        <f>IF(ISBLANK(Actuals!AJ64),IF(31&lt;=Assumptions!$B$68,Assumptions!$B$67,0),Actuals!AJ64)</f>
        <v>0</v>
      </c>
      <c r="AJ149" s="393">
        <f>IF(ISBLANK(Actuals!AK64),IF(32&lt;=Assumptions!$B$68,Assumptions!$B$67,0),Actuals!AK64)</f>
        <v>0</v>
      </c>
      <c r="AK149" s="393">
        <f>IF(ISBLANK(Actuals!AL64),IF(33&lt;=Assumptions!$B$68,Assumptions!$B$67,0),Actuals!AL64)</f>
        <v>0</v>
      </c>
      <c r="AL149" s="393">
        <f>IF(ISBLANK(Actuals!AM64),IF(34&lt;=Assumptions!$B$68,Assumptions!$B$67,0),Actuals!AM64)</f>
        <v>0</v>
      </c>
      <c r="AM149" s="393">
        <f>IF(ISBLANK(Actuals!AN64),IF(35&lt;=Assumptions!$B$68,Assumptions!$B$67,0),Actuals!AN64)</f>
        <v>0</v>
      </c>
      <c r="AN149" s="393">
        <f>IF(ISBLANK(Actuals!AO64),IF(36&lt;=Assumptions!$B$68,Assumptions!$B$67,0),Actuals!AO64)</f>
        <v>0</v>
      </c>
      <c r="AO149" s="393">
        <f>IF(ISBLANK(Actuals!AP64),IF(37&lt;=Assumptions!$B$68,Assumptions!$B$67,0),Actuals!AP64)</f>
        <v>0</v>
      </c>
      <c r="AP149" s="393">
        <f>IF(ISBLANK(Actuals!AQ64),IF(38&lt;=Assumptions!$B$68,Assumptions!$B$67,0),Actuals!AQ64)</f>
        <v>0</v>
      </c>
      <c r="AQ149" s="393">
        <f>IF(ISBLANK(Actuals!AR64),IF(39&lt;=Assumptions!$B$68,Assumptions!$B$67,0),Actuals!AR64)</f>
        <v>0</v>
      </c>
      <c r="AR149" s="393">
        <f>IF(ISBLANK(Actuals!AS64),IF(40&lt;=Assumptions!$B$68,Assumptions!$B$67,0),Actuals!AS64)</f>
        <v>0</v>
      </c>
      <c r="AS149" s="393">
        <f>IF(ISBLANK(Actuals!AT64),IF(41&lt;=Assumptions!$B$68,Assumptions!$B$67,0),Actuals!AT64)</f>
        <v>0</v>
      </c>
      <c r="AT149" s="393">
        <f>IF(ISBLANK(Actuals!AU64),IF(42&lt;=Assumptions!$B$68,Assumptions!$B$67,0),Actuals!AU64)</f>
        <v>0</v>
      </c>
      <c r="AU149" s="393">
        <f>IF(ISBLANK(Actuals!AV64),IF(43&lt;=Assumptions!$B$68,Assumptions!$B$67,0),Actuals!AV64)</f>
        <v>0</v>
      </c>
      <c r="AV149" s="393">
        <f>IF(ISBLANK(Actuals!AW64),IF(44&lt;=Assumptions!$B$68,Assumptions!$B$67,0),Actuals!AW64)</f>
        <v>0</v>
      </c>
      <c r="AW149" s="393">
        <f>IF(ISBLANK(Actuals!AX64),IF(45&lt;=Assumptions!$B$68,Assumptions!$B$67,0),Actuals!AX64)</f>
        <v>0</v>
      </c>
      <c r="AX149" s="393">
        <f>IF(ISBLANK(Actuals!AY64),IF(46&lt;=Assumptions!$B$68,Assumptions!$B$67,0),Actuals!AY64)</f>
        <v>0</v>
      </c>
      <c r="AY149" s="393">
        <f>IF(ISBLANK(Actuals!AZ64),IF(47&lt;=Assumptions!$B$68,Assumptions!$B$67,0),Actuals!AZ64)</f>
        <v>0</v>
      </c>
      <c r="AZ149" s="393">
        <f>IF(ISBLANK(Actuals!BA64),IF(48&lt;=Assumptions!$B$68,Assumptions!$B$67,0),Actuals!BA64)</f>
        <v>0</v>
      </c>
      <c r="BA149" s="393">
        <f>IF(ISBLANK(Actuals!BB64),IF(49&lt;=Assumptions!$B$68,Assumptions!$B$67,0),Actuals!BB64)</f>
        <v>0</v>
      </c>
      <c r="BB149" s="393">
        <f>IF(ISBLANK(Actuals!BC64),IF(50&lt;=Assumptions!$B$68,Assumptions!$B$67,0),Actuals!BC64)</f>
        <v>0</v>
      </c>
      <c r="BC149" s="393">
        <f>IF(ISBLANK(Actuals!BD64),IF(51&lt;=Assumptions!$B$68,Assumptions!$B$67,0),Actuals!BD64)</f>
        <v>0</v>
      </c>
      <c r="BD149" s="393">
        <f>IF(ISBLANK(Actuals!BE64),IF(52&lt;=Assumptions!$B$68,Assumptions!$B$67,0),Actuals!BE64)</f>
        <v>0</v>
      </c>
      <c r="BE149" s="393">
        <f>IF(ISBLANK(Actuals!BF64),IF(53&lt;=Assumptions!$B$68,Assumptions!$B$67,0),Actuals!BF64)</f>
        <v>0</v>
      </c>
      <c r="BF149" s="393">
        <f>IF(ISBLANK(Actuals!BG64),IF(54&lt;=Assumptions!$B$68,Assumptions!$B$67,0),Actuals!BG64)</f>
        <v>0</v>
      </c>
      <c r="BG149" s="393">
        <f>IF(ISBLANK(Actuals!BH64),IF(55&lt;=Assumptions!$B$68,Assumptions!$B$67,0),Actuals!BH64)</f>
        <v>0</v>
      </c>
      <c r="BH149" s="393">
        <f>IF(ISBLANK(Actuals!BI64),IF(56&lt;=Assumptions!$B$68,Assumptions!$B$67,0),Actuals!BI64)</f>
        <v>0</v>
      </c>
      <c r="BI149" s="393">
        <f>IF(ISBLANK(Actuals!BJ64),IF(57&lt;=Assumptions!$B$68,Assumptions!$B$67,0),Actuals!BJ64)</f>
        <v>0</v>
      </c>
      <c r="BJ149" s="393">
        <f>IF(ISBLANK(Actuals!BK64),IF(58&lt;=Assumptions!$B$68,Assumptions!$B$67,0),Actuals!BK64)</f>
        <v>0</v>
      </c>
      <c r="BK149" s="393">
        <f>IF(ISBLANK(Actuals!BL64),IF(59&lt;=Assumptions!$B$68,Assumptions!$B$67,0),Actuals!BL64)</f>
        <v>0</v>
      </c>
      <c r="BL149" s="393">
        <f>IF(ISBLANK(Actuals!BM64),IF(60&lt;=Assumptions!$B$68,Assumptions!$B$67,0),Actuals!BM64)</f>
        <v>0</v>
      </c>
      <c r="BM149" s="393">
        <f>IF(ISBLANK(Actuals!BN64),IF(61&lt;=Assumptions!$B$68,Assumptions!$B$67,0),Actuals!BN64)</f>
        <v>0</v>
      </c>
      <c r="BN149" s="393">
        <f>IF(ISBLANK(Actuals!BO64),IF(62&lt;=Assumptions!$B$68,Assumptions!$B$67,0),Actuals!BO64)</f>
        <v>0</v>
      </c>
      <c r="BO149" s="393">
        <f>IF(ISBLANK(Actuals!BP64),IF(63&lt;=Assumptions!$B$68,Assumptions!$B$67,0),Actuals!BP64)</f>
        <v>0</v>
      </c>
      <c r="BP149" s="393">
        <f>IF(ISBLANK(Actuals!BQ64),IF(64&lt;=Assumptions!$B$68,Assumptions!$B$67,0),Actuals!BQ64)</f>
        <v>0</v>
      </c>
      <c r="BQ149" s="393">
        <f>IF(ISBLANK(Actuals!BR64),IF(65&lt;=Assumptions!$B$68,Assumptions!$B$67,0),Actuals!BR64)</f>
        <v>0</v>
      </c>
      <c r="BR149" s="393">
        <f>IF(ISBLANK(Actuals!BS64),IF(66&lt;=Assumptions!$B$68,Assumptions!$B$67,0),Actuals!BS64)</f>
        <v>0</v>
      </c>
      <c r="BS149" s="393">
        <f>IF(ISBLANK(Actuals!BT64),IF(67&lt;=Assumptions!$B$68,Assumptions!$B$67,0),Actuals!BT64)</f>
        <v>0</v>
      </c>
      <c r="BT149" s="393">
        <f>IF(ISBLANK(Actuals!BU64),IF(68&lt;=Assumptions!$B$68,Assumptions!$B$67,0),Actuals!BU64)</f>
        <v>0</v>
      </c>
      <c r="BU149" s="393">
        <f>IF(ISBLANK(Actuals!BV64),IF(69&lt;=Assumptions!$B$68,Assumptions!$B$67,0),Actuals!BV64)</f>
        <v>0</v>
      </c>
      <c r="BV149" s="393">
        <f>IF(ISBLANK(Actuals!BW64),IF(70&lt;=Assumptions!$B$68,Assumptions!$B$67,0),Actuals!BW64)</f>
        <v>0</v>
      </c>
      <c r="BW149" s="393">
        <f>IF(ISBLANK(Actuals!BX64),IF(71&lt;=Assumptions!$B$68,Assumptions!$B$67,0),Actuals!BX64)</f>
        <v>0</v>
      </c>
      <c r="BX149" s="393">
        <f>IF(ISBLANK(Actuals!BY64),IF(72&lt;=Assumptions!$B$68,Assumptions!$B$67,0),Actuals!BY64)</f>
        <v>0</v>
      </c>
      <c r="BY149" s="393">
        <f>IF(ISBLANK(Actuals!BZ64),IF(73&lt;=Assumptions!$B$68,Assumptions!$B$67,0),Actuals!BZ64)</f>
        <v>0</v>
      </c>
      <c r="BZ149" s="393">
        <f>IF(ISBLANK(Actuals!CA64),IF(74&lt;=Assumptions!$B$68,Assumptions!$B$67,0),Actuals!CA64)</f>
        <v>0</v>
      </c>
      <c r="CA149" s="393">
        <f>IF(ISBLANK(Actuals!CB64),IF(75&lt;=Assumptions!$B$68,Assumptions!$B$67,0),Actuals!CB64)</f>
        <v>0</v>
      </c>
      <c r="CB149" s="393">
        <f>IF(ISBLANK(Actuals!CC64),IF(76&lt;=Assumptions!$B$68,Assumptions!$B$67,0),Actuals!CC64)</f>
        <v>0</v>
      </c>
      <c r="CC149" s="393">
        <f>IF(ISBLANK(Actuals!CD64),IF(77&lt;=Assumptions!$B$68,Assumptions!$B$67,0),Actuals!CD64)</f>
        <v>0</v>
      </c>
      <c r="CD149" s="393">
        <f>IF(ISBLANK(Actuals!CE64),IF(78&lt;=Assumptions!$B$68,Assumptions!$B$67,0),Actuals!CE64)</f>
        <v>0</v>
      </c>
      <c r="CE149" s="393">
        <f>IF(ISBLANK(Actuals!CF64),IF(79&lt;=Assumptions!$B$68,Assumptions!$B$67,0),Actuals!CF64)</f>
        <v>0</v>
      </c>
      <c r="CF149" s="393">
        <f>IF(ISBLANK(Actuals!CG64),IF(80&lt;=Assumptions!$B$68,Assumptions!$B$67,0),Actuals!CG64)</f>
        <v>0</v>
      </c>
      <c r="CG149" s="393">
        <f>IF(ISBLANK(Actuals!CH64),IF(81&lt;=Assumptions!$B$68,Assumptions!$B$67,0),Actuals!CH64)</f>
        <v>0</v>
      </c>
      <c r="CH149" s="393">
        <f>IF(ISBLANK(Actuals!CI64),IF(82&lt;=Assumptions!$B$68,Assumptions!$B$67,0),Actuals!CI64)</f>
        <v>0</v>
      </c>
      <c r="CI149" s="393">
        <f>IF(ISBLANK(Actuals!CJ64),IF(83&lt;=Assumptions!$B$68,Assumptions!$B$67,0),Actuals!CJ64)</f>
        <v>0</v>
      </c>
      <c r="CJ149" s="393">
        <f>IF(ISBLANK(Actuals!CK64),IF(84&lt;=Assumptions!$B$68,Assumptions!$B$67,0),Actuals!CK64)</f>
        <v>0</v>
      </c>
      <c r="CK149" s="393">
        <f>IF(ISBLANK(Actuals!CL64),IF(85&lt;=Assumptions!$B$68,Assumptions!$B$67,0),Actuals!CL64)</f>
        <v>0</v>
      </c>
      <c r="CL149" s="393">
        <f>IF(ISBLANK(Actuals!CM64),IF(86&lt;=Assumptions!$B$68,Assumptions!$B$67,0),Actuals!CM64)</f>
        <v>0</v>
      </c>
      <c r="CM149" s="393">
        <f>IF(ISBLANK(Actuals!CN64),IF(87&lt;=Assumptions!$B$68,Assumptions!$B$67,0),Actuals!CN64)</f>
        <v>0</v>
      </c>
      <c r="CN149" s="393">
        <f>IF(ISBLANK(Actuals!CO64),IF(88&lt;=Assumptions!$B$68,Assumptions!$B$67,0),Actuals!CO64)</f>
        <v>0</v>
      </c>
      <c r="CO149" s="393">
        <f>IF(ISBLANK(Actuals!CP64),IF(89&lt;=Assumptions!$B$68,Assumptions!$B$67,0),Actuals!CP64)</f>
        <v>0</v>
      </c>
      <c r="CP149" s="393">
        <f>IF(ISBLANK(Actuals!CQ64),IF(90&lt;=Assumptions!$B$68,Assumptions!$B$67,0),Actuals!CQ64)</f>
        <v>0</v>
      </c>
      <c r="CQ149" s="393">
        <f>IF(ISBLANK(Actuals!CR64),IF(91&lt;=Assumptions!$B$68,Assumptions!$B$67,0),Actuals!CR64)</f>
        <v>0</v>
      </c>
      <c r="CR149" s="393">
        <f>IF(ISBLANK(Actuals!CS64),IF(92&lt;=Assumptions!$B$68,Assumptions!$B$67,0),Actuals!CS64)</f>
        <v>0</v>
      </c>
      <c r="CS149" s="393">
        <f>IF(ISBLANK(Actuals!CT64),IF(93&lt;=Assumptions!$B$68,Assumptions!$B$67,0),Actuals!CT64)</f>
        <v>0</v>
      </c>
      <c r="CT149" s="393">
        <f>IF(ISBLANK(Actuals!CU64),IF(94&lt;=Assumptions!$B$68,Assumptions!$B$67,0),Actuals!CU64)</f>
        <v>0</v>
      </c>
      <c r="CU149" s="393">
        <f>IF(ISBLANK(Actuals!CV64),IF(95&lt;=Assumptions!$B$68,Assumptions!$B$67,0),Actuals!CV64)</f>
        <v>0</v>
      </c>
      <c r="CV149" s="393">
        <f>IF(ISBLANK(Actuals!CW64),IF(96&lt;=Assumptions!$B$68,Assumptions!$B$67,0),Actuals!CW64)</f>
        <v>0</v>
      </c>
      <c r="CW149" s="393">
        <f>IF(ISBLANK(Actuals!CX64),IF(97&lt;=Assumptions!$B$68,Assumptions!$B$67,0),Actuals!CX64)</f>
        <v>0</v>
      </c>
      <c r="CX149" s="393">
        <f>IF(ISBLANK(Actuals!CY64),IF(98&lt;=Assumptions!$B$68,Assumptions!$B$67,0),Actuals!CY64)</f>
        <v>0</v>
      </c>
      <c r="CY149" s="393">
        <f>IF(ISBLANK(Actuals!CZ64),IF(99&lt;=Assumptions!$B$68,Assumptions!$B$67,0),Actuals!CZ64)</f>
        <v>0</v>
      </c>
      <c r="CZ149" s="393">
        <f>IF(ISBLANK(Actuals!DA64),IF(100&lt;=Assumptions!$B$68,Assumptions!$B$67,0),Actuals!DA64)</f>
        <v>0</v>
      </c>
      <c r="DA149" s="393">
        <f>IF(ISBLANK(Actuals!DB64),IF(101&lt;=Assumptions!$B$68,Assumptions!$B$67,0),Actuals!DB64)</f>
        <v>0</v>
      </c>
      <c r="DB149" s="393">
        <f>IF(ISBLANK(Actuals!DC64),IF(102&lt;=Assumptions!$B$68,Assumptions!$B$67,0),Actuals!DC64)</f>
        <v>0</v>
      </c>
      <c r="DC149" s="393">
        <f>IF(ISBLANK(Actuals!DD64),IF(103&lt;=Assumptions!$B$68,Assumptions!$B$67,0),Actuals!DD64)</f>
        <v>0</v>
      </c>
      <c r="DD149" s="393">
        <f>IF(ISBLANK(Actuals!DE64),IF(104&lt;=Assumptions!$B$68,Assumptions!$B$67,0),Actuals!DE64)</f>
        <v>0</v>
      </c>
      <c r="DE149" s="393">
        <f>IF(ISBLANK(Actuals!DF64),IF(105&lt;=Assumptions!$B$68,Assumptions!$B$67,0),Actuals!DF64)</f>
        <v>0</v>
      </c>
    </row>
    <row r="150" ht="15" customFormat="1" customHeight="1" s="381">
      <c r="A150" s="398" t="inlineStr">
        <is>
          <t>Ramsgate Dev Fee - Construction</t>
        </is>
      </c>
      <c r="B150" s="393">
        <f>IF(ISBLANK(Actuals!C65),0,Actuals!C65)</f>
        <v>23906.25</v>
      </c>
      <c r="C150" s="393">
        <f>IF(ISBLANK(Actuals!D65),0,Actuals!D65)</f>
        <v>23906.25</v>
      </c>
      <c r="D150" s="393">
        <f>IF(ISBLANK(Actuals!E65),0,Actuals!E65)</f>
        <v>23906.25</v>
      </c>
      <c r="E150" s="393">
        <f>IF(ISBLANK(Actuals!F65),IF(Projects!$G$3="Yes",23906.25,0),Actuals!F65)</f>
        <v>23906.25</v>
      </c>
      <c r="F150" s="393">
        <f>IF(ISBLANK(Actuals!G65),IF(Projects!$G$3="Yes",23906.25,0),Actuals!G65)</f>
        <v>23906.25</v>
      </c>
      <c r="G150" s="393">
        <f>IF(ISBLANK(Actuals!H65),IF(Projects!$G$3="Yes",23906.25,0),Actuals!H65)</f>
        <v>23906.25</v>
      </c>
      <c r="H150" s="393">
        <f>IF(ISBLANK(Actuals!I65),IF(Projects!$G$3="Yes",23906.25,0),Actuals!I65)</f>
        <v>23906.25</v>
      </c>
      <c r="I150" s="393">
        <f>IF(ISBLANK(Actuals!J65),IF(Projects!$G$3="Yes",23906.25,0),Actuals!J65)</f>
        <v>23906.25</v>
      </c>
      <c r="J150" s="393">
        <f>IF(ISBLANK(Actuals!K65),IF(Projects!$G$3="Yes",23906.25,0),Actuals!K65)</f>
        <v>23906.25</v>
      </c>
      <c r="K150" s="393">
        <f>IF(ISBLANK(Actuals!L65),IF(Projects!$G$3="Yes",23906.25,0),Actuals!L65)</f>
        <v>23906.25</v>
      </c>
      <c r="L150" s="393">
        <f>IF(ISBLANK(Actuals!M65),IF(Projects!$G$3="Yes",23906.25,0),Actuals!M65)</f>
        <v>23906.25</v>
      </c>
      <c r="M150" s="393">
        <f>IF(ISBLANK(Actuals!N65),IF(Projects!$G$3="Yes",23906.25,0),Actuals!N65)</f>
        <v>23906.25</v>
      </c>
      <c r="N150" s="393">
        <f>IF(ISBLANK(Actuals!O65),IF(Projects!$G$3="Yes",23906.25,0),Actuals!O65)</f>
        <v>23906.25</v>
      </c>
      <c r="O150" s="393">
        <f>IF(ISBLANK(Actuals!P65),IF(Projects!$G$3="Yes",23906.25,0),Actuals!P65)</f>
        <v>23906.25</v>
      </c>
      <c r="P150" s="393">
        <f>IF(ISBLANK(Actuals!Q65),IF(Projects!$G$3="Yes",23906.25,0),Actuals!Q65)</f>
        <v>23906.25</v>
      </c>
      <c r="Q150" s="393">
        <f>IF(ISBLANK(Actuals!R65),IF(Projects!$G$3="Yes",23906.25,0),Actuals!R65)</f>
        <v>23906.25</v>
      </c>
      <c r="R150" s="393">
        <f>IF(ISBLANK(Actuals!S65),IF(Projects!$G$3="Yes",23906.25,0),Actuals!S65)</f>
        <v>23906.25</v>
      </c>
      <c r="S150" s="393">
        <f>IF(ISBLANK(Actuals!T65),IF(Projects!$G$3="Yes",23906.25,0),Actuals!T65)</f>
        <v>23906.25</v>
      </c>
      <c r="T150" s="393">
        <f>IF(ISBLANK(Actuals!U65),0,Actuals!U65)</f>
        <v>0</v>
      </c>
      <c r="U150" s="393">
        <f>IF(ISBLANK(Actuals!V65),0,Actuals!V65)</f>
        <v>0</v>
      </c>
      <c r="V150" s="393">
        <f>IF(ISBLANK(Actuals!W65),0,Actuals!W65)</f>
        <v>0</v>
      </c>
      <c r="W150" s="393">
        <f>IF(ISBLANK(Actuals!X65),0,Actuals!X65)</f>
        <v>0</v>
      </c>
      <c r="X150" s="393">
        <f>IF(ISBLANK(Actuals!Y65),0,Actuals!Y65)</f>
        <v>0</v>
      </c>
      <c r="Y150" s="393">
        <f>IF(ISBLANK(Actuals!Z65),0,Actuals!Z65)</f>
        <v>0</v>
      </c>
      <c r="Z150" s="393">
        <f>IF(ISBLANK(Actuals!AA65),0,Actuals!AA65)</f>
        <v>0</v>
      </c>
      <c r="AA150" s="393">
        <f>IF(ISBLANK(Actuals!AB65),0,Actuals!AB65)</f>
        <v>0</v>
      </c>
      <c r="AB150" s="393">
        <f>IF(ISBLANK(Actuals!AC65),0,Actuals!AC65)</f>
        <v>0</v>
      </c>
      <c r="AC150" s="393">
        <f>IF(ISBLANK(Actuals!AD65),0,Actuals!AD65)</f>
        <v>0</v>
      </c>
      <c r="AD150" s="393">
        <f>IF(ISBLANK(Actuals!AE65),0,Actuals!AE65)</f>
        <v>0</v>
      </c>
      <c r="AE150" s="393">
        <f>IF(ISBLANK(Actuals!AF65),0,Actuals!AF65)</f>
        <v>0</v>
      </c>
      <c r="AF150" s="393">
        <f>IF(ISBLANK(Actuals!AG65),0,Actuals!AG65)</f>
        <v>0</v>
      </c>
      <c r="AG150" s="393">
        <f>IF(ISBLANK(Actuals!AH65),0,Actuals!AH65)</f>
        <v>0</v>
      </c>
      <c r="AH150" s="393">
        <f>IF(ISBLANK(Actuals!AI65),0,Actuals!AI65)</f>
        <v>0</v>
      </c>
      <c r="AI150" s="393">
        <f>IF(ISBLANK(Actuals!AJ65),0,Actuals!AJ65)</f>
        <v>0</v>
      </c>
      <c r="AJ150" s="393">
        <f>IF(ISBLANK(Actuals!AK65),0,Actuals!AK65)</f>
        <v>0</v>
      </c>
      <c r="AK150" s="393">
        <f>IF(ISBLANK(Actuals!AL65),0,Actuals!AL65)</f>
        <v>0</v>
      </c>
      <c r="AL150" s="393">
        <f>IF(ISBLANK(Actuals!AM65),0,Actuals!AM65)</f>
        <v>0</v>
      </c>
      <c r="AM150" s="393">
        <f>IF(ISBLANK(Actuals!AN65),0,Actuals!AN65)</f>
        <v>0</v>
      </c>
      <c r="AN150" s="393">
        <f>IF(ISBLANK(Actuals!AO65),0,Actuals!AO65)</f>
        <v>0</v>
      </c>
      <c r="AO150" s="393">
        <f>IF(ISBLANK(Actuals!AP65),0,Actuals!AP65)</f>
        <v>0</v>
      </c>
      <c r="AP150" s="393">
        <f>IF(ISBLANK(Actuals!AQ65),0,Actuals!AQ65)</f>
        <v>0</v>
      </c>
      <c r="AQ150" s="393">
        <f>IF(ISBLANK(Actuals!AR65),0,Actuals!AR65)</f>
        <v>0</v>
      </c>
      <c r="AR150" s="393">
        <f>IF(ISBLANK(Actuals!AS65),0,Actuals!AS65)</f>
        <v>0</v>
      </c>
      <c r="AS150" s="393">
        <f>IF(ISBLANK(Actuals!AT65),0,Actuals!AT65)</f>
        <v>0</v>
      </c>
      <c r="AT150" s="393">
        <f>IF(ISBLANK(Actuals!AU65),0,Actuals!AU65)</f>
        <v>0</v>
      </c>
      <c r="AU150" s="393">
        <f>IF(ISBLANK(Actuals!AV65),0,Actuals!AV65)</f>
        <v>0</v>
      </c>
      <c r="AV150" s="393">
        <f>IF(ISBLANK(Actuals!AW65),0,Actuals!AW65)</f>
        <v>0</v>
      </c>
      <c r="AW150" s="393">
        <f>IF(ISBLANK(Actuals!AX65),0,Actuals!AX65)</f>
        <v>0</v>
      </c>
      <c r="AX150" s="393">
        <f>IF(ISBLANK(Actuals!AY65),0,Actuals!AY65)</f>
        <v>0</v>
      </c>
      <c r="AY150" s="393">
        <f>IF(ISBLANK(Actuals!AZ65),0,Actuals!AZ65)</f>
        <v>0</v>
      </c>
      <c r="AZ150" s="393">
        <f>IF(ISBLANK(Actuals!BA65),0,Actuals!BA65)</f>
        <v>0</v>
      </c>
      <c r="BA150" s="393">
        <f>IF(ISBLANK(Actuals!BB65),0,Actuals!BB65)</f>
        <v>0</v>
      </c>
      <c r="BB150" s="393">
        <f>IF(ISBLANK(Actuals!BC65),0,Actuals!BC65)</f>
        <v>0</v>
      </c>
      <c r="BC150" s="393">
        <f>IF(ISBLANK(Actuals!BD65),0,Actuals!BD65)</f>
        <v>0</v>
      </c>
      <c r="BD150" s="393">
        <f>IF(ISBLANK(Actuals!BE65),0,Actuals!BE65)</f>
        <v>0</v>
      </c>
      <c r="BE150" s="393">
        <f>IF(ISBLANK(Actuals!BF65),0,Actuals!BF65)</f>
        <v>0</v>
      </c>
      <c r="BF150" s="393">
        <f>IF(ISBLANK(Actuals!BG65),0,Actuals!BG65)</f>
        <v>0</v>
      </c>
      <c r="BG150" s="393">
        <f>IF(ISBLANK(Actuals!BH65),0,Actuals!BH65)</f>
        <v>0</v>
      </c>
      <c r="BH150" s="393">
        <f>IF(ISBLANK(Actuals!BI65),0,Actuals!BI65)</f>
        <v>0</v>
      </c>
      <c r="BI150" s="393">
        <f>IF(ISBLANK(Actuals!BJ65),0,Actuals!BJ65)</f>
        <v>0</v>
      </c>
      <c r="BJ150" s="393">
        <f>IF(ISBLANK(Actuals!BK65),0,Actuals!BK65)</f>
        <v>0</v>
      </c>
      <c r="BK150" s="393">
        <f>IF(ISBLANK(Actuals!BL65),0,Actuals!BL65)</f>
        <v>0</v>
      </c>
      <c r="BL150" s="393">
        <f>IF(ISBLANK(Actuals!BM65),0,Actuals!BM65)</f>
        <v>0</v>
      </c>
      <c r="BM150" s="393">
        <f>IF(ISBLANK(Actuals!BN65),0,Actuals!BN65)</f>
        <v>0</v>
      </c>
      <c r="BN150" s="393">
        <f>IF(ISBLANK(Actuals!BO65),0,Actuals!BO65)</f>
        <v>0</v>
      </c>
      <c r="BO150" s="393">
        <f>IF(ISBLANK(Actuals!BP65),0,Actuals!BP65)</f>
        <v>0</v>
      </c>
      <c r="BP150" s="393">
        <f>IF(ISBLANK(Actuals!BQ65),0,Actuals!BQ65)</f>
        <v>0</v>
      </c>
      <c r="BQ150" s="393">
        <f>IF(ISBLANK(Actuals!BR65),0,Actuals!BR65)</f>
        <v>0</v>
      </c>
      <c r="BR150" s="393">
        <f>IF(ISBLANK(Actuals!BS65),0,Actuals!BS65)</f>
        <v>0</v>
      </c>
      <c r="BS150" s="393">
        <f>IF(ISBLANK(Actuals!BT65),0,Actuals!BT65)</f>
        <v>0</v>
      </c>
      <c r="BT150" s="393">
        <f>IF(ISBLANK(Actuals!BU65),0,Actuals!BU65)</f>
        <v>0</v>
      </c>
      <c r="BU150" s="393">
        <f>IF(ISBLANK(Actuals!BV65),0,Actuals!BV65)</f>
        <v>0</v>
      </c>
      <c r="BV150" s="393">
        <f>IF(ISBLANK(Actuals!BW65),0,Actuals!BW65)</f>
        <v>0</v>
      </c>
      <c r="BW150" s="393">
        <f>IF(ISBLANK(Actuals!BX65),0,Actuals!BX65)</f>
        <v>0</v>
      </c>
      <c r="BX150" s="393">
        <f>IF(ISBLANK(Actuals!BY65),0,Actuals!BY65)</f>
        <v>0</v>
      </c>
      <c r="BY150" s="393">
        <f>IF(ISBLANK(Actuals!BZ65),0,Actuals!BZ65)</f>
        <v>0</v>
      </c>
      <c r="BZ150" s="393">
        <f>IF(ISBLANK(Actuals!CA65),0,Actuals!CA65)</f>
        <v>0</v>
      </c>
      <c r="CA150" s="393">
        <f>IF(ISBLANK(Actuals!CB65),0,Actuals!CB65)</f>
        <v>0</v>
      </c>
      <c r="CB150" s="393">
        <f>IF(ISBLANK(Actuals!CC65),0,Actuals!CC65)</f>
        <v>0</v>
      </c>
      <c r="CC150" s="393">
        <f>IF(ISBLANK(Actuals!CD65),0,Actuals!CD65)</f>
        <v>0</v>
      </c>
      <c r="CD150" s="393">
        <f>IF(ISBLANK(Actuals!CE65),0,Actuals!CE65)</f>
        <v>0</v>
      </c>
      <c r="CE150" s="393">
        <f>IF(ISBLANK(Actuals!CF65),0,Actuals!CF65)</f>
        <v>0</v>
      </c>
      <c r="CF150" s="393">
        <f>IF(ISBLANK(Actuals!CG65),0,Actuals!CG65)</f>
        <v>0</v>
      </c>
      <c r="CG150" s="393">
        <f>IF(ISBLANK(Actuals!CH65),0,Actuals!CH65)</f>
        <v>0</v>
      </c>
      <c r="CH150" s="393">
        <f>IF(ISBLANK(Actuals!CI65),0,Actuals!CI65)</f>
        <v>0</v>
      </c>
      <c r="CI150" s="393">
        <f>IF(ISBLANK(Actuals!CJ65),0,Actuals!CJ65)</f>
        <v>0</v>
      </c>
      <c r="CJ150" s="393">
        <f>IF(ISBLANK(Actuals!CK65),0,Actuals!CK65)</f>
        <v>0</v>
      </c>
      <c r="CK150" s="393">
        <f>IF(ISBLANK(Actuals!CL65),0,Actuals!CL65)</f>
        <v>0</v>
      </c>
      <c r="CL150" s="393">
        <f>IF(ISBLANK(Actuals!CM65),0,Actuals!CM65)</f>
        <v>0</v>
      </c>
      <c r="CM150" s="393">
        <f>IF(ISBLANK(Actuals!CN65),0,Actuals!CN65)</f>
        <v>0</v>
      </c>
      <c r="CN150" s="393">
        <f>IF(ISBLANK(Actuals!CO65),0,Actuals!CO65)</f>
        <v>0</v>
      </c>
      <c r="CO150" s="393">
        <f>IF(ISBLANK(Actuals!CP65),0,Actuals!CP65)</f>
        <v>0</v>
      </c>
      <c r="CP150" s="393">
        <f>IF(ISBLANK(Actuals!CQ65),0,Actuals!CQ65)</f>
        <v>0</v>
      </c>
      <c r="CQ150" s="393">
        <f>IF(ISBLANK(Actuals!CR65),0,Actuals!CR65)</f>
        <v>0</v>
      </c>
      <c r="CR150" s="393">
        <f>IF(ISBLANK(Actuals!CS65),0,Actuals!CS65)</f>
        <v>0</v>
      </c>
      <c r="CS150" s="393">
        <f>IF(ISBLANK(Actuals!CT65),0,Actuals!CT65)</f>
        <v>0</v>
      </c>
      <c r="CT150" s="393">
        <f>IF(ISBLANK(Actuals!CU65),0,Actuals!CU65)</f>
        <v>0</v>
      </c>
      <c r="CU150" s="393">
        <f>IF(ISBLANK(Actuals!CV65),0,Actuals!CV65)</f>
        <v>0</v>
      </c>
      <c r="CV150" s="393">
        <f>IF(ISBLANK(Actuals!CW65),0,Actuals!CW65)</f>
        <v>0</v>
      </c>
      <c r="CW150" s="393">
        <f>IF(ISBLANK(Actuals!CX65),0,Actuals!CX65)</f>
        <v>0</v>
      </c>
      <c r="CX150" s="393">
        <f>IF(ISBLANK(Actuals!CY65),0,Actuals!CY65)</f>
        <v>0</v>
      </c>
      <c r="CY150" s="393">
        <f>IF(ISBLANK(Actuals!CZ65),0,Actuals!CZ65)</f>
        <v>0</v>
      </c>
      <c r="CZ150" s="393">
        <f>IF(ISBLANK(Actuals!DA65),0,Actuals!DA65)</f>
        <v>0</v>
      </c>
      <c r="DA150" s="393">
        <f>IF(ISBLANK(Actuals!DB65),0,Actuals!DB65)</f>
        <v>0</v>
      </c>
      <c r="DB150" s="393">
        <f>IF(ISBLANK(Actuals!DC65),0,Actuals!DC65)</f>
        <v>0</v>
      </c>
      <c r="DC150" s="393">
        <f>IF(ISBLANK(Actuals!DD65),0,Actuals!DD65)</f>
        <v>0</v>
      </c>
      <c r="DD150" s="393">
        <f>IF(ISBLANK(Actuals!DE65),0,Actuals!DE65)</f>
        <v>0</v>
      </c>
      <c r="DE150" s="393">
        <f>IF(ISBLANK(Actuals!DF65),0,Actuals!DF65)</f>
        <v>0</v>
      </c>
    </row>
    <row r="151" ht="15" customFormat="1" customHeight="1" s="381">
      <c r="A151" s="398" t="inlineStr">
        <is>
          <t>Ramsgate Dev Fee - 20% Occ</t>
        </is>
      </c>
      <c r="B151" s="393">
        <f>IF(ISBLANK(Actuals!C66),0,Actuals!C66)</f>
        <v>0</v>
      </c>
      <c r="C151" s="393">
        <f>IF(ISBLANK(Actuals!D66),0,Actuals!D66)</f>
        <v>0</v>
      </c>
      <c r="D151" s="393">
        <f>IF(ISBLANK(Actuals!E66),0,Actuals!E66)</f>
        <v>0</v>
      </c>
      <c r="E151" s="393">
        <f>IF(ISBLANK(Actuals!F66),0,Actuals!F66)</f>
        <v>0</v>
      </c>
      <c r="F151" s="393">
        <f>IF(ISBLANK(Actuals!G66),0,Actuals!G66)</f>
        <v>0</v>
      </c>
      <c r="G151" s="393">
        <f>IF(ISBLANK(Actuals!H66),0,Actuals!H66)</f>
        <v>0</v>
      </c>
      <c r="H151" s="393">
        <f>IF(ISBLANK(Actuals!I66),0,Actuals!I66)</f>
        <v>0</v>
      </c>
      <c r="I151" s="393">
        <f>IF(ISBLANK(Actuals!J66),0,Actuals!J66)</f>
        <v>0</v>
      </c>
      <c r="J151" s="393">
        <f>IF(ISBLANK(Actuals!K66),0,Actuals!K66)</f>
        <v>0</v>
      </c>
      <c r="K151" s="393">
        <f>IF(ISBLANK(Actuals!L66),0,Actuals!L66)</f>
        <v>0</v>
      </c>
      <c r="L151" s="393">
        <f>IF(ISBLANK(Actuals!M66),0,Actuals!M66)</f>
        <v>0</v>
      </c>
      <c r="M151" s="393">
        <f>IF(ISBLANK(Actuals!N66),0,Actuals!N66)</f>
        <v>0</v>
      </c>
      <c r="N151" s="393">
        <f>IF(ISBLANK(Actuals!O66),0,Actuals!O66)</f>
        <v>0</v>
      </c>
      <c r="O151" s="393">
        <f>IF(ISBLANK(Actuals!P66),0,Actuals!P66)</f>
        <v>0</v>
      </c>
      <c r="P151" s="393">
        <f>IF(ISBLANK(Actuals!Q66),0,Actuals!Q66)</f>
        <v>0</v>
      </c>
      <c r="Q151" s="393">
        <f>IF(ISBLANK(Actuals!R66),0,Actuals!R66)</f>
        <v>0</v>
      </c>
      <c r="R151" s="393">
        <f>IF(ISBLANK(Actuals!S66),0,Actuals!S66)</f>
        <v>0</v>
      </c>
      <c r="S151" s="393">
        <f>IF(ISBLANK(Actuals!T66),0,Actuals!T66)</f>
        <v>0</v>
      </c>
      <c r="T151" s="393">
        <f>IF(ISBLANK(Actuals!U66),0,Actuals!U66)</f>
        <v>0</v>
      </c>
      <c r="U151" s="393">
        <f>IF(ISBLANK(Actuals!V66),0,Actuals!V66)</f>
        <v>0</v>
      </c>
      <c r="V151" s="393">
        <f>IF(ISBLANK(Actuals!W66),0,Actuals!W66)</f>
        <v>0</v>
      </c>
      <c r="W151" s="393">
        <f>IF(ISBLANK(Actuals!X66),0,Actuals!X66)</f>
        <v>0</v>
      </c>
      <c r="X151" s="393">
        <f>IF(ISBLANK(Actuals!Y66),0,Actuals!Y66)</f>
        <v>0</v>
      </c>
      <c r="Y151" s="393">
        <f>IF(ISBLANK(Actuals!Z66),IF(Projects!$G$3="Yes",57375,0),Actuals!Z66)</f>
        <v>57375</v>
      </c>
      <c r="Z151" s="393">
        <f>IF(ISBLANK(Actuals!AA66),0,Actuals!AA66)</f>
        <v>0</v>
      </c>
      <c r="AA151" s="393">
        <f>IF(ISBLANK(Actuals!AB66),0,Actuals!AB66)</f>
        <v>0</v>
      </c>
      <c r="AB151" s="393">
        <f>IF(ISBLANK(Actuals!AC66),0,Actuals!AC66)</f>
        <v>0</v>
      </c>
      <c r="AC151" s="393">
        <f>IF(ISBLANK(Actuals!AD66),0,Actuals!AD66)</f>
        <v>0</v>
      </c>
      <c r="AD151" s="393">
        <f>IF(ISBLANK(Actuals!AE66),0,Actuals!AE66)</f>
        <v>0</v>
      </c>
      <c r="AE151" s="393">
        <f>IF(ISBLANK(Actuals!AF66),0,Actuals!AF66)</f>
        <v>0</v>
      </c>
      <c r="AF151" s="393">
        <f>IF(ISBLANK(Actuals!AG66),0,Actuals!AG66)</f>
        <v>0</v>
      </c>
      <c r="AG151" s="393">
        <f>IF(ISBLANK(Actuals!AH66),0,Actuals!AH66)</f>
        <v>0</v>
      </c>
      <c r="AH151" s="393">
        <f>IF(ISBLANK(Actuals!AI66),0,Actuals!AI66)</f>
        <v>0</v>
      </c>
      <c r="AI151" s="393">
        <f>IF(ISBLANK(Actuals!AJ66),0,Actuals!AJ66)</f>
        <v>0</v>
      </c>
      <c r="AJ151" s="393">
        <f>IF(ISBLANK(Actuals!AK66),0,Actuals!AK66)</f>
        <v>0</v>
      </c>
      <c r="AK151" s="393">
        <f>IF(ISBLANK(Actuals!AL66),0,Actuals!AL66)</f>
        <v>0</v>
      </c>
      <c r="AL151" s="393">
        <f>IF(ISBLANK(Actuals!AM66),0,Actuals!AM66)</f>
        <v>0</v>
      </c>
      <c r="AM151" s="393">
        <f>IF(ISBLANK(Actuals!AN66),0,Actuals!AN66)</f>
        <v>0</v>
      </c>
      <c r="AN151" s="393">
        <f>IF(ISBLANK(Actuals!AO66),0,Actuals!AO66)</f>
        <v>0</v>
      </c>
      <c r="AO151" s="393">
        <f>IF(ISBLANK(Actuals!AP66),0,Actuals!AP66)</f>
        <v>0</v>
      </c>
      <c r="AP151" s="393">
        <f>IF(ISBLANK(Actuals!AQ66),0,Actuals!AQ66)</f>
        <v>0</v>
      </c>
      <c r="AQ151" s="393">
        <f>IF(ISBLANK(Actuals!AR66),0,Actuals!AR66)</f>
        <v>0</v>
      </c>
      <c r="AR151" s="393">
        <f>IF(ISBLANK(Actuals!AS66),0,Actuals!AS66)</f>
        <v>0</v>
      </c>
      <c r="AS151" s="393">
        <f>IF(ISBLANK(Actuals!AT66),0,Actuals!AT66)</f>
        <v>0</v>
      </c>
      <c r="AT151" s="393">
        <f>IF(ISBLANK(Actuals!AU66),0,Actuals!AU66)</f>
        <v>0</v>
      </c>
      <c r="AU151" s="393">
        <f>IF(ISBLANK(Actuals!AV66),0,Actuals!AV66)</f>
        <v>0</v>
      </c>
      <c r="AV151" s="393">
        <f>IF(ISBLANK(Actuals!AW66),0,Actuals!AW66)</f>
        <v>0</v>
      </c>
      <c r="AW151" s="393">
        <f>IF(ISBLANK(Actuals!AX66),0,Actuals!AX66)</f>
        <v>0</v>
      </c>
      <c r="AX151" s="393">
        <f>IF(ISBLANK(Actuals!AY66),0,Actuals!AY66)</f>
        <v>0</v>
      </c>
      <c r="AY151" s="393">
        <f>IF(ISBLANK(Actuals!AZ66),0,Actuals!AZ66)</f>
        <v>0</v>
      </c>
      <c r="AZ151" s="393">
        <f>IF(ISBLANK(Actuals!BA66),0,Actuals!BA66)</f>
        <v>0</v>
      </c>
      <c r="BA151" s="393">
        <f>IF(ISBLANK(Actuals!BB66),0,Actuals!BB66)</f>
        <v>0</v>
      </c>
      <c r="BB151" s="393">
        <f>IF(ISBLANK(Actuals!BC66),0,Actuals!BC66)</f>
        <v>0</v>
      </c>
      <c r="BC151" s="393">
        <f>IF(ISBLANK(Actuals!BD66),0,Actuals!BD66)</f>
        <v>0</v>
      </c>
      <c r="BD151" s="393">
        <f>IF(ISBLANK(Actuals!BE66),0,Actuals!BE66)</f>
        <v>0</v>
      </c>
      <c r="BE151" s="393">
        <f>IF(ISBLANK(Actuals!BF66),0,Actuals!BF66)</f>
        <v>0</v>
      </c>
      <c r="BF151" s="393">
        <f>IF(ISBLANK(Actuals!BG66),0,Actuals!BG66)</f>
        <v>0</v>
      </c>
      <c r="BG151" s="393">
        <f>IF(ISBLANK(Actuals!BH66),0,Actuals!BH66)</f>
        <v>0</v>
      </c>
      <c r="BH151" s="393">
        <f>IF(ISBLANK(Actuals!BI66),0,Actuals!BI66)</f>
        <v>0</v>
      </c>
      <c r="BI151" s="393">
        <f>IF(ISBLANK(Actuals!BJ66),0,Actuals!BJ66)</f>
        <v>0</v>
      </c>
      <c r="BJ151" s="393">
        <f>IF(ISBLANK(Actuals!BK66),0,Actuals!BK66)</f>
        <v>0</v>
      </c>
      <c r="BK151" s="393">
        <f>IF(ISBLANK(Actuals!BL66),0,Actuals!BL66)</f>
        <v>0</v>
      </c>
      <c r="BL151" s="393">
        <f>IF(ISBLANK(Actuals!BM66),0,Actuals!BM66)</f>
        <v>0</v>
      </c>
      <c r="BM151" s="393">
        <f>IF(ISBLANK(Actuals!BN66),0,Actuals!BN66)</f>
        <v>0</v>
      </c>
      <c r="BN151" s="393">
        <f>IF(ISBLANK(Actuals!BO66),0,Actuals!BO66)</f>
        <v>0</v>
      </c>
      <c r="BO151" s="393">
        <f>IF(ISBLANK(Actuals!BP66),0,Actuals!BP66)</f>
        <v>0</v>
      </c>
      <c r="BP151" s="393">
        <f>IF(ISBLANK(Actuals!BQ66),0,Actuals!BQ66)</f>
        <v>0</v>
      </c>
      <c r="BQ151" s="393">
        <f>IF(ISBLANK(Actuals!BR66),0,Actuals!BR66)</f>
        <v>0</v>
      </c>
      <c r="BR151" s="393">
        <f>IF(ISBLANK(Actuals!BS66),0,Actuals!BS66)</f>
        <v>0</v>
      </c>
      <c r="BS151" s="393">
        <f>IF(ISBLANK(Actuals!BT66),0,Actuals!BT66)</f>
        <v>0</v>
      </c>
      <c r="BT151" s="393">
        <f>IF(ISBLANK(Actuals!BU66),0,Actuals!BU66)</f>
        <v>0</v>
      </c>
      <c r="BU151" s="393">
        <f>IF(ISBLANK(Actuals!BV66),0,Actuals!BV66)</f>
        <v>0</v>
      </c>
      <c r="BV151" s="393">
        <f>IF(ISBLANK(Actuals!BW66),0,Actuals!BW66)</f>
        <v>0</v>
      </c>
      <c r="BW151" s="393">
        <f>IF(ISBLANK(Actuals!BX66),0,Actuals!BX66)</f>
        <v>0</v>
      </c>
      <c r="BX151" s="393">
        <f>IF(ISBLANK(Actuals!BY66),0,Actuals!BY66)</f>
        <v>0</v>
      </c>
      <c r="BY151" s="393">
        <f>IF(ISBLANK(Actuals!BZ66),0,Actuals!BZ66)</f>
        <v>0</v>
      </c>
      <c r="BZ151" s="393">
        <f>IF(ISBLANK(Actuals!CA66),0,Actuals!CA66)</f>
        <v>0</v>
      </c>
      <c r="CA151" s="393">
        <f>IF(ISBLANK(Actuals!CB66),0,Actuals!CB66)</f>
        <v>0</v>
      </c>
      <c r="CB151" s="393">
        <f>IF(ISBLANK(Actuals!CC66),0,Actuals!CC66)</f>
        <v>0</v>
      </c>
      <c r="CC151" s="393">
        <f>IF(ISBLANK(Actuals!CD66),0,Actuals!CD66)</f>
        <v>0</v>
      </c>
      <c r="CD151" s="393">
        <f>IF(ISBLANK(Actuals!CE66),0,Actuals!CE66)</f>
        <v>0</v>
      </c>
      <c r="CE151" s="393">
        <f>IF(ISBLANK(Actuals!CF66),0,Actuals!CF66)</f>
        <v>0</v>
      </c>
      <c r="CF151" s="393">
        <f>IF(ISBLANK(Actuals!CG66),0,Actuals!CG66)</f>
        <v>0</v>
      </c>
      <c r="CG151" s="393">
        <f>IF(ISBLANK(Actuals!CH66),0,Actuals!CH66)</f>
        <v>0</v>
      </c>
      <c r="CH151" s="393">
        <f>IF(ISBLANK(Actuals!CI66),0,Actuals!CI66)</f>
        <v>0</v>
      </c>
      <c r="CI151" s="393">
        <f>IF(ISBLANK(Actuals!CJ66),0,Actuals!CJ66)</f>
        <v>0</v>
      </c>
      <c r="CJ151" s="393">
        <f>IF(ISBLANK(Actuals!CK66),0,Actuals!CK66)</f>
        <v>0</v>
      </c>
      <c r="CK151" s="393">
        <f>IF(ISBLANK(Actuals!CL66),0,Actuals!CL66)</f>
        <v>0</v>
      </c>
      <c r="CL151" s="393">
        <f>IF(ISBLANK(Actuals!CM66),0,Actuals!CM66)</f>
        <v>0</v>
      </c>
      <c r="CM151" s="393">
        <f>IF(ISBLANK(Actuals!CN66),0,Actuals!CN66)</f>
        <v>0</v>
      </c>
      <c r="CN151" s="393">
        <f>IF(ISBLANK(Actuals!CO66),0,Actuals!CO66)</f>
        <v>0</v>
      </c>
      <c r="CO151" s="393">
        <f>IF(ISBLANK(Actuals!CP66),0,Actuals!CP66)</f>
        <v>0</v>
      </c>
      <c r="CP151" s="393">
        <f>IF(ISBLANK(Actuals!CQ66),0,Actuals!CQ66)</f>
        <v>0</v>
      </c>
      <c r="CQ151" s="393">
        <f>IF(ISBLANK(Actuals!CR66),0,Actuals!CR66)</f>
        <v>0</v>
      </c>
      <c r="CR151" s="393">
        <f>IF(ISBLANK(Actuals!CS66),0,Actuals!CS66)</f>
        <v>0</v>
      </c>
      <c r="CS151" s="393">
        <f>IF(ISBLANK(Actuals!CT66),0,Actuals!CT66)</f>
        <v>0</v>
      </c>
      <c r="CT151" s="393">
        <f>IF(ISBLANK(Actuals!CU66),0,Actuals!CU66)</f>
        <v>0</v>
      </c>
      <c r="CU151" s="393">
        <f>IF(ISBLANK(Actuals!CV66),0,Actuals!CV66)</f>
        <v>0</v>
      </c>
      <c r="CV151" s="393">
        <f>IF(ISBLANK(Actuals!CW66),0,Actuals!CW66)</f>
        <v>0</v>
      </c>
      <c r="CW151" s="393">
        <f>IF(ISBLANK(Actuals!CX66),0,Actuals!CX66)</f>
        <v>0</v>
      </c>
      <c r="CX151" s="393">
        <f>IF(ISBLANK(Actuals!CY66),0,Actuals!CY66)</f>
        <v>0</v>
      </c>
      <c r="CY151" s="393">
        <f>IF(ISBLANK(Actuals!CZ66),0,Actuals!CZ66)</f>
        <v>0</v>
      </c>
      <c r="CZ151" s="393">
        <f>IF(ISBLANK(Actuals!DA66),0,Actuals!DA66)</f>
        <v>0</v>
      </c>
      <c r="DA151" s="393">
        <f>IF(ISBLANK(Actuals!DB66),0,Actuals!DB66)</f>
        <v>0</v>
      </c>
      <c r="DB151" s="393">
        <f>IF(ISBLANK(Actuals!DC66),0,Actuals!DC66)</f>
        <v>0</v>
      </c>
      <c r="DC151" s="393">
        <f>IF(ISBLANK(Actuals!DD66),0,Actuals!DD66)</f>
        <v>0</v>
      </c>
      <c r="DD151" s="393">
        <f>IF(ISBLANK(Actuals!DE66),0,Actuals!DE66)</f>
        <v>0</v>
      </c>
      <c r="DE151" s="393">
        <f>IF(ISBLANK(Actuals!DF66),0,Actuals!DF66)</f>
        <v>0</v>
      </c>
    </row>
    <row r="152" ht="15" customFormat="1" customHeight="1" s="381">
      <c r="A152" s="398" t="inlineStr">
        <is>
          <t>Ramsgate Dev Fee - 50% Occ</t>
        </is>
      </c>
      <c r="B152" s="393">
        <f>IF(ISBLANK(Actuals!C67),0,Actuals!C67)</f>
        <v>0</v>
      </c>
      <c r="C152" s="393">
        <f>IF(ISBLANK(Actuals!D67),0,Actuals!D67)</f>
        <v>0</v>
      </c>
      <c r="D152" s="393">
        <f>IF(ISBLANK(Actuals!E67),0,Actuals!E67)</f>
        <v>0</v>
      </c>
      <c r="E152" s="393">
        <f>IF(ISBLANK(Actuals!F67),0,Actuals!F67)</f>
        <v>0</v>
      </c>
      <c r="F152" s="393">
        <f>IF(ISBLANK(Actuals!G67),0,Actuals!G67)</f>
        <v>0</v>
      </c>
      <c r="G152" s="393">
        <f>IF(ISBLANK(Actuals!H67),0,Actuals!H67)</f>
        <v>0</v>
      </c>
      <c r="H152" s="393">
        <f>IF(ISBLANK(Actuals!I67),0,Actuals!I67)</f>
        <v>0</v>
      </c>
      <c r="I152" s="393">
        <f>IF(ISBLANK(Actuals!J67),0,Actuals!J67)</f>
        <v>0</v>
      </c>
      <c r="J152" s="393">
        <f>IF(ISBLANK(Actuals!K67),0,Actuals!K67)</f>
        <v>0</v>
      </c>
      <c r="K152" s="393">
        <f>IF(ISBLANK(Actuals!L67),0,Actuals!L67)</f>
        <v>0</v>
      </c>
      <c r="L152" s="393">
        <f>IF(ISBLANK(Actuals!M67),0,Actuals!M67)</f>
        <v>0</v>
      </c>
      <c r="M152" s="393">
        <f>IF(ISBLANK(Actuals!N67),0,Actuals!N67)</f>
        <v>0</v>
      </c>
      <c r="N152" s="393">
        <f>IF(ISBLANK(Actuals!O67),0,Actuals!O67)</f>
        <v>0</v>
      </c>
      <c r="O152" s="393">
        <f>IF(ISBLANK(Actuals!P67),0,Actuals!P67)</f>
        <v>0</v>
      </c>
      <c r="P152" s="393">
        <f>IF(ISBLANK(Actuals!Q67),0,Actuals!Q67)</f>
        <v>0</v>
      </c>
      <c r="Q152" s="393">
        <f>IF(ISBLANK(Actuals!R67),0,Actuals!R67)</f>
        <v>0</v>
      </c>
      <c r="R152" s="393">
        <f>IF(ISBLANK(Actuals!S67),0,Actuals!S67)</f>
        <v>0</v>
      </c>
      <c r="S152" s="393">
        <f>IF(ISBLANK(Actuals!T67),0,Actuals!T67)</f>
        <v>0</v>
      </c>
      <c r="T152" s="393">
        <f>IF(ISBLANK(Actuals!U67),0,Actuals!U67)</f>
        <v>0</v>
      </c>
      <c r="U152" s="393">
        <f>IF(ISBLANK(Actuals!V67),0,Actuals!V67)</f>
        <v>0</v>
      </c>
      <c r="V152" s="393">
        <f>IF(ISBLANK(Actuals!W67),0,Actuals!W67)</f>
        <v>0</v>
      </c>
      <c r="W152" s="393">
        <f>IF(ISBLANK(Actuals!X67),0,Actuals!X67)</f>
        <v>0</v>
      </c>
      <c r="X152" s="393">
        <f>IF(ISBLANK(Actuals!Y67),0,Actuals!Y67)</f>
        <v>0</v>
      </c>
      <c r="Y152" s="393">
        <f>IF(ISBLANK(Actuals!Z67),0,Actuals!Z67)</f>
        <v>0</v>
      </c>
      <c r="Z152" s="393">
        <f>IF(ISBLANK(Actuals!AA67),0,Actuals!AA67)</f>
        <v>0</v>
      </c>
      <c r="AA152" s="393">
        <f>IF(ISBLANK(Actuals!AB67),0,Actuals!AB67)</f>
        <v>0</v>
      </c>
      <c r="AB152" s="393">
        <f>IF(ISBLANK(Actuals!AC67),IF(Projects!$G$3="Yes",57375,0),Actuals!AC67)</f>
        <v>57375</v>
      </c>
      <c r="AC152" s="393">
        <f>IF(ISBLANK(Actuals!AD67),0,Actuals!AD67)</f>
        <v>0</v>
      </c>
      <c r="AD152" s="393">
        <f>IF(ISBLANK(Actuals!AE67),0,Actuals!AE67)</f>
        <v>0</v>
      </c>
      <c r="AE152" s="393">
        <f>IF(ISBLANK(Actuals!AF67),0,Actuals!AF67)</f>
        <v>0</v>
      </c>
      <c r="AF152" s="393">
        <f>IF(ISBLANK(Actuals!AG67),0,Actuals!AG67)</f>
        <v>0</v>
      </c>
      <c r="AG152" s="393">
        <f>IF(ISBLANK(Actuals!AH67),0,Actuals!AH67)</f>
        <v>0</v>
      </c>
      <c r="AH152" s="393">
        <f>IF(ISBLANK(Actuals!AI67),0,Actuals!AI67)</f>
        <v>0</v>
      </c>
      <c r="AI152" s="393">
        <f>IF(ISBLANK(Actuals!AJ67),0,Actuals!AJ67)</f>
        <v>0</v>
      </c>
      <c r="AJ152" s="393">
        <f>IF(ISBLANK(Actuals!AK67),0,Actuals!AK67)</f>
        <v>0</v>
      </c>
      <c r="AK152" s="393">
        <f>IF(ISBLANK(Actuals!AL67),0,Actuals!AL67)</f>
        <v>0</v>
      </c>
      <c r="AL152" s="393">
        <f>IF(ISBLANK(Actuals!AM67),0,Actuals!AM67)</f>
        <v>0</v>
      </c>
      <c r="AM152" s="393">
        <f>IF(ISBLANK(Actuals!AN67),0,Actuals!AN67)</f>
        <v>0</v>
      </c>
      <c r="AN152" s="393">
        <f>IF(ISBLANK(Actuals!AO67),0,Actuals!AO67)</f>
        <v>0</v>
      </c>
      <c r="AO152" s="393">
        <f>IF(ISBLANK(Actuals!AP67),0,Actuals!AP67)</f>
        <v>0</v>
      </c>
      <c r="AP152" s="393">
        <f>IF(ISBLANK(Actuals!AQ67),0,Actuals!AQ67)</f>
        <v>0</v>
      </c>
      <c r="AQ152" s="393">
        <f>IF(ISBLANK(Actuals!AR67),0,Actuals!AR67)</f>
        <v>0</v>
      </c>
      <c r="AR152" s="393">
        <f>IF(ISBLANK(Actuals!AS67),0,Actuals!AS67)</f>
        <v>0</v>
      </c>
      <c r="AS152" s="393">
        <f>IF(ISBLANK(Actuals!AT67),0,Actuals!AT67)</f>
        <v>0</v>
      </c>
      <c r="AT152" s="393">
        <f>IF(ISBLANK(Actuals!AU67),0,Actuals!AU67)</f>
        <v>0</v>
      </c>
      <c r="AU152" s="393">
        <f>IF(ISBLANK(Actuals!AV67),0,Actuals!AV67)</f>
        <v>0</v>
      </c>
      <c r="AV152" s="393">
        <f>IF(ISBLANK(Actuals!AW67),0,Actuals!AW67)</f>
        <v>0</v>
      </c>
      <c r="AW152" s="393">
        <f>IF(ISBLANK(Actuals!AX67),0,Actuals!AX67)</f>
        <v>0</v>
      </c>
      <c r="AX152" s="393">
        <f>IF(ISBLANK(Actuals!AY67),0,Actuals!AY67)</f>
        <v>0</v>
      </c>
      <c r="AY152" s="393">
        <f>IF(ISBLANK(Actuals!AZ67),0,Actuals!AZ67)</f>
        <v>0</v>
      </c>
      <c r="AZ152" s="393">
        <f>IF(ISBLANK(Actuals!BA67),0,Actuals!BA67)</f>
        <v>0</v>
      </c>
      <c r="BA152" s="393">
        <f>IF(ISBLANK(Actuals!BB67),0,Actuals!BB67)</f>
        <v>0</v>
      </c>
      <c r="BB152" s="393">
        <f>IF(ISBLANK(Actuals!BC67),0,Actuals!BC67)</f>
        <v>0</v>
      </c>
      <c r="BC152" s="393">
        <f>IF(ISBLANK(Actuals!BD67),0,Actuals!BD67)</f>
        <v>0</v>
      </c>
      <c r="BD152" s="393">
        <f>IF(ISBLANK(Actuals!BE67),0,Actuals!BE67)</f>
        <v>0</v>
      </c>
      <c r="BE152" s="393">
        <f>IF(ISBLANK(Actuals!BF67),0,Actuals!BF67)</f>
        <v>0</v>
      </c>
      <c r="BF152" s="393">
        <f>IF(ISBLANK(Actuals!BG67),0,Actuals!BG67)</f>
        <v>0</v>
      </c>
      <c r="BG152" s="393">
        <f>IF(ISBLANK(Actuals!BH67),0,Actuals!BH67)</f>
        <v>0</v>
      </c>
      <c r="BH152" s="393">
        <f>IF(ISBLANK(Actuals!BI67),0,Actuals!BI67)</f>
        <v>0</v>
      </c>
      <c r="BI152" s="393">
        <f>IF(ISBLANK(Actuals!BJ67),0,Actuals!BJ67)</f>
        <v>0</v>
      </c>
      <c r="BJ152" s="393">
        <f>IF(ISBLANK(Actuals!BK67),0,Actuals!BK67)</f>
        <v>0</v>
      </c>
      <c r="BK152" s="393">
        <f>IF(ISBLANK(Actuals!BL67),0,Actuals!BL67)</f>
        <v>0</v>
      </c>
      <c r="BL152" s="393">
        <f>IF(ISBLANK(Actuals!BM67),0,Actuals!BM67)</f>
        <v>0</v>
      </c>
      <c r="BM152" s="393">
        <f>IF(ISBLANK(Actuals!BN67),0,Actuals!BN67)</f>
        <v>0</v>
      </c>
      <c r="BN152" s="393">
        <f>IF(ISBLANK(Actuals!BO67),0,Actuals!BO67)</f>
        <v>0</v>
      </c>
      <c r="BO152" s="393">
        <f>IF(ISBLANK(Actuals!BP67),0,Actuals!BP67)</f>
        <v>0</v>
      </c>
      <c r="BP152" s="393">
        <f>IF(ISBLANK(Actuals!BQ67),0,Actuals!BQ67)</f>
        <v>0</v>
      </c>
      <c r="BQ152" s="393">
        <f>IF(ISBLANK(Actuals!BR67),0,Actuals!BR67)</f>
        <v>0</v>
      </c>
      <c r="BR152" s="393">
        <f>IF(ISBLANK(Actuals!BS67),0,Actuals!BS67)</f>
        <v>0</v>
      </c>
      <c r="BS152" s="393">
        <f>IF(ISBLANK(Actuals!BT67),0,Actuals!BT67)</f>
        <v>0</v>
      </c>
      <c r="BT152" s="393">
        <f>IF(ISBLANK(Actuals!BU67),0,Actuals!BU67)</f>
        <v>0</v>
      </c>
      <c r="BU152" s="393">
        <f>IF(ISBLANK(Actuals!BV67),0,Actuals!BV67)</f>
        <v>0</v>
      </c>
      <c r="BV152" s="393">
        <f>IF(ISBLANK(Actuals!BW67),0,Actuals!BW67)</f>
        <v>0</v>
      </c>
      <c r="BW152" s="393">
        <f>IF(ISBLANK(Actuals!BX67),0,Actuals!BX67)</f>
        <v>0</v>
      </c>
      <c r="BX152" s="393">
        <f>IF(ISBLANK(Actuals!BY67),0,Actuals!BY67)</f>
        <v>0</v>
      </c>
      <c r="BY152" s="393">
        <f>IF(ISBLANK(Actuals!BZ67),0,Actuals!BZ67)</f>
        <v>0</v>
      </c>
      <c r="BZ152" s="393">
        <f>IF(ISBLANK(Actuals!CA67),0,Actuals!CA67)</f>
        <v>0</v>
      </c>
      <c r="CA152" s="393">
        <f>IF(ISBLANK(Actuals!CB67),0,Actuals!CB67)</f>
        <v>0</v>
      </c>
      <c r="CB152" s="393">
        <f>IF(ISBLANK(Actuals!CC67),0,Actuals!CC67)</f>
        <v>0</v>
      </c>
      <c r="CC152" s="393">
        <f>IF(ISBLANK(Actuals!CD67),0,Actuals!CD67)</f>
        <v>0</v>
      </c>
      <c r="CD152" s="393">
        <f>IF(ISBLANK(Actuals!CE67),0,Actuals!CE67)</f>
        <v>0</v>
      </c>
      <c r="CE152" s="393">
        <f>IF(ISBLANK(Actuals!CF67),0,Actuals!CF67)</f>
        <v>0</v>
      </c>
      <c r="CF152" s="393">
        <f>IF(ISBLANK(Actuals!CG67),0,Actuals!CG67)</f>
        <v>0</v>
      </c>
      <c r="CG152" s="393">
        <f>IF(ISBLANK(Actuals!CH67),0,Actuals!CH67)</f>
        <v>0</v>
      </c>
      <c r="CH152" s="393">
        <f>IF(ISBLANK(Actuals!CI67),0,Actuals!CI67)</f>
        <v>0</v>
      </c>
      <c r="CI152" s="393">
        <f>IF(ISBLANK(Actuals!CJ67),0,Actuals!CJ67)</f>
        <v>0</v>
      </c>
      <c r="CJ152" s="393">
        <f>IF(ISBLANK(Actuals!CK67),0,Actuals!CK67)</f>
        <v>0</v>
      </c>
      <c r="CK152" s="393">
        <f>IF(ISBLANK(Actuals!CL67),0,Actuals!CL67)</f>
        <v>0</v>
      </c>
      <c r="CL152" s="393">
        <f>IF(ISBLANK(Actuals!CM67),0,Actuals!CM67)</f>
        <v>0</v>
      </c>
      <c r="CM152" s="393">
        <f>IF(ISBLANK(Actuals!CN67),0,Actuals!CN67)</f>
        <v>0</v>
      </c>
      <c r="CN152" s="393">
        <f>IF(ISBLANK(Actuals!CO67),0,Actuals!CO67)</f>
        <v>0</v>
      </c>
      <c r="CO152" s="393">
        <f>IF(ISBLANK(Actuals!CP67),0,Actuals!CP67)</f>
        <v>0</v>
      </c>
      <c r="CP152" s="393">
        <f>IF(ISBLANK(Actuals!CQ67),0,Actuals!CQ67)</f>
        <v>0</v>
      </c>
      <c r="CQ152" s="393">
        <f>IF(ISBLANK(Actuals!CR67),0,Actuals!CR67)</f>
        <v>0</v>
      </c>
      <c r="CR152" s="393">
        <f>IF(ISBLANK(Actuals!CS67),0,Actuals!CS67)</f>
        <v>0</v>
      </c>
      <c r="CS152" s="393">
        <f>IF(ISBLANK(Actuals!CT67),0,Actuals!CT67)</f>
        <v>0</v>
      </c>
      <c r="CT152" s="393">
        <f>IF(ISBLANK(Actuals!CU67),0,Actuals!CU67)</f>
        <v>0</v>
      </c>
      <c r="CU152" s="393">
        <f>IF(ISBLANK(Actuals!CV67),0,Actuals!CV67)</f>
        <v>0</v>
      </c>
      <c r="CV152" s="393">
        <f>IF(ISBLANK(Actuals!CW67),0,Actuals!CW67)</f>
        <v>0</v>
      </c>
      <c r="CW152" s="393">
        <f>IF(ISBLANK(Actuals!CX67),0,Actuals!CX67)</f>
        <v>0</v>
      </c>
      <c r="CX152" s="393">
        <f>IF(ISBLANK(Actuals!CY67),0,Actuals!CY67)</f>
        <v>0</v>
      </c>
      <c r="CY152" s="393">
        <f>IF(ISBLANK(Actuals!CZ67),0,Actuals!CZ67)</f>
        <v>0</v>
      </c>
      <c r="CZ152" s="393">
        <f>IF(ISBLANK(Actuals!DA67),0,Actuals!DA67)</f>
        <v>0</v>
      </c>
      <c r="DA152" s="393">
        <f>IF(ISBLANK(Actuals!DB67),0,Actuals!DB67)</f>
        <v>0</v>
      </c>
      <c r="DB152" s="393">
        <f>IF(ISBLANK(Actuals!DC67),0,Actuals!DC67)</f>
        <v>0</v>
      </c>
      <c r="DC152" s="393">
        <f>IF(ISBLANK(Actuals!DD67),0,Actuals!DD67)</f>
        <v>0</v>
      </c>
      <c r="DD152" s="393">
        <f>IF(ISBLANK(Actuals!DE67),0,Actuals!DE67)</f>
        <v>0</v>
      </c>
      <c r="DE152" s="393">
        <f>IF(ISBLANK(Actuals!DF67),0,Actuals!DF67)</f>
        <v>0</v>
      </c>
    </row>
    <row r="153" ht="15" customFormat="1" customHeight="1" s="381">
      <c r="A153" s="398" t="inlineStr">
        <is>
          <t>Ramsgate Dev Fee - 90% Occ</t>
        </is>
      </c>
      <c r="B153" s="393">
        <f>IF(ISBLANK(Actuals!C68),0,Actuals!C68)</f>
        <v>0</v>
      </c>
      <c r="C153" s="393">
        <f>IF(ISBLANK(Actuals!D68),0,Actuals!D68)</f>
        <v>0</v>
      </c>
      <c r="D153" s="393">
        <f>IF(ISBLANK(Actuals!E68),0,Actuals!E68)</f>
        <v>0</v>
      </c>
      <c r="E153" s="393">
        <f>IF(ISBLANK(Actuals!F68),0,Actuals!F68)</f>
        <v>0</v>
      </c>
      <c r="F153" s="393">
        <f>IF(ISBLANK(Actuals!G68),0,Actuals!G68)</f>
        <v>0</v>
      </c>
      <c r="G153" s="393">
        <f>IF(ISBLANK(Actuals!H68),0,Actuals!H68)</f>
        <v>0</v>
      </c>
      <c r="H153" s="393">
        <f>IF(ISBLANK(Actuals!I68),0,Actuals!I68)</f>
        <v>0</v>
      </c>
      <c r="I153" s="393">
        <f>IF(ISBLANK(Actuals!J68),0,Actuals!J68)</f>
        <v>0</v>
      </c>
      <c r="J153" s="393">
        <f>IF(ISBLANK(Actuals!K68),0,Actuals!K68)</f>
        <v>0</v>
      </c>
      <c r="K153" s="393">
        <f>IF(ISBLANK(Actuals!L68),0,Actuals!L68)</f>
        <v>0</v>
      </c>
      <c r="L153" s="393">
        <f>IF(ISBLANK(Actuals!M68),0,Actuals!M68)</f>
        <v>0</v>
      </c>
      <c r="M153" s="393">
        <f>IF(ISBLANK(Actuals!N68),0,Actuals!N68)</f>
        <v>0</v>
      </c>
      <c r="N153" s="393">
        <f>IF(ISBLANK(Actuals!O68),0,Actuals!O68)</f>
        <v>0</v>
      </c>
      <c r="O153" s="393">
        <f>IF(ISBLANK(Actuals!P68),0,Actuals!P68)</f>
        <v>0</v>
      </c>
      <c r="P153" s="393">
        <f>IF(ISBLANK(Actuals!Q68),0,Actuals!Q68)</f>
        <v>0</v>
      </c>
      <c r="Q153" s="393">
        <f>IF(ISBLANK(Actuals!R68),0,Actuals!R68)</f>
        <v>0</v>
      </c>
      <c r="R153" s="393">
        <f>IF(ISBLANK(Actuals!S68),0,Actuals!S68)</f>
        <v>0</v>
      </c>
      <c r="S153" s="393">
        <f>IF(ISBLANK(Actuals!T68),0,Actuals!T68)</f>
        <v>0</v>
      </c>
      <c r="T153" s="393">
        <f>IF(ISBLANK(Actuals!U68),0,Actuals!U68)</f>
        <v>0</v>
      </c>
      <c r="U153" s="393">
        <f>IF(ISBLANK(Actuals!V68),0,Actuals!V68)</f>
        <v>0</v>
      </c>
      <c r="V153" s="393">
        <f>IF(ISBLANK(Actuals!W68),0,Actuals!W68)</f>
        <v>0</v>
      </c>
      <c r="W153" s="393">
        <f>IF(ISBLANK(Actuals!X68),0,Actuals!X68)</f>
        <v>0</v>
      </c>
      <c r="X153" s="393">
        <f>IF(ISBLANK(Actuals!Y68),0,Actuals!Y68)</f>
        <v>0</v>
      </c>
      <c r="Y153" s="393">
        <f>IF(ISBLANK(Actuals!Z68),0,Actuals!Z68)</f>
        <v>0</v>
      </c>
      <c r="Z153" s="393">
        <f>IF(ISBLANK(Actuals!AA68),0,Actuals!AA68)</f>
        <v>0</v>
      </c>
      <c r="AA153" s="393">
        <f>IF(ISBLANK(Actuals!AB68),0,Actuals!AB68)</f>
        <v>0</v>
      </c>
      <c r="AB153" s="393">
        <f>IF(ISBLANK(Actuals!AC68),0,Actuals!AC68)</f>
        <v>0</v>
      </c>
      <c r="AC153" s="393">
        <f>IF(ISBLANK(Actuals!AD68),0,Actuals!AD68)</f>
        <v>0</v>
      </c>
      <c r="AD153" s="393">
        <f>IF(ISBLANK(Actuals!AE68),0,Actuals!AE68)</f>
        <v>0</v>
      </c>
      <c r="AE153" s="393">
        <f>IF(ISBLANK(Actuals!AF68),IF(Projects!$G$3="Yes",57375,0),Actuals!AF68)</f>
        <v>57375</v>
      </c>
      <c r="AF153" s="393">
        <f>IF(ISBLANK(Actuals!AG68),0,Actuals!AG68)</f>
        <v>0</v>
      </c>
      <c r="AG153" s="393">
        <f>IF(ISBLANK(Actuals!AH68),0,Actuals!AH68)</f>
        <v>0</v>
      </c>
      <c r="AH153" s="393">
        <f>IF(ISBLANK(Actuals!AI68),0,Actuals!AI68)</f>
        <v>0</v>
      </c>
      <c r="AI153" s="393">
        <f>IF(ISBLANK(Actuals!AJ68),0,Actuals!AJ68)</f>
        <v>0</v>
      </c>
      <c r="AJ153" s="393">
        <f>IF(ISBLANK(Actuals!AK68),0,Actuals!AK68)</f>
        <v>0</v>
      </c>
      <c r="AK153" s="393">
        <f>IF(ISBLANK(Actuals!AL68),0,Actuals!AL68)</f>
        <v>0</v>
      </c>
      <c r="AL153" s="393">
        <f>IF(ISBLANK(Actuals!AM68),0,Actuals!AM68)</f>
        <v>0</v>
      </c>
      <c r="AM153" s="393">
        <f>IF(ISBLANK(Actuals!AN68),0,Actuals!AN68)</f>
        <v>0</v>
      </c>
      <c r="AN153" s="393">
        <f>IF(ISBLANK(Actuals!AO68),0,Actuals!AO68)</f>
        <v>0</v>
      </c>
      <c r="AO153" s="393">
        <f>IF(ISBLANK(Actuals!AP68),0,Actuals!AP68)</f>
        <v>0</v>
      </c>
      <c r="AP153" s="393">
        <f>IF(ISBLANK(Actuals!AQ68),0,Actuals!AQ68)</f>
        <v>0</v>
      </c>
      <c r="AQ153" s="393">
        <f>IF(ISBLANK(Actuals!AR68),0,Actuals!AR68)</f>
        <v>0</v>
      </c>
      <c r="AR153" s="393">
        <f>IF(ISBLANK(Actuals!AS68),0,Actuals!AS68)</f>
        <v>0</v>
      </c>
      <c r="AS153" s="393">
        <f>IF(ISBLANK(Actuals!AT68),0,Actuals!AT68)</f>
        <v>0</v>
      </c>
      <c r="AT153" s="393">
        <f>IF(ISBLANK(Actuals!AU68),0,Actuals!AU68)</f>
        <v>0</v>
      </c>
      <c r="AU153" s="393">
        <f>IF(ISBLANK(Actuals!AV68),0,Actuals!AV68)</f>
        <v>0</v>
      </c>
      <c r="AV153" s="393">
        <f>IF(ISBLANK(Actuals!AW68),0,Actuals!AW68)</f>
        <v>0</v>
      </c>
      <c r="AW153" s="393">
        <f>IF(ISBLANK(Actuals!AX68),0,Actuals!AX68)</f>
        <v>0</v>
      </c>
      <c r="AX153" s="393">
        <f>IF(ISBLANK(Actuals!AY68),0,Actuals!AY68)</f>
        <v>0</v>
      </c>
      <c r="AY153" s="393">
        <f>IF(ISBLANK(Actuals!AZ68),0,Actuals!AZ68)</f>
        <v>0</v>
      </c>
      <c r="AZ153" s="393">
        <f>IF(ISBLANK(Actuals!BA68),0,Actuals!BA68)</f>
        <v>0</v>
      </c>
      <c r="BA153" s="393">
        <f>IF(ISBLANK(Actuals!BB68),0,Actuals!BB68)</f>
        <v>0</v>
      </c>
      <c r="BB153" s="393">
        <f>IF(ISBLANK(Actuals!BC68),0,Actuals!BC68)</f>
        <v>0</v>
      </c>
      <c r="BC153" s="393">
        <f>IF(ISBLANK(Actuals!BD68),0,Actuals!BD68)</f>
        <v>0</v>
      </c>
      <c r="BD153" s="393">
        <f>IF(ISBLANK(Actuals!BE68),0,Actuals!BE68)</f>
        <v>0</v>
      </c>
      <c r="BE153" s="393">
        <f>IF(ISBLANK(Actuals!BF68),0,Actuals!BF68)</f>
        <v>0</v>
      </c>
      <c r="BF153" s="393">
        <f>IF(ISBLANK(Actuals!BG68),0,Actuals!BG68)</f>
        <v>0</v>
      </c>
      <c r="BG153" s="393">
        <f>IF(ISBLANK(Actuals!BH68),0,Actuals!BH68)</f>
        <v>0</v>
      </c>
      <c r="BH153" s="393">
        <f>IF(ISBLANK(Actuals!BI68),0,Actuals!BI68)</f>
        <v>0</v>
      </c>
      <c r="BI153" s="393">
        <f>IF(ISBLANK(Actuals!BJ68),0,Actuals!BJ68)</f>
        <v>0</v>
      </c>
      <c r="BJ153" s="393">
        <f>IF(ISBLANK(Actuals!BK68),0,Actuals!BK68)</f>
        <v>0</v>
      </c>
      <c r="BK153" s="393">
        <f>IF(ISBLANK(Actuals!BL68),0,Actuals!BL68)</f>
        <v>0</v>
      </c>
      <c r="BL153" s="393">
        <f>IF(ISBLANK(Actuals!BM68),0,Actuals!BM68)</f>
        <v>0</v>
      </c>
      <c r="BM153" s="393">
        <f>IF(ISBLANK(Actuals!BN68),0,Actuals!BN68)</f>
        <v>0</v>
      </c>
      <c r="BN153" s="393">
        <f>IF(ISBLANK(Actuals!BO68),0,Actuals!BO68)</f>
        <v>0</v>
      </c>
      <c r="BO153" s="393">
        <f>IF(ISBLANK(Actuals!BP68),0,Actuals!BP68)</f>
        <v>0</v>
      </c>
      <c r="BP153" s="393">
        <f>IF(ISBLANK(Actuals!BQ68),0,Actuals!BQ68)</f>
        <v>0</v>
      </c>
      <c r="BQ153" s="393">
        <f>IF(ISBLANK(Actuals!BR68),0,Actuals!BR68)</f>
        <v>0</v>
      </c>
      <c r="BR153" s="393">
        <f>IF(ISBLANK(Actuals!BS68),0,Actuals!BS68)</f>
        <v>0</v>
      </c>
      <c r="BS153" s="393">
        <f>IF(ISBLANK(Actuals!BT68),0,Actuals!BT68)</f>
        <v>0</v>
      </c>
      <c r="BT153" s="393">
        <f>IF(ISBLANK(Actuals!BU68),0,Actuals!BU68)</f>
        <v>0</v>
      </c>
      <c r="BU153" s="393">
        <f>IF(ISBLANK(Actuals!BV68),0,Actuals!BV68)</f>
        <v>0</v>
      </c>
      <c r="BV153" s="393">
        <f>IF(ISBLANK(Actuals!BW68),0,Actuals!BW68)</f>
        <v>0</v>
      </c>
      <c r="BW153" s="393">
        <f>IF(ISBLANK(Actuals!BX68),0,Actuals!BX68)</f>
        <v>0</v>
      </c>
      <c r="BX153" s="393">
        <f>IF(ISBLANK(Actuals!BY68),0,Actuals!BY68)</f>
        <v>0</v>
      </c>
      <c r="BY153" s="393">
        <f>IF(ISBLANK(Actuals!BZ68),0,Actuals!BZ68)</f>
        <v>0</v>
      </c>
      <c r="BZ153" s="393">
        <f>IF(ISBLANK(Actuals!CA68),0,Actuals!CA68)</f>
        <v>0</v>
      </c>
      <c r="CA153" s="393">
        <f>IF(ISBLANK(Actuals!CB68),0,Actuals!CB68)</f>
        <v>0</v>
      </c>
      <c r="CB153" s="393">
        <f>IF(ISBLANK(Actuals!CC68),0,Actuals!CC68)</f>
        <v>0</v>
      </c>
      <c r="CC153" s="393">
        <f>IF(ISBLANK(Actuals!CD68),0,Actuals!CD68)</f>
        <v>0</v>
      </c>
      <c r="CD153" s="393">
        <f>IF(ISBLANK(Actuals!CE68),0,Actuals!CE68)</f>
        <v>0</v>
      </c>
      <c r="CE153" s="393">
        <f>IF(ISBLANK(Actuals!CF68),0,Actuals!CF68)</f>
        <v>0</v>
      </c>
      <c r="CF153" s="393">
        <f>IF(ISBLANK(Actuals!CG68),0,Actuals!CG68)</f>
        <v>0</v>
      </c>
      <c r="CG153" s="393">
        <f>IF(ISBLANK(Actuals!CH68),0,Actuals!CH68)</f>
        <v>0</v>
      </c>
      <c r="CH153" s="393">
        <f>IF(ISBLANK(Actuals!CI68),0,Actuals!CI68)</f>
        <v>0</v>
      </c>
      <c r="CI153" s="393">
        <f>IF(ISBLANK(Actuals!CJ68),0,Actuals!CJ68)</f>
        <v>0</v>
      </c>
      <c r="CJ153" s="393">
        <f>IF(ISBLANK(Actuals!CK68),0,Actuals!CK68)</f>
        <v>0</v>
      </c>
      <c r="CK153" s="393">
        <f>IF(ISBLANK(Actuals!CL68),0,Actuals!CL68)</f>
        <v>0</v>
      </c>
      <c r="CL153" s="393">
        <f>IF(ISBLANK(Actuals!CM68),0,Actuals!CM68)</f>
        <v>0</v>
      </c>
      <c r="CM153" s="393">
        <f>IF(ISBLANK(Actuals!CN68),0,Actuals!CN68)</f>
        <v>0</v>
      </c>
      <c r="CN153" s="393">
        <f>IF(ISBLANK(Actuals!CO68),0,Actuals!CO68)</f>
        <v>0</v>
      </c>
      <c r="CO153" s="393">
        <f>IF(ISBLANK(Actuals!CP68),0,Actuals!CP68)</f>
        <v>0</v>
      </c>
      <c r="CP153" s="393">
        <f>IF(ISBLANK(Actuals!CQ68),0,Actuals!CQ68)</f>
        <v>0</v>
      </c>
      <c r="CQ153" s="393">
        <f>IF(ISBLANK(Actuals!CR68),0,Actuals!CR68)</f>
        <v>0</v>
      </c>
      <c r="CR153" s="393">
        <f>IF(ISBLANK(Actuals!CS68),0,Actuals!CS68)</f>
        <v>0</v>
      </c>
      <c r="CS153" s="393">
        <f>IF(ISBLANK(Actuals!CT68),0,Actuals!CT68)</f>
        <v>0</v>
      </c>
      <c r="CT153" s="393">
        <f>IF(ISBLANK(Actuals!CU68),0,Actuals!CU68)</f>
        <v>0</v>
      </c>
      <c r="CU153" s="393">
        <f>IF(ISBLANK(Actuals!CV68),0,Actuals!CV68)</f>
        <v>0</v>
      </c>
      <c r="CV153" s="393">
        <f>IF(ISBLANK(Actuals!CW68),0,Actuals!CW68)</f>
        <v>0</v>
      </c>
      <c r="CW153" s="393">
        <f>IF(ISBLANK(Actuals!CX68),0,Actuals!CX68)</f>
        <v>0</v>
      </c>
      <c r="CX153" s="393">
        <f>IF(ISBLANK(Actuals!CY68),0,Actuals!CY68)</f>
        <v>0</v>
      </c>
      <c r="CY153" s="393">
        <f>IF(ISBLANK(Actuals!CZ68),0,Actuals!CZ68)</f>
        <v>0</v>
      </c>
      <c r="CZ153" s="393">
        <f>IF(ISBLANK(Actuals!DA68),0,Actuals!DA68)</f>
        <v>0</v>
      </c>
      <c r="DA153" s="393">
        <f>IF(ISBLANK(Actuals!DB68),0,Actuals!DB68)</f>
        <v>0</v>
      </c>
      <c r="DB153" s="393">
        <f>IF(ISBLANK(Actuals!DC68),0,Actuals!DC68)</f>
        <v>0</v>
      </c>
      <c r="DC153" s="393">
        <f>IF(ISBLANK(Actuals!DD68),0,Actuals!DD68)</f>
        <v>0</v>
      </c>
      <c r="DD153" s="393">
        <f>IF(ISBLANK(Actuals!DE68),0,Actuals!DE68)</f>
        <v>0</v>
      </c>
      <c r="DE153" s="393">
        <f>IF(ISBLANK(Actuals!DF68),0,Actuals!DF68)</f>
        <v>0</v>
      </c>
    </row>
    <row r="154" ht="15" customFormat="1" customHeight="1" s="381">
      <c r="A154" s="398" t="inlineStr">
        <is>
          <t>Crenshaw Development Fee</t>
        </is>
      </c>
      <c r="B154" s="393">
        <f>IF(ISBLANK(Actuals!C69),0,Actuals!C69)</f>
        <v>9375</v>
      </c>
      <c r="C154" s="393">
        <f>IF(ISBLANK(Actuals!D69),0,Actuals!D69)</f>
        <v>9375</v>
      </c>
      <c r="D154" s="393">
        <f>IF(ISBLANK(Actuals!E69),0,Actuals!E69)</f>
        <v>9375</v>
      </c>
      <c r="E154" s="393">
        <f>IF(ISBLANK(Actuals!F69),IF(Projects!$G$2="Yes",9375,0),Actuals!F69)</f>
        <v>9375</v>
      </c>
      <c r="F154" s="393">
        <f>IF(ISBLANK(Actuals!G69),IF(Projects!$G$2="Yes",9375,0),Actuals!G69)</f>
        <v>9375</v>
      </c>
      <c r="G154" s="393">
        <f>IF(ISBLANK(Actuals!H69),IF(Projects!$G$2="Yes",9375,0),Actuals!H69)</f>
        <v>9375</v>
      </c>
      <c r="H154" s="393">
        <f>IF(ISBLANK(Actuals!I69),IF(Projects!$G$2="Yes",9375,0),Actuals!I69)</f>
        <v>9375</v>
      </c>
      <c r="I154" s="393">
        <f>IF(ISBLANK(Actuals!J69),IF(Projects!$G$2="Yes",9375,0),Actuals!J69)</f>
        <v>9375</v>
      </c>
      <c r="J154" s="393">
        <f>IF(ISBLANK(Actuals!K69),IF(Projects!$G$2="Yes",9375,0),Actuals!K69)</f>
        <v>9375</v>
      </c>
      <c r="K154" s="393">
        <f>IF(ISBLANK(Actuals!L69),IF(Projects!$G$2="Yes",9375,0),Actuals!L69)</f>
        <v>9375</v>
      </c>
      <c r="L154" s="393">
        <f>IF(ISBLANK(Actuals!M69),0,Actuals!M69)</f>
        <v>0</v>
      </c>
      <c r="M154" s="393">
        <f>IF(ISBLANK(Actuals!N69),0,Actuals!N69)</f>
        <v>0</v>
      </c>
      <c r="N154" s="393">
        <f>IF(ISBLANK(Actuals!O69),0,Actuals!O69)</f>
        <v>0</v>
      </c>
      <c r="O154" s="393">
        <f>IF(ISBLANK(Actuals!P69),0,Actuals!P69)</f>
        <v>0</v>
      </c>
      <c r="P154" s="393">
        <f>IF(ISBLANK(Actuals!Q69),0,Actuals!Q69)</f>
        <v>0</v>
      </c>
      <c r="Q154" s="393">
        <f>IF(ISBLANK(Actuals!R69),0,Actuals!R69)</f>
        <v>0</v>
      </c>
      <c r="R154" s="393">
        <f>IF(ISBLANK(Actuals!S69),0,Actuals!S69)</f>
        <v>0</v>
      </c>
      <c r="S154" s="393">
        <f>IF(ISBLANK(Actuals!T69),0,Actuals!T69)</f>
        <v>0</v>
      </c>
      <c r="T154" s="393">
        <f>IF(ISBLANK(Actuals!U69),0,Actuals!U69)</f>
        <v>0</v>
      </c>
      <c r="U154" s="393">
        <f>IF(ISBLANK(Actuals!V69),0,Actuals!V69)</f>
        <v>0</v>
      </c>
      <c r="V154" s="393">
        <f>IF(ISBLANK(Actuals!W69),0,Actuals!W69)</f>
        <v>0</v>
      </c>
      <c r="W154" s="393">
        <f>IF(ISBLANK(Actuals!X69),0,Actuals!X69)</f>
        <v>0</v>
      </c>
      <c r="X154" s="393">
        <f>IF(ISBLANK(Actuals!Y69),0,Actuals!Y69)</f>
        <v>0</v>
      </c>
      <c r="Y154" s="393">
        <f>IF(ISBLANK(Actuals!Z69),0,Actuals!Z69)</f>
        <v>0</v>
      </c>
      <c r="Z154" s="393">
        <f>IF(ISBLANK(Actuals!AA69),0,Actuals!AA69)</f>
        <v>0</v>
      </c>
      <c r="AA154" s="393">
        <f>IF(ISBLANK(Actuals!AB69),0,Actuals!AB69)</f>
        <v>0</v>
      </c>
      <c r="AB154" s="393">
        <f>IF(ISBLANK(Actuals!AC69),0,Actuals!AC69)</f>
        <v>0</v>
      </c>
      <c r="AC154" s="393">
        <f>IF(ISBLANK(Actuals!AD69),0,Actuals!AD69)</f>
        <v>0</v>
      </c>
      <c r="AD154" s="393">
        <f>IF(ISBLANK(Actuals!AE69),0,Actuals!AE69)</f>
        <v>0</v>
      </c>
      <c r="AE154" s="393">
        <f>IF(ISBLANK(Actuals!AF69),0,Actuals!AF69)</f>
        <v>0</v>
      </c>
      <c r="AF154" s="393">
        <f>IF(ISBLANK(Actuals!AG69),0,Actuals!AG69)</f>
        <v>0</v>
      </c>
      <c r="AG154" s="393">
        <f>IF(ISBLANK(Actuals!AH69),0,Actuals!AH69)</f>
        <v>0</v>
      </c>
      <c r="AH154" s="393">
        <f>IF(ISBLANK(Actuals!AI69),0,Actuals!AI69)</f>
        <v>0</v>
      </c>
      <c r="AI154" s="393">
        <f>IF(ISBLANK(Actuals!AJ69),0,Actuals!AJ69)</f>
        <v>0</v>
      </c>
      <c r="AJ154" s="393">
        <f>IF(ISBLANK(Actuals!AK69),0,Actuals!AK69)</f>
        <v>0</v>
      </c>
      <c r="AK154" s="393">
        <f>IF(ISBLANK(Actuals!AL69),0,Actuals!AL69)</f>
        <v>0</v>
      </c>
      <c r="AL154" s="393">
        <f>IF(ISBLANK(Actuals!AM69),0,Actuals!AM69)</f>
        <v>0</v>
      </c>
      <c r="AM154" s="393">
        <f>IF(ISBLANK(Actuals!AN69),0,Actuals!AN69)</f>
        <v>0</v>
      </c>
      <c r="AN154" s="393">
        <f>IF(ISBLANK(Actuals!AO69),0,Actuals!AO69)</f>
        <v>0</v>
      </c>
      <c r="AO154" s="393">
        <f>IF(ISBLANK(Actuals!AP69),0,Actuals!AP69)</f>
        <v>0</v>
      </c>
      <c r="AP154" s="393">
        <f>IF(ISBLANK(Actuals!AQ69),0,Actuals!AQ69)</f>
        <v>0</v>
      </c>
      <c r="AQ154" s="393">
        <f>IF(ISBLANK(Actuals!AR69),0,Actuals!AR69)</f>
        <v>0</v>
      </c>
      <c r="AR154" s="393">
        <f>IF(ISBLANK(Actuals!AS69),0,Actuals!AS69)</f>
        <v>0</v>
      </c>
      <c r="AS154" s="393">
        <f>IF(ISBLANK(Actuals!AT69),0,Actuals!AT69)</f>
        <v>0</v>
      </c>
      <c r="AT154" s="393">
        <f>IF(ISBLANK(Actuals!AU69),0,Actuals!AU69)</f>
        <v>0</v>
      </c>
      <c r="AU154" s="393">
        <f>IF(ISBLANK(Actuals!AV69),0,Actuals!AV69)</f>
        <v>0</v>
      </c>
      <c r="AV154" s="393">
        <f>IF(ISBLANK(Actuals!AW69),0,Actuals!AW69)</f>
        <v>0</v>
      </c>
      <c r="AW154" s="393">
        <f>IF(ISBLANK(Actuals!AX69),0,Actuals!AX69)</f>
        <v>0</v>
      </c>
      <c r="AX154" s="393">
        <f>IF(ISBLANK(Actuals!AY69),0,Actuals!AY69)</f>
        <v>0</v>
      </c>
      <c r="AY154" s="393">
        <f>IF(ISBLANK(Actuals!AZ69),0,Actuals!AZ69)</f>
        <v>0</v>
      </c>
      <c r="AZ154" s="393">
        <f>IF(ISBLANK(Actuals!BA69),0,Actuals!BA69)</f>
        <v>0</v>
      </c>
      <c r="BA154" s="393">
        <f>IF(ISBLANK(Actuals!BB69),0,Actuals!BB69)</f>
        <v>0</v>
      </c>
      <c r="BB154" s="393">
        <f>IF(ISBLANK(Actuals!BC69),0,Actuals!BC69)</f>
        <v>0</v>
      </c>
      <c r="BC154" s="393">
        <f>IF(ISBLANK(Actuals!BD69),0,Actuals!BD69)</f>
        <v>0</v>
      </c>
      <c r="BD154" s="393">
        <f>IF(ISBLANK(Actuals!BE69),0,Actuals!BE69)</f>
        <v>0</v>
      </c>
      <c r="BE154" s="393">
        <f>IF(ISBLANK(Actuals!BF69),0,Actuals!BF69)</f>
        <v>0</v>
      </c>
      <c r="BF154" s="393">
        <f>IF(ISBLANK(Actuals!BG69),0,Actuals!BG69)</f>
        <v>0</v>
      </c>
      <c r="BG154" s="393">
        <f>IF(ISBLANK(Actuals!BH69),0,Actuals!BH69)</f>
        <v>0</v>
      </c>
      <c r="BH154" s="393">
        <f>IF(ISBLANK(Actuals!BI69),0,Actuals!BI69)</f>
        <v>0</v>
      </c>
      <c r="BI154" s="393">
        <f>IF(ISBLANK(Actuals!BJ69),0,Actuals!BJ69)</f>
        <v>0</v>
      </c>
      <c r="BJ154" s="393">
        <f>IF(ISBLANK(Actuals!BK69),0,Actuals!BK69)</f>
        <v>0</v>
      </c>
      <c r="BK154" s="393">
        <f>IF(ISBLANK(Actuals!BL69),0,Actuals!BL69)</f>
        <v>0</v>
      </c>
      <c r="BL154" s="393">
        <f>IF(ISBLANK(Actuals!BM69),0,Actuals!BM69)</f>
        <v>0</v>
      </c>
      <c r="BM154" s="393">
        <f>IF(ISBLANK(Actuals!BN69),0,Actuals!BN69)</f>
        <v>0</v>
      </c>
      <c r="BN154" s="393">
        <f>IF(ISBLANK(Actuals!BO69),0,Actuals!BO69)</f>
        <v>0</v>
      </c>
      <c r="BO154" s="393">
        <f>IF(ISBLANK(Actuals!BP69),0,Actuals!BP69)</f>
        <v>0</v>
      </c>
      <c r="BP154" s="393">
        <f>IF(ISBLANK(Actuals!BQ69),0,Actuals!BQ69)</f>
        <v>0</v>
      </c>
      <c r="BQ154" s="393">
        <f>IF(ISBLANK(Actuals!BR69),0,Actuals!BR69)</f>
        <v>0</v>
      </c>
      <c r="BR154" s="393">
        <f>IF(ISBLANK(Actuals!BS69),0,Actuals!BS69)</f>
        <v>0</v>
      </c>
      <c r="BS154" s="393">
        <f>IF(ISBLANK(Actuals!BT69),0,Actuals!BT69)</f>
        <v>0</v>
      </c>
      <c r="BT154" s="393">
        <f>IF(ISBLANK(Actuals!BU69),0,Actuals!BU69)</f>
        <v>0</v>
      </c>
      <c r="BU154" s="393">
        <f>IF(ISBLANK(Actuals!BV69),0,Actuals!BV69)</f>
        <v>0</v>
      </c>
      <c r="BV154" s="393">
        <f>IF(ISBLANK(Actuals!BW69),0,Actuals!BW69)</f>
        <v>0</v>
      </c>
      <c r="BW154" s="393">
        <f>IF(ISBLANK(Actuals!BX69),0,Actuals!BX69)</f>
        <v>0</v>
      </c>
      <c r="BX154" s="393">
        <f>IF(ISBLANK(Actuals!BY69),0,Actuals!BY69)</f>
        <v>0</v>
      </c>
      <c r="BY154" s="393">
        <f>IF(ISBLANK(Actuals!BZ69),0,Actuals!BZ69)</f>
        <v>0</v>
      </c>
      <c r="BZ154" s="393">
        <f>IF(ISBLANK(Actuals!CA69),0,Actuals!CA69)</f>
        <v>0</v>
      </c>
      <c r="CA154" s="393">
        <f>IF(ISBLANK(Actuals!CB69),0,Actuals!CB69)</f>
        <v>0</v>
      </c>
      <c r="CB154" s="393">
        <f>IF(ISBLANK(Actuals!CC69),0,Actuals!CC69)</f>
        <v>0</v>
      </c>
      <c r="CC154" s="393">
        <f>IF(ISBLANK(Actuals!CD69),0,Actuals!CD69)</f>
        <v>0</v>
      </c>
      <c r="CD154" s="393">
        <f>IF(ISBLANK(Actuals!CE69),0,Actuals!CE69)</f>
        <v>0</v>
      </c>
      <c r="CE154" s="393">
        <f>IF(ISBLANK(Actuals!CF69),0,Actuals!CF69)</f>
        <v>0</v>
      </c>
      <c r="CF154" s="393">
        <f>IF(ISBLANK(Actuals!CG69),0,Actuals!CG69)</f>
        <v>0</v>
      </c>
      <c r="CG154" s="393">
        <f>IF(ISBLANK(Actuals!CH69),0,Actuals!CH69)</f>
        <v>0</v>
      </c>
      <c r="CH154" s="393">
        <f>IF(ISBLANK(Actuals!CI69),0,Actuals!CI69)</f>
        <v>0</v>
      </c>
      <c r="CI154" s="393">
        <f>IF(ISBLANK(Actuals!CJ69),0,Actuals!CJ69)</f>
        <v>0</v>
      </c>
      <c r="CJ154" s="393">
        <f>IF(ISBLANK(Actuals!CK69),0,Actuals!CK69)</f>
        <v>0</v>
      </c>
      <c r="CK154" s="393">
        <f>IF(ISBLANK(Actuals!CL69),0,Actuals!CL69)</f>
        <v>0</v>
      </c>
      <c r="CL154" s="393">
        <f>IF(ISBLANK(Actuals!CM69),0,Actuals!CM69)</f>
        <v>0</v>
      </c>
      <c r="CM154" s="393">
        <f>IF(ISBLANK(Actuals!CN69),0,Actuals!CN69)</f>
        <v>0</v>
      </c>
      <c r="CN154" s="393">
        <f>IF(ISBLANK(Actuals!CO69),0,Actuals!CO69)</f>
        <v>0</v>
      </c>
      <c r="CO154" s="393">
        <f>IF(ISBLANK(Actuals!CP69),0,Actuals!CP69)</f>
        <v>0</v>
      </c>
      <c r="CP154" s="393">
        <f>IF(ISBLANK(Actuals!CQ69),0,Actuals!CQ69)</f>
        <v>0</v>
      </c>
      <c r="CQ154" s="393">
        <f>IF(ISBLANK(Actuals!CR69),0,Actuals!CR69)</f>
        <v>0</v>
      </c>
      <c r="CR154" s="393">
        <f>IF(ISBLANK(Actuals!CS69),0,Actuals!CS69)</f>
        <v>0</v>
      </c>
      <c r="CS154" s="393">
        <f>IF(ISBLANK(Actuals!CT69),0,Actuals!CT69)</f>
        <v>0</v>
      </c>
      <c r="CT154" s="393">
        <f>IF(ISBLANK(Actuals!CU69),0,Actuals!CU69)</f>
        <v>0</v>
      </c>
      <c r="CU154" s="393">
        <f>IF(ISBLANK(Actuals!CV69),0,Actuals!CV69)</f>
        <v>0</v>
      </c>
      <c r="CV154" s="393">
        <f>IF(ISBLANK(Actuals!CW69),0,Actuals!CW69)</f>
        <v>0</v>
      </c>
      <c r="CW154" s="393">
        <f>IF(ISBLANK(Actuals!CX69),0,Actuals!CX69)</f>
        <v>0</v>
      </c>
      <c r="CX154" s="393">
        <f>IF(ISBLANK(Actuals!CY69),0,Actuals!CY69)</f>
        <v>0</v>
      </c>
      <c r="CY154" s="393">
        <f>IF(ISBLANK(Actuals!CZ69),0,Actuals!CZ69)</f>
        <v>0</v>
      </c>
      <c r="CZ154" s="393">
        <f>IF(ISBLANK(Actuals!DA69),0,Actuals!DA69)</f>
        <v>0</v>
      </c>
      <c r="DA154" s="393">
        <f>IF(ISBLANK(Actuals!DB69),0,Actuals!DB69)</f>
        <v>0</v>
      </c>
      <c r="DB154" s="393">
        <f>IF(ISBLANK(Actuals!DC69),0,Actuals!DC69)</f>
        <v>0</v>
      </c>
      <c r="DC154" s="393">
        <f>IF(ISBLANK(Actuals!DD69),0,Actuals!DD69)</f>
        <v>0</v>
      </c>
      <c r="DD154" s="393">
        <f>IF(ISBLANK(Actuals!DE69),0,Actuals!DE69)</f>
        <v>0</v>
      </c>
      <c r="DE154" s="393">
        <f>IF(ISBLANK(Actuals!DF69),0,Actuals!DF69)</f>
        <v>0</v>
      </c>
    </row>
    <row r="155" ht="15" customFormat="1" customHeight="1" s="381">
      <c r="A155" s="398" t="inlineStr">
        <is>
          <t>12th &amp; Fir Developer Fee</t>
        </is>
      </c>
      <c r="B155" s="393">
        <f>IF(ISBLANK(Actuals!C70),0,Actuals!C70)</f>
        <v>0</v>
      </c>
      <c r="C155" s="393">
        <f>IF(ISBLANK(Actuals!D70),0,Actuals!D70)</f>
        <v>0</v>
      </c>
      <c r="D155" s="393">
        <f>IF(ISBLANK(Actuals!E70),0,Actuals!E70)</f>
        <v>0</v>
      </c>
      <c r="E155" s="393">
        <f>IF(ISBLANK(Actuals!F70),0,Actuals!F70)</f>
        <v>0</v>
      </c>
      <c r="F155" s="393">
        <f>IF(ISBLANK(Actuals!G70),0,Actuals!G70)</f>
        <v>0</v>
      </c>
      <c r="G155" s="393">
        <f>IF(ISBLANK(Actuals!H70),0,Actuals!H70)</f>
        <v>0</v>
      </c>
      <c r="H155" s="393">
        <f>IF(ISBLANK(Actuals!I70),9500,Actuals!I70)</f>
        <v>9500</v>
      </c>
      <c r="I155" s="393">
        <f>IF(ISBLANK(Actuals!J70),9500,Actuals!J70)</f>
        <v>9500</v>
      </c>
      <c r="J155" s="393">
        <f>IF(ISBLANK(Actuals!K70),9500,Actuals!K70)</f>
        <v>9500</v>
      </c>
      <c r="K155" s="393">
        <f>IF(ISBLANK(Actuals!L70),9500,Actuals!L70)</f>
        <v>9500</v>
      </c>
      <c r="L155" s="393">
        <f>IF(ISBLANK(Actuals!M70),9500,Actuals!M70)</f>
        <v>9500</v>
      </c>
      <c r="M155" s="393">
        <f>IF(ISBLANK(Actuals!N70),9500,Actuals!N70)</f>
        <v>9500</v>
      </c>
      <c r="N155" s="393">
        <f>IF(ISBLANK(Actuals!O70),9500,Actuals!O70)</f>
        <v>9500</v>
      </c>
      <c r="O155" s="393">
        <f>IF(ISBLANK(Actuals!P70),9500,Actuals!P70)</f>
        <v>9500</v>
      </c>
      <c r="P155" s="393">
        <f>IF(ISBLANK(Actuals!Q70),9500,Actuals!Q70)</f>
        <v>9500</v>
      </c>
      <c r="Q155" s="393">
        <f>IF(ISBLANK(Actuals!R70),9500,Actuals!R70)</f>
        <v>9500</v>
      </c>
      <c r="R155" s="393">
        <f>IF(ISBLANK(Actuals!S70),9500,Actuals!S70)</f>
        <v>9500</v>
      </c>
      <c r="S155" s="393">
        <f>IF(ISBLANK(Actuals!T70),9500,Actuals!T70)</f>
        <v>9500</v>
      </c>
      <c r="T155" s="393">
        <f>IF(ISBLANK(Actuals!U70),9500,Actuals!U70)</f>
        <v>9500</v>
      </c>
      <c r="U155" s="393">
        <f>IF(ISBLANK(Actuals!V70),9500,Actuals!V70)</f>
        <v>9500</v>
      </c>
      <c r="V155" s="393">
        <f>IF(ISBLANK(Actuals!W70),9500,Actuals!W70)</f>
        <v>9500</v>
      </c>
      <c r="W155" s="393">
        <f>IF(ISBLANK(Actuals!X70),9500,Actuals!X70)</f>
        <v>9500</v>
      </c>
      <c r="X155" s="393">
        <f>IF(ISBLANK(Actuals!Y70),9500,Actuals!Y70)</f>
        <v>9500</v>
      </c>
      <c r="Y155" s="393">
        <f>IF(ISBLANK(Actuals!Z70),9500,Actuals!Z70)</f>
        <v>9500</v>
      </c>
      <c r="Z155" s="393">
        <f>IF(ISBLANK(Actuals!AA70),9500,Actuals!AA70)</f>
        <v>9500</v>
      </c>
      <c r="AA155" s="393">
        <f>IF(ISBLANK(Actuals!AB70),9500,Actuals!AB70)</f>
        <v>9500</v>
      </c>
      <c r="AB155" s="393">
        <f>IF(ISBLANK(Actuals!AC70),9500,Actuals!AC70)</f>
        <v>9500</v>
      </c>
      <c r="AC155" s="393">
        <f>IF(ISBLANK(Actuals!AD70),9500,Actuals!AD70)</f>
        <v>9500</v>
      </c>
      <c r="AD155" s="393">
        <f>IF(ISBLANK(Actuals!AE70),9500,Actuals!AE70)</f>
        <v>9500</v>
      </c>
      <c r="AE155" s="393">
        <f>IF(ISBLANK(Actuals!AF70),9500,Actuals!AF70)</f>
        <v>9500</v>
      </c>
      <c r="AF155" s="393">
        <f>IF(ISBLANK(Actuals!AG70),9500,Actuals!AG70)</f>
        <v>9500</v>
      </c>
      <c r="AG155" s="393">
        <f>IF(ISBLANK(Actuals!AH70),9500,Actuals!AH70)</f>
        <v>9500</v>
      </c>
      <c r="AH155" s="393">
        <f>IF(ISBLANK(Actuals!AI70),9500,Actuals!AI70)</f>
        <v>9500</v>
      </c>
      <c r="AI155" s="393">
        <f>IF(ISBLANK(Actuals!AJ70),0,Actuals!AJ70)</f>
        <v>0</v>
      </c>
      <c r="AJ155" s="393">
        <f>IF(ISBLANK(Actuals!AK70),0,Actuals!AK70)</f>
        <v>0</v>
      </c>
      <c r="AK155" s="393">
        <f>IF(ISBLANK(Actuals!AL70),0,Actuals!AL70)</f>
        <v>0</v>
      </c>
      <c r="AL155" s="393">
        <f>IF(ISBLANK(Actuals!AM70),0,Actuals!AM70)</f>
        <v>0</v>
      </c>
      <c r="AM155" s="393">
        <f>IF(ISBLANK(Actuals!AN70),0,Actuals!AN70)</f>
        <v>0</v>
      </c>
      <c r="AN155" s="393">
        <f>IF(ISBLANK(Actuals!AO70),0,Actuals!AO70)</f>
        <v>0</v>
      </c>
      <c r="AO155" s="393">
        <f>IF(ISBLANK(Actuals!AP70),0,Actuals!AP70)</f>
        <v>0</v>
      </c>
      <c r="AP155" s="393">
        <f>IF(ISBLANK(Actuals!AQ70),0,Actuals!AQ70)</f>
        <v>0</v>
      </c>
      <c r="AQ155" s="393">
        <f>IF(ISBLANK(Actuals!AR70),0,Actuals!AR70)</f>
        <v>0</v>
      </c>
      <c r="AR155" s="393">
        <f>IF(ISBLANK(Actuals!AS70),0,Actuals!AS70)</f>
        <v>0</v>
      </c>
      <c r="AS155" s="393">
        <f>IF(ISBLANK(Actuals!AT70),0,Actuals!AT70)</f>
        <v>0</v>
      </c>
      <c r="AT155" s="393">
        <f>IF(ISBLANK(Actuals!AU70),0,Actuals!AU70)</f>
        <v>0</v>
      </c>
      <c r="AU155" s="393">
        <f>IF(ISBLANK(Actuals!AV70),0,Actuals!AV70)</f>
        <v>0</v>
      </c>
      <c r="AV155" s="393">
        <f>IF(ISBLANK(Actuals!AW70),0,Actuals!AW70)</f>
        <v>0</v>
      </c>
      <c r="AW155" s="393">
        <f>IF(ISBLANK(Actuals!AX70),0,Actuals!AX70)</f>
        <v>0</v>
      </c>
      <c r="AX155" s="393">
        <f>IF(ISBLANK(Actuals!AY70),0,Actuals!AY70)</f>
        <v>0</v>
      </c>
      <c r="AY155" s="393">
        <f>IF(ISBLANK(Actuals!AZ70),0,Actuals!AZ70)</f>
        <v>0</v>
      </c>
      <c r="AZ155" s="393">
        <f>IF(ISBLANK(Actuals!BA70),0,Actuals!BA70)</f>
        <v>0</v>
      </c>
      <c r="BA155" s="393">
        <f>IF(ISBLANK(Actuals!BB70),0,Actuals!BB70)</f>
        <v>0</v>
      </c>
      <c r="BB155" s="393">
        <f>IF(ISBLANK(Actuals!BC70),0,Actuals!BC70)</f>
        <v>0</v>
      </c>
      <c r="BC155" s="393">
        <f>IF(ISBLANK(Actuals!BD70),0,Actuals!BD70)</f>
        <v>0</v>
      </c>
      <c r="BD155" s="393">
        <f>IF(ISBLANK(Actuals!BE70),0,Actuals!BE70)</f>
        <v>0</v>
      </c>
      <c r="BE155" s="393">
        <f>IF(ISBLANK(Actuals!BF70),0,Actuals!BF70)</f>
        <v>0</v>
      </c>
      <c r="BF155" s="393">
        <f>IF(ISBLANK(Actuals!BG70),0,Actuals!BG70)</f>
        <v>0</v>
      </c>
      <c r="BG155" s="393">
        <f>IF(ISBLANK(Actuals!BH70),0,Actuals!BH70)</f>
        <v>0</v>
      </c>
      <c r="BH155" s="393">
        <f>IF(ISBLANK(Actuals!BI70),0,Actuals!BI70)</f>
        <v>0</v>
      </c>
      <c r="BI155" s="393">
        <f>IF(ISBLANK(Actuals!BJ70),0,Actuals!BJ70)</f>
        <v>0</v>
      </c>
      <c r="BJ155" s="393">
        <f>IF(ISBLANK(Actuals!BK70),0,Actuals!BK70)</f>
        <v>0</v>
      </c>
      <c r="BK155" s="393">
        <f>IF(ISBLANK(Actuals!BL70),0,Actuals!BL70)</f>
        <v>0</v>
      </c>
      <c r="BL155" s="393">
        <f>IF(ISBLANK(Actuals!BM70),0,Actuals!BM70)</f>
        <v>0</v>
      </c>
      <c r="BM155" s="393">
        <f>IF(ISBLANK(Actuals!BN70),0,Actuals!BN70)</f>
        <v>0</v>
      </c>
      <c r="BN155" s="393">
        <f>IF(ISBLANK(Actuals!BO70),0,Actuals!BO70)</f>
        <v>0</v>
      </c>
      <c r="BO155" s="393">
        <f>IF(ISBLANK(Actuals!BP70),0,Actuals!BP70)</f>
        <v>0</v>
      </c>
      <c r="BP155" s="393">
        <f>IF(ISBLANK(Actuals!BQ70),0,Actuals!BQ70)</f>
        <v>0</v>
      </c>
      <c r="BQ155" s="393">
        <f>IF(ISBLANK(Actuals!BR70),0,Actuals!BR70)</f>
        <v>0</v>
      </c>
      <c r="BR155" s="393">
        <f>IF(ISBLANK(Actuals!BS70),0,Actuals!BS70)</f>
        <v>0</v>
      </c>
      <c r="BS155" s="393">
        <f>IF(ISBLANK(Actuals!BT70),0,Actuals!BT70)</f>
        <v>0</v>
      </c>
      <c r="BT155" s="393">
        <f>IF(ISBLANK(Actuals!BU70),0,Actuals!BU70)</f>
        <v>0</v>
      </c>
      <c r="BU155" s="393">
        <f>IF(ISBLANK(Actuals!BV70),0,Actuals!BV70)</f>
        <v>0</v>
      </c>
      <c r="BV155" s="393">
        <f>IF(ISBLANK(Actuals!BW70),0,Actuals!BW70)</f>
        <v>0</v>
      </c>
      <c r="BW155" s="393">
        <f>IF(ISBLANK(Actuals!BX70),0,Actuals!BX70)</f>
        <v>0</v>
      </c>
      <c r="BX155" s="393">
        <f>IF(ISBLANK(Actuals!BY70),0,Actuals!BY70)</f>
        <v>0</v>
      </c>
      <c r="BY155" s="393">
        <f>IF(ISBLANK(Actuals!BZ70),0,Actuals!BZ70)</f>
        <v>0</v>
      </c>
      <c r="BZ155" s="393">
        <f>IF(ISBLANK(Actuals!CA70),0,Actuals!CA70)</f>
        <v>0</v>
      </c>
      <c r="CA155" s="393">
        <f>IF(ISBLANK(Actuals!CB70),0,Actuals!CB70)</f>
        <v>0</v>
      </c>
      <c r="CB155" s="393">
        <f>IF(ISBLANK(Actuals!CC70),0,Actuals!CC70)</f>
        <v>0</v>
      </c>
      <c r="CC155" s="393">
        <f>IF(ISBLANK(Actuals!CD70),0,Actuals!CD70)</f>
        <v>0</v>
      </c>
      <c r="CD155" s="393">
        <f>IF(ISBLANK(Actuals!CE70),0,Actuals!CE70)</f>
        <v>0</v>
      </c>
      <c r="CE155" s="393">
        <f>IF(ISBLANK(Actuals!CF70),0,Actuals!CF70)</f>
        <v>0</v>
      </c>
      <c r="CF155" s="393">
        <f>IF(ISBLANK(Actuals!CG70),0,Actuals!CG70)</f>
        <v>0</v>
      </c>
      <c r="CG155" s="393">
        <f>IF(ISBLANK(Actuals!CH70),0,Actuals!CH70)</f>
        <v>0</v>
      </c>
      <c r="CH155" s="393">
        <f>IF(ISBLANK(Actuals!CI70),0,Actuals!CI70)</f>
        <v>0</v>
      </c>
      <c r="CI155" s="393">
        <f>IF(ISBLANK(Actuals!CJ70),0,Actuals!CJ70)</f>
        <v>0</v>
      </c>
      <c r="CJ155" s="393">
        <f>IF(ISBLANK(Actuals!CK70),0,Actuals!CK70)</f>
        <v>0</v>
      </c>
      <c r="CK155" s="393">
        <f>IF(ISBLANK(Actuals!CL70),0,Actuals!CL70)</f>
        <v>0</v>
      </c>
      <c r="CL155" s="393">
        <f>IF(ISBLANK(Actuals!CM70),0,Actuals!CM70)</f>
        <v>0</v>
      </c>
      <c r="CM155" s="393">
        <f>IF(ISBLANK(Actuals!CN70),0,Actuals!CN70)</f>
        <v>0</v>
      </c>
      <c r="CN155" s="393">
        <f>IF(ISBLANK(Actuals!CO70),0,Actuals!CO70)</f>
        <v>0</v>
      </c>
      <c r="CO155" s="393">
        <f>IF(ISBLANK(Actuals!CP70),0,Actuals!CP70)</f>
        <v>0</v>
      </c>
      <c r="CP155" s="393">
        <f>IF(ISBLANK(Actuals!CQ70),0,Actuals!CQ70)</f>
        <v>0</v>
      </c>
      <c r="CQ155" s="393">
        <f>IF(ISBLANK(Actuals!CR70),0,Actuals!CR70)</f>
        <v>0</v>
      </c>
      <c r="CR155" s="393">
        <f>IF(ISBLANK(Actuals!CS70),0,Actuals!CS70)</f>
        <v>0</v>
      </c>
      <c r="CS155" s="393">
        <f>IF(ISBLANK(Actuals!CT70),0,Actuals!CT70)</f>
        <v>0</v>
      </c>
      <c r="CT155" s="393">
        <f>IF(ISBLANK(Actuals!CU70),0,Actuals!CU70)</f>
        <v>0</v>
      </c>
      <c r="CU155" s="393">
        <f>IF(ISBLANK(Actuals!CV70),0,Actuals!CV70)</f>
        <v>0</v>
      </c>
      <c r="CV155" s="393">
        <f>IF(ISBLANK(Actuals!CW70),0,Actuals!CW70)</f>
        <v>0</v>
      </c>
      <c r="CW155" s="393">
        <f>IF(ISBLANK(Actuals!CX70),0,Actuals!CX70)</f>
        <v>0</v>
      </c>
      <c r="CX155" s="393">
        <f>IF(ISBLANK(Actuals!CY70),0,Actuals!CY70)</f>
        <v>0</v>
      </c>
      <c r="CY155" s="393">
        <f>IF(ISBLANK(Actuals!CZ70),0,Actuals!CZ70)</f>
        <v>0</v>
      </c>
      <c r="CZ155" s="393">
        <f>IF(ISBLANK(Actuals!DA70),0,Actuals!DA70)</f>
        <v>0</v>
      </c>
      <c r="DA155" s="393">
        <f>IF(ISBLANK(Actuals!DB70),0,Actuals!DB70)</f>
        <v>0</v>
      </c>
      <c r="DB155" s="393">
        <f>IF(ISBLANK(Actuals!DC70),0,Actuals!DC70)</f>
        <v>0</v>
      </c>
      <c r="DC155" s="393">
        <f>IF(ISBLANK(Actuals!DD70),0,Actuals!DD70)</f>
        <v>0</v>
      </c>
      <c r="DD155" s="393">
        <f>IF(ISBLANK(Actuals!DE70),0,Actuals!DE70)</f>
        <v>0</v>
      </c>
      <c r="DE155" s="393">
        <f>IF(ISBLANK(Actuals!DF70),0,Actuals!DF70)</f>
        <v>0</v>
      </c>
    </row>
    <row r="156" ht="15" customFormat="1" customHeight="1" s="381">
      <c r="A156" s="398" t="inlineStr">
        <is>
          <t>Klump Accounting Fee</t>
        </is>
      </c>
      <c r="B156" s="393">
        <f>IF(ISBLANK(Actuals!C71),0,Actuals!C71)</f>
        <v>0</v>
      </c>
      <c r="C156" s="393">
        <f>IF(ISBLANK(Actuals!D71),0,Actuals!D71)</f>
        <v>0</v>
      </c>
      <c r="D156" s="393">
        <f>IF(ISBLANK(Actuals!E71),0,Actuals!E71)</f>
        <v>0</v>
      </c>
      <c r="E156" s="393">
        <f>IF(ISBLANK(Actuals!F71),IF(AND(Projects!$G$11="Yes",1&gt;=Projects!$C$11,1&lt;Projects!$C$11+Projects!$D$11),6315.79,0),Actuals!F71)</f>
        <v>0</v>
      </c>
      <c r="F156" s="393">
        <f>IF(ISBLANK(Actuals!G71),IF(AND(Projects!$G$11="Yes",2&gt;=Projects!$C$11,2&lt;Projects!$C$11+Projects!$D$11),6315.79,0),Actuals!G71)</f>
        <v>0</v>
      </c>
      <c r="G156" s="393">
        <f>IF(ISBLANK(Actuals!H71),IF(AND(Projects!$G$11="Yes",3&gt;=Projects!$C$11,3&lt;Projects!$C$11+Projects!$D$11),6315.79,0),Actuals!H71)</f>
        <v>0</v>
      </c>
      <c r="H156" s="393">
        <f>IF(ISBLANK(Actuals!I71),IF(AND(Projects!$G$11="Yes",4&gt;=Projects!$C$11,4&lt;Projects!$C$11+Projects!$D$11),6315.79,0),Actuals!I71)</f>
        <v>0</v>
      </c>
      <c r="I156" s="393">
        <f>IF(ISBLANK(Actuals!J71),IF(AND(Projects!$G$11="Yes",5&gt;=Projects!$C$11,5&lt;Projects!$C$11+Projects!$D$11),6315.79,0),Actuals!J71)</f>
        <v>0</v>
      </c>
      <c r="J156" s="393">
        <f>IF(ISBLANK(Actuals!K71),IF(AND(Projects!$G$11="Yes",6&gt;=Projects!$C$11,6&lt;Projects!$C$11+Projects!$D$11),6315.79,0),Actuals!K71)</f>
        <v>0</v>
      </c>
      <c r="K156" s="393">
        <f>IF(ISBLANK(Actuals!L71),IF(AND(Projects!$G$11="Yes",7&gt;=Projects!$C$11,7&lt;Projects!$C$11+Projects!$D$11),6315.79,0),Actuals!L71)</f>
        <v>0</v>
      </c>
      <c r="L156" s="393">
        <f>IF(ISBLANK(Actuals!M71),IF(AND(Projects!$G$11="Yes",8&gt;=Projects!$C$11,8&lt;Projects!$C$11+Projects!$D$11),6315.79,0),Actuals!M71)</f>
        <v>0</v>
      </c>
      <c r="M156" s="393">
        <f>IF(ISBLANK(Actuals!N71),IF(AND(Projects!$G$11="Yes",9&gt;=Projects!$C$11,9&lt;Projects!$C$11+Projects!$D$11),6315.79,0),Actuals!N71)</f>
        <v>0</v>
      </c>
      <c r="N156" s="393">
        <f>IF(ISBLANK(Actuals!O71),IF(AND(Projects!$G$11="Yes",10&gt;=Projects!$C$11,10&lt;Projects!$C$11+Projects!$D$11),6315.79,0),Actuals!O71)</f>
        <v>6315.79</v>
      </c>
      <c r="O156" s="393">
        <f>IF(ISBLANK(Actuals!P71),IF(AND(Projects!$G$11="Yes",11&gt;=Projects!$C$11,11&lt;Projects!$C$11+Projects!$D$11),6315.79,0),Actuals!P71)</f>
        <v>6315.79</v>
      </c>
      <c r="P156" s="393">
        <f>IF(ISBLANK(Actuals!Q71),IF(AND(Projects!$G$11="Yes",12&gt;=Projects!$C$11,12&lt;Projects!$C$11+Projects!$D$11),6315.79,0),Actuals!Q71)</f>
        <v>6315.79</v>
      </c>
      <c r="Q156" s="393">
        <f>IF(ISBLANK(Actuals!R71),IF(AND(Projects!$G$11="Yes",13&gt;=Projects!$C$11,13&lt;Projects!$C$11+Projects!$D$11),6315.79,0),Actuals!R71)</f>
        <v>6315.79</v>
      </c>
      <c r="R156" s="393">
        <f>IF(ISBLANK(Actuals!S71),IF(AND(Projects!$G$11="Yes",14&gt;=Projects!$C$11,14&lt;Projects!$C$11+Projects!$D$11),6315.79,0),Actuals!S71)</f>
        <v>6315.79</v>
      </c>
      <c r="S156" s="393">
        <f>IF(ISBLANK(Actuals!T71),IF(AND(Projects!$G$11="Yes",15&gt;=Projects!$C$11,15&lt;Projects!$C$11+Projects!$D$11),6315.79,0),Actuals!T71)</f>
        <v>6315.79</v>
      </c>
      <c r="T156" s="393">
        <f>IF(ISBLANK(Actuals!U71),IF(AND(Projects!$G$11="Yes",16&gt;=Projects!$C$11,16&lt;Projects!$C$11+Projects!$D$11),6315.79,0),Actuals!U71)</f>
        <v>6315.79</v>
      </c>
      <c r="U156" s="393">
        <f>IF(ISBLANK(Actuals!V71),IF(AND(Projects!$G$11="Yes",17&gt;=Projects!$C$11,17&lt;Projects!$C$11+Projects!$D$11),6315.79,0),Actuals!V71)</f>
        <v>6315.79</v>
      </c>
      <c r="V156" s="393">
        <f>IF(ISBLANK(Actuals!W71),IF(AND(Projects!$G$11="Yes",18&gt;=Projects!$C$11,18&lt;Projects!$C$11+Projects!$D$11),6315.79,0),Actuals!W71)</f>
        <v>6315.79</v>
      </c>
      <c r="W156" s="393">
        <f>IF(ISBLANK(Actuals!X71),IF(AND(Projects!$G$11="Yes",19&gt;=Projects!$C$11,19&lt;Projects!$C$11+Projects!$D$11),6315.79,0),Actuals!X71)</f>
        <v>6315.79</v>
      </c>
      <c r="X156" s="393">
        <f>IF(ISBLANK(Actuals!Y71),IF(AND(Projects!$G$11="Yes",20&gt;=Projects!$C$11,20&lt;Projects!$C$11+Projects!$D$11),6315.79,0),Actuals!Y71)</f>
        <v>6315.79</v>
      </c>
      <c r="Y156" s="393">
        <f>IF(ISBLANK(Actuals!Z71),IF(AND(Projects!$G$11="Yes",21&gt;=Projects!$C$11,21&lt;Projects!$C$11+Projects!$D$11),6315.79,0),Actuals!Z71)</f>
        <v>6315.79</v>
      </c>
      <c r="Z156" s="393">
        <f>IF(ISBLANK(Actuals!AA71),IF(AND(Projects!$G$11="Yes",22&gt;=Projects!$C$11,22&lt;Projects!$C$11+Projects!$D$11),6315.79,0),Actuals!AA71)</f>
        <v>6315.79</v>
      </c>
      <c r="AA156" s="393">
        <f>IF(ISBLANK(Actuals!AB71),IF(AND(Projects!$G$11="Yes",23&gt;=Projects!$C$11,23&lt;Projects!$C$11+Projects!$D$11),6315.79,0),Actuals!AB71)</f>
        <v>6315.79</v>
      </c>
      <c r="AB156" s="393">
        <f>IF(ISBLANK(Actuals!AC71),IF(AND(Projects!$G$11="Yes",24&gt;=Projects!$C$11,24&lt;Projects!$C$11+Projects!$D$11),6315.79,0),Actuals!AC71)</f>
        <v>6315.79</v>
      </c>
      <c r="AC156" s="393">
        <f>IF(ISBLANK(Actuals!AD71),IF(AND(Projects!$G$11="Yes",25&gt;=Projects!$C$11,25&lt;Projects!$C$11+Projects!$D$11),6315.79,0),Actuals!AD71)</f>
        <v>6315.79</v>
      </c>
      <c r="AD156" s="393">
        <f>IF(ISBLANK(Actuals!AE71),IF(AND(Projects!$G$11="Yes",26&gt;=Projects!$C$11,26&lt;Projects!$C$11+Projects!$D$11),6315.79,0),Actuals!AE71)</f>
        <v>6315.79</v>
      </c>
      <c r="AE156" s="393">
        <f>IF(ISBLANK(Actuals!AF71),IF(AND(Projects!$G$11="Yes",27&gt;=Projects!$C$11,27&lt;Projects!$C$11+Projects!$D$11),6315.79,0),Actuals!AF71)</f>
        <v>6315.79</v>
      </c>
      <c r="AF156" s="393">
        <f>IF(ISBLANK(Actuals!AG71),IF(AND(Projects!$G$11="Yes",28&gt;=Projects!$C$11,28&lt;Projects!$C$11+Projects!$D$11),6315.79,0),Actuals!AG71)</f>
        <v>6315.79</v>
      </c>
      <c r="AG156" s="393">
        <f>IF(ISBLANK(Actuals!AH71),IF(AND(Projects!$G$11="Yes",29&gt;=Projects!$C$11,29&lt;Projects!$C$11+Projects!$D$11),6315.79,0),Actuals!AH71)</f>
        <v>0</v>
      </c>
      <c r="AH156" s="393">
        <f>IF(ISBLANK(Actuals!AI71),IF(AND(Projects!$G$11="Yes",30&gt;=Projects!$C$11,30&lt;Projects!$C$11+Projects!$D$11),6315.79,0),Actuals!AI71)</f>
        <v>0</v>
      </c>
      <c r="AI156" s="393">
        <f>IF(ISBLANK(Actuals!AJ71),IF(AND(Projects!$G$11="Yes",31&gt;=Projects!$C$11,31&lt;Projects!$C$11+Projects!$D$11),6315.79,0),Actuals!AJ71)</f>
        <v>0</v>
      </c>
      <c r="AJ156" s="393">
        <f>IF(ISBLANK(Actuals!AK71),IF(AND(Projects!$G$11="Yes",32&gt;=Projects!$C$11,32&lt;Projects!$C$11+Projects!$D$11),6315.79,0),Actuals!AK71)</f>
        <v>0</v>
      </c>
      <c r="AK156" s="393">
        <f>IF(ISBLANK(Actuals!AL71),IF(AND(Projects!$G$11="Yes",33&gt;=Projects!$C$11,33&lt;Projects!$C$11+Projects!$D$11),6315.79,0),Actuals!AL71)</f>
        <v>0</v>
      </c>
      <c r="AL156" s="393">
        <f>IF(ISBLANK(Actuals!AM71),IF(AND(Projects!$G$11="Yes",34&gt;=Projects!$C$11,34&lt;Projects!$C$11+Projects!$D$11),6315.79,0),Actuals!AM71)</f>
        <v>0</v>
      </c>
      <c r="AM156" s="393">
        <f>IF(ISBLANK(Actuals!AN71),IF(AND(Projects!$G$11="Yes",35&gt;=Projects!$C$11,35&lt;Projects!$C$11+Projects!$D$11),6315.79,0),Actuals!AN71)</f>
        <v>0</v>
      </c>
      <c r="AN156" s="393">
        <f>IF(ISBLANK(Actuals!AO71),IF(AND(Projects!$G$11="Yes",36&gt;=Projects!$C$11,36&lt;Projects!$C$11+Projects!$D$11),6315.79,0),Actuals!AO71)</f>
        <v>0</v>
      </c>
      <c r="AO156" s="393">
        <f>IF(ISBLANK(Actuals!AP71),IF(AND(Projects!$G$11="Yes",37&gt;=Projects!$C$11,37&lt;Projects!$C$11+Projects!$D$11),6315.79,0),Actuals!AP71)</f>
        <v>0</v>
      </c>
      <c r="AP156" s="393">
        <f>IF(ISBLANK(Actuals!AQ71),IF(AND(Projects!$G$11="Yes",38&gt;=Projects!$C$11,38&lt;Projects!$C$11+Projects!$D$11),6315.79,0),Actuals!AQ71)</f>
        <v>0</v>
      </c>
      <c r="AQ156" s="393">
        <f>IF(ISBLANK(Actuals!AR71),IF(AND(Projects!$G$11="Yes",39&gt;=Projects!$C$11,39&lt;Projects!$C$11+Projects!$D$11),6315.79,0),Actuals!AR71)</f>
        <v>0</v>
      </c>
      <c r="AR156" s="393">
        <f>IF(ISBLANK(Actuals!AS71),IF(AND(Projects!$G$11="Yes",40&gt;=Projects!$C$11,40&lt;Projects!$C$11+Projects!$D$11),6315.79,0),Actuals!AS71)</f>
        <v>0</v>
      </c>
      <c r="AS156" s="393">
        <f>IF(ISBLANK(Actuals!AT71),IF(AND(Projects!$G$11="Yes",41&gt;=Projects!$C$11,41&lt;Projects!$C$11+Projects!$D$11),6315.79,0),Actuals!AT71)</f>
        <v>0</v>
      </c>
      <c r="AT156" s="393">
        <f>IF(ISBLANK(Actuals!AU71),IF(AND(Projects!$G$11="Yes",42&gt;=Projects!$C$11,42&lt;Projects!$C$11+Projects!$D$11),6315.79,0),Actuals!AU71)</f>
        <v>0</v>
      </c>
      <c r="AU156" s="393">
        <f>IF(ISBLANK(Actuals!AV71),IF(AND(Projects!$G$11="Yes",43&gt;=Projects!$C$11,43&lt;Projects!$C$11+Projects!$D$11),6315.79,0),Actuals!AV71)</f>
        <v>0</v>
      </c>
      <c r="AV156" s="393">
        <f>IF(ISBLANK(Actuals!AW71),IF(AND(Projects!$G$11="Yes",44&gt;=Projects!$C$11,44&lt;Projects!$C$11+Projects!$D$11),6315.79,0),Actuals!AW71)</f>
        <v>0</v>
      </c>
      <c r="AW156" s="393">
        <f>IF(ISBLANK(Actuals!AX71),IF(AND(Projects!$G$11="Yes",45&gt;=Projects!$C$11,45&lt;Projects!$C$11+Projects!$D$11),6315.79,0),Actuals!AX71)</f>
        <v>0</v>
      </c>
      <c r="AX156" s="393">
        <f>IF(ISBLANK(Actuals!AY71),IF(AND(Projects!$G$11="Yes",46&gt;=Projects!$C$11,46&lt;Projects!$C$11+Projects!$D$11),6315.79,0),Actuals!AY71)</f>
        <v>0</v>
      </c>
      <c r="AY156" s="393">
        <f>IF(ISBLANK(Actuals!AZ71),IF(AND(Projects!$G$11="Yes",47&gt;=Projects!$C$11,47&lt;Projects!$C$11+Projects!$D$11),6315.79,0),Actuals!AZ71)</f>
        <v>0</v>
      </c>
      <c r="AZ156" s="393">
        <f>IF(ISBLANK(Actuals!BA71),IF(AND(Projects!$G$11="Yes",48&gt;=Projects!$C$11,48&lt;Projects!$C$11+Projects!$D$11),6315.79,0),Actuals!BA71)</f>
        <v>0</v>
      </c>
      <c r="BA156" s="393">
        <f>IF(ISBLANK(Actuals!BB71),IF(AND(Projects!$G$11="Yes",49&gt;=Projects!$C$11,49&lt;Projects!$C$11+Projects!$D$11),6315.79,0),Actuals!BB71)</f>
        <v>0</v>
      </c>
      <c r="BB156" s="393">
        <f>IF(ISBLANK(Actuals!BC71),IF(AND(Projects!$G$11="Yes",50&gt;=Projects!$C$11,50&lt;Projects!$C$11+Projects!$D$11),6315.79,0),Actuals!BC71)</f>
        <v>0</v>
      </c>
      <c r="BC156" s="393">
        <f>IF(ISBLANK(Actuals!BD71),IF(AND(Projects!$G$11="Yes",51&gt;=Projects!$C$11,51&lt;Projects!$C$11+Projects!$D$11),6315.79,0),Actuals!BD71)</f>
        <v>0</v>
      </c>
      <c r="BD156" s="393">
        <f>IF(ISBLANK(Actuals!BE71),IF(AND(Projects!$G$11="Yes",52&gt;=Projects!$C$11,52&lt;Projects!$C$11+Projects!$D$11),6315.79,0),Actuals!BE71)</f>
        <v>0</v>
      </c>
      <c r="BE156" s="393">
        <f>IF(ISBLANK(Actuals!BF71),IF(AND(Projects!$G$11="Yes",53&gt;=Projects!$C$11,53&lt;Projects!$C$11+Projects!$D$11),6315.79,0),Actuals!BF71)</f>
        <v>0</v>
      </c>
      <c r="BF156" s="393">
        <f>IF(ISBLANK(Actuals!BG71),IF(AND(Projects!$G$11="Yes",54&gt;=Projects!$C$11,54&lt;Projects!$C$11+Projects!$D$11),6315.79,0),Actuals!BG71)</f>
        <v>0</v>
      </c>
      <c r="BG156" s="393">
        <f>IF(ISBLANK(Actuals!BH71),IF(AND(Projects!$G$11="Yes",55&gt;=Projects!$C$11,55&lt;Projects!$C$11+Projects!$D$11),6315.79,0),Actuals!BH71)</f>
        <v>0</v>
      </c>
      <c r="BH156" s="393">
        <f>IF(ISBLANK(Actuals!BI71),IF(AND(Projects!$G$11="Yes",56&gt;=Projects!$C$11,56&lt;Projects!$C$11+Projects!$D$11),6315.79,0),Actuals!BI71)</f>
        <v>0</v>
      </c>
      <c r="BI156" s="393">
        <f>IF(ISBLANK(Actuals!BJ71),IF(AND(Projects!$G$11="Yes",57&gt;=Projects!$C$11,57&lt;Projects!$C$11+Projects!$D$11),6315.79,0),Actuals!BJ71)</f>
        <v>0</v>
      </c>
      <c r="BJ156" s="393">
        <f>IF(ISBLANK(Actuals!BK71),IF(AND(Projects!$G$11="Yes",58&gt;=Projects!$C$11,58&lt;Projects!$C$11+Projects!$D$11),6315.79,0),Actuals!BK71)</f>
        <v>0</v>
      </c>
      <c r="BK156" s="393">
        <f>IF(ISBLANK(Actuals!BL71),IF(AND(Projects!$G$11="Yes",59&gt;=Projects!$C$11,59&lt;Projects!$C$11+Projects!$D$11),6315.79,0),Actuals!BL71)</f>
        <v>0</v>
      </c>
      <c r="BL156" s="393">
        <f>IF(ISBLANK(Actuals!BM71),IF(AND(Projects!$G$11="Yes",60&gt;=Projects!$C$11,60&lt;Projects!$C$11+Projects!$D$11),6315.79,0),Actuals!BM71)</f>
        <v>0</v>
      </c>
      <c r="BM156" s="393">
        <f>IF(ISBLANK(Actuals!BN71),IF(AND(Projects!$G$11="Yes",61&gt;=Projects!$C$11,61&lt;Projects!$C$11+Projects!$D$11),6315.79,0),Actuals!BN71)</f>
        <v>0</v>
      </c>
      <c r="BN156" s="393">
        <f>IF(ISBLANK(Actuals!BO71),IF(AND(Projects!$G$11="Yes",62&gt;=Projects!$C$11,62&lt;Projects!$C$11+Projects!$D$11),6315.79,0),Actuals!BO71)</f>
        <v>0</v>
      </c>
      <c r="BO156" s="393">
        <f>IF(ISBLANK(Actuals!BP71),IF(AND(Projects!$G$11="Yes",63&gt;=Projects!$C$11,63&lt;Projects!$C$11+Projects!$D$11),6315.79,0),Actuals!BP71)</f>
        <v>0</v>
      </c>
      <c r="BP156" s="393">
        <f>IF(ISBLANK(Actuals!BQ71),IF(AND(Projects!$G$11="Yes",64&gt;=Projects!$C$11,64&lt;Projects!$C$11+Projects!$D$11),6315.79,0),Actuals!BQ71)</f>
        <v>0</v>
      </c>
      <c r="BQ156" s="393">
        <f>IF(ISBLANK(Actuals!BR71),IF(AND(Projects!$G$11="Yes",65&gt;=Projects!$C$11,65&lt;Projects!$C$11+Projects!$D$11),6315.79,0),Actuals!BR71)</f>
        <v>0</v>
      </c>
      <c r="BR156" s="393">
        <f>IF(ISBLANK(Actuals!BS71),IF(AND(Projects!$G$11="Yes",66&gt;=Projects!$C$11,66&lt;Projects!$C$11+Projects!$D$11),6315.79,0),Actuals!BS71)</f>
        <v>0</v>
      </c>
      <c r="BS156" s="393">
        <f>IF(ISBLANK(Actuals!BT71),IF(AND(Projects!$G$11="Yes",67&gt;=Projects!$C$11,67&lt;Projects!$C$11+Projects!$D$11),6315.79,0),Actuals!BT71)</f>
        <v>0</v>
      </c>
      <c r="BT156" s="393">
        <f>IF(ISBLANK(Actuals!BU71),IF(AND(Projects!$G$11="Yes",68&gt;=Projects!$C$11,68&lt;Projects!$C$11+Projects!$D$11),6315.79,0),Actuals!BU71)</f>
        <v>0</v>
      </c>
      <c r="BU156" s="393">
        <f>IF(ISBLANK(Actuals!BV71),IF(AND(Projects!$G$11="Yes",69&gt;=Projects!$C$11,69&lt;Projects!$C$11+Projects!$D$11),6315.79,0),Actuals!BV71)</f>
        <v>0</v>
      </c>
      <c r="BV156" s="393">
        <f>IF(ISBLANK(Actuals!BW71),IF(AND(Projects!$G$11="Yes",70&gt;=Projects!$C$11,70&lt;Projects!$C$11+Projects!$D$11),6315.79,0),Actuals!BW71)</f>
        <v>0</v>
      </c>
      <c r="BW156" s="393">
        <f>IF(ISBLANK(Actuals!BX71),IF(AND(Projects!$G$11="Yes",71&gt;=Projects!$C$11,71&lt;Projects!$C$11+Projects!$D$11),6315.79,0),Actuals!BX71)</f>
        <v>0</v>
      </c>
      <c r="BX156" s="393">
        <f>IF(ISBLANK(Actuals!BY71),IF(AND(Projects!$G$11="Yes",72&gt;=Projects!$C$11,72&lt;Projects!$C$11+Projects!$D$11),6315.79,0),Actuals!BY71)</f>
        <v>0</v>
      </c>
      <c r="BY156" s="393">
        <f>IF(ISBLANK(Actuals!BZ71),IF(AND(Projects!$G$11="Yes",73&gt;=Projects!$C$11,73&lt;Projects!$C$11+Projects!$D$11),6315.79,0),Actuals!BZ71)</f>
        <v>0</v>
      </c>
      <c r="BZ156" s="393">
        <f>IF(ISBLANK(Actuals!CA71),IF(AND(Projects!$G$11="Yes",74&gt;=Projects!$C$11,74&lt;Projects!$C$11+Projects!$D$11),6315.79,0),Actuals!CA71)</f>
        <v>0</v>
      </c>
      <c r="CA156" s="393">
        <f>IF(ISBLANK(Actuals!CB71),IF(AND(Projects!$G$11="Yes",75&gt;=Projects!$C$11,75&lt;Projects!$C$11+Projects!$D$11),6315.79,0),Actuals!CB71)</f>
        <v>0</v>
      </c>
      <c r="CB156" s="393">
        <f>IF(ISBLANK(Actuals!CC71),IF(AND(Projects!$G$11="Yes",76&gt;=Projects!$C$11,76&lt;Projects!$C$11+Projects!$D$11),6315.79,0),Actuals!CC71)</f>
        <v>0</v>
      </c>
      <c r="CC156" s="393">
        <f>IF(ISBLANK(Actuals!CD71),IF(AND(Projects!$G$11="Yes",77&gt;=Projects!$C$11,77&lt;Projects!$C$11+Projects!$D$11),6315.79,0),Actuals!CD71)</f>
        <v>0</v>
      </c>
      <c r="CD156" s="393">
        <f>IF(ISBLANK(Actuals!CE71),IF(AND(Projects!$G$11="Yes",78&gt;=Projects!$C$11,78&lt;Projects!$C$11+Projects!$D$11),6315.79,0),Actuals!CE71)</f>
        <v>0</v>
      </c>
      <c r="CE156" s="393">
        <f>IF(ISBLANK(Actuals!CF71),IF(AND(Projects!$G$11="Yes",79&gt;=Projects!$C$11,79&lt;Projects!$C$11+Projects!$D$11),6315.79,0),Actuals!CF71)</f>
        <v>0</v>
      </c>
      <c r="CF156" s="393">
        <f>IF(ISBLANK(Actuals!CG71),IF(AND(Projects!$G$11="Yes",80&gt;=Projects!$C$11,80&lt;Projects!$C$11+Projects!$D$11),6315.79,0),Actuals!CG71)</f>
        <v>0</v>
      </c>
      <c r="CG156" s="393">
        <f>IF(ISBLANK(Actuals!CH71),IF(AND(Projects!$G$11="Yes",81&gt;=Projects!$C$11,81&lt;Projects!$C$11+Projects!$D$11),6315.79,0),Actuals!CH71)</f>
        <v>0</v>
      </c>
      <c r="CH156" s="393">
        <f>IF(ISBLANK(Actuals!CI71),IF(AND(Projects!$G$11="Yes",82&gt;=Projects!$C$11,82&lt;Projects!$C$11+Projects!$D$11),6315.79,0),Actuals!CI71)</f>
        <v>0</v>
      </c>
      <c r="CI156" s="393">
        <f>IF(ISBLANK(Actuals!CJ71),IF(AND(Projects!$G$11="Yes",83&gt;=Projects!$C$11,83&lt;Projects!$C$11+Projects!$D$11),6315.79,0),Actuals!CJ71)</f>
        <v>0</v>
      </c>
      <c r="CJ156" s="393">
        <f>IF(ISBLANK(Actuals!CK71),IF(AND(Projects!$G$11="Yes",84&gt;=Projects!$C$11,84&lt;Projects!$C$11+Projects!$D$11),6315.79,0),Actuals!CK71)</f>
        <v>0</v>
      </c>
      <c r="CK156" s="393">
        <f>IF(ISBLANK(Actuals!CL71),IF(AND(Projects!$G$11="Yes",85&gt;=Projects!$C$11,85&lt;Projects!$C$11+Projects!$D$11),6315.79,0),Actuals!CL71)</f>
        <v>0</v>
      </c>
      <c r="CL156" s="393">
        <f>IF(ISBLANK(Actuals!CM71),IF(AND(Projects!$G$11="Yes",86&gt;=Projects!$C$11,86&lt;Projects!$C$11+Projects!$D$11),6315.79,0),Actuals!CM71)</f>
        <v>0</v>
      </c>
      <c r="CM156" s="393">
        <f>IF(ISBLANK(Actuals!CN71),IF(AND(Projects!$G$11="Yes",87&gt;=Projects!$C$11,87&lt;Projects!$C$11+Projects!$D$11),6315.79,0),Actuals!CN71)</f>
        <v>0</v>
      </c>
      <c r="CN156" s="393">
        <f>IF(ISBLANK(Actuals!CO71),IF(AND(Projects!$G$11="Yes",88&gt;=Projects!$C$11,88&lt;Projects!$C$11+Projects!$D$11),6315.79,0),Actuals!CO71)</f>
        <v>0</v>
      </c>
      <c r="CO156" s="393">
        <f>IF(ISBLANK(Actuals!CP71),IF(AND(Projects!$G$11="Yes",89&gt;=Projects!$C$11,89&lt;Projects!$C$11+Projects!$D$11),6315.79,0),Actuals!CP71)</f>
        <v>0</v>
      </c>
      <c r="CP156" s="393">
        <f>IF(ISBLANK(Actuals!CQ71),IF(AND(Projects!$G$11="Yes",90&gt;=Projects!$C$11,90&lt;Projects!$C$11+Projects!$D$11),6315.79,0),Actuals!CQ71)</f>
        <v>0</v>
      </c>
      <c r="CQ156" s="393">
        <f>IF(ISBLANK(Actuals!CR71),IF(AND(Projects!$G$11="Yes",91&gt;=Projects!$C$11,91&lt;Projects!$C$11+Projects!$D$11),6315.79,0),Actuals!CR71)</f>
        <v>0</v>
      </c>
      <c r="CR156" s="393">
        <f>IF(ISBLANK(Actuals!CS71),IF(AND(Projects!$G$11="Yes",92&gt;=Projects!$C$11,92&lt;Projects!$C$11+Projects!$D$11),6315.79,0),Actuals!CS71)</f>
        <v>0</v>
      </c>
      <c r="CS156" s="393">
        <f>IF(ISBLANK(Actuals!CT71),IF(AND(Projects!$G$11="Yes",93&gt;=Projects!$C$11,93&lt;Projects!$C$11+Projects!$D$11),6315.79,0),Actuals!CT71)</f>
        <v>0</v>
      </c>
      <c r="CT156" s="393">
        <f>IF(ISBLANK(Actuals!CU71),IF(AND(Projects!$G$11="Yes",94&gt;=Projects!$C$11,94&lt;Projects!$C$11+Projects!$D$11),6315.79,0),Actuals!CU71)</f>
        <v>0</v>
      </c>
      <c r="CU156" s="393">
        <f>IF(ISBLANK(Actuals!CV71),IF(AND(Projects!$G$11="Yes",95&gt;=Projects!$C$11,95&lt;Projects!$C$11+Projects!$D$11),6315.79,0),Actuals!CV71)</f>
        <v>0</v>
      </c>
      <c r="CV156" s="393">
        <f>IF(ISBLANK(Actuals!CW71),IF(AND(Projects!$G$11="Yes",96&gt;=Projects!$C$11,96&lt;Projects!$C$11+Projects!$D$11),6315.79,0),Actuals!CW71)</f>
        <v>0</v>
      </c>
      <c r="CW156" s="393">
        <f>IF(ISBLANK(Actuals!CX71),IF(AND(Projects!$G$11="Yes",97&gt;=Projects!$C$11,97&lt;Projects!$C$11+Projects!$D$11),6315.79,0),Actuals!CX71)</f>
        <v>0</v>
      </c>
      <c r="CX156" s="393">
        <f>IF(ISBLANK(Actuals!CY71),IF(AND(Projects!$G$11="Yes",98&gt;=Projects!$C$11,98&lt;Projects!$C$11+Projects!$D$11),6315.79,0),Actuals!CY71)</f>
        <v>0</v>
      </c>
      <c r="CY156" s="393">
        <f>IF(ISBLANK(Actuals!CZ71),IF(AND(Projects!$G$11="Yes",99&gt;=Projects!$C$11,99&lt;Projects!$C$11+Projects!$D$11),6315.79,0),Actuals!CZ71)</f>
        <v>0</v>
      </c>
      <c r="CZ156" s="393">
        <f>IF(ISBLANK(Actuals!DA71),IF(AND(Projects!$G$11="Yes",100&gt;=Projects!$C$11,100&lt;Projects!$C$11+Projects!$D$11),6315.79,0),Actuals!DA71)</f>
        <v>0</v>
      </c>
      <c r="DA156" s="393">
        <f>IF(ISBLANK(Actuals!DB71),IF(AND(Projects!$G$11="Yes",101&gt;=Projects!$C$11,101&lt;Projects!$C$11+Projects!$D$11),6315.79,0),Actuals!DB71)</f>
        <v>0</v>
      </c>
      <c r="DB156" s="393">
        <f>IF(ISBLANK(Actuals!DC71),IF(AND(Projects!$G$11="Yes",102&gt;=Projects!$C$11,102&lt;Projects!$C$11+Projects!$D$11),6315.79,0),Actuals!DC71)</f>
        <v>0</v>
      </c>
      <c r="DC156" s="393">
        <f>IF(ISBLANK(Actuals!DD71),IF(AND(Projects!$G$11="Yes",103&gt;=Projects!$C$11,103&lt;Projects!$C$11+Projects!$D$11),6315.79,0),Actuals!DD71)</f>
        <v>0</v>
      </c>
      <c r="DD156" s="393">
        <f>IF(ISBLANK(Actuals!DE71),IF(AND(Projects!$G$11="Yes",104&gt;=Projects!$C$11,104&lt;Projects!$C$11+Projects!$D$11),6315.79,0),Actuals!DE71)</f>
        <v>0</v>
      </c>
      <c r="DE156" s="393">
        <f>IF(ISBLANK(Actuals!DF71),IF(AND(Projects!$G$11="Yes",105&gt;=Projects!$C$11,105&lt;Projects!$C$11+Projects!$D$11),6315.79,0),Actuals!DF71)</f>
        <v>0</v>
      </c>
    </row>
    <row r="157" ht="15" customFormat="1" customHeight="1" s="381">
      <c r="A157" s="398" t="inlineStr">
        <is>
          <t>Klump Developer Fee</t>
        </is>
      </c>
      <c r="B157" s="393">
        <f>IF(ISBLANK(Actuals!C72),0,Actuals!C72)</f>
        <v>0</v>
      </c>
      <c r="C157" s="393">
        <f>IF(ISBLANK(Actuals!D72),0,Actuals!D72)</f>
        <v>0</v>
      </c>
      <c r="D157" s="393">
        <f>IF(ISBLANK(Actuals!E72),0,Actuals!E72)</f>
        <v>0</v>
      </c>
      <c r="E157" s="393">
        <f>IF(ISBLANK(Actuals!F72),IF(AND(Projects!$G$11="Yes",1&gt;=Projects!$C$11,1&lt;Projects!$C$11+Projects!$D$11),6315.79,0),Actuals!F72)</f>
        <v>0</v>
      </c>
      <c r="F157" s="393">
        <f>IF(ISBLANK(Actuals!G72),IF(AND(Projects!$G$11="Yes",2&gt;=Projects!$C$11,2&lt;Projects!$C$11+Projects!$D$11),6315.79,0),Actuals!G72)</f>
        <v>0</v>
      </c>
      <c r="G157" s="393">
        <f>IF(ISBLANK(Actuals!H72),IF(AND(Projects!$G$11="Yes",3&gt;=Projects!$C$11,3&lt;Projects!$C$11+Projects!$D$11),6315.79,0),Actuals!H72)</f>
        <v>0</v>
      </c>
      <c r="H157" s="393">
        <f>IF(ISBLANK(Actuals!I72),IF(AND(Projects!$G$11="Yes",4&gt;=Projects!$C$11,4&lt;Projects!$C$11+Projects!$D$11),6315.79,0),Actuals!I72)</f>
        <v>0</v>
      </c>
      <c r="I157" s="393">
        <f>IF(ISBLANK(Actuals!J72),IF(AND(Projects!$G$11="Yes",5&gt;=Projects!$C$11,5&lt;Projects!$C$11+Projects!$D$11),6315.79,0),Actuals!J72)</f>
        <v>0</v>
      </c>
      <c r="J157" s="393">
        <f>IF(ISBLANK(Actuals!K72),IF(AND(Projects!$G$11="Yes",6&gt;=Projects!$C$11,6&lt;Projects!$C$11+Projects!$D$11),6315.79,0),Actuals!K72)</f>
        <v>0</v>
      </c>
      <c r="K157" s="393">
        <f>IF(ISBLANK(Actuals!L72),IF(AND(Projects!$G$11="Yes",7&gt;=Projects!$C$11,7&lt;Projects!$C$11+Projects!$D$11),6315.79,0),Actuals!L72)</f>
        <v>0</v>
      </c>
      <c r="L157" s="393">
        <f>IF(ISBLANK(Actuals!M72),IF(AND(Projects!$G$11="Yes",8&gt;=Projects!$C$11,8&lt;Projects!$C$11+Projects!$D$11),6315.79,0),Actuals!M72)</f>
        <v>0</v>
      </c>
      <c r="M157" s="393">
        <f>IF(ISBLANK(Actuals!N72),IF(AND(Projects!$G$11="Yes",9&gt;=Projects!$C$11,9&lt;Projects!$C$11+Projects!$D$11),6315.79,0),Actuals!N72)</f>
        <v>0</v>
      </c>
      <c r="N157" s="393">
        <f>IF(ISBLANK(Actuals!O72),IF(AND(Projects!$G$11="Yes",10&gt;=Projects!$C$11,10&lt;Projects!$C$11+Projects!$D$11),6315.79,0),Actuals!O72)</f>
        <v>6315.79</v>
      </c>
      <c r="O157" s="393">
        <f>IF(ISBLANK(Actuals!P72),IF(AND(Projects!$G$11="Yes",11&gt;=Projects!$C$11,11&lt;Projects!$C$11+Projects!$D$11),6315.79,0),Actuals!P72)</f>
        <v>6315.79</v>
      </c>
      <c r="P157" s="393">
        <f>IF(ISBLANK(Actuals!Q72),IF(AND(Projects!$G$11="Yes",12&gt;=Projects!$C$11,12&lt;Projects!$C$11+Projects!$D$11),6315.79,0),Actuals!Q72)</f>
        <v>6315.79</v>
      </c>
      <c r="Q157" s="393">
        <f>IF(ISBLANK(Actuals!R72),IF(AND(Projects!$G$11="Yes",13&gt;=Projects!$C$11,13&lt;Projects!$C$11+Projects!$D$11),6315.79,0),Actuals!R72)</f>
        <v>6315.79</v>
      </c>
      <c r="R157" s="393">
        <f>IF(ISBLANK(Actuals!S72),IF(AND(Projects!$G$11="Yes",14&gt;=Projects!$C$11,14&lt;Projects!$C$11+Projects!$D$11),6315.79,0),Actuals!S72)</f>
        <v>6315.79</v>
      </c>
      <c r="S157" s="393">
        <f>IF(ISBLANK(Actuals!T72),IF(AND(Projects!$G$11="Yes",15&gt;=Projects!$C$11,15&lt;Projects!$C$11+Projects!$D$11),6315.79,0),Actuals!T72)</f>
        <v>6315.79</v>
      </c>
      <c r="T157" s="393">
        <f>IF(ISBLANK(Actuals!U72),IF(AND(Projects!$G$11="Yes",16&gt;=Projects!$C$11,16&lt;Projects!$C$11+Projects!$D$11),6315.79,0),Actuals!U72)</f>
        <v>6315.79</v>
      </c>
      <c r="U157" s="393">
        <f>IF(ISBLANK(Actuals!V72),IF(AND(Projects!$G$11="Yes",17&gt;=Projects!$C$11,17&lt;Projects!$C$11+Projects!$D$11),6315.79,0),Actuals!V72)</f>
        <v>6315.79</v>
      </c>
      <c r="V157" s="393">
        <f>IF(ISBLANK(Actuals!W72),IF(AND(Projects!$G$11="Yes",18&gt;=Projects!$C$11,18&lt;Projects!$C$11+Projects!$D$11),6315.79,0),Actuals!W72)</f>
        <v>6315.79</v>
      </c>
      <c r="W157" s="393">
        <f>IF(ISBLANK(Actuals!X72),IF(AND(Projects!$G$11="Yes",19&gt;=Projects!$C$11,19&lt;Projects!$C$11+Projects!$D$11),6315.79,0),Actuals!X72)</f>
        <v>6315.79</v>
      </c>
      <c r="X157" s="393">
        <f>IF(ISBLANK(Actuals!Y72),IF(AND(Projects!$G$11="Yes",20&gt;=Projects!$C$11,20&lt;Projects!$C$11+Projects!$D$11),6315.79,0),Actuals!Y72)</f>
        <v>6315.79</v>
      </c>
      <c r="Y157" s="393">
        <f>IF(ISBLANK(Actuals!Z72),IF(AND(Projects!$G$11="Yes",21&gt;=Projects!$C$11,21&lt;Projects!$C$11+Projects!$D$11),6315.79,0),Actuals!Z72)</f>
        <v>6315.79</v>
      </c>
      <c r="Z157" s="393">
        <f>IF(ISBLANK(Actuals!AA72),IF(AND(Projects!$G$11="Yes",22&gt;=Projects!$C$11,22&lt;Projects!$C$11+Projects!$D$11),6315.79,0),Actuals!AA72)</f>
        <v>6315.79</v>
      </c>
      <c r="AA157" s="393">
        <f>IF(ISBLANK(Actuals!AB72),IF(AND(Projects!$G$11="Yes",23&gt;=Projects!$C$11,23&lt;Projects!$C$11+Projects!$D$11),6315.79,0),Actuals!AB72)</f>
        <v>6315.79</v>
      </c>
      <c r="AB157" s="393">
        <f>IF(ISBLANK(Actuals!AC72),IF(AND(Projects!$G$11="Yes",24&gt;=Projects!$C$11,24&lt;Projects!$C$11+Projects!$D$11),6315.79,0),Actuals!AC72)</f>
        <v>6315.79</v>
      </c>
      <c r="AC157" s="393">
        <f>IF(ISBLANK(Actuals!AD72),IF(AND(Projects!$G$11="Yes",25&gt;=Projects!$C$11,25&lt;Projects!$C$11+Projects!$D$11),6315.79,0),Actuals!AD72)</f>
        <v>6315.79</v>
      </c>
      <c r="AD157" s="393">
        <f>IF(ISBLANK(Actuals!AE72),IF(AND(Projects!$G$11="Yes",26&gt;=Projects!$C$11,26&lt;Projects!$C$11+Projects!$D$11),6315.79,0),Actuals!AE72)</f>
        <v>6315.79</v>
      </c>
      <c r="AE157" s="393">
        <f>IF(ISBLANK(Actuals!AF72),IF(AND(Projects!$G$11="Yes",27&gt;=Projects!$C$11,27&lt;Projects!$C$11+Projects!$D$11),6315.79,0),Actuals!AF72)</f>
        <v>6315.79</v>
      </c>
      <c r="AF157" s="393">
        <f>IF(ISBLANK(Actuals!AG72),IF(AND(Projects!$G$11="Yes",28&gt;=Projects!$C$11,28&lt;Projects!$C$11+Projects!$D$11),6315.79,0),Actuals!AG72)</f>
        <v>6315.79</v>
      </c>
      <c r="AG157" s="393">
        <f>IF(ISBLANK(Actuals!AH72),IF(AND(Projects!$G$11="Yes",29&gt;=Projects!$C$11,29&lt;Projects!$C$11+Projects!$D$11),6315.79,0),Actuals!AH72)</f>
        <v>0</v>
      </c>
      <c r="AH157" s="393">
        <f>IF(ISBLANK(Actuals!AI72),IF(AND(Projects!$G$11="Yes",30&gt;=Projects!$C$11,30&lt;Projects!$C$11+Projects!$D$11),6315.79,0),Actuals!AI72)</f>
        <v>0</v>
      </c>
      <c r="AI157" s="393">
        <f>IF(ISBLANK(Actuals!AJ72),IF(AND(Projects!$G$11="Yes",31&gt;=Projects!$C$11,31&lt;Projects!$C$11+Projects!$D$11),6315.79,0),Actuals!AJ72)</f>
        <v>0</v>
      </c>
      <c r="AJ157" s="393">
        <f>IF(ISBLANK(Actuals!AK72),IF(AND(Projects!$G$11="Yes",32&gt;=Projects!$C$11,32&lt;Projects!$C$11+Projects!$D$11),6315.79,0),Actuals!AK72)</f>
        <v>0</v>
      </c>
      <c r="AK157" s="393">
        <f>IF(ISBLANK(Actuals!AL72),IF(AND(Projects!$G$11="Yes",33&gt;=Projects!$C$11,33&lt;Projects!$C$11+Projects!$D$11),6315.79,0),Actuals!AL72)</f>
        <v>0</v>
      </c>
      <c r="AL157" s="393">
        <f>IF(ISBLANK(Actuals!AM72),IF(AND(Projects!$G$11="Yes",34&gt;=Projects!$C$11,34&lt;Projects!$C$11+Projects!$D$11),6315.79,0),Actuals!AM72)</f>
        <v>0</v>
      </c>
      <c r="AM157" s="393">
        <f>IF(ISBLANK(Actuals!AN72),IF(AND(Projects!$G$11="Yes",35&gt;=Projects!$C$11,35&lt;Projects!$C$11+Projects!$D$11),6315.79,0),Actuals!AN72)</f>
        <v>0</v>
      </c>
      <c r="AN157" s="393">
        <f>IF(ISBLANK(Actuals!AO72),IF(AND(Projects!$G$11="Yes",36&gt;=Projects!$C$11,36&lt;Projects!$C$11+Projects!$D$11),6315.79,0),Actuals!AO72)</f>
        <v>0</v>
      </c>
      <c r="AO157" s="393">
        <f>IF(ISBLANK(Actuals!AP72),IF(AND(Projects!$G$11="Yes",37&gt;=Projects!$C$11,37&lt;Projects!$C$11+Projects!$D$11),6315.79,0),Actuals!AP72)</f>
        <v>0</v>
      </c>
      <c r="AP157" s="393">
        <f>IF(ISBLANK(Actuals!AQ72),IF(AND(Projects!$G$11="Yes",38&gt;=Projects!$C$11,38&lt;Projects!$C$11+Projects!$D$11),6315.79,0),Actuals!AQ72)</f>
        <v>0</v>
      </c>
      <c r="AQ157" s="393">
        <f>IF(ISBLANK(Actuals!AR72),IF(AND(Projects!$G$11="Yes",39&gt;=Projects!$C$11,39&lt;Projects!$C$11+Projects!$D$11),6315.79,0),Actuals!AR72)</f>
        <v>0</v>
      </c>
      <c r="AR157" s="393">
        <f>IF(ISBLANK(Actuals!AS72),IF(AND(Projects!$G$11="Yes",40&gt;=Projects!$C$11,40&lt;Projects!$C$11+Projects!$D$11),6315.79,0),Actuals!AS72)</f>
        <v>0</v>
      </c>
      <c r="AS157" s="393">
        <f>IF(ISBLANK(Actuals!AT72),IF(AND(Projects!$G$11="Yes",41&gt;=Projects!$C$11,41&lt;Projects!$C$11+Projects!$D$11),6315.79,0),Actuals!AT72)</f>
        <v>0</v>
      </c>
      <c r="AT157" s="393">
        <f>IF(ISBLANK(Actuals!AU72),IF(AND(Projects!$G$11="Yes",42&gt;=Projects!$C$11,42&lt;Projects!$C$11+Projects!$D$11),6315.79,0),Actuals!AU72)</f>
        <v>0</v>
      </c>
      <c r="AU157" s="393">
        <f>IF(ISBLANK(Actuals!AV72),IF(AND(Projects!$G$11="Yes",43&gt;=Projects!$C$11,43&lt;Projects!$C$11+Projects!$D$11),6315.79,0),Actuals!AV72)</f>
        <v>0</v>
      </c>
      <c r="AV157" s="393">
        <f>IF(ISBLANK(Actuals!AW72),IF(AND(Projects!$G$11="Yes",44&gt;=Projects!$C$11,44&lt;Projects!$C$11+Projects!$D$11),6315.79,0),Actuals!AW72)</f>
        <v>0</v>
      </c>
      <c r="AW157" s="393">
        <f>IF(ISBLANK(Actuals!AX72),IF(AND(Projects!$G$11="Yes",45&gt;=Projects!$C$11,45&lt;Projects!$C$11+Projects!$D$11),6315.79,0),Actuals!AX72)</f>
        <v>0</v>
      </c>
      <c r="AX157" s="393">
        <f>IF(ISBLANK(Actuals!AY72),IF(AND(Projects!$G$11="Yes",46&gt;=Projects!$C$11,46&lt;Projects!$C$11+Projects!$D$11),6315.79,0),Actuals!AY72)</f>
        <v>0</v>
      </c>
      <c r="AY157" s="393">
        <f>IF(ISBLANK(Actuals!AZ72),IF(AND(Projects!$G$11="Yes",47&gt;=Projects!$C$11,47&lt;Projects!$C$11+Projects!$D$11),6315.79,0),Actuals!AZ72)</f>
        <v>0</v>
      </c>
      <c r="AZ157" s="393">
        <f>IF(ISBLANK(Actuals!BA72),IF(AND(Projects!$G$11="Yes",48&gt;=Projects!$C$11,48&lt;Projects!$C$11+Projects!$D$11),6315.79,0),Actuals!BA72)</f>
        <v>0</v>
      </c>
      <c r="BA157" s="393">
        <f>IF(ISBLANK(Actuals!BB72),IF(AND(Projects!$G$11="Yes",49&gt;=Projects!$C$11,49&lt;Projects!$C$11+Projects!$D$11),6315.79,0),Actuals!BB72)</f>
        <v>0</v>
      </c>
      <c r="BB157" s="393">
        <f>IF(ISBLANK(Actuals!BC72),IF(AND(Projects!$G$11="Yes",50&gt;=Projects!$C$11,50&lt;Projects!$C$11+Projects!$D$11),6315.79,0),Actuals!BC72)</f>
        <v>0</v>
      </c>
      <c r="BC157" s="393">
        <f>IF(ISBLANK(Actuals!BD72),IF(AND(Projects!$G$11="Yes",51&gt;=Projects!$C$11,51&lt;Projects!$C$11+Projects!$D$11),6315.79,0),Actuals!BD72)</f>
        <v>0</v>
      </c>
      <c r="BD157" s="393">
        <f>IF(ISBLANK(Actuals!BE72),IF(AND(Projects!$G$11="Yes",52&gt;=Projects!$C$11,52&lt;Projects!$C$11+Projects!$D$11),6315.79,0),Actuals!BE72)</f>
        <v>0</v>
      </c>
      <c r="BE157" s="393">
        <f>IF(ISBLANK(Actuals!BF72),IF(AND(Projects!$G$11="Yes",53&gt;=Projects!$C$11,53&lt;Projects!$C$11+Projects!$D$11),6315.79,0),Actuals!BF72)</f>
        <v>0</v>
      </c>
      <c r="BF157" s="393">
        <f>IF(ISBLANK(Actuals!BG72),IF(AND(Projects!$G$11="Yes",54&gt;=Projects!$C$11,54&lt;Projects!$C$11+Projects!$D$11),6315.79,0),Actuals!BG72)</f>
        <v>0</v>
      </c>
      <c r="BG157" s="393">
        <f>IF(ISBLANK(Actuals!BH72),IF(AND(Projects!$G$11="Yes",55&gt;=Projects!$C$11,55&lt;Projects!$C$11+Projects!$D$11),6315.79,0),Actuals!BH72)</f>
        <v>0</v>
      </c>
      <c r="BH157" s="393">
        <f>IF(ISBLANK(Actuals!BI72),IF(AND(Projects!$G$11="Yes",56&gt;=Projects!$C$11,56&lt;Projects!$C$11+Projects!$D$11),6315.79,0),Actuals!BI72)</f>
        <v>0</v>
      </c>
      <c r="BI157" s="393">
        <f>IF(ISBLANK(Actuals!BJ72),IF(AND(Projects!$G$11="Yes",57&gt;=Projects!$C$11,57&lt;Projects!$C$11+Projects!$D$11),6315.79,0),Actuals!BJ72)</f>
        <v>0</v>
      </c>
      <c r="BJ157" s="393">
        <f>IF(ISBLANK(Actuals!BK72),IF(AND(Projects!$G$11="Yes",58&gt;=Projects!$C$11,58&lt;Projects!$C$11+Projects!$D$11),6315.79,0),Actuals!BK72)</f>
        <v>0</v>
      </c>
      <c r="BK157" s="393">
        <f>IF(ISBLANK(Actuals!BL72),IF(AND(Projects!$G$11="Yes",59&gt;=Projects!$C$11,59&lt;Projects!$C$11+Projects!$D$11),6315.79,0),Actuals!BL72)</f>
        <v>0</v>
      </c>
      <c r="BL157" s="393">
        <f>IF(ISBLANK(Actuals!BM72),IF(AND(Projects!$G$11="Yes",60&gt;=Projects!$C$11,60&lt;Projects!$C$11+Projects!$D$11),6315.79,0),Actuals!BM72)</f>
        <v>0</v>
      </c>
      <c r="BM157" s="393">
        <f>IF(ISBLANK(Actuals!BN72),IF(AND(Projects!$G$11="Yes",61&gt;=Projects!$C$11,61&lt;Projects!$C$11+Projects!$D$11),6315.79,0),Actuals!BN72)</f>
        <v>0</v>
      </c>
      <c r="BN157" s="393">
        <f>IF(ISBLANK(Actuals!BO72),IF(AND(Projects!$G$11="Yes",62&gt;=Projects!$C$11,62&lt;Projects!$C$11+Projects!$D$11),6315.79,0),Actuals!BO72)</f>
        <v>0</v>
      </c>
      <c r="BO157" s="393">
        <f>IF(ISBLANK(Actuals!BP72),IF(AND(Projects!$G$11="Yes",63&gt;=Projects!$C$11,63&lt;Projects!$C$11+Projects!$D$11),6315.79,0),Actuals!BP72)</f>
        <v>0</v>
      </c>
      <c r="BP157" s="393">
        <f>IF(ISBLANK(Actuals!BQ72),IF(AND(Projects!$G$11="Yes",64&gt;=Projects!$C$11,64&lt;Projects!$C$11+Projects!$D$11),6315.79,0),Actuals!BQ72)</f>
        <v>0</v>
      </c>
      <c r="BQ157" s="393">
        <f>IF(ISBLANK(Actuals!BR72),IF(AND(Projects!$G$11="Yes",65&gt;=Projects!$C$11,65&lt;Projects!$C$11+Projects!$D$11),6315.79,0),Actuals!BR72)</f>
        <v>0</v>
      </c>
      <c r="BR157" s="393">
        <f>IF(ISBLANK(Actuals!BS72),IF(AND(Projects!$G$11="Yes",66&gt;=Projects!$C$11,66&lt;Projects!$C$11+Projects!$D$11),6315.79,0),Actuals!BS72)</f>
        <v>0</v>
      </c>
      <c r="BS157" s="393">
        <f>IF(ISBLANK(Actuals!BT72),IF(AND(Projects!$G$11="Yes",67&gt;=Projects!$C$11,67&lt;Projects!$C$11+Projects!$D$11),6315.79,0),Actuals!BT72)</f>
        <v>0</v>
      </c>
      <c r="BT157" s="393">
        <f>IF(ISBLANK(Actuals!BU72),IF(AND(Projects!$G$11="Yes",68&gt;=Projects!$C$11,68&lt;Projects!$C$11+Projects!$D$11),6315.79,0),Actuals!BU72)</f>
        <v>0</v>
      </c>
      <c r="BU157" s="393">
        <f>IF(ISBLANK(Actuals!BV72),IF(AND(Projects!$G$11="Yes",69&gt;=Projects!$C$11,69&lt;Projects!$C$11+Projects!$D$11),6315.79,0),Actuals!BV72)</f>
        <v>0</v>
      </c>
      <c r="BV157" s="393">
        <f>IF(ISBLANK(Actuals!BW72),IF(AND(Projects!$G$11="Yes",70&gt;=Projects!$C$11,70&lt;Projects!$C$11+Projects!$D$11),6315.79,0),Actuals!BW72)</f>
        <v>0</v>
      </c>
      <c r="BW157" s="393">
        <f>IF(ISBLANK(Actuals!BX72),IF(AND(Projects!$G$11="Yes",71&gt;=Projects!$C$11,71&lt;Projects!$C$11+Projects!$D$11),6315.79,0),Actuals!BX72)</f>
        <v>0</v>
      </c>
      <c r="BX157" s="393">
        <f>IF(ISBLANK(Actuals!BY72),IF(AND(Projects!$G$11="Yes",72&gt;=Projects!$C$11,72&lt;Projects!$C$11+Projects!$D$11),6315.79,0),Actuals!BY72)</f>
        <v>0</v>
      </c>
      <c r="BY157" s="393">
        <f>IF(ISBLANK(Actuals!BZ72),IF(AND(Projects!$G$11="Yes",73&gt;=Projects!$C$11,73&lt;Projects!$C$11+Projects!$D$11),6315.79,0),Actuals!BZ72)</f>
        <v>0</v>
      </c>
      <c r="BZ157" s="393">
        <f>IF(ISBLANK(Actuals!CA72),IF(AND(Projects!$G$11="Yes",74&gt;=Projects!$C$11,74&lt;Projects!$C$11+Projects!$D$11),6315.79,0),Actuals!CA72)</f>
        <v>0</v>
      </c>
      <c r="CA157" s="393">
        <f>IF(ISBLANK(Actuals!CB72),IF(AND(Projects!$G$11="Yes",75&gt;=Projects!$C$11,75&lt;Projects!$C$11+Projects!$D$11),6315.79,0),Actuals!CB72)</f>
        <v>0</v>
      </c>
      <c r="CB157" s="393">
        <f>IF(ISBLANK(Actuals!CC72),IF(AND(Projects!$G$11="Yes",76&gt;=Projects!$C$11,76&lt;Projects!$C$11+Projects!$D$11),6315.79,0),Actuals!CC72)</f>
        <v>0</v>
      </c>
      <c r="CC157" s="393">
        <f>IF(ISBLANK(Actuals!CD72),IF(AND(Projects!$G$11="Yes",77&gt;=Projects!$C$11,77&lt;Projects!$C$11+Projects!$D$11),6315.79,0),Actuals!CD72)</f>
        <v>0</v>
      </c>
      <c r="CD157" s="393">
        <f>IF(ISBLANK(Actuals!CE72),IF(AND(Projects!$G$11="Yes",78&gt;=Projects!$C$11,78&lt;Projects!$C$11+Projects!$D$11),6315.79,0),Actuals!CE72)</f>
        <v>0</v>
      </c>
      <c r="CE157" s="393">
        <f>IF(ISBLANK(Actuals!CF72),IF(AND(Projects!$G$11="Yes",79&gt;=Projects!$C$11,79&lt;Projects!$C$11+Projects!$D$11),6315.79,0),Actuals!CF72)</f>
        <v>0</v>
      </c>
      <c r="CF157" s="393">
        <f>IF(ISBLANK(Actuals!CG72),IF(AND(Projects!$G$11="Yes",80&gt;=Projects!$C$11,80&lt;Projects!$C$11+Projects!$D$11),6315.79,0),Actuals!CG72)</f>
        <v>0</v>
      </c>
      <c r="CG157" s="393">
        <f>IF(ISBLANK(Actuals!CH72),IF(AND(Projects!$G$11="Yes",81&gt;=Projects!$C$11,81&lt;Projects!$C$11+Projects!$D$11),6315.79,0),Actuals!CH72)</f>
        <v>0</v>
      </c>
      <c r="CH157" s="393">
        <f>IF(ISBLANK(Actuals!CI72),IF(AND(Projects!$G$11="Yes",82&gt;=Projects!$C$11,82&lt;Projects!$C$11+Projects!$D$11),6315.79,0),Actuals!CI72)</f>
        <v>0</v>
      </c>
      <c r="CI157" s="393">
        <f>IF(ISBLANK(Actuals!CJ72),IF(AND(Projects!$G$11="Yes",83&gt;=Projects!$C$11,83&lt;Projects!$C$11+Projects!$D$11),6315.79,0),Actuals!CJ72)</f>
        <v>0</v>
      </c>
      <c r="CJ157" s="393">
        <f>IF(ISBLANK(Actuals!CK72),IF(AND(Projects!$G$11="Yes",84&gt;=Projects!$C$11,84&lt;Projects!$C$11+Projects!$D$11),6315.79,0),Actuals!CK72)</f>
        <v>0</v>
      </c>
      <c r="CK157" s="393">
        <f>IF(ISBLANK(Actuals!CL72),IF(AND(Projects!$G$11="Yes",85&gt;=Projects!$C$11,85&lt;Projects!$C$11+Projects!$D$11),6315.79,0),Actuals!CL72)</f>
        <v>0</v>
      </c>
      <c r="CL157" s="393">
        <f>IF(ISBLANK(Actuals!CM72),IF(AND(Projects!$G$11="Yes",86&gt;=Projects!$C$11,86&lt;Projects!$C$11+Projects!$D$11),6315.79,0),Actuals!CM72)</f>
        <v>0</v>
      </c>
      <c r="CM157" s="393">
        <f>IF(ISBLANK(Actuals!CN72),IF(AND(Projects!$G$11="Yes",87&gt;=Projects!$C$11,87&lt;Projects!$C$11+Projects!$D$11),6315.79,0),Actuals!CN72)</f>
        <v>0</v>
      </c>
      <c r="CN157" s="393">
        <f>IF(ISBLANK(Actuals!CO72),IF(AND(Projects!$G$11="Yes",88&gt;=Projects!$C$11,88&lt;Projects!$C$11+Projects!$D$11),6315.79,0),Actuals!CO72)</f>
        <v>0</v>
      </c>
      <c r="CO157" s="393">
        <f>IF(ISBLANK(Actuals!CP72),IF(AND(Projects!$G$11="Yes",89&gt;=Projects!$C$11,89&lt;Projects!$C$11+Projects!$D$11),6315.79,0),Actuals!CP72)</f>
        <v>0</v>
      </c>
      <c r="CP157" s="393">
        <f>IF(ISBLANK(Actuals!CQ72),IF(AND(Projects!$G$11="Yes",90&gt;=Projects!$C$11,90&lt;Projects!$C$11+Projects!$D$11),6315.79,0),Actuals!CQ72)</f>
        <v>0</v>
      </c>
      <c r="CQ157" s="393">
        <f>IF(ISBLANK(Actuals!CR72),IF(AND(Projects!$G$11="Yes",91&gt;=Projects!$C$11,91&lt;Projects!$C$11+Projects!$D$11),6315.79,0),Actuals!CR72)</f>
        <v>0</v>
      </c>
      <c r="CR157" s="393">
        <f>IF(ISBLANK(Actuals!CS72),IF(AND(Projects!$G$11="Yes",92&gt;=Projects!$C$11,92&lt;Projects!$C$11+Projects!$D$11),6315.79,0),Actuals!CS72)</f>
        <v>0</v>
      </c>
      <c r="CS157" s="393">
        <f>IF(ISBLANK(Actuals!CT72),IF(AND(Projects!$G$11="Yes",93&gt;=Projects!$C$11,93&lt;Projects!$C$11+Projects!$D$11),6315.79,0),Actuals!CT72)</f>
        <v>0</v>
      </c>
      <c r="CT157" s="393">
        <f>IF(ISBLANK(Actuals!CU72),IF(AND(Projects!$G$11="Yes",94&gt;=Projects!$C$11,94&lt;Projects!$C$11+Projects!$D$11),6315.79,0),Actuals!CU72)</f>
        <v>0</v>
      </c>
      <c r="CU157" s="393">
        <f>IF(ISBLANK(Actuals!CV72),IF(AND(Projects!$G$11="Yes",95&gt;=Projects!$C$11,95&lt;Projects!$C$11+Projects!$D$11),6315.79,0),Actuals!CV72)</f>
        <v>0</v>
      </c>
      <c r="CV157" s="393">
        <f>IF(ISBLANK(Actuals!CW72),IF(AND(Projects!$G$11="Yes",96&gt;=Projects!$C$11,96&lt;Projects!$C$11+Projects!$D$11),6315.79,0),Actuals!CW72)</f>
        <v>0</v>
      </c>
      <c r="CW157" s="393">
        <f>IF(ISBLANK(Actuals!CX72),IF(AND(Projects!$G$11="Yes",97&gt;=Projects!$C$11,97&lt;Projects!$C$11+Projects!$D$11),6315.79,0),Actuals!CX72)</f>
        <v>0</v>
      </c>
      <c r="CX157" s="393">
        <f>IF(ISBLANK(Actuals!CY72),IF(AND(Projects!$G$11="Yes",98&gt;=Projects!$C$11,98&lt;Projects!$C$11+Projects!$D$11),6315.79,0),Actuals!CY72)</f>
        <v>0</v>
      </c>
      <c r="CY157" s="393">
        <f>IF(ISBLANK(Actuals!CZ72),IF(AND(Projects!$G$11="Yes",99&gt;=Projects!$C$11,99&lt;Projects!$C$11+Projects!$D$11),6315.79,0),Actuals!CZ72)</f>
        <v>0</v>
      </c>
      <c r="CZ157" s="393">
        <f>IF(ISBLANK(Actuals!DA72),IF(AND(Projects!$G$11="Yes",100&gt;=Projects!$C$11,100&lt;Projects!$C$11+Projects!$D$11),6315.79,0),Actuals!DA72)</f>
        <v>0</v>
      </c>
      <c r="DA157" s="393">
        <f>IF(ISBLANK(Actuals!DB72),IF(AND(Projects!$G$11="Yes",101&gt;=Projects!$C$11,101&lt;Projects!$C$11+Projects!$D$11),6315.79,0),Actuals!DB72)</f>
        <v>0</v>
      </c>
      <c r="DB157" s="393">
        <f>IF(ISBLANK(Actuals!DC72),IF(AND(Projects!$G$11="Yes",102&gt;=Projects!$C$11,102&lt;Projects!$C$11+Projects!$D$11),6315.79,0),Actuals!DC72)</f>
        <v>0</v>
      </c>
      <c r="DC157" s="393">
        <f>IF(ISBLANK(Actuals!DD72),IF(AND(Projects!$G$11="Yes",103&gt;=Projects!$C$11,103&lt;Projects!$C$11+Projects!$D$11),6315.79,0),Actuals!DD72)</f>
        <v>0</v>
      </c>
      <c r="DD157" s="393">
        <f>IF(ISBLANK(Actuals!DE72),IF(AND(Projects!$G$11="Yes",104&gt;=Projects!$C$11,104&lt;Projects!$C$11+Projects!$D$11),6315.79,0),Actuals!DE72)</f>
        <v>0</v>
      </c>
      <c r="DE157" s="393">
        <f>IF(ISBLANK(Actuals!DF72),IF(AND(Projects!$G$11="Yes",105&gt;=Projects!$C$11,105&lt;Projects!$C$11+Projects!$D$11),6315.79,0),Actuals!DF72)</f>
        <v>0</v>
      </c>
    </row>
    <row r="158" ht="15" customFormat="1" customHeight="1" s="381">
      <c r="A158" s="398" t="inlineStr">
        <is>
          <t>Klump Guarantee Fee</t>
        </is>
      </c>
      <c r="B158" s="393">
        <f>IF(ISBLANK(Actuals!C73),IF(AND(Projects!$G$11="Yes",-2=Projects!$C$11),253980,0),Actuals!C73)</f>
        <v>0</v>
      </c>
      <c r="C158" s="393">
        <f>IF(ISBLANK(Actuals!D73),IF(AND(Projects!$G$11="Yes",-1=Projects!$C$11),253980,0),Actuals!D73)</f>
        <v>0</v>
      </c>
      <c r="D158" s="393">
        <f>IF(ISBLANK(Actuals!E73),IF(AND(Projects!$G$11="Yes",0=Projects!$C$11),253980,0),Actuals!E73)</f>
        <v>0</v>
      </c>
      <c r="E158" s="393">
        <f>IF(ISBLANK(Actuals!F73),IF(AND(Projects!$G$11="Yes",1=Projects!$C$11),253980,0),Actuals!F73)</f>
        <v>0</v>
      </c>
      <c r="F158" s="393">
        <f>IF(ISBLANK(Actuals!G73),IF(AND(Projects!$G$11="Yes",2=Projects!$C$11),253980,0),Actuals!G73)</f>
        <v>0</v>
      </c>
      <c r="G158" s="393">
        <f>IF(ISBLANK(Actuals!H73),IF(AND(Projects!$G$11="Yes",3=Projects!$C$11),253980,0),Actuals!H73)</f>
        <v>0</v>
      </c>
      <c r="H158" s="393">
        <f>IF(ISBLANK(Actuals!I73),IF(AND(Projects!$G$11="Yes",4=Projects!$C$11),253980,0),Actuals!I73)</f>
        <v>0</v>
      </c>
      <c r="I158" s="393">
        <f>IF(ISBLANK(Actuals!J73),IF(AND(Projects!$G$11="Yes",5=Projects!$C$11),253980,0),Actuals!J73)</f>
        <v>0</v>
      </c>
      <c r="J158" s="393">
        <f>IF(ISBLANK(Actuals!K73),IF(AND(Projects!$G$11="Yes",6=Projects!$C$11),253980,0),Actuals!K73)</f>
        <v>0</v>
      </c>
      <c r="K158" s="393">
        <f>IF(ISBLANK(Actuals!L73),IF(AND(Projects!$G$11="Yes",7=Projects!$C$11),253980,0),Actuals!L73)</f>
        <v>0</v>
      </c>
      <c r="L158" s="393">
        <f>IF(ISBLANK(Actuals!M73),IF(AND(Projects!$G$11="Yes",8=Projects!$C$11),253980,0),Actuals!M73)</f>
        <v>0</v>
      </c>
      <c r="M158" s="393">
        <f>IF(ISBLANK(Actuals!N73),IF(AND(Projects!$G$11="Yes",9=Projects!$C$11),253980,0),Actuals!N73)</f>
        <v>0</v>
      </c>
      <c r="N158" s="393">
        <f>IF(ISBLANK(Actuals!O73),IF(AND(Projects!$G$11="Yes",10=Projects!$C$11),253980,0),Actuals!O73)</f>
        <v>253980</v>
      </c>
      <c r="O158" s="393">
        <f>IF(ISBLANK(Actuals!P73),IF(AND(Projects!$G$11="Yes",11=Projects!$C$11),253980,0),Actuals!P73)</f>
        <v>0</v>
      </c>
      <c r="P158" s="393">
        <f>IF(ISBLANK(Actuals!Q73),IF(AND(Projects!$G$11="Yes",12=Projects!$C$11),253980,0),Actuals!Q73)</f>
        <v>0</v>
      </c>
      <c r="Q158" s="393">
        <f>IF(ISBLANK(Actuals!R73),IF(AND(Projects!$G$11="Yes",13=Projects!$C$11),253980,0),Actuals!R73)</f>
        <v>0</v>
      </c>
      <c r="R158" s="393">
        <f>IF(ISBLANK(Actuals!S73),IF(AND(Projects!$G$11="Yes",14=Projects!$C$11),253980,0),Actuals!S73)</f>
        <v>0</v>
      </c>
      <c r="S158" s="393">
        <f>IF(ISBLANK(Actuals!T73),IF(AND(Projects!$G$11="Yes",15=Projects!$C$11),253980,0),Actuals!T73)</f>
        <v>0</v>
      </c>
      <c r="T158" s="393">
        <f>IF(ISBLANK(Actuals!U73),IF(AND(Projects!$G$11="Yes",16=Projects!$C$11),253980,0),Actuals!U73)</f>
        <v>0</v>
      </c>
      <c r="U158" s="393">
        <f>IF(ISBLANK(Actuals!V73),IF(AND(Projects!$G$11="Yes",17=Projects!$C$11),253980,0),Actuals!V73)</f>
        <v>0</v>
      </c>
      <c r="V158" s="393">
        <f>IF(ISBLANK(Actuals!W73),IF(AND(Projects!$G$11="Yes",18=Projects!$C$11),253980,0),Actuals!W73)</f>
        <v>0</v>
      </c>
      <c r="W158" s="393">
        <f>IF(ISBLANK(Actuals!X73),IF(AND(Projects!$G$11="Yes",19=Projects!$C$11),253980,0),Actuals!X73)</f>
        <v>0</v>
      </c>
      <c r="X158" s="393">
        <f>IF(ISBLANK(Actuals!Y73),IF(AND(Projects!$G$11="Yes",20=Projects!$C$11),253980,0),Actuals!Y73)</f>
        <v>0</v>
      </c>
      <c r="Y158" s="393">
        <f>IF(ISBLANK(Actuals!Z73),IF(AND(Projects!$G$11="Yes",21=Projects!$C$11),253980,0),Actuals!Z73)</f>
        <v>0</v>
      </c>
      <c r="Z158" s="393">
        <f>IF(ISBLANK(Actuals!AA73),IF(AND(Projects!$G$11="Yes",22=Projects!$C$11),253980,0),Actuals!AA73)</f>
        <v>0</v>
      </c>
      <c r="AA158" s="393">
        <f>IF(ISBLANK(Actuals!AB73),IF(AND(Projects!$G$11="Yes",23=Projects!$C$11),253980,0),Actuals!AB73)</f>
        <v>0</v>
      </c>
      <c r="AB158" s="393">
        <f>IF(ISBLANK(Actuals!AC73),IF(AND(Projects!$G$11="Yes",24=Projects!$C$11),253980,0),Actuals!AC73)</f>
        <v>0</v>
      </c>
      <c r="AC158" s="393">
        <f>IF(ISBLANK(Actuals!AD73),IF(AND(Projects!$G$11="Yes",25=Projects!$C$11),253980,0),Actuals!AD73)</f>
        <v>0</v>
      </c>
      <c r="AD158" s="393">
        <f>IF(ISBLANK(Actuals!AE73),IF(AND(Projects!$G$11="Yes",26=Projects!$C$11),253980,0),Actuals!AE73)</f>
        <v>0</v>
      </c>
      <c r="AE158" s="393">
        <f>IF(ISBLANK(Actuals!AF73),IF(AND(Projects!$G$11="Yes",27=Projects!$C$11),253980,0),Actuals!AF73)</f>
        <v>0</v>
      </c>
      <c r="AF158" s="393">
        <f>IF(ISBLANK(Actuals!AG73),IF(AND(Projects!$G$11="Yes",28=Projects!$C$11),253980,0),Actuals!AG73)</f>
        <v>0</v>
      </c>
      <c r="AG158" s="393">
        <f>IF(ISBLANK(Actuals!AH73),IF(AND(Projects!$G$11="Yes",29=Projects!$C$11),253980,0),Actuals!AH73)</f>
        <v>0</v>
      </c>
      <c r="AH158" s="393">
        <f>IF(ISBLANK(Actuals!AI73),IF(AND(Projects!$G$11="Yes",30=Projects!$C$11),253980,0),Actuals!AI73)</f>
        <v>0</v>
      </c>
      <c r="AI158" s="393">
        <f>IF(ISBLANK(Actuals!AJ73),IF(AND(Projects!$G$11="Yes",31=Projects!$C$11),253980,0),Actuals!AJ73)</f>
        <v>0</v>
      </c>
      <c r="AJ158" s="393">
        <f>IF(ISBLANK(Actuals!AK73),IF(AND(Projects!$G$11="Yes",32=Projects!$C$11),253980,0),Actuals!AK73)</f>
        <v>0</v>
      </c>
      <c r="AK158" s="393">
        <f>IF(ISBLANK(Actuals!AL73),IF(AND(Projects!$G$11="Yes",33=Projects!$C$11),253980,0),Actuals!AL73)</f>
        <v>0</v>
      </c>
      <c r="AL158" s="393">
        <f>IF(ISBLANK(Actuals!AM73),IF(AND(Projects!$G$11="Yes",34=Projects!$C$11),253980,0),Actuals!AM73)</f>
        <v>0</v>
      </c>
      <c r="AM158" s="393">
        <f>IF(ISBLANK(Actuals!AN73),IF(AND(Projects!$G$11="Yes",35=Projects!$C$11),253980,0),Actuals!AN73)</f>
        <v>0</v>
      </c>
      <c r="AN158" s="393">
        <f>IF(ISBLANK(Actuals!AO73),IF(AND(Projects!$G$11="Yes",36=Projects!$C$11),253980,0),Actuals!AO73)</f>
        <v>0</v>
      </c>
      <c r="AO158" s="393">
        <f>IF(ISBLANK(Actuals!AP73),IF(AND(Projects!$G$11="Yes",37=Projects!$C$11),253980,0),Actuals!AP73)</f>
        <v>0</v>
      </c>
      <c r="AP158" s="393">
        <f>IF(ISBLANK(Actuals!AQ73),IF(AND(Projects!$G$11="Yes",38=Projects!$C$11),253980,0),Actuals!AQ73)</f>
        <v>0</v>
      </c>
      <c r="AQ158" s="393">
        <f>IF(ISBLANK(Actuals!AR73),IF(AND(Projects!$G$11="Yes",39=Projects!$C$11),253980,0),Actuals!AR73)</f>
        <v>0</v>
      </c>
      <c r="AR158" s="393">
        <f>IF(ISBLANK(Actuals!AS73),IF(AND(Projects!$G$11="Yes",40=Projects!$C$11),253980,0),Actuals!AS73)</f>
        <v>0</v>
      </c>
      <c r="AS158" s="393">
        <f>IF(ISBLANK(Actuals!AT73),IF(AND(Projects!$G$11="Yes",41=Projects!$C$11),253980,0),Actuals!AT73)</f>
        <v>0</v>
      </c>
      <c r="AT158" s="393">
        <f>IF(ISBLANK(Actuals!AU73),IF(AND(Projects!$G$11="Yes",42=Projects!$C$11),253980,0),Actuals!AU73)</f>
        <v>0</v>
      </c>
      <c r="AU158" s="393">
        <f>IF(ISBLANK(Actuals!AV73),IF(AND(Projects!$G$11="Yes",43=Projects!$C$11),253980,0),Actuals!AV73)</f>
        <v>0</v>
      </c>
      <c r="AV158" s="393">
        <f>IF(ISBLANK(Actuals!AW73),IF(AND(Projects!$G$11="Yes",44=Projects!$C$11),253980,0),Actuals!AW73)</f>
        <v>0</v>
      </c>
      <c r="AW158" s="393">
        <f>IF(ISBLANK(Actuals!AX73),IF(AND(Projects!$G$11="Yes",45=Projects!$C$11),253980,0),Actuals!AX73)</f>
        <v>0</v>
      </c>
      <c r="AX158" s="393">
        <f>IF(ISBLANK(Actuals!AY73),IF(AND(Projects!$G$11="Yes",46=Projects!$C$11),253980,0),Actuals!AY73)</f>
        <v>0</v>
      </c>
      <c r="AY158" s="393">
        <f>IF(ISBLANK(Actuals!AZ73),IF(AND(Projects!$G$11="Yes",47=Projects!$C$11),253980,0),Actuals!AZ73)</f>
        <v>0</v>
      </c>
      <c r="AZ158" s="393">
        <f>IF(ISBLANK(Actuals!BA73),IF(AND(Projects!$G$11="Yes",48=Projects!$C$11),253980,0),Actuals!BA73)</f>
        <v>0</v>
      </c>
      <c r="BA158" s="393">
        <f>IF(ISBLANK(Actuals!BB73),IF(AND(Projects!$G$11="Yes",49=Projects!$C$11),253980,0),Actuals!BB73)</f>
        <v>0</v>
      </c>
      <c r="BB158" s="393">
        <f>IF(ISBLANK(Actuals!BC73),IF(AND(Projects!$G$11="Yes",50=Projects!$C$11),253980,0),Actuals!BC73)</f>
        <v>0</v>
      </c>
      <c r="BC158" s="393">
        <f>IF(ISBLANK(Actuals!BD73),IF(AND(Projects!$G$11="Yes",51=Projects!$C$11),253980,0),Actuals!BD73)</f>
        <v>0</v>
      </c>
      <c r="BD158" s="393">
        <f>IF(ISBLANK(Actuals!BE73),IF(AND(Projects!$G$11="Yes",52=Projects!$C$11),253980,0),Actuals!BE73)</f>
        <v>0</v>
      </c>
      <c r="BE158" s="393">
        <f>IF(ISBLANK(Actuals!BF73),IF(AND(Projects!$G$11="Yes",53=Projects!$C$11),253980,0),Actuals!BF73)</f>
        <v>0</v>
      </c>
      <c r="BF158" s="393">
        <f>IF(ISBLANK(Actuals!BG73),IF(AND(Projects!$G$11="Yes",54=Projects!$C$11),253980,0),Actuals!BG73)</f>
        <v>0</v>
      </c>
      <c r="BG158" s="393">
        <f>IF(ISBLANK(Actuals!BH73),IF(AND(Projects!$G$11="Yes",55=Projects!$C$11),253980,0),Actuals!BH73)</f>
        <v>0</v>
      </c>
      <c r="BH158" s="393">
        <f>IF(ISBLANK(Actuals!BI73),IF(AND(Projects!$G$11="Yes",56=Projects!$C$11),253980,0),Actuals!BI73)</f>
        <v>0</v>
      </c>
      <c r="BI158" s="393">
        <f>IF(ISBLANK(Actuals!BJ73),IF(AND(Projects!$G$11="Yes",57=Projects!$C$11),253980,0),Actuals!BJ73)</f>
        <v>0</v>
      </c>
      <c r="BJ158" s="393">
        <f>IF(ISBLANK(Actuals!BK73),IF(AND(Projects!$G$11="Yes",58=Projects!$C$11),253980,0),Actuals!BK73)</f>
        <v>0</v>
      </c>
      <c r="BK158" s="393">
        <f>IF(ISBLANK(Actuals!BL73),IF(AND(Projects!$G$11="Yes",59=Projects!$C$11),253980,0),Actuals!BL73)</f>
        <v>0</v>
      </c>
      <c r="BL158" s="393">
        <f>IF(ISBLANK(Actuals!BM73),IF(AND(Projects!$G$11="Yes",60=Projects!$C$11),253980,0),Actuals!BM73)</f>
        <v>0</v>
      </c>
      <c r="BM158" s="393">
        <f>IF(ISBLANK(Actuals!BN73),IF(AND(Projects!$G$11="Yes",61=Projects!$C$11),253980,0),Actuals!BN73)</f>
        <v>0</v>
      </c>
      <c r="BN158" s="393">
        <f>IF(ISBLANK(Actuals!BO73),IF(AND(Projects!$G$11="Yes",62=Projects!$C$11),253980,0),Actuals!BO73)</f>
        <v>0</v>
      </c>
      <c r="BO158" s="393">
        <f>IF(ISBLANK(Actuals!BP73),IF(AND(Projects!$G$11="Yes",63=Projects!$C$11),253980,0),Actuals!BP73)</f>
        <v>0</v>
      </c>
      <c r="BP158" s="393">
        <f>IF(ISBLANK(Actuals!BQ73),IF(AND(Projects!$G$11="Yes",64=Projects!$C$11),253980,0),Actuals!BQ73)</f>
        <v>0</v>
      </c>
      <c r="BQ158" s="393">
        <f>IF(ISBLANK(Actuals!BR73),IF(AND(Projects!$G$11="Yes",65=Projects!$C$11),253980,0),Actuals!BR73)</f>
        <v>0</v>
      </c>
      <c r="BR158" s="393">
        <f>IF(ISBLANK(Actuals!BS73),IF(AND(Projects!$G$11="Yes",66=Projects!$C$11),253980,0),Actuals!BS73)</f>
        <v>0</v>
      </c>
      <c r="BS158" s="393">
        <f>IF(ISBLANK(Actuals!BT73),IF(AND(Projects!$G$11="Yes",67=Projects!$C$11),253980,0),Actuals!BT73)</f>
        <v>0</v>
      </c>
      <c r="BT158" s="393">
        <f>IF(ISBLANK(Actuals!BU73),IF(AND(Projects!$G$11="Yes",68=Projects!$C$11),253980,0),Actuals!BU73)</f>
        <v>0</v>
      </c>
      <c r="BU158" s="393">
        <f>IF(ISBLANK(Actuals!BV73),IF(AND(Projects!$G$11="Yes",69=Projects!$C$11),253980,0),Actuals!BV73)</f>
        <v>0</v>
      </c>
      <c r="BV158" s="393">
        <f>IF(ISBLANK(Actuals!BW73),IF(AND(Projects!$G$11="Yes",70=Projects!$C$11),253980,0),Actuals!BW73)</f>
        <v>0</v>
      </c>
      <c r="BW158" s="393">
        <f>IF(ISBLANK(Actuals!BX73),IF(AND(Projects!$G$11="Yes",71=Projects!$C$11),253980,0),Actuals!BX73)</f>
        <v>0</v>
      </c>
      <c r="BX158" s="393">
        <f>IF(ISBLANK(Actuals!BY73),IF(AND(Projects!$G$11="Yes",72=Projects!$C$11),253980,0),Actuals!BY73)</f>
        <v>0</v>
      </c>
      <c r="BY158" s="393">
        <f>IF(ISBLANK(Actuals!BZ73),IF(AND(Projects!$G$11="Yes",73=Projects!$C$11),253980,0),Actuals!BZ73)</f>
        <v>0</v>
      </c>
      <c r="BZ158" s="393">
        <f>IF(ISBLANK(Actuals!CA73),IF(AND(Projects!$G$11="Yes",74=Projects!$C$11),253980,0),Actuals!CA73)</f>
        <v>0</v>
      </c>
      <c r="CA158" s="393">
        <f>IF(ISBLANK(Actuals!CB73),IF(AND(Projects!$G$11="Yes",75=Projects!$C$11),253980,0),Actuals!CB73)</f>
        <v>0</v>
      </c>
      <c r="CB158" s="393">
        <f>IF(ISBLANK(Actuals!CC73),IF(AND(Projects!$G$11="Yes",76=Projects!$C$11),253980,0),Actuals!CC73)</f>
        <v>0</v>
      </c>
      <c r="CC158" s="393">
        <f>IF(ISBLANK(Actuals!CD73),IF(AND(Projects!$G$11="Yes",77=Projects!$C$11),253980,0),Actuals!CD73)</f>
        <v>0</v>
      </c>
      <c r="CD158" s="393">
        <f>IF(ISBLANK(Actuals!CE73),IF(AND(Projects!$G$11="Yes",78=Projects!$C$11),253980,0),Actuals!CE73)</f>
        <v>0</v>
      </c>
      <c r="CE158" s="393">
        <f>IF(ISBLANK(Actuals!CF73),IF(AND(Projects!$G$11="Yes",79=Projects!$C$11),253980,0),Actuals!CF73)</f>
        <v>0</v>
      </c>
      <c r="CF158" s="393">
        <f>IF(ISBLANK(Actuals!CG73),IF(AND(Projects!$G$11="Yes",80=Projects!$C$11),253980,0),Actuals!CG73)</f>
        <v>0</v>
      </c>
      <c r="CG158" s="393">
        <f>IF(ISBLANK(Actuals!CH73),IF(AND(Projects!$G$11="Yes",81=Projects!$C$11),253980,0),Actuals!CH73)</f>
        <v>0</v>
      </c>
      <c r="CH158" s="393">
        <f>IF(ISBLANK(Actuals!CI73),IF(AND(Projects!$G$11="Yes",82=Projects!$C$11),253980,0),Actuals!CI73)</f>
        <v>0</v>
      </c>
      <c r="CI158" s="393">
        <f>IF(ISBLANK(Actuals!CJ73),IF(AND(Projects!$G$11="Yes",83=Projects!$C$11),253980,0),Actuals!CJ73)</f>
        <v>0</v>
      </c>
      <c r="CJ158" s="393">
        <f>IF(ISBLANK(Actuals!CK73),IF(AND(Projects!$G$11="Yes",84=Projects!$C$11),253980,0),Actuals!CK73)</f>
        <v>0</v>
      </c>
      <c r="CK158" s="393">
        <f>IF(ISBLANK(Actuals!CL73),IF(AND(Projects!$G$11="Yes",85=Projects!$C$11),253980,0),Actuals!CL73)</f>
        <v>0</v>
      </c>
      <c r="CL158" s="393">
        <f>IF(ISBLANK(Actuals!CM73),IF(AND(Projects!$G$11="Yes",86=Projects!$C$11),253980,0),Actuals!CM73)</f>
        <v>0</v>
      </c>
      <c r="CM158" s="393">
        <f>IF(ISBLANK(Actuals!CN73),IF(AND(Projects!$G$11="Yes",87=Projects!$C$11),253980,0),Actuals!CN73)</f>
        <v>0</v>
      </c>
      <c r="CN158" s="393">
        <f>IF(ISBLANK(Actuals!CO73),IF(AND(Projects!$G$11="Yes",88=Projects!$C$11),253980,0),Actuals!CO73)</f>
        <v>0</v>
      </c>
      <c r="CO158" s="393">
        <f>IF(ISBLANK(Actuals!CP73),IF(AND(Projects!$G$11="Yes",89=Projects!$C$11),253980,0),Actuals!CP73)</f>
        <v>0</v>
      </c>
      <c r="CP158" s="393">
        <f>IF(ISBLANK(Actuals!CQ73),IF(AND(Projects!$G$11="Yes",90=Projects!$C$11),253980,0),Actuals!CQ73)</f>
        <v>0</v>
      </c>
      <c r="CQ158" s="393">
        <f>IF(ISBLANK(Actuals!CR73),IF(AND(Projects!$G$11="Yes",91=Projects!$C$11),253980,0),Actuals!CR73)</f>
        <v>0</v>
      </c>
      <c r="CR158" s="393">
        <f>IF(ISBLANK(Actuals!CS73),IF(AND(Projects!$G$11="Yes",92=Projects!$C$11),253980,0),Actuals!CS73)</f>
        <v>0</v>
      </c>
      <c r="CS158" s="393">
        <f>IF(ISBLANK(Actuals!CT73),IF(AND(Projects!$G$11="Yes",93=Projects!$C$11),253980,0),Actuals!CT73)</f>
        <v>0</v>
      </c>
      <c r="CT158" s="393">
        <f>IF(ISBLANK(Actuals!CU73),IF(AND(Projects!$G$11="Yes",94=Projects!$C$11),253980,0),Actuals!CU73)</f>
        <v>0</v>
      </c>
      <c r="CU158" s="393">
        <f>IF(ISBLANK(Actuals!CV73),IF(AND(Projects!$G$11="Yes",95=Projects!$C$11),253980,0),Actuals!CV73)</f>
        <v>0</v>
      </c>
      <c r="CV158" s="393">
        <f>IF(ISBLANK(Actuals!CW73),IF(AND(Projects!$G$11="Yes",96=Projects!$C$11),253980,0),Actuals!CW73)</f>
        <v>0</v>
      </c>
      <c r="CW158" s="393">
        <f>IF(ISBLANK(Actuals!CX73),IF(AND(Projects!$G$11="Yes",97=Projects!$C$11),253980,0),Actuals!CX73)</f>
        <v>0</v>
      </c>
      <c r="CX158" s="393">
        <f>IF(ISBLANK(Actuals!CY73),IF(AND(Projects!$G$11="Yes",98=Projects!$C$11),253980,0),Actuals!CY73)</f>
        <v>0</v>
      </c>
      <c r="CY158" s="393">
        <f>IF(ISBLANK(Actuals!CZ73),IF(AND(Projects!$G$11="Yes",99=Projects!$C$11),253980,0),Actuals!CZ73)</f>
        <v>0</v>
      </c>
      <c r="CZ158" s="393">
        <f>IF(ISBLANK(Actuals!DA73),IF(AND(Projects!$G$11="Yes",100=Projects!$C$11),253980,0),Actuals!DA73)</f>
        <v>0</v>
      </c>
      <c r="DA158" s="393">
        <f>IF(ISBLANK(Actuals!DB73),IF(AND(Projects!$G$11="Yes",101=Projects!$C$11),253980,0),Actuals!DB73)</f>
        <v>0</v>
      </c>
      <c r="DB158" s="393">
        <f>IF(ISBLANK(Actuals!DC73),IF(AND(Projects!$G$11="Yes",102=Projects!$C$11),253980,0),Actuals!DC73)</f>
        <v>0</v>
      </c>
      <c r="DC158" s="393">
        <f>IF(ISBLANK(Actuals!DD73),IF(AND(Projects!$G$11="Yes",103=Projects!$C$11),253980,0),Actuals!DD73)</f>
        <v>0</v>
      </c>
      <c r="DD158" s="393">
        <f>IF(ISBLANK(Actuals!DE73),IF(AND(Projects!$G$11="Yes",104=Projects!$C$11),253980,0),Actuals!DE73)</f>
        <v>0</v>
      </c>
      <c r="DE158" s="393">
        <f>IF(ISBLANK(Actuals!DF73),IF(AND(Projects!$G$11="Yes",105=Projects!$C$11),253980,0),Actuals!DF73)</f>
        <v>0</v>
      </c>
    </row>
    <row r="159" ht="15" customFormat="1" customHeight="1" s="381">
      <c r="A159" s="398" t="inlineStr">
        <is>
          <t>Scott Accounting Fee</t>
        </is>
      </c>
      <c r="B159" s="393">
        <f>IF(ISBLANK(Actuals!C74),0,Actuals!C74)</f>
        <v>0</v>
      </c>
      <c r="C159" s="393">
        <f>IF(ISBLANK(Actuals!D74),0,Actuals!D74)</f>
        <v>0</v>
      </c>
      <c r="D159" s="393">
        <f>IF(ISBLANK(Actuals!E74),0,Actuals!E74)</f>
        <v>0</v>
      </c>
      <c r="E159" s="393">
        <f>IF(ISBLANK(Actuals!F74),IF(AND(Projects!$G$12="Yes",1&gt;=Projects!$C$12,1&lt;Projects!$C$12+Projects!$D$12),6315.79,0),Actuals!F74)</f>
        <v>0</v>
      </c>
      <c r="F159" s="393">
        <f>IF(ISBLANK(Actuals!G74),IF(AND(Projects!$G$12="Yes",2&gt;=Projects!$C$12,2&lt;Projects!$C$12+Projects!$D$12),6315.79,0),Actuals!G74)</f>
        <v>0</v>
      </c>
      <c r="G159" s="393">
        <f>IF(ISBLANK(Actuals!H74),IF(AND(Projects!$G$12="Yes",3&gt;=Projects!$C$12,3&lt;Projects!$C$12+Projects!$D$12),6315.79,0),Actuals!H74)</f>
        <v>0</v>
      </c>
      <c r="H159" s="393">
        <f>IF(ISBLANK(Actuals!I74),IF(AND(Projects!$G$12="Yes",4&gt;=Projects!$C$12,4&lt;Projects!$C$12+Projects!$D$12),6315.79,0),Actuals!I74)</f>
        <v>0</v>
      </c>
      <c r="I159" s="393">
        <f>IF(ISBLANK(Actuals!J74),IF(AND(Projects!$G$12="Yes",5&gt;=Projects!$C$12,5&lt;Projects!$C$12+Projects!$D$12),6315.79,0),Actuals!J74)</f>
        <v>0</v>
      </c>
      <c r="J159" s="393">
        <f>IF(ISBLANK(Actuals!K74),IF(AND(Projects!$G$12="Yes",6&gt;=Projects!$C$12,6&lt;Projects!$C$12+Projects!$D$12),6315.79,0),Actuals!K74)</f>
        <v>0</v>
      </c>
      <c r="K159" s="393">
        <f>IF(ISBLANK(Actuals!L74),IF(AND(Projects!$G$12="Yes",7&gt;=Projects!$C$12,7&lt;Projects!$C$12+Projects!$D$12),6315.79,0),Actuals!L74)</f>
        <v>0</v>
      </c>
      <c r="L159" s="393">
        <f>IF(ISBLANK(Actuals!M74),IF(AND(Projects!$G$12="Yes",8&gt;=Projects!$C$12,8&lt;Projects!$C$12+Projects!$D$12),6315.79,0),Actuals!M74)</f>
        <v>0</v>
      </c>
      <c r="M159" s="393">
        <f>IF(ISBLANK(Actuals!N74),IF(AND(Projects!$G$12="Yes",9&gt;=Projects!$C$12,9&lt;Projects!$C$12+Projects!$D$12),6315.79,0),Actuals!N74)</f>
        <v>0</v>
      </c>
      <c r="N159" s="393">
        <f>IF(ISBLANK(Actuals!O74),IF(AND(Projects!$G$12="Yes",10&gt;=Projects!$C$12,10&lt;Projects!$C$12+Projects!$D$12),6315.79,0),Actuals!O74)</f>
        <v>6315.79</v>
      </c>
      <c r="O159" s="393">
        <f>IF(ISBLANK(Actuals!P74),IF(AND(Projects!$G$12="Yes",11&gt;=Projects!$C$12,11&lt;Projects!$C$12+Projects!$D$12),6315.79,0),Actuals!P74)</f>
        <v>6315.79</v>
      </c>
      <c r="P159" s="393">
        <f>IF(ISBLANK(Actuals!Q74),IF(AND(Projects!$G$12="Yes",12&gt;=Projects!$C$12,12&lt;Projects!$C$12+Projects!$D$12),6315.79,0),Actuals!Q74)</f>
        <v>6315.79</v>
      </c>
      <c r="Q159" s="393">
        <f>IF(ISBLANK(Actuals!R74),IF(AND(Projects!$G$12="Yes",13&gt;=Projects!$C$12,13&lt;Projects!$C$12+Projects!$D$12),6315.79,0),Actuals!R74)</f>
        <v>6315.79</v>
      </c>
      <c r="R159" s="393">
        <f>IF(ISBLANK(Actuals!S74),IF(AND(Projects!$G$12="Yes",14&gt;=Projects!$C$12,14&lt;Projects!$C$12+Projects!$D$12),6315.79,0),Actuals!S74)</f>
        <v>6315.79</v>
      </c>
      <c r="S159" s="393">
        <f>IF(ISBLANK(Actuals!T74),IF(AND(Projects!$G$12="Yes",15&gt;=Projects!$C$12,15&lt;Projects!$C$12+Projects!$D$12),6315.79,0),Actuals!T74)</f>
        <v>6315.79</v>
      </c>
      <c r="T159" s="393">
        <f>IF(ISBLANK(Actuals!U74),IF(AND(Projects!$G$12="Yes",16&gt;=Projects!$C$12,16&lt;Projects!$C$12+Projects!$D$12),6315.79,0),Actuals!U74)</f>
        <v>6315.79</v>
      </c>
      <c r="U159" s="393">
        <f>IF(ISBLANK(Actuals!V74),IF(AND(Projects!$G$12="Yes",17&gt;=Projects!$C$12,17&lt;Projects!$C$12+Projects!$D$12),6315.79,0),Actuals!V74)</f>
        <v>6315.79</v>
      </c>
      <c r="V159" s="393">
        <f>IF(ISBLANK(Actuals!W74),IF(AND(Projects!$G$12="Yes",18&gt;=Projects!$C$12,18&lt;Projects!$C$12+Projects!$D$12),6315.79,0),Actuals!W74)</f>
        <v>6315.79</v>
      </c>
      <c r="W159" s="393">
        <f>IF(ISBLANK(Actuals!X74),IF(AND(Projects!$G$12="Yes",19&gt;=Projects!$C$12,19&lt;Projects!$C$12+Projects!$D$12),6315.79,0),Actuals!X74)</f>
        <v>6315.79</v>
      </c>
      <c r="X159" s="393">
        <f>IF(ISBLANK(Actuals!Y74),IF(AND(Projects!$G$12="Yes",20&gt;=Projects!$C$12,20&lt;Projects!$C$12+Projects!$D$12),6315.79,0),Actuals!Y74)</f>
        <v>6315.79</v>
      </c>
      <c r="Y159" s="393">
        <f>IF(ISBLANK(Actuals!Z74),IF(AND(Projects!$G$12="Yes",21&gt;=Projects!$C$12,21&lt;Projects!$C$12+Projects!$D$12),6315.79,0),Actuals!Z74)</f>
        <v>6315.79</v>
      </c>
      <c r="Z159" s="393">
        <f>IF(ISBLANK(Actuals!AA74),IF(AND(Projects!$G$12="Yes",22&gt;=Projects!$C$12,22&lt;Projects!$C$12+Projects!$D$12),6315.79,0),Actuals!AA74)</f>
        <v>6315.79</v>
      </c>
      <c r="AA159" s="393">
        <f>IF(ISBLANK(Actuals!AB74),IF(AND(Projects!$G$12="Yes",23&gt;=Projects!$C$12,23&lt;Projects!$C$12+Projects!$D$12),6315.79,0),Actuals!AB74)</f>
        <v>6315.79</v>
      </c>
      <c r="AB159" s="393">
        <f>IF(ISBLANK(Actuals!AC74),IF(AND(Projects!$G$12="Yes",24&gt;=Projects!$C$12,24&lt;Projects!$C$12+Projects!$D$12),6315.79,0),Actuals!AC74)</f>
        <v>6315.79</v>
      </c>
      <c r="AC159" s="393">
        <f>IF(ISBLANK(Actuals!AD74),IF(AND(Projects!$G$12="Yes",25&gt;=Projects!$C$12,25&lt;Projects!$C$12+Projects!$D$12),6315.79,0),Actuals!AD74)</f>
        <v>6315.79</v>
      </c>
      <c r="AD159" s="393">
        <f>IF(ISBLANK(Actuals!AE74),IF(AND(Projects!$G$12="Yes",26&gt;=Projects!$C$12,26&lt;Projects!$C$12+Projects!$D$12),6315.79,0),Actuals!AE74)</f>
        <v>6315.79</v>
      </c>
      <c r="AE159" s="393">
        <f>IF(ISBLANK(Actuals!AF74),IF(AND(Projects!$G$12="Yes",27&gt;=Projects!$C$12,27&lt;Projects!$C$12+Projects!$D$12),6315.79,0),Actuals!AF74)</f>
        <v>6315.79</v>
      </c>
      <c r="AF159" s="393">
        <f>IF(ISBLANK(Actuals!AG74),IF(AND(Projects!$G$12="Yes",28&gt;=Projects!$C$12,28&lt;Projects!$C$12+Projects!$D$12),6315.79,0),Actuals!AG74)</f>
        <v>6315.79</v>
      </c>
      <c r="AG159" s="393">
        <f>IF(ISBLANK(Actuals!AH74),IF(AND(Projects!$G$12="Yes",29&gt;=Projects!$C$12,29&lt;Projects!$C$12+Projects!$D$12),6315.79,0),Actuals!AH74)</f>
        <v>0</v>
      </c>
      <c r="AH159" s="393">
        <f>IF(ISBLANK(Actuals!AI74),IF(AND(Projects!$G$12="Yes",30&gt;=Projects!$C$12,30&lt;Projects!$C$12+Projects!$D$12),6315.79,0),Actuals!AI74)</f>
        <v>0</v>
      </c>
      <c r="AI159" s="393">
        <f>IF(ISBLANK(Actuals!AJ74),IF(AND(Projects!$G$12="Yes",31&gt;=Projects!$C$12,31&lt;Projects!$C$12+Projects!$D$12),6315.79,0),Actuals!AJ74)</f>
        <v>0</v>
      </c>
      <c r="AJ159" s="393">
        <f>IF(ISBLANK(Actuals!AK74),IF(AND(Projects!$G$12="Yes",32&gt;=Projects!$C$12,32&lt;Projects!$C$12+Projects!$D$12),6315.79,0),Actuals!AK74)</f>
        <v>0</v>
      </c>
      <c r="AK159" s="393">
        <f>IF(ISBLANK(Actuals!AL74),IF(AND(Projects!$G$12="Yes",33&gt;=Projects!$C$12,33&lt;Projects!$C$12+Projects!$D$12),6315.79,0),Actuals!AL74)</f>
        <v>0</v>
      </c>
      <c r="AL159" s="393">
        <f>IF(ISBLANK(Actuals!AM74),IF(AND(Projects!$G$12="Yes",34&gt;=Projects!$C$12,34&lt;Projects!$C$12+Projects!$D$12),6315.79,0),Actuals!AM74)</f>
        <v>0</v>
      </c>
      <c r="AM159" s="393">
        <f>IF(ISBLANK(Actuals!AN74),IF(AND(Projects!$G$12="Yes",35&gt;=Projects!$C$12,35&lt;Projects!$C$12+Projects!$D$12),6315.79,0),Actuals!AN74)</f>
        <v>0</v>
      </c>
      <c r="AN159" s="393">
        <f>IF(ISBLANK(Actuals!AO74),IF(AND(Projects!$G$12="Yes",36&gt;=Projects!$C$12,36&lt;Projects!$C$12+Projects!$D$12),6315.79,0),Actuals!AO74)</f>
        <v>0</v>
      </c>
      <c r="AO159" s="393">
        <f>IF(ISBLANK(Actuals!AP74),IF(AND(Projects!$G$12="Yes",37&gt;=Projects!$C$12,37&lt;Projects!$C$12+Projects!$D$12),6315.79,0),Actuals!AP74)</f>
        <v>0</v>
      </c>
      <c r="AP159" s="393">
        <f>IF(ISBLANK(Actuals!AQ74),IF(AND(Projects!$G$12="Yes",38&gt;=Projects!$C$12,38&lt;Projects!$C$12+Projects!$D$12),6315.79,0),Actuals!AQ74)</f>
        <v>0</v>
      </c>
      <c r="AQ159" s="393">
        <f>IF(ISBLANK(Actuals!AR74),IF(AND(Projects!$G$12="Yes",39&gt;=Projects!$C$12,39&lt;Projects!$C$12+Projects!$D$12),6315.79,0),Actuals!AR74)</f>
        <v>0</v>
      </c>
      <c r="AR159" s="393">
        <f>IF(ISBLANK(Actuals!AS74),IF(AND(Projects!$G$12="Yes",40&gt;=Projects!$C$12,40&lt;Projects!$C$12+Projects!$D$12),6315.79,0),Actuals!AS74)</f>
        <v>0</v>
      </c>
      <c r="AS159" s="393">
        <f>IF(ISBLANK(Actuals!AT74),IF(AND(Projects!$G$12="Yes",41&gt;=Projects!$C$12,41&lt;Projects!$C$12+Projects!$D$12),6315.79,0),Actuals!AT74)</f>
        <v>0</v>
      </c>
      <c r="AT159" s="393">
        <f>IF(ISBLANK(Actuals!AU74),IF(AND(Projects!$G$12="Yes",42&gt;=Projects!$C$12,42&lt;Projects!$C$12+Projects!$D$12),6315.79,0),Actuals!AU74)</f>
        <v>0</v>
      </c>
      <c r="AU159" s="393">
        <f>IF(ISBLANK(Actuals!AV74),IF(AND(Projects!$G$12="Yes",43&gt;=Projects!$C$12,43&lt;Projects!$C$12+Projects!$D$12),6315.79,0),Actuals!AV74)</f>
        <v>0</v>
      </c>
      <c r="AV159" s="393">
        <f>IF(ISBLANK(Actuals!AW74),IF(AND(Projects!$G$12="Yes",44&gt;=Projects!$C$12,44&lt;Projects!$C$12+Projects!$D$12),6315.79,0),Actuals!AW74)</f>
        <v>0</v>
      </c>
      <c r="AW159" s="393">
        <f>IF(ISBLANK(Actuals!AX74),IF(AND(Projects!$G$12="Yes",45&gt;=Projects!$C$12,45&lt;Projects!$C$12+Projects!$D$12),6315.79,0),Actuals!AX74)</f>
        <v>0</v>
      </c>
      <c r="AX159" s="393">
        <f>IF(ISBLANK(Actuals!AY74),IF(AND(Projects!$G$12="Yes",46&gt;=Projects!$C$12,46&lt;Projects!$C$12+Projects!$D$12),6315.79,0),Actuals!AY74)</f>
        <v>0</v>
      </c>
      <c r="AY159" s="393">
        <f>IF(ISBLANK(Actuals!AZ74),IF(AND(Projects!$G$12="Yes",47&gt;=Projects!$C$12,47&lt;Projects!$C$12+Projects!$D$12),6315.79,0),Actuals!AZ74)</f>
        <v>0</v>
      </c>
      <c r="AZ159" s="393">
        <f>IF(ISBLANK(Actuals!BA74),IF(AND(Projects!$G$12="Yes",48&gt;=Projects!$C$12,48&lt;Projects!$C$12+Projects!$D$12),6315.79,0),Actuals!BA74)</f>
        <v>0</v>
      </c>
      <c r="BA159" s="393">
        <f>IF(ISBLANK(Actuals!BB74),IF(AND(Projects!$G$12="Yes",49&gt;=Projects!$C$12,49&lt;Projects!$C$12+Projects!$D$12),6315.79,0),Actuals!BB74)</f>
        <v>0</v>
      </c>
      <c r="BB159" s="393">
        <f>IF(ISBLANK(Actuals!BC74),IF(AND(Projects!$G$12="Yes",50&gt;=Projects!$C$12,50&lt;Projects!$C$12+Projects!$D$12),6315.79,0),Actuals!BC74)</f>
        <v>0</v>
      </c>
      <c r="BC159" s="393">
        <f>IF(ISBLANK(Actuals!BD74),IF(AND(Projects!$G$12="Yes",51&gt;=Projects!$C$12,51&lt;Projects!$C$12+Projects!$D$12),6315.79,0),Actuals!BD74)</f>
        <v>0</v>
      </c>
      <c r="BD159" s="393">
        <f>IF(ISBLANK(Actuals!BE74),IF(AND(Projects!$G$12="Yes",52&gt;=Projects!$C$12,52&lt;Projects!$C$12+Projects!$D$12),6315.79,0),Actuals!BE74)</f>
        <v>0</v>
      </c>
      <c r="BE159" s="393">
        <f>IF(ISBLANK(Actuals!BF74),IF(AND(Projects!$G$12="Yes",53&gt;=Projects!$C$12,53&lt;Projects!$C$12+Projects!$D$12),6315.79,0),Actuals!BF74)</f>
        <v>0</v>
      </c>
      <c r="BF159" s="393">
        <f>IF(ISBLANK(Actuals!BG74),IF(AND(Projects!$G$12="Yes",54&gt;=Projects!$C$12,54&lt;Projects!$C$12+Projects!$D$12),6315.79,0),Actuals!BG74)</f>
        <v>0</v>
      </c>
      <c r="BG159" s="393">
        <f>IF(ISBLANK(Actuals!BH74),IF(AND(Projects!$G$12="Yes",55&gt;=Projects!$C$12,55&lt;Projects!$C$12+Projects!$D$12),6315.79,0),Actuals!BH74)</f>
        <v>0</v>
      </c>
      <c r="BH159" s="393">
        <f>IF(ISBLANK(Actuals!BI74),IF(AND(Projects!$G$12="Yes",56&gt;=Projects!$C$12,56&lt;Projects!$C$12+Projects!$D$12),6315.79,0),Actuals!BI74)</f>
        <v>0</v>
      </c>
      <c r="BI159" s="393">
        <f>IF(ISBLANK(Actuals!BJ74),IF(AND(Projects!$G$12="Yes",57&gt;=Projects!$C$12,57&lt;Projects!$C$12+Projects!$D$12),6315.79,0),Actuals!BJ74)</f>
        <v>0</v>
      </c>
      <c r="BJ159" s="393">
        <f>IF(ISBLANK(Actuals!BK74),IF(AND(Projects!$G$12="Yes",58&gt;=Projects!$C$12,58&lt;Projects!$C$12+Projects!$D$12),6315.79,0),Actuals!BK74)</f>
        <v>0</v>
      </c>
      <c r="BK159" s="393">
        <f>IF(ISBLANK(Actuals!BL74),IF(AND(Projects!$G$12="Yes",59&gt;=Projects!$C$12,59&lt;Projects!$C$12+Projects!$D$12),6315.79,0),Actuals!BL74)</f>
        <v>0</v>
      </c>
      <c r="BL159" s="393">
        <f>IF(ISBLANK(Actuals!BM74),IF(AND(Projects!$G$12="Yes",60&gt;=Projects!$C$12,60&lt;Projects!$C$12+Projects!$D$12),6315.79,0),Actuals!BM74)</f>
        <v>0</v>
      </c>
      <c r="BM159" s="393">
        <f>IF(ISBLANK(Actuals!BN74),IF(AND(Projects!$G$12="Yes",61&gt;=Projects!$C$12,61&lt;Projects!$C$12+Projects!$D$12),6315.79,0),Actuals!BN74)</f>
        <v>0</v>
      </c>
      <c r="BN159" s="393">
        <f>IF(ISBLANK(Actuals!BO74),IF(AND(Projects!$G$12="Yes",62&gt;=Projects!$C$12,62&lt;Projects!$C$12+Projects!$D$12),6315.79,0),Actuals!BO74)</f>
        <v>0</v>
      </c>
      <c r="BO159" s="393">
        <f>IF(ISBLANK(Actuals!BP74),IF(AND(Projects!$G$12="Yes",63&gt;=Projects!$C$12,63&lt;Projects!$C$12+Projects!$D$12),6315.79,0),Actuals!BP74)</f>
        <v>0</v>
      </c>
      <c r="BP159" s="393">
        <f>IF(ISBLANK(Actuals!BQ74),IF(AND(Projects!$G$12="Yes",64&gt;=Projects!$C$12,64&lt;Projects!$C$12+Projects!$D$12),6315.79,0),Actuals!BQ74)</f>
        <v>0</v>
      </c>
      <c r="BQ159" s="393">
        <f>IF(ISBLANK(Actuals!BR74),IF(AND(Projects!$G$12="Yes",65&gt;=Projects!$C$12,65&lt;Projects!$C$12+Projects!$D$12),6315.79,0),Actuals!BR74)</f>
        <v>0</v>
      </c>
      <c r="BR159" s="393">
        <f>IF(ISBLANK(Actuals!BS74),IF(AND(Projects!$G$12="Yes",66&gt;=Projects!$C$12,66&lt;Projects!$C$12+Projects!$D$12),6315.79,0),Actuals!BS74)</f>
        <v>0</v>
      </c>
      <c r="BS159" s="393">
        <f>IF(ISBLANK(Actuals!BT74),IF(AND(Projects!$G$12="Yes",67&gt;=Projects!$C$12,67&lt;Projects!$C$12+Projects!$D$12),6315.79,0),Actuals!BT74)</f>
        <v>0</v>
      </c>
      <c r="BT159" s="393">
        <f>IF(ISBLANK(Actuals!BU74),IF(AND(Projects!$G$12="Yes",68&gt;=Projects!$C$12,68&lt;Projects!$C$12+Projects!$D$12),6315.79,0),Actuals!BU74)</f>
        <v>0</v>
      </c>
      <c r="BU159" s="393">
        <f>IF(ISBLANK(Actuals!BV74),IF(AND(Projects!$G$12="Yes",69&gt;=Projects!$C$12,69&lt;Projects!$C$12+Projects!$D$12),6315.79,0),Actuals!BV74)</f>
        <v>0</v>
      </c>
      <c r="BV159" s="393">
        <f>IF(ISBLANK(Actuals!BW74),IF(AND(Projects!$G$12="Yes",70&gt;=Projects!$C$12,70&lt;Projects!$C$12+Projects!$D$12),6315.79,0),Actuals!BW74)</f>
        <v>0</v>
      </c>
      <c r="BW159" s="393">
        <f>IF(ISBLANK(Actuals!BX74),IF(AND(Projects!$G$12="Yes",71&gt;=Projects!$C$12,71&lt;Projects!$C$12+Projects!$D$12),6315.79,0),Actuals!BX74)</f>
        <v>0</v>
      </c>
      <c r="BX159" s="393">
        <f>IF(ISBLANK(Actuals!BY74),IF(AND(Projects!$G$12="Yes",72&gt;=Projects!$C$12,72&lt;Projects!$C$12+Projects!$D$12),6315.79,0),Actuals!BY74)</f>
        <v>0</v>
      </c>
      <c r="BY159" s="393">
        <f>IF(ISBLANK(Actuals!BZ74),IF(AND(Projects!$G$12="Yes",73&gt;=Projects!$C$12,73&lt;Projects!$C$12+Projects!$D$12),6315.79,0),Actuals!BZ74)</f>
        <v>0</v>
      </c>
      <c r="BZ159" s="393">
        <f>IF(ISBLANK(Actuals!CA74),IF(AND(Projects!$G$12="Yes",74&gt;=Projects!$C$12,74&lt;Projects!$C$12+Projects!$D$12),6315.79,0),Actuals!CA74)</f>
        <v>0</v>
      </c>
      <c r="CA159" s="393">
        <f>IF(ISBLANK(Actuals!CB74),IF(AND(Projects!$G$12="Yes",75&gt;=Projects!$C$12,75&lt;Projects!$C$12+Projects!$D$12),6315.79,0),Actuals!CB74)</f>
        <v>0</v>
      </c>
      <c r="CB159" s="393">
        <f>IF(ISBLANK(Actuals!CC74),IF(AND(Projects!$G$12="Yes",76&gt;=Projects!$C$12,76&lt;Projects!$C$12+Projects!$D$12),6315.79,0),Actuals!CC74)</f>
        <v>0</v>
      </c>
      <c r="CC159" s="393">
        <f>IF(ISBLANK(Actuals!CD74),IF(AND(Projects!$G$12="Yes",77&gt;=Projects!$C$12,77&lt;Projects!$C$12+Projects!$D$12),6315.79,0),Actuals!CD74)</f>
        <v>0</v>
      </c>
      <c r="CD159" s="393">
        <f>IF(ISBLANK(Actuals!CE74),IF(AND(Projects!$G$12="Yes",78&gt;=Projects!$C$12,78&lt;Projects!$C$12+Projects!$D$12),6315.79,0),Actuals!CE74)</f>
        <v>0</v>
      </c>
      <c r="CE159" s="393">
        <f>IF(ISBLANK(Actuals!CF74),IF(AND(Projects!$G$12="Yes",79&gt;=Projects!$C$12,79&lt;Projects!$C$12+Projects!$D$12),6315.79,0),Actuals!CF74)</f>
        <v>0</v>
      </c>
      <c r="CF159" s="393">
        <f>IF(ISBLANK(Actuals!CG74),IF(AND(Projects!$G$12="Yes",80&gt;=Projects!$C$12,80&lt;Projects!$C$12+Projects!$D$12),6315.79,0),Actuals!CG74)</f>
        <v>0</v>
      </c>
      <c r="CG159" s="393">
        <f>IF(ISBLANK(Actuals!CH74),IF(AND(Projects!$G$12="Yes",81&gt;=Projects!$C$12,81&lt;Projects!$C$12+Projects!$D$12),6315.79,0),Actuals!CH74)</f>
        <v>0</v>
      </c>
      <c r="CH159" s="393">
        <f>IF(ISBLANK(Actuals!CI74),IF(AND(Projects!$G$12="Yes",82&gt;=Projects!$C$12,82&lt;Projects!$C$12+Projects!$D$12),6315.79,0),Actuals!CI74)</f>
        <v>0</v>
      </c>
      <c r="CI159" s="393">
        <f>IF(ISBLANK(Actuals!CJ74),IF(AND(Projects!$G$12="Yes",83&gt;=Projects!$C$12,83&lt;Projects!$C$12+Projects!$D$12),6315.79,0),Actuals!CJ74)</f>
        <v>0</v>
      </c>
      <c r="CJ159" s="393">
        <f>IF(ISBLANK(Actuals!CK74),IF(AND(Projects!$G$12="Yes",84&gt;=Projects!$C$12,84&lt;Projects!$C$12+Projects!$D$12),6315.79,0),Actuals!CK74)</f>
        <v>0</v>
      </c>
      <c r="CK159" s="393">
        <f>IF(ISBLANK(Actuals!CL74),IF(AND(Projects!$G$12="Yes",85&gt;=Projects!$C$12,85&lt;Projects!$C$12+Projects!$D$12),6315.79,0),Actuals!CL74)</f>
        <v>0</v>
      </c>
      <c r="CL159" s="393">
        <f>IF(ISBLANK(Actuals!CM74),IF(AND(Projects!$G$12="Yes",86&gt;=Projects!$C$12,86&lt;Projects!$C$12+Projects!$D$12),6315.79,0),Actuals!CM74)</f>
        <v>0</v>
      </c>
      <c r="CM159" s="393">
        <f>IF(ISBLANK(Actuals!CN74),IF(AND(Projects!$G$12="Yes",87&gt;=Projects!$C$12,87&lt;Projects!$C$12+Projects!$D$12),6315.79,0),Actuals!CN74)</f>
        <v>0</v>
      </c>
      <c r="CN159" s="393">
        <f>IF(ISBLANK(Actuals!CO74),IF(AND(Projects!$G$12="Yes",88&gt;=Projects!$C$12,88&lt;Projects!$C$12+Projects!$D$12),6315.79,0),Actuals!CO74)</f>
        <v>0</v>
      </c>
      <c r="CO159" s="393">
        <f>IF(ISBLANK(Actuals!CP74),IF(AND(Projects!$G$12="Yes",89&gt;=Projects!$C$12,89&lt;Projects!$C$12+Projects!$D$12),6315.79,0),Actuals!CP74)</f>
        <v>0</v>
      </c>
      <c r="CP159" s="393">
        <f>IF(ISBLANK(Actuals!CQ74),IF(AND(Projects!$G$12="Yes",90&gt;=Projects!$C$12,90&lt;Projects!$C$12+Projects!$D$12),6315.79,0),Actuals!CQ74)</f>
        <v>0</v>
      </c>
      <c r="CQ159" s="393">
        <f>IF(ISBLANK(Actuals!CR74),IF(AND(Projects!$G$12="Yes",91&gt;=Projects!$C$12,91&lt;Projects!$C$12+Projects!$D$12),6315.79,0),Actuals!CR74)</f>
        <v>0</v>
      </c>
      <c r="CR159" s="393">
        <f>IF(ISBLANK(Actuals!CS74),IF(AND(Projects!$G$12="Yes",92&gt;=Projects!$C$12,92&lt;Projects!$C$12+Projects!$D$12),6315.79,0),Actuals!CS74)</f>
        <v>0</v>
      </c>
      <c r="CS159" s="393">
        <f>IF(ISBLANK(Actuals!CT74),IF(AND(Projects!$G$12="Yes",93&gt;=Projects!$C$12,93&lt;Projects!$C$12+Projects!$D$12),6315.79,0),Actuals!CT74)</f>
        <v>0</v>
      </c>
      <c r="CT159" s="393">
        <f>IF(ISBLANK(Actuals!CU74),IF(AND(Projects!$G$12="Yes",94&gt;=Projects!$C$12,94&lt;Projects!$C$12+Projects!$D$12),6315.79,0),Actuals!CU74)</f>
        <v>0</v>
      </c>
      <c r="CU159" s="393">
        <f>IF(ISBLANK(Actuals!CV74),IF(AND(Projects!$G$12="Yes",95&gt;=Projects!$C$12,95&lt;Projects!$C$12+Projects!$D$12),6315.79,0),Actuals!CV74)</f>
        <v>0</v>
      </c>
      <c r="CV159" s="393">
        <f>IF(ISBLANK(Actuals!CW74),IF(AND(Projects!$G$12="Yes",96&gt;=Projects!$C$12,96&lt;Projects!$C$12+Projects!$D$12),6315.79,0),Actuals!CW74)</f>
        <v>0</v>
      </c>
      <c r="CW159" s="393">
        <f>IF(ISBLANK(Actuals!CX74),IF(AND(Projects!$G$12="Yes",97&gt;=Projects!$C$12,97&lt;Projects!$C$12+Projects!$D$12),6315.79,0),Actuals!CX74)</f>
        <v>0</v>
      </c>
      <c r="CX159" s="393">
        <f>IF(ISBLANK(Actuals!CY74),IF(AND(Projects!$G$12="Yes",98&gt;=Projects!$C$12,98&lt;Projects!$C$12+Projects!$D$12),6315.79,0),Actuals!CY74)</f>
        <v>0</v>
      </c>
      <c r="CY159" s="393">
        <f>IF(ISBLANK(Actuals!CZ74),IF(AND(Projects!$G$12="Yes",99&gt;=Projects!$C$12,99&lt;Projects!$C$12+Projects!$D$12),6315.79,0),Actuals!CZ74)</f>
        <v>0</v>
      </c>
      <c r="CZ159" s="393">
        <f>IF(ISBLANK(Actuals!DA74),IF(AND(Projects!$G$12="Yes",100&gt;=Projects!$C$12,100&lt;Projects!$C$12+Projects!$D$12),6315.79,0),Actuals!DA74)</f>
        <v>0</v>
      </c>
      <c r="DA159" s="393">
        <f>IF(ISBLANK(Actuals!DB74),IF(AND(Projects!$G$12="Yes",101&gt;=Projects!$C$12,101&lt;Projects!$C$12+Projects!$D$12),6315.79,0),Actuals!DB74)</f>
        <v>0</v>
      </c>
      <c r="DB159" s="393">
        <f>IF(ISBLANK(Actuals!DC74),IF(AND(Projects!$G$12="Yes",102&gt;=Projects!$C$12,102&lt;Projects!$C$12+Projects!$D$12),6315.79,0),Actuals!DC74)</f>
        <v>0</v>
      </c>
      <c r="DC159" s="393">
        <f>IF(ISBLANK(Actuals!DD74),IF(AND(Projects!$G$12="Yes",103&gt;=Projects!$C$12,103&lt;Projects!$C$12+Projects!$D$12),6315.79,0),Actuals!DD74)</f>
        <v>0</v>
      </c>
      <c r="DD159" s="393">
        <f>IF(ISBLANK(Actuals!DE74),IF(AND(Projects!$G$12="Yes",104&gt;=Projects!$C$12,104&lt;Projects!$C$12+Projects!$D$12),6315.79,0),Actuals!DE74)</f>
        <v>0</v>
      </c>
      <c r="DE159" s="393">
        <f>IF(ISBLANK(Actuals!DF74),IF(AND(Projects!$G$12="Yes",105&gt;=Projects!$C$12,105&lt;Projects!$C$12+Projects!$D$12),6315.79,0),Actuals!DF74)</f>
        <v>0</v>
      </c>
    </row>
    <row r="160" ht="15" customFormat="1" customHeight="1" s="381">
      <c r="A160" s="398" t="inlineStr">
        <is>
          <t>Scott Developer Fee</t>
        </is>
      </c>
      <c r="B160" s="393">
        <f>IF(ISBLANK(Actuals!C75),0,Actuals!C75)</f>
        <v>0</v>
      </c>
      <c r="C160" s="393">
        <f>IF(ISBLANK(Actuals!D75),0,Actuals!D75)</f>
        <v>0</v>
      </c>
      <c r="D160" s="393">
        <f>IF(ISBLANK(Actuals!E75),0,Actuals!E75)</f>
        <v>0</v>
      </c>
      <c r="E160" s="393">
        <f>IF(ISBLANK(Actuals!F75),IF(AND(Projects!$G$12="Yes",1&gt;=Projects!$C$12,1&lt;Projects!$C$12+Projects!$D$12),4736.84,0),Actuals!F75)</f>
        <v>0</v>
      </c>
      <c r="F160" s="393">
        <f>IF(ISBLANK(Actuals!G75),IF(AND(Projects!$G$12="Yes",2&gt;=Projects!$C$12,2&lt;Projects!$C$12+Projects!$D$12),4736.84,0),Actuals!G75)</f>
        <v>0</v>
      </c>
      <c r="G160" s="393">
        <f>IF(ISBLANK(Actuals!H75),IF(AND(Projects!$G$12="Yes",3&gt;=Projects!$C$12,3&lt;Projects!$C$12+Projects!$D$12),4736.84,0),Actuals!H75)</f>
        <v>0</v>
      </c>
      <c r="H160" s="393">
        <f>IF(ISBLANK(Actuals!I75),IF(AND(Projects!$G$12="Yes",4&gt;=Projects!$C$12,4&lt;Projects!$C$12+Projects!$D$12),4736.84,0),Actuals!I75)</f>
        <v>0</v>
      </c>
      <c r="I160" s="393">
        <f>IF(ISBLANK(Actuals!J75),IF(AND(Projects!$G$12="Yes",5&gt;=Projects!$C$12,5&lt;Projects!$C$12+Projects!$D$12),4736.84,0),Actuals!J75)</f>
        <v>0</v>
      </c>
      <c r="J160" s="393">
        <f>IF(ISBLANK(Actuals!K75),IF(AND(Projects!$G$12="Yes",6&gt;=Projects!$C$12,6&lt;Projects!$C$12+Projects!$D$12),4736.84,0),Actuals!K75)</f>
        <v>0</v>
      </c>
      <c r="K160" s="393">
        <f>IF(ISBLANK(Actuals!L75),IF(AND(Projects!$G$12="Yes",7&gt;=Projects!$C$12,7&lt;Projects!$C$12+Projects!$D$12),4736.84,0),Actuals!L75)</f>
        <v>0</v>
      </c>
      <c r="L160" s="393">
        <f>IF(ISBLANK(Actuals!M75),IF(AND(Projects!$G$12="Yes",8&gt;=Projects!$C$12,8&lt;Projects!$C$12+Projects!$D$12),4736.84,0),Actuals!M75)</f>
        <v>0</v>
      </c>
      <c r="M160" s="393">
        <f>IF(ISBLANK(Actuals!N75),IF(AND(Projects!$G$12="Yes",9&gt;=Projects!$C$12,9&lt;Projects!$C$12+Projects!$D$12),4736.84,0),Actuals!N75)</f>
        <v>0</v>
      </c>
      <c r="N160" s="393">
        <f>IF(ISBLANK(Actuals!O75),IF(AND(Projects!$G$12="Yes",10&gt;=Projects!$C$12,10&lt;Projects!$C$12+Projects!$D$12),4736.84,0),Actuals!O75)</f>
        <v>4736.84</v>
      </c>
      <c r="O160" s="393">
        <f>IF(ISBLANK(Actuals!P75),IF(AND(Projects!$G$12="Yes",11&gt;=Projects!$C$12,11&lt;Projects!$C$12+Projects!$D$12),4736.84,0),Actuals!P75)</f>
        <v>4736.84</v>
      </c>
      <c r="P160" s="393">
        <f>IF(ISBLANK(Actuals!Q75),IF(AND(Projects!$G$12="Yes",12&gt;=Projects!$C$12,12&lt;Projects!$C$12+Projects!$D$12),4736.84,0),Actuals!Q75)</f>
        <v>4736.84</v>
      </c>
      <c r="Q160" s="393">
        <f>IF(ISBLANK(Actuals!R75),IF(AND(Projects!$G$12="Yes",13&gt;=Projects!$C$12,13&lt;Projects!$C$12+Projects!$D$12),4736.84,0),Actuals!R75)</f>
        <v>4736.84</v>
      </c>
      <c r="R160" s="393">
        <f>IF(ISBLANK(Actuals!S75),IF(AND(Projects!$G$12="Yes",14&gt;=Projects!$C$12,14&lt;Projects!$C$12+Projects!$D$12),4736.84,0),Actuals!S75)</f>
        <v>4736.84</v>
      </c>
      <c r="S160" s="393">
        <f>IF(ISBLANK(Actuals!T75),IF(AND(Projects!$G$12="Yes",15&gt;=Projects!$C$12,15&lt;Projects!$C$12+Projects!$D$12),4736.84,0),Actuals!T75)</f>
        <v>4736.84</v>
      </c>
      <c r="T160" s="393">
        <f>IF(ISBLANK(Actuals!U75),IF(AND(Projects!$G$12="Yes",16&gt;=Projects!$C$12,16&lt;Projects!$C$12+Projects!$D$12),4736.84,0),Actuals!U75)</f>
        <v>4736.84</v>
      </c>
      <c r="U160" s="393">
        <f>IF(ISBLANK(Actuals!V75),IF(AND(Projects!$G$12="Yes",17&gt;=Projects!$C$12,17&lt;Projects!$C$12+Projects!$D$12),4736.84,0),Actuals!V75)</f>
        <v>4736.84</v>
      </c>
      <c r="V160" s="393">
        <f>IF(ISBLANK(Actuals!W75),IF(AND(Projects!$G$12="Yes",18&gt;=Projects!$C$12,18&lt;Projects!$C$12+Projects!$D$12),4736.84,0),Actuals!W75)</f>
        <v>4736.84</v>
      </c>
      <c r="W160" s="393">
        <f>IF(ISBLANK(Actuals!X75),IF(AND(Projects!$G$12="Yes",19&gt;=Projects!$C$12,19&lt;Projects!$C$12+Projects!$D$12),4736.84,0),Actuals!X75)</f>
        <v>4736.84</v>
      </c>
      <c r="X160" s="393">
        <f>IF(ISBLANK(Actuals!Y75),IF(AND(Projects!$G$12="Yes",20&gt;=Projects!$C$12,20&lt;Projects!$C$12+Projects!$D$12),4736.84,0),Actuals!Y75)</f>
        <v>4736.84</v>
      </c>
      <c r="Y160" s="393">
        <f>IF(ISBLANK(Actuals!Z75),IF(AND(Projects!$G$12="Yes",21&gt;=Projects!$C$12,21&lt;Projects!$C$12+Projects!$D$12),4736.84,0),Actuals!Z75)</f>
        <v>4736.84</v>
      </c>
      <c r="Z160" s="393">
        <f>IF(ISBLANK(Actuals!AA75),IF(AND(Projects!$G$12="Yes",22&gt;=Projects!$C$12,22&lt;Projects!$C$12+Projects!$D$12),4736.84,0),Actuals!AA75)</f>
        <v>4736.84</v>
      </c>
      <c r="AA160" s="393">
        <f>IF(ISBLANK(Actuals!AB75),IF(AND(Projects!$G$12="Yes",23&gt;=Projects!$C$12,23&lt;Projects!$C$12+Projects!$D$12),4736.84,0),Actuals!AB75)</f>
        <v>4736.84</v>
      </c>
      <c r="AB160" s="393">
        <f>IF(ISBLANK(Actuals!AC75),IF(AND(Projects!$G$12="Yes",24&gt;=Projects!$C$12,24&lt;Projects!$C$12+Projects!$D$12),4736.84,0),Actuals!AC75)</f>
        <v>4736.84</v>
      </c>
      <c r="AC160" s="393">
        <f>IF(ISBLANK(Actuals!AD75),IF(AND(Projects!$G$12="Yes",25&gt;=Projects!$C$12,25&lt;Projects!$C$12+Projects!$D$12),4736.84,0),Actuals!AD75)</f>
        <v>4736.84</v>
      </c>
      <c r="AD160" s="393">
        <f>IF(ISBLANK(Actuals!AE75),IF(AND(Projects!$G$12="Yes",26&gt;=Projects!$C$12,26&lt;Projects!$C$12+Projects!$D$12),4736.84,0),Actuals!AE75)</f>
        <v>4736.84</v>
      </c>
      <c r="AE160" s="393">
        <f>IF(ISBLANK(Actuals!AF75),IF(AND(Projects!$G$12="Yes",27&gt;=Projects!$C$12,27&lt;Projects!$C$12+Projects!$D$12),4736.84,0),Actuals!AF75)</f>
        <v>4736.84</v>
      </c>
      <c r="AF160" s="393">
        <f>IF(ISBLANK(Actuals!AG75),IF(AND(Projects!$G$12="Yes",28&gt;=Projects!$C$12,28&lt;Projects!$C$12+Projects!$D$12),4736.84,0),Actuals!AG75)</f>
        <v>4736.84</v>
      </c>
      <c r="AG160" s="393">
        <f>IF(ISBLANK(Actuals!AH75),IF(AND(Projects!$G$12="Yes",29&gt;=Projects!$C$12,29&lt;Projects!$C$12+Projects!$D$12),4736.84,0),Actuals!AH75)</f>
        <v>0</v>
      </c>
      <c r="AH160" s="393">
        <f>IF(ISBLANK(Actuals!AI75),IF(AND(Projects!$G$12="Yes",30&gt;=Projects!$C$12,30&lt;Projects!$C$12+Projects!$D$12),4736.84,0),Actuals!AI75)</f>
        <v>0</v>
      </c>
      <c r="AI160" s="393">
        <f>IF(ISBLANK(Actuals!AJ75),IF(AND(Projects!$G$12="Yes",31&gt;=Projects!$C$12,31&lt;Projects!$C$12+Projects!$D$12),4736.84,0),Actuals!AJ75)</f>
        <v>0</v>
      </c>
      <c r="AJ160" s="393">
        <f>IF(ISBLANK(Actuals!AK75),IF(AND(Projects!$G$12="Yes",32&gt;=Projects!$C$12,32&lt;Projects!$C$12+Projects!$D$12),4736.84,0),Actuals!AK75)</f>
        <v>0</v>
      </c>
      <c r="AK160" s="393">
        <f>IF(ISBLANK(Actuals!AL75),IF(AND(Projects!$G$12="Yes",33&gt;=Projects!$C$12,33&lt;Projects!$C$12+Projects!$D$12),4736.84,0),Actuals!AL75)</f>
        <v>0</v>
      </c>
      <c r="AL160" s="393">
        <f>IF(ISBLANK(Actuals!AM75),IF(AND(Projects!$G$12="Yes",34&gt;=Projects!$C$12,34&lt;Projects!$C$12+Projects!$D$12),4736.84,0),Actuals!AM75)</f>
        <v>0</v>
      </c>
      <c r="AM160" s="393">
        <f>IF(ISBLANK(Actuals!AN75),IF(AND(Projects!$G$12="Yes",35&gt;=Projects!$C$12,35&lt;Projects!$C$12+Projects!$D$12),4736.84,0),Actuals!AN75)</f>
        <v>0</v>
      </c>
      <c r="AN160" s="393">
        <f>IF(ISBLANK(Actuals!AO75),IF(AND(Projects!$G$12="Yes",36&gt;=Projects!$C$12,36&lt;Projects!$C$12+Projects!$D$12),4736.84,0),Actuals!AO75)</f>
        <v>0</v>
      </c>
      <c r="AO160" s="393">
        <f>IF(ISBLANK(Actuals!AP75),IF(AND(Projects!$G$12="Yes",37&gt;=Projects!$C$12,37&lt;Projects!$C$12+Projects!$D$12),4736.84,0),Actuals!AP75)</f>
        <v>0</v>
      </c>
      <c r="AP160" s="393">
        <f>IF(ISBLANK(Actuals!AQ75),IF(AND(Projects!$G$12="Yes",38&gt;=Projects!$C$12,38&lt;Projects!$C$12+Projects!$D$12),4736.84,0),Actuals!AQ75)</f>
        <v>0</v>
      </c>
      <c r="AQ160" s="393">
        <f>IF(ISBLANK(Actuals!AR75),IF(AND(Projects!$G$12="Yes",39&gt;=Projects!$C$12,39&lt;Projects!$C$12+Projects!$D$12),4736.84,0),Actuals!AR75)</f>
        <v>0</v>
      </c>
      <c r="AR160" s="393">
        <f>IF(ISBLANK(Actuals!AS75),IF(AND(Projects!$G$12="Yes",40&gt;=Projects!$C$12,40&lt;Projects!$C$12+Projects!$D$12),4736.84,0),Actuals!AS75)</f>
        <v>0</v>
      </c>
      <c r="AS160" s="393">
        <f>IF(ISBLANK(Actuals!AT75),IF(AND(Projects!$G$12="Yes",41&gt;=Projects!$C$12,41&lt;Projects!$C$12+Projects!$D$12),4736.84,0),Actuals!AT75)</f>
        <v>0</v>
      </c>
      <c r="AT160" s="393">
        <f>IF(ISBLANK(Actuals!AU75),IF(AND(Projects!$G$12="Yes",42&gt;=Projects!$C$12,42&lt;Projects!$C$12+Projects!$D$12),4736.84,0),Actuals!AU75)</f>
        <v>0</v>
      </c>
      <c r="AU160" s="393">
        <f>IF(ISBLANK(Actuals!AV75),IF(AND(Projects!$G$12="Yes",43&gt;=Projects!$C$12,43&lt;Projects!$C$12+Projects!$D$12),4736.84,0),Actuals!AV75)</f>
        <v>0</v>
      </c>
      <c r="AV160" s="393">
        <f>IF(ISBLANK(Actuals!AW75),IF(AND(Projects!$G$12="Yes",44&gt;=Projects!$C$12,44&lt;Projects!$C$12+Projects!$D$12),4736.84,0),Actuals!AW75)</f>
        <v>0</v>
      </c>
      <c r="AW160" s="393">
        <f>IF(ISBLANK(Actuals!AX75),IF(AND(Projects!$G$12="Yes",45&gt;=Projects!$C$12,45&lt;Projects!$C$12+Projects!$D$12),4736.84,0),Actuals!AX75)</f>
        <v>0</v>
      </c>
      <c r="AX160" s="393">
        <f>IF(ISBLANK(Actuals!AY75),IF(AND(Projects!$G$12="Yes",46&gt;=Projects!$C$12,46&lt;Projects!$C$12+Projects!$D$12),4736.84,0),Actuals!AY75)</f>
        <v>0</v>
      </c>
      <c r="AY160" s="393">
        <f>IF(ISBLANK(Actuals!AZ75),IF(AND(Projects!$G$12="Yes",47&gt;=Projects!$C$12,47&lt;Projects!$C$12+Projects!$D$12),4736.84,0),Actuals!AZ75)</f>
        <v>0</v>
      </c>
      <c r="AZ160" s="393">
        <f>IF(ISBLANK(Actuals!BA75),IF(AND(Projects!$G$12="Yes",48&gt;=Projects!$C$12,48&lt;Projects!$C$12+Projects!$D$12),4736.84,0),Actuals!BA75)</f>
        <v>0</v>
      </c>
      <c r="BA160" s="393">
        <f>IF(ISBLANK(Actuals!BB75),IF(AND(Projects!$G$12="Yes",49&gt;=Projects!$C$12,49&lt;Projects!$C$12+Projects!$D$12),4736.84,0),Actuals!BB75)</f>
        <v>0</v>
      </c>
      <c r="BB160" s="393">
        <f>IF(ISBLANK(Actuals!BC75),IF(AND(Projects!$G$12="Yes",50&gt;=Projects!$C$12,50&lt;Projects!$C$12+Projects!$D$12),4736.84,0),Actuals!BC75)</f>
        <v>0</v>
      </c>
      <c r="BC160" s="393">
        <f>IF(ISBLANK(Actuals!BD75),IF(AND(Projects!$G$12="Yes",51&gt;=Projects!$C$12,51&lt;Projects!$C$12+Projects!$D$12),4736.84,0),Actuals!BD75)</f>
        <v>0</v>
      </c>
      <c r="BD160" s="393">
        <f>IF(ISBLANK(Actuals!BE75),IF(AND(Projects!$G$12="Yes",52&gt;=Projects!$C$12,52&lt;Projects!$C$12+Projects!$D$12),4736.84,0),Actuals!BE75)</f>
        <v>0</v>
      </c>
      <c r="BE160" s="393">
        <f>IF(ISBLANK(Actuals!BF75),IF(AND(Projects!$G$12="Yes",53&gt;=Projects!$C$12,53&lt;Projects!$C$12+Projects!$D$12),4736.84,0),Actuals!BF75)</f>
        <v>0</v>
      </c>
      <c r="BF160" s="393">
        <f>IF(ISBLANK(Actuals!BG75),IF(AND(Projects!$G$12="Yes",54&gt;=Projects!$C$12,54&lt;Projects!$C$12+Projects!$D$12),4736.84,0),Actuals!BG75)</f>
        <v>0</v>
      </c>
      <c r="BG160" s="393">
        <f>IF(ISBLANK(Actuals!BH75),IF(AND(Projects!$G$12="Yes",55&gt;=Projects!$C$12,55&lt;Projects!$C$12+Projects!$D$12),4736.84,0),Actuals!BH75)</f>
        <v>0</v>
      </c>
      <c r="BH160" s="393">
        <f>IF(ISBLANK(Actuals!BI75),IF(AND(Projects!$G$12="Yes",56&gt;=Projects!$C$12,56&lt;Projects!$C$12+Projects!$D$12),4736.84,0),Actuals!BI75)</f>
        <v>0</v>
      </c>
      <c r="BI160" s="393">
        <f>IF(ISBLANK(Actuals!BJ75),IF(AND(Projects!$G$12="Yes",57&gt;=Projects!$C$12,57&lt;Projects!$C$12+Projects!$D$12),4736.84,0),Actuals!BJ75)</f>
        <v>0</v>
      </c>
      <c r="BJ160" s="393">
        <f>IF(ISBLANK(Actuals!BK75),IF(AND(Projects!$G$12="Yes",58&gt;=Projects!$C$12,58&lt;Projects!$C$12+Projects!$D$12),4736.84,0),Actuals!BK75)</f>
        <v>0</v>
      </c>
      <c r="BK160" s="393">
        <f>IF(ISBLANK(Actuals!BL75),IF(AND(Projects!$G$12="Yes",59&gt;=Projects!$C$12,59&lt;Projects!$C$12+Projects!$D$12),4736.84,0),Actuals!BL75)</f>
        <v>0</v>
      </c>
      <c r="BL160" s="393">
        <f>IF(ISBLANK(Actuals!BM75),IF(AND(Projects!$G$12="Yes",60&gt;=Projects!$C$12,60&lt;Projects!$C$12+Projects!$D$12),4736.84,0),Actuals!BM75)</f>
        <v>0</v>
      </c>
      <c r="BM160" s="393">
        <f>IF(ISBLANK(Actuals!BN75),IF(AND(Projects!$G$12="Yes",61&gt;=Projects!$C$12,61&lt;Projects!$C$12+Projects!$D$12),4736.84,0),Actuals!BN75)</f>
        <v>0</v>
      </c>
      <c r="BN160" s="393">
        <f>IF(ISBLANK(Actuals!BO75),IF(AND(Projects!$G$12="Yes",62&gt;=Projects!$C$12,62&lt;Projects!$C$12+Projects!$D$12),4736.84,0),Actuals!BO75)</f>
        <v>0</v>
      </c>
      <c r="BO160" s="393">
        <f>IF(ISBLANK(Actuals!BP75),IF(AND(Projects!$G$12="Yes",63&gt;=Projects!$C$12,63&lt;Projects!$C$12+Projects!$D$12),4736.84,0),Actuals!BP75)</f>
        <v>0</v>
      </c>
      <c r="BP160" s="393">
        <f>IF(ISBLANK(Actuals!BQ75),IF(AND(Projects!$G$12="Yes",64&gt;=Projects!$C$12,64&lt;Projects!$C$12+Projects!$D$12),4736.84,0),Actuals!BQ75)</f>
        <v>0</v>
      </c>
      <c r="BQ160" s="393">
        <f>IF(ISBLANK(Actuals!BR75),IF(AND(Projects!$G$12="Yes",65&gt;=Projects!$C$12,65&lt;Projects!$C$12+Projects!$D$12),4736.84,0),Actuals!BR75)</f>
        <v>0</v>
      </c>
      <c r="BR160" s="393">
        <f>IF(ISBLANK(Actuals!BS75),IF(AND(Projects!$G$12="Yes",66&gt;=Projects!$C$12,66&lt;Projects!$C$12+Projects!$D$12),4736.84,0),Actuals!BS75)</f>
        <v>0</v>
      </c>
      <c r="BS160" s="393">
        <f>IF(ISBLANK(Actuals!BT75),IF(AND(Projects!$G$12="Yes",67&gt;=Projects!$C$12,67&lt;Projects!$C$12+Projects!$D$12),4736.84,0),Actuals!BT75)</f>
        <v>0</v>
      </c>
      <c r="BT160" s="393">
        <f>IF(ISBLANK(Actuals!BU75),IF(AND(Projects!$G$12="Yes",68&gt;=Projects!$C$12,68&lt;Projects!$C$12+Projects!$D$12),4736.84,0),Actuals!BU75)</f>
        <v>0</v>
      </c>
      <c r="BU160" s="393">
        <f>IF(ISBLANK(Actuals!BV75),IF(AND(Projects!$G$12="Yes",69&gt;=Projects!$C$12,69&lt;Projects!$C$12+Projects!$D$12),4736.84,0),Actuals!BV75)</f>
        <v>0</v>
      </c>
      <c r="BV160" s="393">
        <f>IF(ISBLANK(Actuals!BW75),IF(AND(Projects!$G$12="Yes",70&gt;=Projects!$C$12,70&lt;Projects!$C$12+Projects!$D$12),4736.84,0),Actuals!BW75)</f>
        <v>0</v>
      </c>
      <c r="BW160" s="393">
        <f>IF(ISBLANK(Actuals!BX75),IF(AND(Projects!$G$12="Yes",71&gt;=Projects!$C$12,71&lt;Projects!$C$12+Projects!$D$12),4736.84,0),Actuals!BX75)</f>
        <v>0</v>
      </c>
      <c r="BX160" s="393">
        <f>IF(ISBLANK(Actuals!BY75),IF(AND(Projects!$G$12="Yes",72&gt;=Projects!$C$12,72&lt;Projects!$C$12+Projects!$D$12),4736.84,0),Actuals!BY75)</f>
        <v>0</v>
      </c>
      <c r="BY160" s="393">
        <f>IF(ISBLANK(Actuals!BZ75),IF(AND(Projects!$G$12="Yes",73&gt;=Projects!$C$12,73&lt;Projects!$C$12+Projects!$D$12),4736.84,0),Actuals!BZ75)</f>
        <v>0</v>
      </c>
      <c r="BZ160" s="393">
        <f>IF(ISBLANK(Actuals!CA75),IF(AND(Projects!$G$12="Yes",74&gt;=Projects!$C$12,74&lt;Projects!$C$12+Projects!$D$12),4736.84,0),Actuals!CA75)</f>
        <v>0</v>
      </c>
      <c r="CA160" s="393">
        <f>IF(ISBLANK(Actuals!CB75),IF(AND(Projects!$G$12="Yes",75&gt;=Projects!$C$12,75&lt;Projects!$C$12+Projects!$D$12),4736.84,0),Actuals!CB75)</f>
        <v>0</v>
      </c>
      <c r="CB160" s="393">
        <f>IF(ISBLANK(Actuals!CC75),IF(AND(Projects!$G$12="Yes",76&gt;=Projects!$C$12,76&lt;Projects!$C$12+Projects!$D$12),4736.84,0),Actuals!CC75)</f>
        <v>0</v>
      </c>
      <c r="CC160" s="393">
        <f>IF(ISBLANK(Actuals!CD75),IF(AND(Projects!$G$12="Yes",77&gt;=Projects!$C$12,77&lt;Projects!$C$12+Projects!$D$12),4736.84,0),Actuals!CD75)</f>
        <v>0</v>
      </c>
      <c r="CD160" s="393">
        <f>IF(ISBLANK(Actuals!CE75),IF(AND(Projects!$G$12="Yes",78&gt;=Projects!$C$12,78&lt;Projects!$C$12+Projects!$D$12),4736.84,0),Actuals!CE75)</f>
        <v>0</v>
      </c>
      <c r="CE160" s="393">
        <f>IF(ISBLANK(Actuals!CF75),IF(AND(Projects!$G$12="Yes",79&gt;=Projects!$C$12,79&lt;Projects!$C$12+Projects!$D$12),4736.84,0),Actuals!CF75)</f>
        <v>0</v>
      </c>
      <c r="CF160" s="393">
        <f>IF(ISBLANK(Actuals!CG75),IF(AND(Projects!$G$12="Yes",80&gt;=Projects!$C$12,80&lt;Projects!$C$12+Projects!$D$12),4736.84,0),Actuals!CG75)</f>
        <v>0</v>
      </c>
      <c r="CG160" s="393">
        <f>IF(ISBLANK(Actuals!CH75),IF(AND(Projects!$G$12="Yes",81&gt;=Projects!$C$12,81&lt;Projects!$C$12+Projects!$D$12),4736.84,0),Actuals!CH75)</f>
        <v>0</v>
      </c>
      <c r="CH160" s="393">
        <f>IF(ISBLANK(Actuals!CI75),IF(AND(Projects!$G$12="Yes",82&gt;=Projects!$C$12,82&lt;Projects!$C$12+Projects!$D$12),4736.84,0),Actuals!CI75)</f>
        <v>0</v>
      </c>
      <c r="CI160" s="393">
        <f>IF(ISBLANK(Actuals!CJ75),IF(AND(Projects!$G$12="Yes",83&gt;=Projects!$C$12,83&lt;Projects!$C$12+Projects!$D$12),4736.84,0),Actuals!CJ75)</f>
        <v>0</v>
      </c>
      <c r="CJ160" s="393">
        <f>IF(ISBLANK(Actuals!CK75),IF(AND(Projects!$G$12="Yes",84&gt;=Projects!$C$12,84&lt;Projects!$C$12+Projects!$D$12),4736.84,0),Actuals!CK75)</f>
        <v>0</v>
      </c>
      <c r="CK160" s="393">
        <f>IF(ISBLANK(Actuals!CL75),IF(AND(Projects!$G$12="Yes",85&gt;=Projects!$C$12,85&lt;Projects!$C$12+Projects!$D$12),4736.84,0),Actuals!CL75)</f>
        <v>0</v>
      </c>
      <c r="CL160" s="393">
        <f>IF(ISBLANK(Actuals!CM75),IF(AND(Projects!$G$12="Yes",86&gt;=Projects!$C$12,86&lt;Projects!$C$12+Projects!$D$12),4736.84,0),Actuals!CM75)</f>
        <v>0</v>
      </c>
      <c r="CM160" s="393">
        <f>IF(ISBLANK(Actuals!CN75),IF(AND(Projects!$G$12="Yes",87&gt;=Projects!$C$12,87&lt;Projects!$C$12+Projects!$D$12),4736.84,0),Actuals!CN75)</f>
        <v>0</v>
      </c>
      <c r="CN160" s="393">
        <f>IF(ISBLANK(Actuals!CO75),IF(AND(Projects!$G$12="Yes",88&gt;=Projects!$C$12,88&lt;Projects!$C$12+Projects!$D$12),4736.84,0),Actuals!CO75)</f>
        <v>0</v>
      </c>
      <c r="CO160" s="393">
        <f>IF(ISBLANK(Actuals!CP75),IF(AND(Projects!$G$12="Yes",89&gt;=Projects!$C$12,89&lt;Projects!$C$12+Projects!$D$12),4736.84,0),Actuals!CP75)</f>
        <v>0</v>
      </c>
      <c r="CP160" s="393">
        <f>IF(ISBLANK(Actuals!CQ75),IF(AND(Projects!$G$12="Yes",90&gt;=Projects!$C$12,90&lt;Projects!$C$12+Projects!$D$12),4736.84,0),Actuals!CQ75)</f>
        <v>0</v>
      </c>
      <c r="CQ160" s="393">
        <f>IF(ISBLANK(Actuals!CR75),IF(AND(Projects!$G$12="Yes",91&gt;=Projects!$C$12,91&lt;Projects!$C$12+Projects!$D$12),4736.84,0),Actuals!CR75)</f>
        <v>0</v>
      </c>
      <c r="CR160" s="393">
        <f>IF(ISBLANK(Actuals!CS75),IF(AND(Projects!$G$12="Yes",92&gt;=Projects!$C$12,92&lt;Projects!$C$12+Projects!$D$12),4736.84,0),Actuals!CS75)</f>
        <v>0</v>
      </c>
      <c r="CS160" s="393">
        <f>IF(ISBLANK(Actuals!CT75),IF(AND(Projects!$G$12="Yes",93&gt;=Projects!$C$12,93&lt;Projects!$C$12+Projects!$D$12),4736.84,0),Actuals!CT75)</f>
        <v>0</v>
      </c>
      <c r="CT160" s="393">
        <f>IF(ISBLANK(Actuals!CU75),IF(AND(Projects!$G$12="Yes",94&gt;=Projects!$C$12,94&lt;Projects!$C$12+Projects!$D$12),4736.84,0),Actuals!CU75)</f>
        <v>0</v>
      </c>
      <c r="CU160" s="393">
        <f>IF(ISBLANK(Actuals!CV75),IF(AND(Projects!$G$12="Yes",95&gt;=Projects!$C$12,95&lt;Projects!$C$12+Projects!$D$12),4736.84,0),Actuals!CV75)</f>
        <v>0</v>
      </c>
      <c r="CV160" s="393">
        <f>IF(ISBLANK(Actuals!CW75),IF(AND(Projects!$G$12="Yes",96&gt;=Projects!$C$12,96&lt;Projects!$C$12+Projects!$D$12),4736.84,0),Actuals!CW75)</f>
        <v>0</v>
      </c>
      <c r="CW160" s="393">
        <f>IF(ISBLANK(Actuals!CX75),IF(AND(Projects!$G$12="Yes",97&gt;=Projects!$C$12,97&lt;Projects!$C$12+Projects!$D$12),4736.84,0),Actuals!CX75)</f>
        <v>0</v>
      </c>
      <c r="CX160" s="393">
        <f>IF(ISBLANK(Actuals!CY75),IF(AND(Projects!$G$12="Yes",98&gt;=Projects!$C$12,98&lt;Projects!$C$12+Projects!$D$12),4736.84,0),Actuals!CY75)</f>
        <v>0</v>
      </c>
      <c r="CY160" s="393">
        <f>IF(ISBLANK(Actuals!CZ75),IF(AND(Projects!$G$12="Yes",99&gt;=Projects!$C$12,99&lt;Projects!$C$12+Projects!$D$12),4736.84,0),Actuals!CZ75)</f>
        <v>0</v>
      </c>
      <c r="CZ160" s="393">
        <f>IF(ISBLANK(Actuals!DA75),IF(AND(Projects!$G$12="Yes",100&gt;=Projects!$C$12,100&lt;Projects!$C$12+Projects!$D$12),4736.84,0),Actuals!DA75)</f>
        <v>0</v>
      </c>
      <c r="DA160" s="393">
        <f>IF(ISBLANK(Actuals!DB75),IF(AND(Projects!$G$12="Yes",101&gt;=Projects!$C$12,101&lt;Projects!$C$12+Projects!$D$12),4736.84,0),Actuals!DB75)</f>
        <v>0</v>
      </c>
      <c r="DB160" s="393">
        <f>IF(ISBLANK(Actuals!DC75),IF(AND(Projects!$G$12="Yes",102&gt;=Projects!$C$12,102&lt;Projects!$C$12+Projects!$D$12),4736.84,0),Actuals!DC75)</f>
        <v>0</v>
      </c>
      <c r="DC160" s="393">
        <f>IF(ISBLANK(Actuals!DD75),IF(AND(Projects!$G$12="Yes",103&gt;=Projects!$C$12,103&lt;Projects!$C$12+Projects!$D$12),4736.84,0),Actuals!DD75)</f>
        <v>0</v>
      </c>
      <c r="DD160" s="393">
        <f>IF(ISBLANK(Actuals!DE75),IF(AND(Projects!$G$12="Yes",104&gt;=Projects!$C$12,104&lt;Projects!$C$12+Projects!$D$12),4736.84,0),Actuals!DE75)</f>
        <v>0</v>
      </c>
      <c r="DE160" s="393">
        <f>IF(ISBLANK(Actuals!DF75),IF(AND(Projects!$G$12="Yes",105&gt;=Projects!$C$12,105&lt;Projects!$C$12+Projects!$D$12),4736.84,0),Actuals!DF75)</f>
        <v>0</v>
      </c>
    </row>
    <row r="161" ht="15" customFormat="1" customHeight="1" s="381">
      <c r="A161" s="398" t="inlineStr">
        <is>
          <t>Scott Guarantee Fee</t>
        </is>
      </c>
      <c r="B161" s="393">
        <f>IF(ISBLANK(Actuals!C76),0,Actuals!C76)</f>
        <v>0</v>
      </c>
      <c r="C161" s="393">
        <f>IF(ISBLANK(Actuals!D76),0,Actuals!D76)</f>
        <v>0</v>
      </c>
      <c r="D161" s="393">
        <f>IF(ISBLANK(Actuals!E76),0,Actuals!E76)</f>
        <v>0</v>
      </c>
      <c r="E161" s="393">
        <f>IF(ISBLANK(Actuals!F76),IF(AND(Projects!$G$12="Yes",1=Projects!$C$12),181745,0),Actuals!F76)</f>
        <v>0</v>
      </c>
      <c r="F161" s="393">
        <f>IF(ISBLANK(Actuals!G76),IF(AND(Projects!$G$12="Yes",2=Projects!$C$12),181745,0),Actuals!G76)</f>
        <v>0</v>
      </c>
      <c r="G161" s="393">
        <f>IF(ISBLANK(Actuals!H76),IF(AND(Projects!$G$12="Yes",3=Projects!$C$12),181745,0),Actuals!H76)</f>
        <v>0</v>
      </c>
      <c r="H161" s="393">
        <f>IF(ISBLANK(Actuals!I76),IF(AND(Projects!$G$12="Yes",4=Projects!$C$12),181745,0),Actuals!I76)</f>
        <v>0</v>
      </c>
      <c r="I161" s="393">
        <f>IF(ISBLANK(Actuals!J76),IF(AND(Projects!$G$12="Yes",5=Projects!$C$12),181745,0),Actuals!J76)</f>
        <v>0</v>
      </c>
      <c r="J161" s="393">
        <f>IF(ISBLANK(Actuals!K76),IF(AND(Projects!$G$12="Yes",6=Projects!$C$12),181745,0),Actuals!K76)</f>
        <v>0</v>
      </c>
      <c r="K161" s="393">
        <f>IF(ISBLANK(Actuals!L76),IF(AND(Projects!$G$12="Yes",7=Projects!$C$12),181745,0),Actuals!L76)</f>
        <v>0</v>
      </c>
      <c r="L161" s="393">
        <f>IF(ISBLANK(Actuals!M76),IF(AND(Projects!$G$12="Yes",8=Projects!$C$12),181745,0),Actuals!M76)</f>
        <v>0</v>
      </c>
      <c r="M161" s="393">
        <f>IF(ISBLANK(Actuals!N76),IF(AND(Projects!$G$12="Yes",9=Projects!$C$12),181745,0),Actuals!N76)</f>
        <v>0</v>
      </c>
      <c r="N161" s="393">
        <f>IF(ISBLANK(Actuals!O76),IF(AND(Projects!$G$12="Yes",10=Projects!$C$12),181745,0),Actuals!O76)</f>
        <v>181745</v>
      </c>
      <c r="O161" s="393">
        <f>IF(ISBLANK(Actuals!P76),IF(AND(Projects!$G$12="Yes",11=Projects!$C$12),181745,0),Actuals!P76)</f>
        <v>0</v>
      </c>
      <c r="P161" s="393">
        <f>IF(ISBLANK(Actuals!Q76),IF(AND(Projects!$G$12="Yes",12=Projects!$C$12),181745,0),Actuals!Q76)</f>
        <v>0</v>
      </c>
      <c r="Q161" s="393">
        <f>IF(ISBLANK(Actuals!R76),IF(AND(Projects!$G$12="Yes",13=Projects!$C$12),181745,0),Actuals!R76)</f>
        <v>0</v>
      </c>
      <c r="R161" s="393">
        <f>IF(ISBLANK(Actuals!S76),IF(AND(Projects!$G$12="Yes",14=Projects!$C$12),181745,0),Actuals!S76)</f>
        <v>0</v>
      </c>
      <c r="S161" s="393">
        <f>IF(ISBLANK(Actuals!T76),IF(AND(Projects!$G$12="Yes",15=Projects!$C$12),181745,0),Actuals!T76)</f>
        <v>0</v>
      </c>
      <c r="T161" s="393">
        <f>IF(ISBLANK(Actuals!U76),IF(AND(Projects!$G$12="Yes",16=Projects!$C$12),181745,0),Actuals!U76)</f>
        <v>0</v>
      </c>
      <c r="U161" s="393">
        <f>IF(ISBLANK(Actuals!V76),IF(AND(Projects!$G$12="Yes",17=Projects!$C$12),181745,0),Actuals!V76)</f>
        <v>0</v>
      </c>
      <c r="V161" s="393">
        <f>IF(ISBLANK(Actuals!W76),IF(AND(Projects!$G$12="Yes",18=Projects!$C$12),181745,0),Actuals!W76)</f>
        <v>0</v>
      </c>
      <c r="W161" s="393">
        <f>IF(ISBLANK(Actuals!X76),IF(AND(Projects!$G$12="Yes",19=Projects!$C$12),181745,0),Actuals!X76)</f>
        <v>0</v>
      </c>
      <c r="X161" s="393">
        <f>IF(ISBLANK(Actuals!Y76),IF(AND(Projects!$G$12="Yes",20=Projects!$C$12),181745,0),Actuals!Y76)</f>
        <v>0</v>
      </c>
      <c r="Y161" s="393">
        <f>IF(ISBLANK(Actuals!Z76),IF(AND(Projects!$G$12="Yes",21=Projects!$C$12),181745,0),Actuals!Z76)</f>
        <v>0</v>
      </c>
      <c r="Z161" s="393">
        <f>IF(ISBLANK(Actuals!AA76),IF(AND(Projects!$G$12="Yes",22=Projects!$C$12),181745,0),Actuals!AA76)</f>
        <v>0</v>
      </c>
      <c r="AA161" s="393">
        <f>IF(ISBLANK(Actuals!AB76),IF(AND(Projects!$G$12="Yes",23=Projects!$C$12),181745,0),Actuals!AB76)</f>
        <v>0</v>
      </c>
      <c r="AB161" s="393">
        <f>IF(ISBLANK(Actuals!AC76),IF(AND(Projects!$G$12="Yes",24=Projects!$C$12),181745,0),Actuals!AC76)</f>
        <v>0</v>
      </c>
      <c r="AC161" s="393">
        <f>IF(ISBLANK(Actuals!AD76),IF(AND(Projects!$G$12="Yes",25=Projects!$C$12),181745,0),Actuals!AD76)</f>
        <v>0</v>
      </c>
      <c r="AD161" s="393">
        <f>IF(ISBLANK(Actuals!AE76),IF(AND(Projects!$G$12="Yes",26=Projects!$C$12),181745,0),Actuals!AE76)</f>
        <v>0</v>
      </c>
      <c r="AE161" s="393">
        <f>IF(ISBLANK(Actuals!AF76),IF(AND(Projects!$G$12="Yes",27=Projects!$C$12),181745,0),Actuals!AF76)</f>
        <v>0</v>
      </c>
      <c r="AF161" s="393">
        <f>IF(ISBLANK(Actuals!AG76),IF(AND(Projects!$G$12="Yes",28=Projects!$C$12),181745,0),Actuals!AG76)</f>
        <v>0</v>
      </c>
      <c r="AG161" s="393">
        <f>IF(ISBLANK(Actuals!AH76),IF(AND(Projects!$G$12="Yes",29=Projects!$C$12),181745,0),Actuals!AH76)</f>
        <v>0</v>
      </c>
      <c r="AH161" s="393">
        <f>IF(ISBLANK(Actuals!AI76),IF(AND(Projects!$G$12="Yes",30=Projects!$C$12),181745,0),Actuals!AI76)</f>
        <v>0</v>
      </c>
      <c r="AI161" s="393">
        <f>IF(ISBLANK(Actuals!AJ76),IF(AND(Projects!$G$12="Yes",31=Projects!$C$12),181745,0),Actuals!AJ76)</f>
        <v>0</v>
      </c>
      <c r="AJ161" s="393">
        <f>IF(ISBLANK(Actuals!AK76),IF(AND(Projects!$G$12="Yes",32=Projects!$C$12),181745,0),Actuals!AK76)</f>
        <v>0</v>
      </c>
      <c r="AK161" s="393">
        <f>IF(ISBLANK(Actuals!AL76),IF(AND(Projects!$G$12="Yes",33=Projects!$C$12),181745,0),Actuals!AL76)</f>
        <v>0</v>
      </c>
      <c r="AL161" s="393">
        <f>IF(ISBLANK(Actuals!AM76),IF(AND(Projects!$G$12="Yes",34=Projects!$C$12),181745,0),Actuals!AM76)</f>
        <v>0</v>
      </c>
      <c r="AM161" s="393">
        <f>IF(ISBLANK(Actuals!AN76),IF(AND(Projects!$G$12="Yes",35=Projects!$C$12),181745,0),Actuals!AN76)</f>
        <v>0</v>
      </c>
      <c r="AN161" s="393">
        <f>IF(ISBLANK(Actuals!AO76),IF(AND(Projects!$G$12="Yes",36=Projects!$C$12),181745,0),Actuals!AO76)</f>
        <v>0</v>
      </c>
      <c r="AO161" s="393">
        <f>IF(ISBLANK(Actuals!AP76),IF(AND(Projects!$G$12="Yes",37=Projects!$C$12),181745,0),Actuals!AP76)</f>
        <v>0</v>
      </c>
      <c r="AP161" s="393">
        <f>IF(ISBLANK(Actuals!AQ76),IF(AND(Projects!$G$12="Yes",38=Projects!$C$12),181745,0),Actuals!AQ76)</f>
        <v>0</v>
      </c>
      <c r="AQ161" s="393">
        <f>IF(ISBLANK(Actuals!AR76),IF(AND(Projects!$G$12="Yes",39=Projects!$C$12),181745,0),Actuals!AR76)</f>
        <v>0</v>
      </c>
      <c r="AR161" s="393">
        <f>IF(ISBLANK(Actuals!AS76),IF(AND(Projects!$G$12="Yes",40=Projects!$C$12),181745,0),Actuals!AS76)</f>
        <v>0</v>
      </c>
      <c r="AS161" s="393">
        <f>IF(ISBLANK(Actuals!AT76),IF(AND(Projects!$G$12="Yes",41=Projects!$C$12),181745,0),Actuals!AT76)</f>
        <v>0</v>
      </c>
      <c r="AT161" s="393">
        <f>IF(ISBLANK(Actuals!AU76),IF(AND(Projects!$G$12="Yes",42=Projects!$C$12),181745,0),Actuals!AU76)</f>
        <v>0</v>
      </c>
      <c r="AU161" s="393">
        <f>IF(ISBLANK(Actuals!AV76),IF(AND(Projects!$G$12="Yes",43=Projects!$C$12),181745,0),Actuals!AV76)</f>
        <v>0</v>
      </c>
      <c r="AV161" s="393">
        <f>IF(ISBLANK(Actuals!AW76),IF(AND(Projects!$G$12="Yes",44=Projects!$C$12),181745,0),Actuals!AW76)</f>
        <v>0</v>
      </c>
      <c r="AW161" s="393">
        <f>IF(ISBLANK(Actuals!AX76),IF(AND(Projects!$G$12="Yes",45=Projects!$C$12),181745,0),Actuals!AX76)</f>
        <v>0</v>
      </c>
      <c r="AX161" s="393">
        <f>IF(ISBLANK(Actuals!AY76),IF(AND(Projects!$G$12="Yes",46=Projects!$C$12),181745,0),Actuals!AY76)</f>
        <v>0</v>
      </c>
      <c r="AY161" s="393">
        <f>IF(ISBLANK(Actuals!AZ76),IF(AND(Projects!$G$12="Yes",47=Projects!$C$12),181745,0),Actuals!AZ76)</f>
        <v>0</v>
      </c>
      <c r="AZ161" s="393">
        <f>IF(ISBLANK(Actuals!BA76),IF(AND(Projects!$G$12="Yes",48=Projects!$C$12),181745,0),Actuals!BA76)</f>
        <v>0</v>
      </c>
      <c r="BA161" s="393">
        <f>IF(ISBLANK(Actuals!BB76),IF(AND(Projects!$G$12="Yes",49=Projects!$C$12),181745,0),Actuals!BB76)</f>
        <v>0</v>
      </c>
      <c r="BB161" s="393">
        <f>IF(ISBLANK(Actuals!BC76),IF(AND(Projects!$G$12="Yes",50=Projects!$C$12),181745,0),Actuals!BC76)</f>
        <v>0</v>
      </c>
      <c r="BC161" s="393">
        <f>IF(ISBLANK(Actuals!BD76),IF(AND(Projects!$G$12="Yes",51=Projects!$C$12),181745,0),Actuals!BD76)</f>
        <v>0</v>
      </c>
      <c r="BD161" s="393">
        <f>IF(ISBLANK(Actuals!BE76),IF(AND(Projects!$G$12="Yes",52=Projects!$C$12),181745,0),Actuals!BE76)</f>
        <v>0</v>
      </c>
      <c r="BE161" s="393">
        <f>IF(ISBLANK(Actuals!BF76),IF(AND(Projects!$G$12="Yes",53=Projects!$C$12),181745,0),Actuals!BF76)</f>
        <v>0</v>
      </c>
      <c r="BF161" s="393">
        <f>IF(ISBLANK(Actuals!BG76),IF(AND(Projects!$G$12="Yes",54=Projects!$C$12),181745,0),Actuals!BG76)</f>
        <v>0</v>
      </c>
      <c r="BG161" s="393">
        <f>IF(ISBLANK(Actuals!BH76),IF(AND(Projects!$G$12="Yes",55=Projects!$C$12),181745,0),Actuals!BH76)</f>
        <v>0</v>
      </c>
      <c r="BH161" s="393">
        <f>IF(ISBLANK(Actuals!BI76),IF(AND(Projects!$G$12="Yes",56=Projects!$C$12),181745,0),Actuals!BI76)</f>
        <v>0</v>
      </c>
      <c r="BI161" s="393">
        <f>IF(ISBLANK(Actuals!BJ76),IF(AND(Projects!$G$12="Yes",57=Projects!$C$12),181745,0),Actuals!BJ76)</f>
        <v>0</v>
      </c>
      <c r="BJ161" s="393">
        <f>IF(ISBLANK(Actuals!BK76),IF(AND(Projects!$G$12="Yes",58=Projects!$C$12),181745,0),Actuals!BK76)</f>
        <v>0</v>
      </c>
      <c r="BK161" s="393">
        <f>IF(ISBLANK(Actuals!BL76),IF(AND(Projects!$G$12="Yes",59=Projects!$C$12),181745,0),Actuals!BL76)</f>
        <v>0</v>
      </c>
      <c r="BL161" s="393">
        <f>IF(ISBLANK(Actuals!BM76),IF(AND(Projects!$G$12="Yes",60=Projects!$C$12),181745,0),Actuals!BM76)</f>
        <v>0</v>
      </c>
      <c r="BM161" s="393">
        <f>IF(ISBLANK(Actuals!BN76),IF(AND(Projects!$G$12="Yes",61=Projects!$C$12),181745,0),Actuals!BN76)</f>
        <v>0</v>
      </c>
      <c r="BN161" s="393">
        <f>IF(ISBLANK(Actuals!BO76),IF(AND(Projects!$G$12="Yes",62=Projects!$C$12),181745,0),Actuals!BO76)</f>
        <v>0</v>
      </c>
      <c r="BO161" s="393">
        <f>IF(ISBLANK(Actuals!BP76),IF(AND(Projects!$G$12="Yes",63=Projects!$C$12),181745,0),Actuals!BP76)</f>
        <v>0</v>
      </c>
      <c r="BP161" s="393">
        <f>IF(ISBLANK(Actuals!BQ76),IF(AND(Projects!$G$12="Yes",64=Projects!$C$12),181745,0),Actuals!BQ76)</f>
        <v>0</v>
      </c>
      <c r="BQ161" s="393">
        <f>IF(ISBLANK(Actuals!BR76),IF(AND(Projects!$G$12="Yes",65=Projects!$C$12),181745,0),Actuals!BR76)</f>
        <v>0</v>
      </c>
      <c r="BR161" s="393">
        <f>IF(ISBLANK(Actuals!BS76),IF(AND(Projects!$G$12="Yes",66=Projects!$C$12),181745,0),Actuals!BS76)</f>
        <v>0</v>
      </c>
      <c r="BS161" s="393">
        <f>IF(ISBLANK(Actuals!BT76),IF(AND(Projects!$G$12="Yes",67=Projects!$C$12),181745,0),Actuals!BT76)</f>
        <v>0</v>
      </c>
      <c r="BT161" s="393">
        <f>IF(ISBLANK(Actuals!BU76),IF(AND(Projects!$G$12="Yes",68=Projects!$C$12),181745,0),Actuals!BU76)</f>
        <v>0</v>
      </c>
      <c r="BU161" s="393">
        <f>IF(ISBLANK(Actuals!BV76),IF(AND(Projects!$G$12="Yes",69=Projects!$C$12),181745,0),Actuals!BV76)</f>
        <v>0</v>
      </c>
      <c r="BV161" s="393">
        <f>IF(ISBLANK(Actuals!BW76),IF(AND(Projects!$G$12="Yes",70=Projects!$C$12),181745,0),Actuals!BW76)</f>
        <v>0</v>
      </c>
      <c r="BW161" s="393">
        <f>IF(ISBLANK(Actuals!BX76),IF(AND(Projects!$G$12="Yes",71=Projects!$C$12),181745,0),Actuals!BX76)</f>
        <v>0</v>
      </c>
      <c r="BX161" s="393">
        <f>IF(ISBLANK(Actuals!BY76),IF(AND(Projects!$G$12="Yes",72=Projects!$C$12),181745,0),Actuals!BY76)</f>
        <v>0</v>
      </c>
      <c r="BY161" s="393">
        <f>IF(ISBLANK(Actuals!BZ76),IF(AND(Projects!$G$12="Yes",73=Projects!$C$12),181745,0),Actuals!BZ76)</f>
        <v>0</v>
      </c>
      <c r="BZ161" s="393">
        <f>IF(ISBLANK(Actuals!CA76),IF(AND(Projects!$G$12="Yes",74=Projects!$C$12),181745,0),Actuals!CA76)</f>
        <v>0</v>
      </c>
      <c r="CA161" s="393">
        <f>IF(ISBLANK(Actuals!CB76),IF(AND(Projects!$G$12="Yes",75=Projects!$C$12),181745,0),Actuals!CB76)</f>
        <v>0</v>
      </c>
      <c r="CB161" s="393">
        <f>IF(ISBLANK(Actuals!CC76),IF(AND(Projects!$G$12="Yes",76=Projects!$C$12),181745,0),Actuals!CC76)</f>
        <v>0</v>
      </c>
      <c r="CC161" s="393">
        <f>IF(ISBLANK(Actuals!CD76),IF(AND(Projects!$G$12="Yes",77=Projects!$C$12),181745,0),Actuals!CD76)</f>
        <v>0</v>
      </c>
      <c r="CD161" s="393">
        <f>IF(ISBLANK(Actuals!CE76),IF(AND(Projects!$G$12="Yes",78=Projects!$C$12),181745,0),Actuals!CE76)</f>
        <v>0</v>
      </c>
      <c r="CE161" s="393">
        <f>IF(ISBLANK(Actuals!CF76),IF(AND(Projects!$G$12="Yes",79=Projects!$C$12),181745,0),Actuals!CF76)</f>
        <v>0</v>
      </c>
      <c r="CF161" s="393">
        <f>IF(ISBLANK(Actuals!CG76),IF(AND(Projects!$G$12="Yes",80=Projects!$C$12),181745,0),Actuals!CG76)</f>
        <v>0</v>
      </c>
      <c r="CG161" s="393">
        <f>IF(ISBLANK(Actuals!CH76),IF(AND(Projects!$G$12="Yes",81=Projects!$C$12),181745,0),Actuals!CH76)</f>
        <v>0</v>
      </c>
      <c r="CH161" s="393">
        <f>IF(ISBLANK(Actuals!CI76),IF(AND(Projects!$G$12="Yes",82=Projects!$C$12),181745,0),Actuals!CI76)</f>
        <v>0</v>
      </c>
      <c r="CI161" s="393">
        <f>IF(ISBLANK(Actuals!CJ76),IF(AND(Projects!$G$12="Yes",83=Projects!$C$12),181745,0),Actuals!CJ76)</f>
        <v>0</v>
      </c>
      <c r="CJ161" s="393">
        <f>IF(ISBLANK(Actuals!CK76),IF(AND(Projects!$G$12="Yes",84=Projects!$C$12),181745,0),Actuals!CK76)</f>
        <v>0</v>
      </c>
      <c r="CK161" s="393">
        <f>IF(ISBLANK(Actuals!CL76),IF(AND(Projects!$G$12="Yes",85=Projects!$C$12),181745,0),Actuals!CL76)</f>
        <v>0</v>
      </c>
      <c r="CL161" s="393">
        <f>IF(ISBLANK(Actuals!CM76),IF(AND(Projects!$G$12="Yes",86=Projects!$C$12),181745,0),Actuals!CM76)</f>
        <v>0</v>
      </c>
      <c r="CM161" s="393">
        <f>IF(ISBLANK(Actuals!CN76),IF(AND(Projects!$G$12="Yes",87=Projects!$C$12),181745,0),Actuals!CN76)</f>
        <v>0</v>
      </c>
      <c r="CN161" s="393">
        <f>IF(ISBLANK(Actuals!CO76),IF(AND(Projects!$G$12="Yes",88=Projects!$C$12),181745,0),Actuals!CO76)</f>
        <v>0</v>
      </c>
      <c r="CO161" s="393">
        <f>IF(ISBLANK(Actuals!CP76),IF(AND(Projects!$G$12="Yes",89=Projects!$C$12),181745,0),Actuals!CP76)</f>
        <v>0</v>
      </c>
      <c r="CP161" s="393">
        <f>IF(ISBLANK(Actuals!CQ76),IF(AND(Projects!$G$12="Yes",90=Projects!$C$12),181745,0),Actuals!CQ76)</f>
        <v>0</v>
      </c>
      <c r="CQ161" s="393">
        <f>IF(ISBLANK(Actuals!CR76),IF(AND(Projects!$G$12="Yes",91=Projects!$C$12),181745,0),Actuals!CR76)</f>
        <v>0</v>
      </c>
      <c r="CR161" s="393">
        <f>IF(ISBLANK(Actuals!CS76),IF(AND(Projects!$G$12="Yes",92=Projects!$C$12),181745,0),Actuals!CS76)</f>
        <v>0</v>
      </c>
      <c r="CS161" s="393">
        <f>IF(ISBLANK(Actuals!CT76),IF(AND(Projects!$G$12="Yes",93=Projects!$C$12),181745,0),Actuals!CT76)</f>
        <v>0</v>
      </c>
      <c r="CT161" s="393">
        <f>IF(ISBLANK(Actuals!CU76),IF(AND(Projects!$G$12="Yes",94=Projects!$C$12),181745,0),Actuals!CU76)</f>
        <v>0</v>
      </c>
      <c r="CU161" s="393">
        <f>IF(ISBLANK(Actuals!CV76),IF(AND(Projects!$G$12="Yes",95=Projects!$C$12),181745,0),Actuals!CV76)</f>
        <v>0</v>
      </c>
      <c r="CV161" s="393">
        <f>IF(ISBLANK(Actuals!CW76),IF(AND(Projects!$G$12="Yes",96=Projects!$C$12),181745,0),Actuals!CW76)</f>
        <v>0</v>
      </c>
      <c r="CW161" s="393">
        <f>IF(ISBLANK(Actuals!CX76),IF(AND(Projects!$G$12="Yes",97=Projects!$C$12),181745,0),Actuals!CX76)</f>
        <v>0</v>
      </c>
      <c r="CX161" s="393">
        <f>IF(ISBLANK(Actuals!CY76),IF(AND(Projects!$G$12="Yes",98=Projects!$C$12),181745,0),Actuals!CY76)</f>
        <v>0</v>
      </c>
      <c r="CY161" s="393">
        <f>IF(ISBLANK(Actuals!CZ76),IF(AND(Projects!$G$12="Yes",99=Projects!$C$12),181745,0),Actuals!CZ76)</f>
        <v>0</v>
      </c>
      <c r="CZ161" s="393">
        <f>IF(ISBLANK(Actuals!DA76),IF(AND(Projects!$G$12="Yes",100=Projects!$C$12),181745,0),Actuals!DA76)</f>
        <v>0</v>
      </c>
      <c r="DA161" s="393">
        <f>IF(ISBLANK(Actuals!DB76),IF(AND(Projects!$G$12="Yes",101=Projects!$C$12),181745,0),Actuals!DB76)</f>
        <v>0</v>
      </c>
      <c r="DB161" s="393">
        <f>IF(ISBLANK(Actuals!DC76),IF(AND(Projects!$G$12="Yes",102=Projects!$C$12),181745,0),Actuals!DC76)</f>
        <v>0</v>
      </c>
      <c r="DC161" s="393">
        <f>IF(ISBLANK(Actuals!DD76),IF(AND(Projects!$G$12="Yes",103=Projects!$C$12),181745,0),Actuals!DD76)</f>
        <v>0</v>
      </c>
      <c r="DD161" s="393">
        <f>IF(ISBLANK(Actuals!DE76),IF(AND(Projects!$G$12="Yes",104=Projects!$C$12),181745,0),Actuals!DE76)</f>
        <v>0</v>
      </c>
      <c r="DE161" s="393">
        <f>IF(ISBLANK(Actuals!DF76),IF(AND(Projects!$G$12="Yes",105=Projects!$C$12),181745,0),Actuals!DF76)</f>
        <v>0</v>
      </c>
    </row>
    <row r="162" ht="15" customFormat="1" customHeight="1" s="381">
      <c r="A162" s="398" t="inlineStr">
        <is>
          <t>Francis LIHTC Revenue (SP Share)</t>
        </is>
      </c>
      <c r="B162" s="393">
        <f>IF(ISBLANK(Actuals!C77),0,Actuals!C77)</f>
        <v>0</v>
      </c>
      <c r="C162" s="393">
        <f>IF(ISBLANK(Actuals!D77),0,Actuals!D77)</f>
        <v>0</v>
      </c>
      <c r="D162" s="393">
        <f>IF(ISBLANK(Actuals!E77),0,Actuals!E77)</f>
        <v>0</v>
      </c>
      <c r="E162" s="393">
        <f>IF(ISBLANK(Actuals!F77),0,Actuals!F77)</f>
        <v>0</v>
      </c>
      <c r="F162" s="393">
        <f>IF(ISBLANK(Actuals!G77),0,Actuals!G77)</f>
        <v>0</v>
      </c>
      <c r="G162" s="393">
        <f>IF(ISBLANK(Actuals!H77),0,Actuals!H77)</f>
        <v>0</v>
      </c>
      <c r="H162" s="393">
        <f>IF(ISBLANK(Actuals!I77),0,Actuals!I77)</f>
        <v>0</v>
      </c>
      <c r="I162" s="393">
        <f>IF(ISBLANK(Actuals!J77),0,Actuals!J77)</f>
        <v>0</v>
      </c>
      <c r="J162" s="393">
        <f>IF(ISBLANK(Actuals!K77),0,Actuals!K77)</f>
        <v>0</v>
      </c>
      <c r="K162" s="393">
        <f>IF(ISBLANK(Actuals!L77),0,Actuals!L77)</f>
        <v>0</v>
      </c>
      <c r="L162" s="393">
        <f>IF(ISBLANK(Actuals!M77),0,Actuals!M77)</f>
        <v>0</v>
      </c>
      <c r="M162" s="393">
        <f>IF(ISBLANK(Actuals!N77),0,Actuals!N77)</f>
        <v>0</v>
      </c>
      <c r="N162" s="393">
        <f>IF(ISBLANK(Actuals!O77),0,Actuals!O77)</f>
        <v>0</v>
      </c>
      <c r="O162" s="393">
        <f>IF(ISBLANK(Actuals!P77),0,Actuals!P77)</f>
        <v>0</v>
      </c>
      <c r="P162" s="393">
        <f>IF(ISBLANK(Actuals!Q77),0,Actuals!Q77)</f>
        <v>0</v>
      </c>
      <c r="Q162" s="393">
        <f>IF(ISBLANK(Actuals!R77),0,Actuals!R77)</f>
        <v>0</v>
      </c>
      <c r="R162" s="393">
        <f>IF(ISBLANK(Actuals!S77),0,Actuals!S77)</f>
        <v>0</v>
      </c>
      <c r="S162" s="393">
        <f>IF(ISBLANK(Actuals!T77),0,Actuals!T77)</f>
        <v>0</v>
      </c>
      <c r="T162" s="393">
        <f>IF(ISBLANK(Actuals!U77),0,Actuals!U77)</f>
        <v>0</v>
      </c>
      <c r="U162" s="393">
        <f>IF(ISBLANK(Actuals!V77),0,Actuals!V77)</f>
        <v>0</v>
      </c>
      <c r="V162" s="393">
        <f>IF(ISBLANK(Actuals!W77),0,Actuals!W77)</f>
        <v>0</v>
      </c>
      <c r="W162" s="393">
        <f>IF(ISBLANK(Actuals!X77),0,Actuals!X77)</f>
        <v>0</v>
      </c>
      <c r="X162" s="393">
        <f>IF(ISBLANK(Actuals!Y77),0,Actuals!Y77)</f>
        <v>0</v>
      </c>
      <c r="Y162" s="393">
        <f>IF(ISBLANK(Actuals!Z77),0,Actuals!Z77)</f>
        <v>0</v>
      </c>
      <c r="Z162" s="393">
        <f>IF(ISBLANK(Actuals!AA77),0,Actuals!AA77)</f>
        <v>0</v>
      </c>
      <c r="AA162" s="393">
        <f>IF(ISBLANK(Actuals!AB77),0,Actuals!AB77)</f>
        <v>0</v>
      </c>
      <c r="AB162" s="393">
        <f>IF(ISBLANK(Actuals!AC77),0,Actuals!AC77)</f>
        <v>0</v>
      </c>
      <c r="AC162" s="393">
        <f>IF(ISBLANK(Actuals!AD77),0,Actuals!AD77)</f>
        <v>0</v>
      </c>
      <c r="AD162" s="393">
        <f>IF(ISBLANK(Actuals!AE77),0,Actuals!AE77)</f>
        <v>0</v>
      </c>
      <c r="AE162" s="393">
        <f>IF(ISBLANK(Actuals!AF77),0,Actuals!AF77)</f>
        <v>0</v>
      </c>
      <c r="AF162" s="393">
        <f>IF(ISBLANK(Actuals!AG77),0,Actuals!AG77)</f>
        <v>0</v>
      </c>
      <c r="AG162" s="393">
        <f>IF(ISBLANK(Actuals!AH77),0,Actuals!AH77)</f>
        <v>0</v>
      </c>
      <c r="AH162" s="393">
        <f>IF(ISBLANK(Actuals!AI77),0,Actuals!AI77)</f>
        <v>0</v>
      </c>
      <c r="AI162" s="393">
        <f>IF(ISBLANK(Actuals!AJ77),0,Actuals!AJ77)</f>
        <v>0</v>
      </c>
      <c r="AJ162" s="393">
        <f>IF(ISBLANK(Actuals!AK77),0,Actuals!AK77)</f>
        <v>0</v>
      </c>
      <c r="AK162" s="393">
        <f>IF(ISBLANK(Actuals!AL77),0,Actuals!AL77)</f>
        <v>0</v>
      </c>
      <c r="AL162" s="393">
        <f>IF(ISBLANK(Actuals!AM77),0,Actuals!AM77)</f>
        <v>0</v>
      </c>
      <c r="AM162" s="393">
        <f>IF(ISBLANK(Actuals!AN77),0,Actuals!AN77)</f>
        <v>0</v>
      </c>
      <c r="AN162" s="393">
        <f>IF(ISBLANK(Actuals!AO77),0,Actuals!AO77)</f>
        <v>0</v>
      </c>
      <c r="AO162" s="393">
        <f>IF(ISBLANK(Actuals!AP77),0,Actuals!AP77)</f>
        <v>0</v>
      </c>
      <c r="AP162" s="393">
        <f>IF(ISBLANK(Actuals!AQ77),0,Actuals!AQ77)</f>
        <v>0</v>
      </c>
      <c r="AQ162" s="393">
        <f>IF(ISBLANK(Actuals!AR77),0,Actuals!AR77)</f>
        <v>0</v>
      </c>
      <c r="AR162" s="393">
        <f>IF(ISBLANK(Actuals!AS77),0,Actuals!AS77)</f>
        <v>0</v>
      </c>
      <c r="AS162" s="393">
        <f>IF(ISBLANK(Actuals!AT77),0,Actuals!AT77)</f>
        <v>0</v>
      </c>
      <c r="AT162" s="393">
        <f>IF(ISBLANK(Actuals!AU77),IF(Projects!$G$7="Yes",81683,0),Actuals!AU77)</f>
        <v>81683</v>
      </c>
      <c r="AU162" s="393">
        <f>IF(ISBLANK(Actuals!AV77),0,Actuals!AV77)</f>
        <v>0</v>
      </c>
      <c r="AV162" s="393">
        <f>IF(ISBLANK(Actuals!AW77),0,Actuals!AW77)</f>
        <v>0</v>
      </c>
      <c r="AW162" s="393">
        <f>IF(ISBLANK(Actuals!AX77),IF(Projects!$G$7="Yes",81682,0),Actuals!AX77)</f>
        <v>81682</v>
      </c>
      <c r="AX162" s="393">
        <f>IF(ISBLANK(Actuals!AY77),0,Actuals!AY77)</f>
        <v>0</v>
      </c>
      <c r="AY162" s="393">
        <f>IF(ISBLANK(Actuals!AZ77),0,Actuals!AZ77)</f>
        <v>0</v>
      </c>
      <c r="AZ162" s="393">
        <f>IF(ISBLANK(Actuals!BA77),IF(Projects!$G$7="Yes",81682,0),Actuals!BA77)</f>
        <v>81682</v>
      </c>
      <c r="BA162" s="393">
        <f>IF(ISBLANK(Actuals!BB77),0,Actuals!BB77)</f>
        <v>0</v>
      </c>
      <c r="BB162" s="393">
        <f>IF(ISBLANK(Actuals!BC77),0,Actuals!BC77)</f>
        <v>0</v>
      </c>
      <c r="BC162" s="393">
        <f>IF(ISBLANK(Actuals!BD77),IF(Projects!$G$7="Yes",81682,0),Actuals!BD77)</f>
        <v>81682</v>
      </c>
      <c r="BD162" s="393">
        <f>IF(ISBLANK(Actuals!BE77),0,Actuals!BE77)</f>
        <v>0</v>
      </c>
      <c r="BE162" s="393">
        <f>IF(ISBLANK(Actuals!BF77),0,Actuals!BF77)</f>
        <v>0</v>
      </c>
      <c r="BF162" s="393">
        <f>IF(ISBLANK(Actuals!BG77),IF(Projects!$G$7="Yes",59178,0),Actuals!BG77)</f>
        <v>59178</v>
      </c>
      <c r="BG162" s="393">
        <f>IF(ISBLANK(Actuals!BH77),0,Actuals!BH77)</f>
        <v>0</v>
      </c>
      <c r="BH162" s="393">
        <f>IF(ISBLANK(Actuals!BI77),0,Actuals!BI77)</f>
        <v>0</v>
      </c>
      <c r="BI162" s="393">
        <f>IF(ISBLANK(Actuals!BJ77),IF(Projects!$G$7="Yes",59176,0),Actuals!BJ77)</f>
        <v>59176</v>
      </c>
      <c r="BJ162" s="393">
        <f>IF(ISBLANK(Actuals!BK77),0,Actuals!BK77)</f>
        <v>0</v>
      </c>
      <c r="BK162" s="393">
        <f>IF(ISBLANK(Actuals!BL77),0,Actuals!BL77)</f>
        <v>0</v>
      </c>
      <c r="BL162" s="393">
        <f>IF(ISBLANK(Actuals!BM77),IF(Projects!$G$7="Yes",59176,0),Actuals!BM77)</f>
        <v>59176</v>
      </c>
      <c r="BM162" s="393">
        <f>IF(ISBLANK(Actuals!BN77),0,Actuals!BN77)</f>
        <v>0</v>
      </c>
      <c r="BN162" s="393">
        <f>IF(ISBLANK(Actuals!BO77),0,Actuals!BO77)</f>
        <v>0</v>
      </c>
      <c r="BO162" s="393">
        <f>IF(ISBLANK(Actuals!BP77),IF(Projects!$G$7="Yes",59176,0),Actuals!BP77)</f>
        <v>59176</v>
      </c>
      <c r="BP162" s="393">
        <f>IF(ISBLANK(Actuals!BQ77),0,Actuals!BQ77)</f>
        <v>0</v>
      </c>
      <c r="BQ162" s="393">
        <f>IF(ISBLANK(Actuals!BR77),0,Actuals!BR77)</f>
        <v>0</v>
      </c>
      <c r="BR162" s="393">
        <f>IF(ISBLANK(Actuals!BS77),IF(Projects!$G$7="Yes",67763,0),Actuals!BS77)</f>
        <v>67763</v>
      </c>
      <c r="BS162" s="393">
        <f>IF(ISBLANK(Actuals!BT77),0,Actuals!BT77)</f>
        <v>0</v>
      </c>
      <c r="BT162" s="393">
        <f>IF(ISBLANK(Actuals!BU77),0,Actuals!BU77)</f>
        <v>0</v>
      </c>
      <c r="BU162" s="393">
        <f>IF(ISBLANK(Actuals!BV77),IF(Projects!$G$7="Yes",67762,0),Actuals!BV77)</f>
        <v>67762</v>
      </c>
      <c r="BV162" s="393">
        <f>IF(ISBLANK(Actuals!BW77),0,Actuals!BW77)</f>
        <v>0</v>
      </c>
      <c r="BW162" s="393">
        <f>IF(ISBLANK(Actuals!BX77),0,Actuals!BX77)</f>
        <v>0</v>
      </c>
      <c r="BX162" s="393">
        <f>IF(ISBLANK(Actuals!BY77),IF(Projects!$G$7="Yes",67762,0),Actuals!BY77)</f>
        <v>67762</v>
      </c>
      <c r="BY162" s="393">
        <f>IF(ISBLANK(Actuals!BZ77),0,Actuals!BZ77)</f>
        <v>0</v>
      </c>
      <c r="BZ162" s="393">
        <f>IF(ISBLANK(Actuals!CA77),0,Actuals!CA77)</f>
        <v>0</v>
      </c>
      <c r="CA162" s="393">
        <f>IF(ISBLANK(Actuals!CB77),IF(Projects!$G$7="Yes",67762,0),Actuals!CB77)</f>
        <v>67762</v>
      </c>
      <c r="CB162" s="393">
        <f>IF(ISBLANK(Actuals!CC77),0,Actuals!CC77)</f>
        <v>0</v>
      </c>
      <c r="CC162" s="393">
        <f>IF(ISBLANK(Actuals!CD77),0,Actuals!CD77)</f>
        <v>0</v>
      </c>
      <c r="CD162" s="393">
        <f>IF(ISBLANK(Actuals!CE77),IF(Projects!$G$7="Yes",76499,0),Actuals!CE77)</f>
        <v>76499</v>
      </c>
      <c r="CE162" s="393">
        <f>IF(ISBLANK(Actuals!CF77),0,Actuals!CF77)</f>
        <v>0</v>
      </c>
      <c r="CF162" s="393">
        <f>IF(ISBLANK(Actuals!CG77),0,Actuals!CG77)</f>
        <v>0</v>
      </c>
      <c r="CG162" s="393">
        <f>IF(ISBLANK(Actuals!CH77),IF(Projects!$G$7="Yes",76499,0),Actuals!CH77)</f>
        <v>76499</v>
      </c>
      <c r="CH162" s="393">
        <f>IF(ISBLANK(Actuals!CI77),0,Actuals!CI77)</f>
        <v>0</v>
      </c>
      <c r="CI162" s="393">
        <f>IF(ISBLANK(Actuals!CJ77),0,Actuals!CJ77)</f>
        <v>0</v>
      </c>
      <c r="CJ162" s="393">
        <f>IF(ISBLANK(Actuals!CK77),IF(Projects!$G$7="Yes",76499,0),Actuals!CK77)</f>
        <v>76499</v>
      </c>
      <c r="CK162" s="393">
        <f>IF(ISBLANK(Actuals!CL77),IF(Projects!$G$7="Yes",76499,0),Actuals!CL77)</f>
        <v>76499</v>
      </c>
      <c r="CL162" s="393">
        <f>IF(ISBLANK(Actuals!CM77),IF(Projects!$G$7="Yes",76499,0),Actuals!CM77)</f>
        <v>76499</v>
      </c>
      <c r="CM162" s="393">
        <f>IF(ISBLANK(Actuals!CN77),IF(Projects!$G$7="Yes",76499,0),Actuals!CN77)</f>
        <v>76499</v>
      </c>
      <c r="CN162" s="393">
        <f>IF(ISBLANK(Actuals!CO77),IF(Projects!$G$7="Yes",76499,0),Actuals!CO77)</f>
        <v>76499</v>
      </c>
      <c r="CO162" s="393">
        <f>IF(ISBLANK(Actuals!CP77),IF(Projects!$G$7="Yes",76499,0),Actuals!CP77)</f>
        <v>76499</v>
      </c>
      <c r="CP162" s="393">
        <f>IF(ISBLANK(Actuals!CQ77),IF(Projects!$G$7="Yes",76499,0),Actuals!CQ77)</f>
        <v>76499</v>
      </c>
      <c r="CQ162" s="393">
        <f>IF(ISBLANK(Actuals!CR77),IF(Projects!$G$7="Yes",76499,0),Actuals!CR77)</f>
        <v>76499</v>
      </c>
      <c r="CR162" s="393">
        <f>IF(ISBLANK(Actuals!CS77),IF(Projects!$G$7="Yes",76499,0),Actuals!CS77)</f>
        <v>76499</v>
      </c>
      <c r="CS162" s="393">
        <f>IF(ISBLANK(Actuals!CT77),IF(Projects!$G$7="Yes",76499,0),Actuals!CT77)</f>
        <v>76499</v>
      </c>
      <c r="CT162" s="393">
        <f>IF(ISBLANK(Actuals!CU77),IF(Projects!$G$7="Yes",76499,0),Actuals!CU77)</f>
        <v>76499</v>
      </c>
      <c r="CU162" s="393">
        <f>IF(ISBLANK(Actuals!CV77),IF(Projects!$G$7="Yes",76499,0),Actuals!CV77)</f>
        <v>76499</v>
      </c>
      <c r="CV162" s="393">
        <f>IF(ISBLANK(Actuals!CW77),IF(Projects!$G$7="Yes",76499,0),Actuals!CW77)</f>
        <v>76499</v>
      </c>
      <c r="CW162" s="393">
        <f>IF(ISBLANK(Actuals!CX77),IF(Projects!$G$7="Yes",76499,0),Actuals!CX77)</f>
        <v>76499</v>
      </c>
      <c r="CX162" s="393">
        <f>IF(ISBLANK(Actuals!CY77),IF(Projects!$G$7="Yes",76499,0),Actuals!CY77)</f>
        <v>76499</v>
      </c>
      <c r="CY162" s="393">
        <f>IF(ISBLANK(Actuals!CZ77),IF(Projects!$G$7="Yes",76499,0),Actuals!CZ77)</f>
        <v>76499</v>
      </c>
      <c r="CZ162" s="393">
        <f>IF(ISBLANK(Actuals!DA77),IF(Projects!$G$7="Yes",76499,0),Actuals!DA77)</f>
        <v>76499</v>
      </c>
      <c r="DA162" s="393">
        <f>IF(ISBLANK(Actuals!DB77),IF(Projects!$G$7="Yes",76499,0),Actuals!DB77)</f>
        <v>76499</v>
      </c>
      <c r="DB162" s="393">
        <f>IF(ISBLANK(Actuals!DC77),IF(Projects!$G$7="Yes",76499,0),Actuals!DC77)</f>
        <v>76499</v>
      </c>
      <c r="DC162" s="393">
        <f>IF(ISBLANK(Actuals!DD77),IF(Projects!$G$7="Yes",76499,0),Actuals!DD77)</f>
        <v>76499</v>
      </c>
      <c r="DD162" s="393">
        <f>IF(ISBLANK(Actuals!DE77),IF(Projects!$G$7="Yes",76499,0),Actuals!DE77)</f>
        <v>76499</v>
      </c>
      <c r="DE162" s="393">
        <f>IF(ISBLANK(Actuals!DF77),IF(Projects!$G$7="Yes",76499,0),Actuals!DF77)</f>
        <v>76499</v>
      </c>
    </row>
    <row r="163" ht="15" customFormat="1" customHeight="1" s="381">
      <c r="A163" s="398" t="inlineStr">
        <is>
          <t>Reseda LIHTC Revenue (SP Share)</t>
        </is>
      </c>
      <c r="B163" s="393">
        <f>IF(ISBLANK(Actuals!C78),0,Actuals!C78)</f>
        <v>0</v>
      </c>
      <c r="C163" s="393">
        <f>IF(ISBLANK(Actuals!D78),0,Actuals!D78)</f>
        <v>0</v>
      </c>
      <c r="D163" s="393">
        <f>IF(ISBLANK(Actuals!E78),0,Actuals!E78)</f>
        <v>0</v>
      </c>
      <c r="E163" s="393">
        <f>IF(ISBLANK(Actuals!F78),0,Actuals!F78)</f>
        <v>0</v>
      </c>
      <c r="F163" s="393">
        <f>IF(ISBLANK(Actuals!G78),0,Actuals!G78)</f>
        <v>0</v>
      </c>
      <c r="G163" s="393">
        <f>IF(ISBLANK(Actuals!H78),0,Actuals!H78)</f>
        <v>0</v>
      </c>
      <c r="H163" s="393">
        <f>IF(ISBLANK(Actuals!I78),0,Actuals!I78)</f>
        <v>0</v>
      </c>
      <c r="I163" s="393">
        <f>IF(ISBLANK(Actuals!J78),0,Actuals!J78)</f>
        <v>0</v>
      </c>
      <c r="J163" s="393">
        <f>IF(ISBLANK(Actuals!K78),0,Actuals!K78)</f>
        <v>0</v>
      </c>
      <c r="K163" s="393">
        <f>IF(ISBLANK(Actuals!L78),0,Actuals!L78)</f>
        <v>0</v>
      </c>
      <c r="L163" s="393">
        <f>IF(ISBLANK(Actuals!M78),0,Actuals!M78)</f>
        <v>0</v>
      </c>
      <c r="M163" s="393">
        <f>IF(ISBLANK(Actuals!N78),0,Actuals!N78)</f>
        <v>0</v>
      </c>
      <c r="N163" s="393">
        <f>IF(ISBLANK(Actuals!O78),0,Actuals!O78)</f>
        <v>0</v>
      </c>
      <c r="O163" s="393">
        <f>IF(ISBLANK(Actuals!P78),0,Actuals!P78)</f>
        <v>0</v>
      </c>
      <c r="P163" s="393">
        <f>IF(ISBLANK(Actuals!Q78),0,Actuals!Q78)</f>
        <v>0</v>
      </c>
      <c r="Q163" s="393">
        <f>IF(ISBLANK(Actuals!R78),0,Actuals!R78)</f>
        <v>0</v>
      </c>
      <c r="R163" s="393">
        <f>IF(ISBLANK(Actuals!S78),0,Actuals!S78)</f>
        <v>0</v>
      </c>
      <c r="S163" s="393">
        <f>IF(ISBLANK(Actuals!T78),0,Actuals!T78)</f>
        <v>0</v>
      </c>
      <c r="T163" s="393">
        <f>IF(ISBLANK(Actuals!U78),0,Actuals!U78)</f>
        <v>0</v>
      </c>
      <c r="U163" s="393">
        <f>IF(ISBLANK(Actuals!V78),0,Actuals!V78)</f>
        <v>0</v>
      </c>
      <c r="V163" s="393">
        <f>IF(ISBLANK(Actuals!W78),0,Actuals!W78)</f>
        <v>0</v>
      </c>
      <c r="W163" s="393">
        <f>IF(ISBLANK(Actuals!X78),0,Actuals!X78)</f>
        <v>0</v>
      </c>
      <c r="X163" s="393">
        <f>IF(ISBLANK(Actuals!Y78),0,Actuals!Y78)</f>
        <v>0</v>
      </c>
      <c r="Y163" s="393">
        <f>IF(ISBLANK(Actuals!Z78),0,Actuals!Z78)</f>
        <v>0</v>
      </c>
      <c r="Z163" s="393">
        <f>IF(ISBLANK(Actuals!AA78),0,Actuals!AA78)</f>
        <v>0</v>
      </c>
      <c r="AA163" s="393">
        <f>IF(ISBLANK(Actuals!AB78),0,Actuals!AB78)</f>
        <v>0</v>
      </c>
      <c r="AB163" s="393">
        <f>IF(ISBLANK(Actuals!AC78),0,Actuals!AC78)</f>
        <v>0</v>
      </c>
      <c r="AC163" s="393">
        <f>IF(ISBLANK(Actuals!AD78),0,Actuals!AD78)</f>
        <v>0</v>
      </c>
      <c r="AD163" s="393">
        <f>IF(ISBLANK(Actuals!AE78),0,Actuals!AE78)</f>
        <v>0</v>
      </c>
      <c r="AE163" s="393">
        <f>IF(ISBLANK(Actuals!AF78),0,Actuals!AF78)</f>
        <v>0</v>
      </c>
      <c r="AF163" s="393">
        <f>IF(ISBLANK(Actuals!AG78),0,Actuals!AG78)</f>
        <v>0</v>
      </c>
      <c r="AG163" s="393">
        <f>IF(ISBLANK(Actuals!AH78),0,Actuals!AH78)</f>
        <v>0</v>
      </c>
      <c r="AH163" s="393">
        <f>IF(ISBLANK(Actuals!AI78),0,Actuals!AI78)</f>
        <v>0</v>
      </c>
      <c r="AI163" s="393">
        <f>IF(ISBLANK(Actuals!AJ78),0,Actuals!AJ78)</f>
        <v>0</v>
      </c>
      <c r="AJ163" s="393">
        <f>IF(ISBLANK(Actuals!AK78),0,Actuals!AK78)</f>
        <v>0</v>
      </c>
      <c r="AK163" s="393">
        <f>IF(ISBLANK(Actuals!AL78),0,Actuals!AL78)</f>
        <v>0</v>
      </c>
      <c r="AL163" s="393">
        <f>IF(ISBLANK(Actuals!AM78),0,Actuals!AM78)</f>
        <v>0</v>
      </c>
      <c r="AM163" s="393">
        <f>IF(ISBLANK(Actuals!AN78),0,Actuals!AN78)</f>
        <v>0</v>
      </c>
      <c r="AN163" s="393">
        <f>IF(ISBLANK(Actuals!AO78),0,Actuals!AO78)</f>
        <v>0</v>
      </c>
      <c r="AO163" s="393">
        <f>IF(ISBLANK(Actuals!AP78),0,Actuals!AP78)</f>
        <v>0</v>
      </c>
      <c r="AP163" s="393">
        <f>IF(ISBLANK(Actuals!AQ78),0,Actuals!AQ78)</f>
        <v>0</v>
      </c>
      <c r="AQ163" s="393">
        <f>IF(ISBLANK(Actuals!AR78),0,Actuals!AR78)</f>
        <v>0</v>
      </c>
      <c r="AR163" s="393">
        <f>IF(ISBLANK(Actuals!AS78),0,Actuals!AS78)</f>
        <v>0</v>
      </c>
      <c r="AS163" s="393">
        <f>IF(ISBLANK(Actuals!AT78),0,Actuals!AT78)</f>
        <v>0</v>
      </c>
      <c r="AT163" s="393">
        <f>IF(ISBLANK(Actuals!AU78),0,Actuals!AU78)</f>
        <v>0</v>
      </c>
      <c r="AU163" s="393">
        <f>IF(ISBLANK(Actuals!AV78),0,Actuals!AV78)</f>
        <v>0</v>
      </c>
      <c r="AV163" s="393">
        <f>IF(ISBLANK(Actuals!AW78),0,Actuals!AW78)</f>
        <v>0</v>
      </c>
      <c r="AW163" s="393">
        <f>IF(ISBLANK(Actuals!AX78),0,Actuals!AX78)</f>
        <v>0</v>
      </c>
      <c r="AX163" s="393">
        <f>IF(ISBLANK(Actuals!AY78),0,Actuals!AY78)</f>
        <v>0</v>
      </c>
      <c r="AY163" s="393">
        <f>IF(ISBLANK(Actuals!AZ78),0,Actuals!AZ78)</f>
        <v>0</v>
      </c>
      <c r="AZ163" s="393">
        <f>IF(ISBLANK(Actuals!BA78),0,Actuals!BA78)</f>
        <v>0</v>
      </c>
      <c r="BA163" s="393">
        <f>IF(ISBLANK(Actuals!BB78),0,Actuals!BB78)</f>
        <v>0</v>
      </c>
      <c r="BB163" s="393">
        <f>IF(ISBLANK(Actuals!BC78),0,Actuals!BC78)</f>
        <v>0</v>
      </c>
      <c r="BC163" s="393">
        <f>IF(ISBLANK(Actuals!BD78),IF(Projects!$G$13="Yes",851839,0),Actuals!BD78)</f>
        <v>851839</v>
      </c>
      <c r="BD163" s="393">
        <f>IF(ISBLANK(Actuals!BE78),0,Actuals!BE78)</f>
        <v>0</v>
      </c>
      <c r="BE163" s="393">
        <f>IF(ISBLANK(Actuals!BF78),0,Actuals!BF78)</f>
        <v>0</v>
      </c>
      <c r="BF163" s="393">
        <f>IF(ISBLANK(Actuals!BG78),IF(Projects!$G$13="Yes",71700,0),Actuals!BG78)</f>
        <v>71700</v>
      </c>
      <c r="BG163" s="393">
        <f>IF(ISBLANK(Actuals!BH78),0,Actuals!BH78)</f>
        <v>0</v>
      </c>
      <c r="BH163" s="393">
        <f>IF(ISBLANK(Actuals!BI78),0,Actuals!BI78)</f>
        <v>0</v>
      </c>
      <c r="BI163" s="393">
        <f>IF(ISBLANK(Actuals!BJ78),IF(Projects!$G$13="Yes",71700,0),Actuals!BJ78)</f>
        <v>71700</v>
      </c>
      <c r="BJ163" s="393">
        <f>IF(ISBLANK(Actuals!BK78),0,Actuals!BK78)</f>
        <v>0</v>
      </c>
      <c r="BK163" s="393">
        <f>IF(ISBLANK(Actuals!BL78),0,Actuals!BL78)</f>
        <v>0</v>
      </c>
      <c r="BL163" s="393">
        <f>IF(ISBLANK(Actuals!BM78),IF(Projects!$G$13="Yes",71700,0),Actuals!BM78)</f>
        <v>71700</v>
      </c>
      <c r="BM163" s="393">
        <f>IF(ISBLANK(Actuals!BN78),0,Actuals!BN78)</f>
        <v>0</v>
      </c>
      <c r="BN163" s="393">
        <f>IF(ISBLANK(Actuals!BO78),0,Actuals!BO78)</f>
        <v>0</v>
      </c>
      <c r="BO163" s="393">
        <f>IF(ISBLANK(Actuals!BP78),IF(Projects!$G$13="Yes",71700,0),Actuals!BP78)</f>
        <v>71700</v>
      </c>
      <c r="BP163" s="393">
        <f>IF(ISBLANK(Actuals!BQ78),0,Actuals!BQ78)</f>
        <v>0</v>
      </c>
      <c r="BQ163" s="393">
        <f>IF(ISBLANK(Actuals!BR78),0,Actuals!BR78)</f>
        <v>0</v>
      </c>
      <c r="BR163" s="393">
        <f>IF(ISBLANK(Actuals!BS78),IF(Projects!$G$13="Yes",74643,0),Actuals!BS78)</f>
        <v>74643</v>
      </c>
      <c r="BS163" s="393">
        <f>IF(ISBLANK(Actuals!BT78),0,Actuals!BT78)</f>
        <v>0</v>
      </c>
      <c r="BT163" s="393">
        <f>IF(ISBLANK(Actuals!BU78),0,Actuals!BU78)</f>
        <v>0</v>
      </c>
      <c r="BU163" s="393">
        <f>IF(ISBLANK(Actuals!BV78),IF(Projects!$G$13="Yes",74640,0),Actuals!BV78)</f>
        <v>74640</v>
      </c>
      <c r="BV163" s="393">
        <f>IF(ISBLANK(Actuals!BW78),0,Actuals!BW78)</f>
        <v>0</v>
      </c>
      <c r="BW163" s="393">
        <f>IF(ISBLANK(Actuals!BX78),0,Actuals!BX78)</f>
        <v>0</v>
      </c>
      <c r="BX163" s="393">
        <f>IF(ISBLANK(Actuals!BY78),IF(Projects!$G$13="Yes",74640,0),Actuals!BY78)</f>
        <v>74640</v>
      </c>
      <c r="BY163" s="393">
        <f>IF(ISBLANK(Actuals!BZ78),0,Actuals!BZ78)</f>
        <v>0</v>
      </c>
      <c r="BZ163" s="393">
        <f>IF(ISBLANK(Actuals!CA78),0,Actuals!CA78)</f>
        <v>0</v>
      </c>
      <c r="CA163" s="393">
        <f>IF(ISBLANK(Actuals!CB78),IF(Projects!$G$13="Yes",74640,0),Actuals!CB78)</f>
        <v>74640</v>
      </c>
      <c r="CB163" s="393">
        <f>IF(ISBLANK(Actuals!CC78),0,Actuals!CC78)</f>
        <v>0</v>
      </c>
      <c r="CC163" s="393">
        <f>IF(ISBLANK(Actuals!CD78),0,Actuals!CD78)</f>
        <v>0</v>
      </c>
      <c r="CD163" s="393">
        <f>IF(ISBLANK(Actuals!CE78),IF(Projects!$G$13="Yes",81363,0),Actuals!CE78)</f>
        <v>81363</v>
      </c>
      <c r="CE163" s="393">
        <f>IF(ISBLANK(Actuals!CF78),0,Actuals!CF78)</f>
        <v>0</v>
      </c>
      <c r="CF163" s="393">
        <f>IF(ISBLANK(Actuals!CG78),0,Actuals!CG78)</f>
        <v>0</v>
      </c>
      <c r="CG163" s="393">
        <f>IF(ISBLANK(Actuals!CH78),IF(Projects!$G$13="Yes",81362,0),Actuals!CH78)</f>
        <v>81362</v>
      </c>
      <c r="CH163" s="393">
        <f>IF(ISBLANK(Actuals!CI78),0,Actuals!CI78)</f>
        <v>0</v>
      </c>
      <c r="CI163" s="393">
        <f>IF(ISBLANK(Actuals!CJ78),0,Actuals!CJ78)</f>
        <v>0</v>
      </c>
      <c r="CJ163" s="393">
        <f>IF(ISBLANK(Actuals!CK78),IF(Projects!$G$13="Yes",81362,0),Actuals!CK78)</f>
        <v>81362</v>
      </c>
      <c r="CK163" s="393">
        <f>IF(ISBLANK(Actuals!CL78),IF(Projects!$G$13="Yes",81362,0),Actuals!CL78)</f>
        <v>81362</v>
      </c>
      <c r="CL163" s="393">
        <f>IF(ISBLANK(Actuals!CM78),IF(Projects!$G$13="Yes",81362,0),Actuals!CM78)</f>
        <v>81362</v>
      </c>
      <c r="CM163" s="393">
        <f>IF(ISBLANK(Actuals!CN78),IF(Projects!$G$13="Yes",81362,0),Actuals!CN78)</f>
        <v>81362</v>
      </c>
      <c r="CN163" s="393">
        <f>IF(ISBLANK(Actuals!CO78),IF(Projects!$G$13="Yes",81362,0),Actuals!CO78)</f>
        <v>81362</v>
      </c>
      <c r="CO163" s="393">
        <f>IF(ISBLANK(Actuals!CP78),IF(Projects!$G$13="Yes",81362,0),Actuals!CP78)</f>
        <v>81362</v>
      </c>
      <c r="CP163" s="393">
        <f>IF(ISBLANK(Actuals!CQ78),IF(Projects!$G$13="Yes",81362,0),Actuals!CQ78)</f>
        <v>81362</v>
      </c>
      <c r="CQ163" s="393">
        <f>IF(ISBLANK(Actuals!CR78),IF(Projects!$G$13="Yes",81362,0),Actuals!CR78)</f>
        <v>81362</v>
      </c>
      <c r="CR163" s="393">
        <f>IF(ISBLANK(Actuals!CS78),IF(Projects!$G$13="Yes",81362,0),Actuals!CS78)</f>
        <v>81362</v>
      </c>
      <c r="CS163" s="393">
        <f>IF(ISBLANK(Actuals!CT78),IF(Projects!$G$13="Yes",81362,0),Actuals!CT78)</f>
        <v>81362</v>
      </c>
      <c r="CT163" s="393">
        <f>IF(ISBLANK(Actuals!CU78),IF(Projects!$G$13="Yes",81362,0),Actuals!CU78)</f>
        <v>81362</v>
      </c>
      <c r="CU163" s="393">
        <f>IF(ISBLANK(Actuals!CV78),IF(Projects!$G$13="Yes",81362,0),Actuals!CV78)</f>
        <v>81362</v>
      </c>
      <c r="CV163" s="393">
        <f>IF(ISBLANK(Actuals!CW78),IF(Projects!$G$13="Yes",81362,0),Actuals!CW78)</f>
        <v>81362</v>
      </c>
      <c r="CW163" s="393">
        <f>IF(ISBLANK(Actuals!CX78),IF(Projects!$G$13="Yes",81362,0),Actuals!CX78)</f>
        <v>81362</v>
      </c>
      <c r="CX163" s="393">
        <f>IF(ISBLANK(Actuals!CY78),IF(Projects!$G$13="Yes",81362,0),Actuals!CY78)</f>
        <v>81362</v>
      </c>
      <c r="CY163" s="393">
        <f>IF(ISBLANK(Actuals!CZ78),IF(Projects!$G$13="Yes",81362,0),Actuals!CZ78)</f>
        <v>81362</v>
      </c>
      <c r="CZ163" s="393">
        <f>IF(ISBLANK(Actuals!DA78),IF(Projects!$G$13="Yes",81362,0),Actuals!DA78)</f>
        <v>81362</v>
      </c>
      <c r="DA163" s="393">
        <f>IF(ISBLANK(Actuals!DB78),IF(Projects!$G$13="Yes",81362,0),Actuals!DB78)</f>
        <v>81362</v>
      </c>
      <c r="DB163" s="393">
        <f>IF(ISBLANK(Actuals!DC78),IF(Projects!$G$13="Yes",81362,0),Actuals!DC78)</f>
        <v>81362</v>
      </c>
      <c r="DC163" s="393">
        <f>IF(ISBLANK(Actuals!DD78),IF(Projects!$G$13="Yes",81362,0),Actuals!DD78)</f>
        <v>81362</v>
      </c>
      <c r="DD163" s="393">
        <f>IF(ISBLANK(Actuals!DE78),IF(Projects!$G$13="Yes",81362,0),Actuals!DE78)</f>
        <v>81362</v>
      </c>
      <c r="DE163" s="393">
        <f>IF(ISBLANK(Actuals!DF78),IF(Projects!$G$13="Yes",81362,0),Actuals!DF78)</f>
        <v>81362</v>
      </c>
    </row>
    <row r="164" ht="15" customFormat="1" customHeight="1" s="381">
      <c r="A164" s="398" t="inlineStr">
        <is>
          <t>3rd St LIHTC Revenue (SP Share)</t>
        </is>
      </c>
      <c r="B164" s="393">
        <f>IF(ISBLANK(Actuals!C79),0,Actuals!C79)</f>
        <v>0</v>
      </c>
      <c r="C164" s="393">
        <f>IF(ISBLANK(Actuals!D79),0,Actuals!D79)</f>
        <v>0</v>
      </c>
      <c r="D164" s="393">
        <f>IF(ISBLANK(Actuals!E79),0,Actuals!E79)</f>
        <v>0</v>
      </c>
      <c r="E164" s="393">
        <f>IF(ISBLANK(Actuals!F79),0,Actuals!F79)</f>
        <v>0</v>
      </c>
      <c r="F164" s="393">
        <f>IF(ISBLANK(Actuals!G79),0,Actuals!G79)</f>
        <v>0</v>
      </c>
      <c r="G164" s="393">
        <f>IF(ISBLANK(Actuals!H79),0,Actuals!H79)</f>
        <v>0</v>
      </c>
      <c r="H164" s="393">
        <f>IF(ISBLANK(Actuals!I79),0,Actuals!I79)</f>
        <v>0</v>
      </c>
      <c r="I164" s="393">
        <f>IF(ISBLANK(Actuals!J79),0,Actuals!J79)</f>
        <v>0</v>
      </c>
      <c r="J164" s="393">
        <f>IF(ISBLANK(Actuals!K79),0,Actuals!K79)</f>
        <v>0</v>
      </c>
      <c r="K164" s="393">
        <f>IF(ISBLANK(Actuals!L79),0,Actuals!L79)</f>
        <v>0</v>
      </c>
      <c r="L164" s="393">
        <f>IF(ISBLANK(Actuals!M79),0,Actuals!M79)</f>
        <v>0</v>
      </c>
      <c r="M164" s="393">
        <f>IF(ISBLANK(Actuals!N79),0,Actuals!N79)</f>
        <v>0</v>
      </c>
      <c r="N164" s="393">
        <f>IF(ISBLANK(Actuals!O79),0,Actuals!O79)</f>
        <v>0</v>
      </c>
      <c r="O164" s="393">
        <f>IF(ISBLANK(Actuals!P79),0,Actuals!P79)</f>
        <v>0</v>
      </c>
      <c r="P164" s="393">
        <f>IF(ISBLANK(Actuals!Q79),0,Actuals!Q79)</f>
        <v>0</v>
      </c>
      <c r="Q164" s="393">
        <f>IF(ISBLANK(Actuals!R79),0,Actuals!R79)</f>
        <v>0</v>
      </c>
      <c r="R164" s="393">
        <f>IF(ISBLANK(Actuals!S79),0,Actuals!S79)</f>
        <v>0</v>
      </c>
      <c r="S164" s="393">
        <f>IF(ISBLANK(Actuals!T79),0,Actuals!T79)</f>
        <v>0</v>
      </c>
      <c r="T164" s="393">
        <f>IF(ISBLANK(Actuals!U79),0,Actuals!U79)</f>
        <v>0</v>
      </c>
      <c r="U164" s="393">
        <f>IF(ISBLANK(Actuals!V79),0,Actuals!V79)</f>
        <v>0</v>
      </c>
      <c r="V164" s="393">
        <f>IF(ISBLANK(Actuals!W79),0,Actuals!W79)</f>
        <v>0</v>
      </c>
      <c r="W164" s="393">
        <f>IF(ISBLANK(Actuals!X79),0,Actuals!X79)</f>
        <v>0</v>
      </c>
      <c r="X164" s="393">
        <f>IF(ISBLANK(Actuals!Y79),0,Actuals!Y79)</f>
        <v>0</v>
      </c>
      <c r="Y164" s="393">
        <f>IF(ISBLANK(Actuals!Z79),0,Actuals!Z79)</f>
        <v>0</v>
      </c>
      <c r="Z164" s="393">
        <f>IF(ISBLANK(Actuals!AA79),0,Actuals!AA79)</f>
        <v>0</v>
      </c>
      <c r="AA164" s="393">
        <f>IF(ISBLANK(Actuals!AB79),0,Actuals!AB79)</f>
        <v>0</v>
      </c>
      <c r="AB164" s="393">
        <f>IF(ISBLANK(Actuals!AC79),0,Actuals!AC79)</f>
        <v>0</v>
      </c>
      <c r="AC164" s="393">
        <f>IF(ISBLANK(Actuals!AD79),0,Actuals!AD79)</f>
        <v>0</v>
      </c>
      <c r="AD164" s="393">
        <f>IF(ISBLANK(Actuals!AE79),0,Actuals!AE79)</f>
        <v>0</v>
      </c>
      <c r="AE164" s="393">
        <f>IF(ISBLANK(Actuals!AF79),0,Actuals!AF79)</f>
        <v>0</v>
      </c>
      <c r="AF164" s="393">
        <f>IF(ISBLANK(Actuals!AG79),0,Actuals!AG79)</f>
        <v>0</v>
      </c>
      <c r="AG164" s="393">
        <f>IF(ISBLANK(Actuals!AH79),0,Actuals!AH79)</f>
        <v>0</v>
      </c>
      <c r="AH164" s="393">
        <f>IF(ISBLANK(Actuals!AI79),0,Actuals!AI79)</f>
        <v>0</v>
      </c>
      <c r="AI164" s="393">
        <f>IF(ISBLANK(Actuals!AJ79),0,Actuals!AJ79)</f>
        <v>0</v>
      </c>
      <c r="AJ164" s="393">
        <f>IF(ISBLANK(Actuals!AK79),0,Actuals!AK79)</f>
        <v>0</v>
      </c>
      <c r="AK164" s="393">
        <f>IF(ISBLANK(Actuals!AL79),0,Actuals!AL79)</f>
        <v>0</v>
      </c>
      <c r="AL164" s="393">
        <f>IF(ISBLANK(Actuals!AM79),0,Actuals!AM79)</f>
        <v>0</v>
      </c>
      <c r="AM164" s="393">
        <f>IF(ISBLANK(Actuals!AN79),0,Actuals!AN79)</f>
        <v>0</v>
      </c>
      <c r="AN164" s="393">
        <f>IF(ISBLANK(Actuals!AO79),0,Actuals!AO79)</f>
        <v>0</v>
      </c>
      <c r="AO164" s="393">
        <f>IF(ISBLANK(Actuals!AP79),0,Actuals!AP79)</f>
        <v>0</v>
      </c>
      <c r="AP164" s="393">
        <f>IF(ISBLANK(Actuals!AQ79),0,Actuals!AQ79)</f>
        <v>0</v>
      </c>
      <c r="AQ164" s="393">
        <f>IF(ISBLANK(Actuals!AR79),0,Actuals!AR79)</f>
        <v>0</v>
      </c>
      <c r="AR164" s="393">
        <f>IF(ISBLANK(Actuals!AS79),0,Actuals!AS79)</f>
        <v>0</v>
      </c>
      <c r="AS164" s="393">
        <f>IF(ISBLANK(Actuals!AT79),0,Actuals!AT79)</f>
        <v>0</v>
      </c>
      <c r="AT164" s="393">
        <f>IF(ISBLANK(Actuals!AU79),0,Actuals!AU79)</f>
        <v>0</v>
      </c>
      <c r="AU164" s="393">
        <f>IF(ISBLANK(Actuals!AV79),0,Actuals!AV79)</f>
        <v>0</v>
      </c>
      <c r="AV164" s="393">
        <f>IF(ISBLANK(Actuals!AW79),0,Actuals!AW79)</f>
        <v>0</v>
      </c>
      <c r="AW164" s="393">
        <f>IF(ISBLANK(Actuals!AX79),0,Actuals!AX79)</f>
        <v>0</v>
      </c>
      <c r="AX164" s="393">
        <f>IF(ISBLANK(Actuals!AY79),0,Actuals!AY79)</f>
        <v>0</v>
      </c>
      <c r="AY164" s="393">
        <f>IF(ISBLANK(Actuals!AZ79),0,Actuals!AZ79)</f>
        <v>0</v>
      </c>
      <c r="AZ164" s="393">
        <f>IF(ISBLANK(Actuals!BA79),0,Actuals!BA79)</f>
        <v>0</v>
      </c>
      <c r="BA164" s="393">
        <f>IF(ISBLANK(Actuals!BB79),0,Actuals!BB79)</f>
        <v>0</v>
      </c>
      <c r="BB164" s="393">
        <f>IF(ISBLANK(Actuals!BC79),0,Actuals!BC79)</f>
        <v>0</v>
      </c>
      <c r="BC164" s="393">
        <f>IF(ISBLANK(Actuals!BD79),0,Actuals!BD79)</f>
        <v>0</v>
      </c>
      <c r="BD164" s="393">
        <f>IF(ISBLANK(Actuals!BE79),0,Actuals!BE79)</f>
        <v>0</v>
      </c>
      <c r="BE164" s="393">
        <f>IF(ISBLANK(Actuals!BF79),0,Actuals!BF79)</f>
        <v>0</v>
      </c>
      <c r="BF164" s="393">
        <f>IF(ISBLANK(Actuals!BG79),0,Actuals!BG79)</f>
        <v>0</v>
      </c>
      <c r="BG164" s="393">
        <f>IF(ISBLANK(Actuals!BH79),0,Actuals!BH79)</f>
        <v>0</v>
      </c>
      <c r="BH164" s="393">
        <f>IF(ISBLANK(Actuals!BI79),0,Actuals!BI79)</f>
        <v>0</v>
      </c>
      <c r="BI164" s="393">
        <f>IF(ISBLANK(Actuals!BJ79),0,Actuals!BJ79)</f>
        <v>0</v>
      </c>
      <c r="BJ164" s="393">
        <f>IF(ISBLANK(Actuals!BK79),0,Actuals!BK79)</f>
        <v>0</v>
      </c>
      <c r="BK164" s="393">
        <f>IF(ISBLANK(Actuals!BL79),0,Actuals!BL79)</f>
        <v>0</v>
      </c>
      <c r="BL164" s="393">
        <f>IF(ISBLANK(Actuals!BM79),0,Actuals!BM79)</f>
        <v>0</v>
      </c>
      <c r="BM164" s="393">
        <f>IF(ISBLANK(Actuals!BN79),0,Actuals!BN79)</f>
        <v>0</v>
      </c>
      <c r="BN164" s="393">
        <f>IF(ISBLANK(Actuals!BO79),0,Actuals!BO79)</f>
        <v>0</v>
      </c>
      <c r="BO164" s="393">
        <f>IF(ISBLANK(Actuals!BP79),0,Actuals!BP79)</f>
        <v>0</v>
      </c>
      <c r="BP164" s="393">
        <f>IF(ISBLANK(Actuals!BQ79),0,Actuals!BQ79)</f>
        <v>0</v>
      </c>
      <c r="BQ164" s="393">
        <f>IF(ISBLANK(Actuals!BR79),0,Actuals!BR79)</f>
        <v>0</v>
      </c>
      <c r="BR164" s="393">
        <f>IF(ISBLANK(Actuals!BS79),0,Actuals!BS79)</f>
        <v>0</v>
      </c>
      <c r="BS164" s="393">
        <f>IF(ISBLANK(Actuals!BT79),0,Actuals!BT79)</f>
        <v>0</v>
      </c>
      <c r="BT164" s="393">
        <f>IF(ISBLANK(Actuals!BU79),0,Actuals!BU79)</f>
        <v>0</v>
      </c>
      <c r="BU164" s="393">
        <f>IF(ISBLANK(Actuals!BV79),0,Actuals!BV79)</f>
        <v>0</v>
      </c>
      <c r="BV164" s="393">
        <f>IF(ISBLANK(Actuals!BW79),0,Actuals!BW79)</f>
        <v>0</v>
      </c>
      <c r="BW164" s="393">
        <f>IF(ISBLANK(Actuals!BX79),0,Actuals!BX79)</f>
        <v>0</v>
      </c>
      <c r="BX164" s="393">
        <f>IF(ISBLANK(Actuals!BY79),0,Actuals!BY79)</f>
        <v>0</v>
      </c>
      <c r="BY164" s="393">
        <f>IF(ISBLANK(Actuals!BZ79),0,Actuals!BZ79)</f>
        <v>0</v>
      </c>
      <c r="BZ164" s="393">
        <f>IF(ISBLANK(Actuals!CA79),0,Actuals!CA79)</f>
        <v>0</v>
      </c>
      <c r="CA164" s="393">
        <f>IF(ISBLANK(Actuals!CB79),IF(Projects!$G$14="Yes",73156,0),Actuals!CB79)</f>
        <v>73156</v>
      </c>
      <c r="CB164" s="393">
        <f>IF(ISBLANK(Actuals!CC79),0,Actuals!CC79)</f>
        <v>0</v>
      </c>
      <c r="CC164" s="393">
        <f>IF(ISBLANK(Actuals!CD79),0,Actuals!CD79)</f>
        <v>0</v>
      </c>
      <c r="CD164" s="393">
        <f>IF(ISBLANK(Actuals!CE79),IF(Projects!$G$14="Yes",73155,0),Actuals!CE79)</f>
        <v>73155</v>
      </c>
      <c r="CE164" s="393">
        <f>IF(ISBLANK(Actuals!CF79),0,Actuals!CF79)</f>
        <v>0</v>
      </c>
      <c r="CF164" s="393">
        <f>IF(ISBLANK(Actuals!CG79),0,Actuals!CG79)</f>
        <v>0</v>
      </c>
      <c r="CG164" s="393">
        <f>IF(ISBLANK(Actuals!CH79),IF(Projects!$G$14="Yes",73155,0),Actuals!CH79)</f>
        <v>73155</v>
      </c>
      <c r="CH164" s="393">
        <f>IF(ISBLANK(Actuals!CI79),0,Actuals!CI79)</f>
        <v>0</v>
      </c>
      <c r="CI164" s="393">
        <f>IF(ISBLANK(Actuals!CJ79),0,Actuals!CJ79)</f>
        <v>0</v>
      </c>
      <c r="CJ164" s="393">
        <f>IF(ISBLANK(Actuals!CK79),IF(Projects!$G$14="Yes",73155,0),Actuals!CK79)</f>
        <v>73155</v>
      </c>
      <c r="CK164" s="393">
        <f>IF(ISBLANK(Actuals!CL79),IF(Projects!$G$14="Yes",73155,0),Actuals!CL79)</f>
        <v>73155</v>
      </c>
      <c r="CL164" s="393">
        <f>IF(ISBLANK(Actuals!CM79),IF(Projects!$G$14="Yes",73155,0),Actuals!CM79)</f>
        <v>73155</v>
      </c>
      <c r="CM164" s="393">
        <f>IF(ISBLANK(Actuals!CN79),IF(Projects!$G$14="Yes",73155,0),Actuals!CN79)</f>
        <v>73155</v>
      </c>
      <c r="CN164" s="393">
        <f>IF(ISBLANK(Actuals!CO79),IF(Projects!$G$14="Yes",73155,0),Actuals!CO79)</f>
        <v>73155</v>
      </c>
      <c r="CO164" s="393">
        <f>IF(ISBLANK(Actuals!CP79),IF(Projects!$G$14="Yes",73155,0),Actuals!CP79)</f>
        <v>73155</v>
      </c>
      <c r="CP164" s="393">
        <f>IF(ISBLANK(Actuals!CQ79),IF(Projects!$G$14="Yes",73155,0),Actuals!CQ79)</f>
        <v>73155</v>
      </c>
      <c r="CQ164" s="393">
        <f>IF(ISBLANK(Actuals!CR79),IF(Projects!$G$14="Yes",73155,0),Actuals!CR79)</f>
        <v>73155</v>
      </c>
      <c r="CR164" s="393">
        <f>IF(ISBLANK(Actuals!CS79),IF(Projects!$G$14="Yes",73155,0),Actuals!CS79)</f>
        <v>73155</v>
      </c>
      <c r="CS164" s="393">
        <f>IF(ISBLANK(Actuals!CT79),IF(Projects!$G$14="Yes",73155,0),Actuals!CT79)</f>
        <v>73155</v>
      </c>
      <c r="CT164" s="393">
        <f>IF(ISBLANK(Actuals!CU79),IF(Projects!$G$14="Yes",73155,0),Actuals!CU79)</f>
        <v>73155</v>
      </c>
      <c r="CU164" s="393">
        <f>IF(ISBLANK(Actuals!CV79),IF(Projects!$G$14="Yes",73155,0),Actuals!CV79)</f>
        <v>73155</v>
      </c>
      <c r="CV164" s="393">
        <f>IF(ISBLANK(Actuals!CW79),IF(Projects!$G$14="Yes",73155,0),Actuals!CW79)</f>
        <v>73155</v>
      </c>
      <c r="CW164" s="393">
        <f>IF(ISBLANK(Actuals!CX79),IF(Projects!$G$14="Yes",73155,0),Actuals!CX79)</f>
        <v>73155</v>
      </c>
      <c r="CX164" s="393">
        <f>IF(ISBLANK(Actuals!CY79),IF(Projects!$G$14="Yes",73155,0),Actuals!CY79)</f>
        <v>73155</v>
      </c>
      <c r="CY164" s="393">
        <f>IF(ISBLANK(Actuals!CZ79),IF(Projects!$G$14="Yes",73155,0),Actuals!CZ79)</f>
        <v>73155</v>
      </c>
      <c r="CZ164" s="393">
        <f>IF(ISBLANK(Actuals!DA79),IF(Projects!$G$14="Yes",73155,0),Actuals!DA79)</f>
        <v>73155</v>
      </c>
      <c r="DA164" s="393">
        <f>IF(ISBLANK(Actuals!DB79),IF(Projects!$G$14="Yes",73155,0),Actuals!DB79)</f>
        <v>73155</v>
      </c>
      <c r="DB164" s="393">
        <f>IF(ISBLANK(Actuals!DC79),IF(Projects!$G$14="Yes",73155,0),Actuals!DC79)</f>
        <v>73155</v>
      </c>
      <c r="DC164" s="393">
        <f>IF(ISBLANK(Actuals!DD79),IF(Projects!$G$14="Yes",73155,0),Actuals!DD79)</f>
        <v>73155</v>
      </c>
      <c r="DD164" s="393">
        <f>IF(ISBLANK(Actuals!DE79),IF(Projects!$G$14="Yes",73155,0),Actuals!DE79)</f>
        <v>73155</v>
      </c>
      <c r="DE164" s="393">
        <f>IF(ISBLANK(Actuals!DF79),IF(Projects!$G$14="Yes",73155,0),Actuals!DF79)</f>
        <v>73155</v>
      </c>
    </row>
    <row r="165" ht="15" customFormat="1" customHeight="1" s="381">
      <c r="A165" s="398" t="inlineStr">
        <is>
          <t>Uplifters Total to SP</t>
        </is>
      </c>
      <c r="B165" s="393">
        <f>IF(ISBLANK(Actuals!C80),0,Actuals!C80)</f>
        <v>0</v>
      </c>
      <c r="C165" s="393">
        <f>IF(ISBLANK(Actuals!D80),0,Actuals!D80)</f>
        <v>0</v>
      </c>
      <c r="D165" s="393">
        <f>IF(ISBLANK(Actuals!E80),0,Actuals!E80)</f>
        <v>0</v>
      </c>
      <c r="E165" s="393">
        <f>IF(ISBLANK(Actuals!F80),IF(Uplifters!$B$2="Yes",Uplifters!C107,0),Actuals!F80)</f>
        <v>0</v>
      </c>
      <c r="F165" s="393">
        <f>IF(ISBLANK(Actuals!G80),IF(Uplifters!$B$2="Yes",Uplifters!D107,0),Actuals!G80)</f>
        <v>0</v>
      </c>
      <c r="G165" s="393">
        <f>IF(ISBLANK(Actuals!H80),IF(Uplifters!$B$2="Yes",Uplifters!E107,0),Actuals!H80)</f>
        <v>0</v>
      </c>
      <c r="H165" s="393">
        <f>IF(ISBLANK(Actuals!I80),IF(Uplifters!$B$2="Yes",Uplifters!F107,0),Actuals!I80)</f>
        <v>0</v>
      </c>
      <c r="I165" s="393">
        <f>IF(ISBLANK(Actuals!J80),IF(Uplifters!$B$2="Yes",Uplifters!G107,0),Actuals!J80)</f>
        <v>0</v>
      </c>
      <c r="J165" s="393">
        <f>IF(ISBLANK(Actuals!K80),IF(Uplifters!$B$2="Yes",Uplifters!H107,0),Actuals!K80)</f>
        <v>0</v>
      </c>
      <c r="K165" s="393">
        <f>IF(ISBLANK(Actuals!L80),IF(Uplifters!$B$2="Yes",Uplifters!I107,0),Actuals!L80)</f>
        <v>0</v>
      </c>
      <c r="L165" s="393">
        <f>IF(ISBLANK(Actuals!M80),IF(Uplifters!$B$2="Yes",Uplifters!J107,0),Actuals!M80)</f>
        <v>0</v>
      </c>
      <c r="M165" s="393">
        <f>IF(ISBLANK(Actuals!N80),IF(Uplifters!$B$2="Yes",Uplifters!K107,0),Actuals!N80)</f>
        <v>0</v>
      </c>
      <c r="N165" s="393">
        <f>IF(ISBLANK(Actuals!O80),IF(Uplifters!$B$2="Yes",Uplifters!L107,0),Actuals!O80)</f>
        <v>0</v>
      </c>
      <c r="O165" s="393">
        <f>IF(ISBLANK(Actuals!P80),IF(Uplifters!$B$2="Yes",Uplifters!M107,0),Actuals!P80)</f>
        <v>0</v>
      </c>
      <c r="P165" s="393">
        <f>IF(ISBLANK(Actuals!Q80),IF(Uplifters!$B$2="Yes",Uplifters!N107,0),Actuals!Q80)</f>
        <v>0</v>
      </c>
      <c r="Q165" s="393">
        <f>IF(ISBLANK(Actuals!R80),IF(Uplifters!$B$2="Yes",Uplifters!O107,0),Actuals!R80)</f>
        <v>23132.2304</v>
      </c>
      <c r="R165" s="393">
        <f>IF(ISBLANK(Actuals!S80),IF(Uplifters!$B$2="Yes",Uplifters!P107,0),Actuals!S80)</f>
        <v>16882.0304</v>
      </c>
      <c r="S165" s="393">
        <f>IF(ISBLANK(Actuals!T80),IF(Uplifters!$B$2="Yes",Uplifters!Q107,0),Actuals!T80)</f>
        <v>16882.0304</v>
      </c>
      <c r="T165" s="393">
        <f>IF(ISBLANK(Actuals!U80),IF(Uplifters!$B$2="Yes",Uplifters!R107,0),Actuals!U80)</f>
        <v>16882.0304</v>
      </c>
      <c r="U165" s="393">
        <f>IF(ISBLANK(Actuals!V80),IF(Uplifters!$B$2="Yes",Uplifters!S107,0),Actuals!V80)</f>
        <v>12382.0304</v>
      </c>
      <c r="V165" s="393">
        <f>IF(ISBLANK(Actuals!W80),IF(Uplifters!$B$2="Yes",Uplifters!T107,0),Actuals!W80)</f>
        <v>12382.0304</v>
      </c>
      <c r="W165" s="393">
        <f>IF(ISBLANK(Actuals!X80),IF(Uplifters!$B$2="Yes",Uplifters!U107,0),Actuals!X80)</f>
        <v>28954.2928</v>
      </c>
      <c r="X165" s="393">
        <f>IF(ISBLANK(Actuals!Y80),IF(Uplifters!$B$2="Yes",Uplifters!V107,0),Actuals!Y80)</f>
        <v>45526.5552</v>
      </c>
      <c r="Y165" s="393">
        <f>IF(ISBLANK(Actuals!Z80),IF(Uplifters!$B$2="Yes",Uplifters!W107,0),Actuals!Z80)</f>
        <v>62098.8176</v>
      </c>
      <c r="Z165" s="393">
        <f>IF(ISBLANK(Actuals!AA80),IF(Uplifters!$B$2="Yes",Uplifters!X107,0),Actuals!AA80)</f>
        <v>72225.794</v>
      </c>
      <c r="AA165" s="393">
        <f>IF(ISBLANK(Actuals!AB80),IF(Uplifters!$B$2="Yes",Uplifters!Y107,0),Actuals!AB80)</f>
        <v>87762.296</v>
      </c>
      <c r="AB165" s="393">
        <f>IF(ISBLANK(Actuals!AC80),IF(Uplifters!$B$2="Yes",Uplifters!Z107,0),Actuals!AC80)</f>
        <v>103298.786</v>
      </c>
      <c r="AC165" s="393">
        <f>IF(ISBLANK(Actuals!AD80),IF(Uplifters!$B$2="Yes",Uplifters!AA107,0),Actuals!AD80)</f>
        <v>118835.276</v>
      </c>
      <c r="AD165" s="393">
        <f>IF(ISBLANK(Actuals!AE80),IF(Uplifters!$B$2="Yes",Uplifters!AB107,0),Actuals!AE80)</f>
        <v>134371.772</v>
      </c>
      <c r="AE165" s="393">
        <f>IF(ISBLANK(Actuals!AF80),IF(Uplifters!$B$2="Yes",Uplifters!AC107,0),Actuals!AF80)</f>
        <v>149908.274</v>
      </c>
      <c r="AF165" s="393">
        <f>IF(ISBLANK(Actuals!AG80),IF(Uplifters!$B$2="Yes",Uplifters!AD107,0),Actuals!AG80)</f>
        <v>152699.367</v>
      </c>
      <c r="AG165" s="393">
        <f>IF(ISBLANK(Actuals!AH80),IF(Uplifters!$B$2="Yes",Uplifters!AE107,0),Actuals!AH80)</f>
        <v>166941.1605</v>
      </c>
      <c r="AH165" s="393">
        <f>IF(ISBLANK(Actuals!AI80),IF(Uplifters!$B$2="Yes",Uplifters!AF107,0),Actuals!AI80)</f>
        <v>200231.2855</v>
      </c>
      <c r="AI165" s="393">
        <f>IF(ISBLANK(Actuals!AJ80),IF(Uplifters!$B$2="Yes",Uplifters!AG107,0),Actuals!AJ80)</f>
        <v>151106.0555</v>
      </c>
      <c r="AJ165" s="393">
        <f>IF(ISBLANK(Actuals!AK80),IF(Uplifters!$B$2="Yes",Uplifters!AH107,0),Actuals!AK80)</f>
        <v>151536.2215</v>
      </c>
      <c r="AK165" s="393">
        <f>IF(ISBLANK(Actuals!AL80),IF(Uplifters!$B$2="Yes",Uplifters!AI107,0),Actuals!AL80)</f>
        <v>151966.3765</v>
      </c>
      <c r="AL165" s="393">
        <f>IF(ISBLANK(Actuals!AM80),IF(Uplifters!$B$2="Yes",Uplifters!AJ107,0),Actuals!AM80)</f>
        <v>152396.537</v>
      </c>
      <c r="AM165" s="393">
        <f>IF(ISBLANK(Actuals!AN80),IF(Uplifters!$B$2="Yes",Uplifters!AK107,0),Actuals!AN80)</f>
        <v>152826.692</v>
      </c>
      <c r="AN165" s="393">
        <f>IF(ISBLANK(Actuals!AO80),IF(Uplifters!$B$2="Yes",Uplifters!AL107,0),Actuals!AO80)</f>
        <v>167498.6405</v>
      </c>
      <c r="AO165" s="393">
        <f>IF(ISBLANK(Actuals!AP80),IF(Uplifters!$B$2="Yes",Uplifters!AM107,0),Actuals!AP80)</f>
        <v>153687.0185</v>
      </c>
      <c r="AP165" s="393">
        <f>IF(ISBLANK(Actuals!AQ80),IF(Uplifters!$B$2="Yes",Uplifters!AN107,0),Actuals!AQ80)</f>
        <v>139875.391</v>
      </c>
      <c r="AQ165" s="393">
        <f>IF(ISBLANK(Actuals!AR80),IF(Uplifters!$B$2="Yes",Uplifters!AO107,0),Actuals!AR80)</f>
        <v>126063.7635</v>
      </c>
      <c r="AR165" s="393">
        <f>IF(ISBLANK(Actuals!AS80),IF(Uplifters!$B$2="Yes",Uplifters!AP107,0),Actuals!AS80)</f>
        <v>112252.1305</v>
      </c>
      <c r="AS165" s="393">
        <f>IF(ISBLANK(Actuals!AT80),IF(Uplifters!$B$2="Yes",Uplifters!AQ107,0),Actuals!AT80)</f>
        <v>90627.735</v>
      </c>
      <c r="AT165" s="393">
        <f>IF(ISBLANK(Actuals!AU80),IF(Uplifters!$B$2="Yes",Uplifters!AR107,0),Actuals!AU80)</f>
        <v>78071.71</v>
      </c>
      <c r="AU165" s="393">
        <f>IF(ISBLANK(Actuals!AV80),IF(Uplifters!$B$2="Yes",Uplifters!AS107,0),Actuals!AV80)</f>
        <v>65515.68</v>
      </c>
      <c r="AV165" s="393">
        <f>IF(ISBLANK(Actuals!AW80),IF(Uplifters!$B$2="Yes",Uplifters!AT107,0),Actuals!AW80)</f>
        <v>52959.66</v>
      </c>
      <c r="AW165" s="393">
        <f>IF(ISBLANK(Actuals!AX80),IF(Uplifters!$B$2="Yes",Uplifters!AU107,0),Actuals!AX80)</f>
        <v>39919.0485</v>
      </c>
      <c r="AX165" s="393">
        <f>IF(ISBLANK(Actuals!AY80),IF(Uplifters!$B$2="Yes",Uplifters!AV107,0),Actuals!AY80)</f>
        <v>80797.05</v>
      </c>
      <c r="AY165" s="393">
        <f>IF(ISBLANK(Actuals!AZ80),IF(Uplifters!$B$2="Yes",Uplifters!AW107,0),Actuals!AZ80)</f>
        <v>67849.975</v>
      </c>
      <c r="AZ165" s="393">
        <f>IF(ISBLANK(Actuals!BA80),IF(Uplifters!$B$2="Yes",Uplifters!AX107,0),Actuals!BA80)</f>
        <v>42056.6125</v>
      </c>
      <c r="BA165" s="393">
        <f>IF(ISBLANK(Actuals!BB80),IF(Uplifters!$B$2="Yes",Uplifters!AY107,0),Actuals!BB80)</f>
        <v>41626.452</v>
      </c>
      <c r="BB165" s="393">
        <f>IF(ISBLANK(Actuals!BC80),IF(Uplifters!$B$2="Yes",Uplifters!AZ107,0),Actuals!BC80)</f>
        <v>41196.286</v>
      </c>
      <c r="BC165" s="393">
        <f>IF(ISBLANK(Actuals!BD80),IF(Uplifters!$B$2="Yes",Uplifters!BA107,0),Actuals!BD80)</f>
        <v>40766.131</v>
      </c>
      <c r="BD165" s="393">
        <f>IF(ISBLANK(Actuals!BE80),IF(Uplifters!$B$2="Yes",Uplifters!BB107,0),Actuals!BE80)</f>
        <v>40335.9705</v>
      </c>
      <c r="BE165" s="393">
        <f>IF(ISBLANK(Actuals!BF80),IF(Uplifters!$B$2="Yes",Uplifters!BC107,0),Actuals!BF80)</f>
        <v>39905.81</v>
      </c>
      <c r="BF165" s="393">
        <f>IF(ISBLANK(Actuals!BG80),IF(Uplifters!$B$2="Yes",Uplifters!BD107,0),Actuals!BG80)</f>
        <v>39475.6495</v>
      </c>
      <c r="BG165" s="393">
        <f>IF(ISBLANK(Actuals!BH80),IF(Uplifters!$B$2="Yes",Uplifters!BE107,0),Actuals!BH80)</f>
        <v>39045.489</v>
      </c>
      <c r="BH165" s="393">
        <f>IF(ISBLANK(Actuals!BI80),IF(Uplifters!$B$2="Yes",Uplifters!BF107,0),Actuals!BI80)</f>
        <v>38615.3285</v>
      </c>
      <c r="BI165" s="393">
        <f>IF(ISBLANK(Actuals!BJ80),IF(Uplifters!$B$2="Yes",Uplifters!BG107,0),Actuals!BJ80)</f>
        <v>38185.168</v>
      </c>
      <c r="BJ165" s="393">
        <f>IF(ISBLANK(Actuals!BK80),IF(Uplifters!$B$2="Yes",Uplifters!BH107,0),Actuals!BK80)</f>
        <v>37755.0075</v>
      </c>
      <c r="BK165" s="393">
        <f>IF(ISBLANK(Actuals!BL80),IF(Uplifters!$B$2="Yes",Uplifters!BI107,0),Actuals!BL80)</f>
        <v>37324.847</v>
      </c>
      <c r="BL165" s="393">
        <f>IF(ISBLANK(Actuals!BM80),IF(Uplifters!$B$2="Yes",Uplifters!BJ107,0),Actuals!BM80)</f>
        <v>36894.692</v>
      </c>
      <c r="BM165" s="393">
        <f>IF(ISBLANK(Actuals!BN80),IF(Uplifters!$B$2="Yes",Uplifters!BK107,0),Actuals!BN80)</f>
        <v>59965.026</v>
      </c>
      <c r="BN165" s="393">
        <f>IF(ISBLANK(Actuals!BO80),IF(Uplifters!$B$2="Yes",Uplifters!BL107,0),Actuals!BO80)</f>
        <v>59534.8655</v>
      </c>
      <c r="BO165" s="393">
        <f>IF(ISBLANK(Actuals!BP80),IF(Uplifters!$B$2="Yes",Uplifters!BM107,0),Actuals!BP80)</f>
        <v>112930.995</v>
      </c>
      <c r="BP165" s="393">
        <f>IF(ISBLANK(Actuals!BQ80),IF(Uplifters!$B$2="Yes",Uplifters!BN107,0),Actuals!BQ80)</f>
        <v>0</v>
      </c>
      <c r="BQ165" s="393">
        <f>IF(ISBLANK(Actuals!BR80),IF(Uplifters!$B$2="Yes",Uplifters!BO107,0),Actuals!BR80)</f>
        <v>0</v>
      </c>
      <c r="BR165" s="393">
        <f>IF(ISBLANK(Actuals!BS80),IF(Uplifters!$B$2="Yes",Uplifters!BP107,0),Actuals!BS80)</f>
        <v>0</v>
      </c>
      <c r="BS165" s="393">
        <f>IF(ISBLANK(Actuals!BT80),IF(Uplifters!$B$2="Yes",Uplifters!BQ107,0),Actuals!BT80)</f>
        <v>0</v>
      </c>
      <c r="BT165" s="393">
        <f>IF(ISBLANK(Actuals!BU80),IF(Uplifters!$B$2="Yes",Uplifters!BR107,0),Actuals!BU80)</f>
        <v>0</v>
      </c>
      <c r="BU165" s="393">
        <f>IF(ISBLANK(Actuals!BV80),IF(Uplifters!$B$2="Yes",Uplifters!BS107,0),Actuals!BV80)</f>
        <v>0</v>
      </c>
      <c r="BV165" s="393">
        <f>IF(ISBLANK(Actuals!BW80),IF(Uplifters!$B$2="Yes",Uplifters!BT107,0),Actuals!BW80)</f>
        <v>0</v>
      </c>
      <c r="BW165" s="393">
        <f>IF(ISBLANK(Actuals!BX80),IF(Uplifters!$B$2="Yes",Uplifters!BU107,0),Actuals!BX80)</f>
        <v>0</v>
      </c>
      <c r="BX165" s="393">
        <f>IF(ISBLANK(Actuals!BY80),IF(Uplifters!$B$2="Yes",Uplifters!BV107,0),Actuals!BY80)</f>
        <v>0</v>
      </c>
      <c r="BY165" s="393">
        <f>IF(ISBLANK(Actuals!BZ80),IF(Uplifters!$B$2="Yes",Uplifters!BW107,0),Actuals!BZ80)</f>
        <v>0</v>
      </c>
      <c r="BZ165" s="393">
        <f>IF(ISBLANK(Actuals!CA80),IF(Uplifters!$B$2="Yes",Uplifters!BX107,0),Actuals!CA80)</f>
        <v>0</v>
      </c>
      <c r="CA165" s="393">
        <f>IF(ISBLANK(Actuals!CB80),IF(Uplifters!$B$2="Yes",Uplifters!BY107,0),Actuals!CB80)</f>
        <v>0</v>
      </c>
      <c r="CB165" s="393">
        <f>IF(ISBLANK(Actuals!CC80),IF(Uplifters!$B$2="Yes",Uplifters!BZ107,0),Actuals!CC80)</f>
        <v>0</v>
      </c>
      <c r="CC165" s="393">
        <f>IF(ISBLANK(Actuals!CD80),IF(Uplifters!$B$2="Yes",Uplifters!CA107,0),Actuals!CD80)</f>
        <v>0</v>
      </c>
      <c r="CD165" s="393">
        <f>IF(ISBLANK(Actuals!CE80),IF(Uplifters!$B$2="Yes",Uplifters!CB107,0),Actuals!CE80)</f>
        <v>0</v>
      </c>
      <c r="CE165" s="393">
        <f>IF(ISBLANK(Actuals!CF80),IF(Uplifters!$B$2="Yes",Uplifters!CC107,0),Actuals!CF80)</f>
        <v>0</v>
      </c>
      <c r="CF165" s="393">
        <f>IF(ISBLANK(Actuals!CG80),IF(Uplifters!$B$2="Yes",Uplifters!CD107,0),Actuals!CG80)</f>
        <v>0</v>
      </c>
      <c r="CG165" s="393">
        <f>IF(ISBLANK(Actuals!CH80),IF(Uplifters!$B$2="Yes",Uplifters!CE107,0),Actuals!CH80)</f>
        <v>0</v>
      </c>
      <c r="CH165" s="393">
        <f>IF(ISBLANK(Actuals!CI80),IF(Uplifters!$B$2="Yes",Uplifters!CF107,0),Actuals!CI80)</f>
        <v>0</v>
      </c>
      <c r="CI165" s="393">
        <f>IF(ISBLANK(Actuals!CJ80),IF(Uplifters!$B$2="Yes",Uplifters!CG107,0),Actuals!CJ80)</f>
        <v>0</v>
      </c>
      <c r="CJ165" s="393">
        <f>IF(ISBLANK(Actuals!CK80),IF(Uplifters!$B$2="Yes",Uplifters!CH107,0),Actuals!CK80)</f>
        <v>0</v>
      </c>
      <c r="CK165" s="393">
        <f>IF(ISBLANK(Actuals!CL80),IF(Uplifters!$B$2="Yes",Uplifters!CI107,0),Actuals!CL80)</f>
        <v>0</v>
      </c>
      <c r="CL165" s="393">
        <f>IF(ISBLANK(Actuals!CM80),IF(Uplifters!$B$2="Yes",Uplifters!CJ107,0),Actuals!CM80)</f>
        <v>0</v>
      </c>
      <c r="CM165" s="393">
        <f>IF(ISBLANK(Actuals!CN80),IF(Uplifters!$B$2="Yes",Uplifters!CK107,0),Actuals!CN80)</f>
        <v>0</v>
      </c>
      <c r="CN165" s="393">
        <f>IF(ISBLANK(Actuals!CO80),IF(Uplifters!$B$2="Yes",Uplifters!CL107,0),Actuals!CO80)</f>
        <v>0</v>
      </c>
      <c r="CO165" s="393">
        <f>IF(ISBLANK(Actuals!CP80),IF(Uplifters!$B$2="Yes",Uplifters!CM107,0),Actuals!CP80)</f>
        <v>0</v>
      </c>
      <c r="CP165" s="393">
        <f>IF(ISBLANK(Actuals!CQ80),IF(Uplifters!$B$2="Yes",Uplifters!CN107,0),Actuals!CQ80)</f>
        <v>0</v>
      </c>
      <c r="CQ165" s="393">
        <f>IF(ISBLANK(Actuals!CR80),IF(Uplifters!$B$2="Yes",Uplifters!CO107,0),Actuals!CR80)</f>
        <v>0</v>
      </c>
      <c r="CR165" s="393">
        <f>IF(ISBLANK(Actuals!CS80),IF(Uplifters!$B$2="Yes",Uplifters!CP107,0),Actuals!CS80)</f>
        <v>0</v>
      </c>
      <c r="CS165" s="393">
        <f>IF(ISBLANK(Actuals!CT80),IF(Uplifters!$B$2="Yes",Uplifters!CQ107,0),Actuals!CT80)</f>
        <v>0</v>
      </c>
      <c r="CT165" s="393">
        <f>IF(ISBLANK(Actuals!CU80),IF(Uplifters!$B$2="Yes",Uplifters!CR107,0),Actuals!CU80)</f>
        <v>0</v>
      </c>
      <c r="CU165" s="393">
        <f>IF(ISBLANK(Actuals!CV80),IF(Uplifters!$B$2="Yes",Uplifters!CS107,0),Actuals!CV80)</f>
        <v>0</v>
      </c>
      <c r="CV165" s="393">
        <f>IF(ISBLANK(Actuals!CW80),IF(Uplifters!$B$2="Yes",Uplifters!CT107,0),Actuals!CW80)</f>
        <v>0</v>
      </c>
      <c r="CW165" s="393">
        <f>IF(ISBLANK(Actuals!CX80),IF(Uplifters!$B$2="Yes",Uplifters!CU107,0),Actuals!CX80)</f>
        <v>0</v>
      </c>
      <c r="CX165" s="393">
        <f>IF(ISBLANK(Actuals!CY80),IF(Uplifters!$B$2="Yes",Uplifters!CV107,0),Actuals!CY80)</f>
        <v>0</v>
      </c>
      <c r="CY165" s="393">
        <f>IF(ISBLANK(Actuals!CZ80),IF(Uplifters!$B$2="Yes",Uplifters!CW107,0),Actuals!CZ80)</f>
        <v>0</v>
      </c>
      <c r="CZ165" s="393">
        <f>IF(ISBLANK(Actuals!DA80),IF(Uplifters!$B$2="Yes",Uplifters!CX107,0),Actuals!DA80)</f>
        <v>0</v>
      </c>
      <c r="DA165" s="393">
        <f>IF(ISBLANK(Actuals!DB80),IF(Uplifters!$B$2="Yes",Uplifters!CY107,0),Actuals!DB80)</f>
        <v>0</v>
      </c>
      <c r="DB165" s="393">
        <f>IF(ISBLANK(Actuals!DC80),IF(Uplifters!$B$2="Yes",Uplifters!CZ107,0),Actuals!DC80)</f>
        <v>0</v>
      </c>
      <c r="DC165" s="393">
        <f>IF(ISBLANK(Actuals!DD80),IF(Uplifters!$B$2="Yes",Uplifters!DA107,0),Actuals!DD80)</f>
        <v>0</v>
      </c>
      <c r="DD165" s="393">
        <f>IF(ISBLANK(Actuals!DE80),IF(Uplifters!$B$2="Yes",Uplifters!DB107,0),Actuals!DE80)</f>
        <v>0</v>
      </c>
      <c r="DE165" s="393">
        <f>IF(ISBLANK(Actuals!DF80),IF(Uplifters!$B$2="Yes",Uplifters!DC107,0),Actuals!DF80)</f>
        <v>0</v>
      </c>
    </row>
    <row r="166" ht="15" customFormat="1" customHeight="1" s="381">
      <c r="A166" s="398" t="inlineStr">
        <is>
          <t>Non-Cash Revenue Items</t>
        </is>
      </c>
      <c r="B166" s="393">
        <f>IF(ISBLANK(Actuals!C63),0,Actuals!C63)</f>
        <v>0</v>
      </c>
      <c r="C166" s="393">
        <f>IF(ISBLANK(Actuals!D63),0,Actuals!D63)</f>
        <v>0</v>
      </c>
      <c r="D166" s="393">
        <f>IF(ISBLANK(Actuals!E63),0,Actuals!E63)</f>
        <v>0</v>
      </c>
      <c r="E166" s="393">
        <f>IF(ISBLANK(Actuals!F63),0,Actuals!F63)</f>
        <v>0</v>
      </c>
      <c r="F166" s="393">
        <f>IF(ISBLANK(Actuals!G63),0,Actuals!G63)</f>
        <v>0</v>
      </c>
      <c r="G166" s="393">
        <f>IF(ISBLANK(Actuals!H63),0,Actuals!H63)</f>
        <v>299000</v>
      </c>
      <c r="H166" s="393">
        <f>IF(ISBLANK(Actuals!I63),0,Actuals!I63)</f>
        <v>0</v>
      </c>
      <c r="I166" s="393">
        <f>IF(ISBLANK(Actuals!J63),0,Actuals!J63)</f>
        <v>0</v>
      </c>
      <c r="J166" s="393">
        <f>IF(ISBLANK(Actuals!K63),0,Actuals!K63)</f>
        <v>0</v>
      </c>
      <c r="K166" s="393">
        <f>IF(ISBLANK(Actuals!L63),0,Actuals!L63)</f>
        <v>0</v>
      </c>
      <c r="L166" s="393">
        <f>IF(ISBLANK(Actuals!M63),0,Actuals!M63)</f>
        <v>0</v>
      </c>
      <c r="M166" s="393">
        <f>IF(ISBLANK(Actuals!N63),0,Actuals!N63)</f>
        <v>0</v>
      </c>
      <c r="N166" s="393">
        <f>IF(ISBLANK(Actuals!O63),0,Actuals!O63)</f>
        <v>0</v>
      </c>
      <c r="O166" s="393">
        <f>IF(ISBLANK(Actuals!P63),0,Actuals!P63)</f>
        <v>0</v>
      </c>
      <c r="P166" s="393">
        <f>IF(ISBLANK(Actuals!Q63),0,Actuals!Q63)</f>
        <v>0</v>
      </c>
      <c r="Q166" s="393">
        <f>IF(ISBLANK(Actuals!R63),0,Actuals!R63)</f>
        <v>0</v>
      </c>
      <c r="R166" s="393">
        <f>IF(ISBLANK(Actuals!S63),0,Actuals!S63)</f>
        <v>0</v>
      </c>
      <c r="S166" s="393">
        <f>IF(ISBLANK(Actuals!T63),0,Actuals!T63)</f>
        <v>0</v>
      </c>
      <c r="T166" s="393">
        <f>IF(ISBLANK(Actuals!U63),0,Actuals!U63)</f>
        <v>0</v>
      </c>
      <c r="U166" s="393">
        <f>IF(ISBLANK(Actuals!V63),0,Actuals!V63)</f>
        <v>0</v>
      </c>
      <c r="V166" s="393">
        <f>IF(ISBLANK(Actuals!W63),0,Actuals!W63)</f>
        <v>0</v>
      </c>
      <c r="W166" s="393">
        <f>IF(ISBLANK(Actuals!X63),0,Actuals!X63)</f>
        <v>0</v>
      </c>
      <c r="X166" s="393">
        <f>IF(ISBLANK(Actuals!Y63),0,Actuals!Y63)</f>
        <v>0</v>
      </c>
      <c r="Y166" s="393">
        <f>IF(ISBLANK(Actuals!Z63),0,Actuals!Z63)</f>
        <v>0</v>
      </c>
      <c r="Z166" s="393">
        <f>IF(ISBLANK(Actuals!AA63),0,Actuals!AA63)</f>
        <v>0</v>
      </c>
      <c r="AA166" s="393">
        <f>IF(ISBLANK(Actuals!AB63),0,Actuals!AB63)</f>
        <v>0</v>
      </c>
      <c r="AB166" s="393">
        <f>IF(ISBLANK(Actuals!AC63),0,Actuals!AC63)</f>
        <v>0</v>
      </c>
      <c r="AC166" s="393">
        <f>IF(ISBLANK(Actuals!AD63),0,Actuals!AD63)</f>
        <v>0</v>
      </c>
      <c r="AD166" s="393">
        <f>IF(ISBLANK(Actuals!AE63),0,Actuals!AE63)</f>
        <v>0</v>
      </c>
      <c r="AE166" s="393">
        <f>IF(ISBLANK(Actuals!AF63),0,Actuals!AF63)</f>
        <v>0</v>
      </c>
      <c r="AF166" s="393">
        <f>IF(ISBLANK(Actuals!AG63),0,Actuals!AG63)</f>
        <v>0</v>
      </c>
      <c r="AG166" s="393">
        <f>IF(ISBLANK(Actuals!AH63),0,Actuals!AH63)</f>
        <v>0</v>
      </c>
      <c r="AH166" s="393">
        <f>IF(ISBLANK(Actuals!AI63),0,Actuals!AI63)</f>
        <v>0</v>
      </c>
      <c r="AI166" s="393">
        <f>IF(ISBLANK(Actuals!AJ63),0,Actuals!AJ63)</f>
        <v>0</v>
      </c>
      <c r="AJ166" s="393">
        <f>IF(ISBLANK(Actuals!AK63),0,Actuals!AK63)</f>
        <v>0</v>
      </c>
      <c r="AK166" s="393">
        <f>IF(ISBLANK(Actuals!AL63),0,Actuals!AL63)</f>
        <v>0</v>
      </c>
      <c r="AL166" s="393">
        <f>IF(ISBLANK(Actuals!AM63),0,Actuals!AM63)</f>
        <v>0</v>
      </c>
      <c r="AM166" s="393">
        <f>IF(ISBLANK(Actuals!AN63),0,Actuals!AN63)</f>
        <v>0</v>
      </c>
      <c r="AN166" s="393">
        <f>IF(ISBLANK(Actuals!AO63),0,Actuals!AO63)</f>
        <v>0</v>
      </c>
      <c r="AO166" s="393">
        <f>IF(ISBLANK(Actuals!AP63),0,Actuals!AP63)</f>
        <v>0</v>
      </c>
      <c r="AP166" s="393">
        <f>IF(ISBLANK(Actuals!AQ63),0,Actuals!AQ63)</f>
        <v>0</v>
      </c>
      <c r="AQ166" s="393">
        <f>IF(ISBLANK(Actuals!AR63),0,Actuals!AR63)</f>
        <v>0</v>
      </c>
      <c r="AR166" s="393">
        <f>IF(ISBLANK(Actuals!AS63),0,Actuals!AS63)</f>
        <v>0</v>
      </c>
      <c r="AS166" s="393">
        <f>IF(ISBLANK(Actuals!AT63),0,Actuals!AT63)</f>
        <v>0</v>
      </c>
      <c r="AT166" s="393">
        <f>IF(ISBLANK(Actuals!AU63),0,Actuals!AU63)</f>
        <v>0</v>
      </c>
      <c r="AU166" s="393">
        <f>IF(ISBLANK(Actuals!AV63),0,Actuals!AV63)</f>
        <v>0</v>
      </c>
      <c r="AV166" s="393">
        <f>IF(ISBLANK(Actuals!AW63),0,Actuals!AW63)</f>
        <v>0</v>
      </c>
      <c r="AW166" s="393">
        <f>IF(ISBLANK(Actuals!AX63),0,Actuals!AX63)</f>
        <v>0</v>
      </c>
      <c r="AX166" s="393">
        <f>IF(ISBLANK(Actuals!AY63),0,Actuals!AY63)</f>
        <v>0</v>
      </c>
      <c r="AY166" s="393">
        <f>IF(ISBLANK(Actuals!AZ63),0,Actuals!AZ63)</f>
        <v>0</v>
      </c>
      <c r="AZ166" s="393">
        <f>IF(ISBLANK(Actuals!BA63),0,Actuals!BA63)</f>
        <v>0</v>
      </c>
      <c r="BA166" s="393">
        <f>IF(ISBLANK(Actuals!BB63),0,Actuals!BB63)</f>
        <v>0</v>
      </c>
      <c r="BB166" s="393">
        <f>IF(ISBLANK(Actuals!BC63),0,Actuals!BC63)</f>
        <v>0</v>
      </c>
      <c r="BC166" s="393">
        <f>IF(ISBLANK(Actuals!BD63),0,Actuals!BD63)</f>
        <v>0</v>
      </c>
      <c r="BD166" s="393">
        <f>IF(ISBLANK(Actuals!BE63),0,Actuals!BE63)</f>
        <v>0</v>
      </c>
      <c r="BE166" s="393">
        <f>IF(ISBLANK(Actuals!BF63),0,Actuals!BF63)</f>
        <v>0</v>
      </c>
      <c r="BF166" s="393">
        <f>IF(ISBLANK(Actuals!BG63),0,Actuals!BG63)</f>
        <v>0</v>
      </c>
      <c r="BG166" s="393">
        <f>IF(ISBLANK(Actuals!BH63),0,Actuals!BH63)</f>
        <v>0</v>
      </c>
      <c r="BH166" s="393">
        <f>IF(ISBLANK(Actuals!BI63),0,Actuals!BI63)</f>
        <v>0</v>
      </c>
      <c r="BI166" s="393">
        <f>IF(ISBLANK(Actuals!BJ63),0,Actuals!BJ63)</f>
        <v>0</v>
      </c>
      <c r="BJ166" s="393">
        <f>IF(ISBLANK(Actuals!BK63),0,Actuals!BK63)</f>
        <v>0</v>
      </c>
      <c r="BK166" s="393">
        <f>IF(ISBLANK(Actuals!BL63),0,Actuals!BL63)</f>
        <v>0</v>
      </c>
      <c r="BL166" s="393">
        <f>IF(ISBLANK(Actuals!BM63),0,Actuals!BM63)</f>
        <v>0</v>
      </c>
      <c r="BM166" s="393">
        <f>IF(ISBLANK(Actuals!BN63),0,Actuals!BN63)</f>
        <v>0</v>
      </c>
      <c r="BN166" s="393">
        <f>IF(ISBLANK(Actuals!BO63),0,Actuals!BO63)</f>
        <v>0</v>
      </c>
      <c r="BO166" s="393">
        <f>IF(ISBLANK(Actuals!BP63),0,Actuals!BP63)</f>
        <v>0</v>
      </c>
      <c r="BP166" s="393">
        <f>IF(ISBLANK(Actuals!BQ63),0,Actuals!BQ63)</f>
        <v>0</v>
      </c>
      <c r="BQ166" s="393">
        <f>IF(ISBLANK(Actuals!BR63),0,Actuals!BR63)</f>
        <v>0</v>
      </c>
      <c r="BR166" s="393">
        <f>IF(ISBLANK(Actuals!BS63),0,Actuals!BS63)</f>
        <v>0</v>
      </c>
      <c r="BS166" s="393">
        <f>IF(ISBLANK(Actuals!BT63),0,Actuals!BT63)</f>
        <v>0</v>
      </c>
      <c r="BT166" s="393">
        <f>IF(ISBLANK(Actuals!BU63),0,Actuals!BU63)</f>
        <v>0</v>
      </c>
      <c r="BU166" s="393">
        <f>IF(ISBLANK(Actuals!BV63),0,Actuals!BV63)</f>
        <v>0</v>
      </c>
      <c r="BV166" s="393">
        <f>IF(ISBLANK(Actuals!BW63),0,Actuals!BW63)</f>
        <v>0</v>
      </c>
      <c r="BW166" s="393">
        <f>IF(ISBLANK(Actuals!BX63),0,Actuals!BX63)</f>
        <v>0</v>
      </c>
      <c r="BX166" s="393">
        <f>IF(ISBLANK(Actuals!BY63),0,Actuals!BY63)</f>
        <v>0</v>
      </c>
      <c r="BY166" s="393">
        <f>IF(ISBLANK(Actuals!BZ63),0,Actuals!BZ63)</f>
        <v>0</v>
      </c>
      <c r="BZ166" s="393">
        <f>IF(ISBLANK(Actuals!CA63),0,Actuals!CA63)</f>
        <v>0</v>
      </c>
      <c r="CA166" s="393">
        <f>IF(ISBLANK(Actuals!CB63),0,Actuals!CB63)</f>
        <v>0</v>
      </c>
      <c r="CB166" s="393">
        <f>IF(ISBLANK(Actuals!CC63),0,Actuals!CC63)</f>
        <v>0</v>
      </c>
      <c r="CC166" s="393">
        <f>IF(ISBLANK(Actuals!CD63),0,Actuals!CD63)</f>
        <v>0</v>
      </c>
      <c r="CD166" s="393">
        <f>IF(ISBLANK(Actuals!CE63),0,Actuals!CE63)</f>
        <v>0</v>
      </c>
      <c r="CE166" s="393">
        <f>IF(ISBLANK(Actuals!CF63),0,Actuals!CF63)</f>
        <v>0</v>
      </c>
      <c r="CF166" s="393">
        <f>IF(ISBLANK(Actuals!CG63),0,Actuals!CG63)</f>
        <v>0</v>
      </c>
      <c r="CG166" s="393">
        <f>IF(ISBLANK(Actuals!CH63),0,Actuals!CH63)</f>
        <v>0</v>
      </c>
      <c r="CH166" s="393">
        <f>IF(ISBLANK(Actuals!CI63),0,Actuals!CI63)</f>
        <v>0</v>
      </c>
      <c r="CI166" s="393">
        <f>IF(ISBLANK(Actuals!CJ63),0,Actuals!CJ63)</f>
        <v>0</v>
      </c>
      <c r="CJ166" s="393">
        <f>IF(ISBLANK(Actuals!CK63),0,Actuals!CK63)</f>
        <v>0</v>
      </c>
      <c r="CK166" s="393">
        <f>IF(ISBLANK(Actuals!CL63),0,Actuals!CL63)</f>
        <v>0</v>
      </c>
      <c r="CL166" s="393">
        <f>IF(ISBLANK(Actuals!CM63),0,Actuals!CM63)</f>
        <v>0</v>
      </c>
      <c r="CM166" s="393">
        <f>IF(ISBLANK(Actuals!CN63),0,Actuals!CN63)</f>
        <v>0</v>
      </c>
      <c r="CN166" s="393">
        <f>IF(ISBLANK(Actuals!CO63),0,Actuals!CO63)</f>
        <v>0</v>
      </c>
      <c r="CO166" s="393">
        <f>IF(ISBLANK(Actuals!CP63),0,Actuals!CP63)</f>
        <v>0</v>
      </c>
      <c r="CP166" s="393">
        <f>IF(ISBLANK(Actuals!CQ63),0,Actuals!CQ63)</f>
        <v>0</v>
      </c>
      <c r="CQ166" s="393">
        <f>IF(ISBLANK(Actuals!CR63),0,Actuals!CR63)</f>
        <v>0</v>
      </c>
      <c r="CR166" s="393">
        <f>IF(ISBLANK(Actuals!CS63),0,Actuals!CS63)</f>
        <v>0</v>
      </c>
      <c r="CS166" s="393">
        <f>IF(ISBLANK(Actuals!CT63),0,Actuals!CT63)</f>
        <v>0</v>
      </c>
      <c r="CT166" s="393">
        <f>IF(ISBLANK(Actuals!CU63),0,Actuals!CU63)</f>
        <v>0</v>
      </c>
      <c r="CU166" s="393">
        <f>IF(ISBLANK(Actuals!CV63),0,Actuals!CV63)</f>
        <v>0</v>
      </c>
      <c r="CV166" s="393">
        <f>IF(ISBLANK(Actuals!CW63),0,Actuals!CW63)</f>
        <v>0</v>
      </c>
      <c r="CW166" s="393">
        <f>IF(ISBLANK(Actuals!CX63),0,Actuals!CX63)</f>
        <v>0</v>
      </c>
      <c r="CX166" s="393">
        <f>IF(ISBLANK(Actuals!CY63),0,Actuals!CY63)</f>
        <v>0</v>
      </c>
      <c r="CY166" s="393">
        <f>IF(ISBLANK(Actuals!CZ63),0,Actuals!CZ63)</f>
        <v>0</v>
      </c>
      <c r="CZ166" s="393">
        <f>IF(ISBLANK(Actuals!DA63),0,Actuals!DA63)</f>
        <v>0</v>
      </c>
      <c r="DA166" s="393">
        <f>IF(ISBLANK(Actuals!DB63),0,Actuals!DB63)</f>
        <v>0</v>
      </c>
      <c r="DB166" s="393">
        <f>IF(ISBLANK(Actuals!DC63),0,Actuals!DC63)</f>
        <v>0</v>
      </c>
      <c r="DC166" s="393">
        <f>IF(ISBLANK(Actuals!DD63),0,Actuals!DD63)</f>
        <v>0</v>
      </c>
      <c r="DD166" s="393">
        <f>IF(ISBLANK(Actuals!DE63),0,Actuals!DE63)</f>
        <v>0</v>
      </c>
      <c r="DE166" s="393">
        <f>IF(ISBLANK(Actuals!DF63),0,Actuals!DF63)</f>
        <v>0</v>
      </c>
    </row>
    <row r="167" ht="15" customFormat="1" customHeight="1" s="381">
      <c r="A167" s="398" t="inlineStr">
        <is>
          <t>APA LLP Net Income (Six Peak 50% share)</t>
        </is>
      </c>
      <c r="B167" s="393" t="n"/>
      <c r="C167" s="393" t="n"/>
      <c r="D167" s="393" t="n"/>
      <c r="E167" s="393" t="n"/>
      <c r="F167" s="393" t="n"/>
      <c r="G167" s="393" t="n"/>
      <c r="H167" s="393">
        <f>MAX(0,0.5*'APA Projection'!B$23)</f>
        <v>2424.64285714286</v>
      </c>
      <c r="I167" s="393">
        <f>MAX(0,0.5*'APA Projection'!C$23)</f>
        <v>9021.64285714286</v>
      </c>
      <c r="J167" s="393">
        <f>MAX(0,0.5*'APA Projection'!D$23)</f>
        <v>12771.6428571429</v>
      </c>
      <c r="K167" s="393">
        <f>MAX(0,0.5*'APA Projection'!E$23)</f>
        <v>12771.6428571429</v>
      </c>
      <c r="L167" s="393">
        <f>MAX(0,0.5*'APA Projection'!F$23)</f>
        <v>12771.6428571429</v>
      </c>
      <c r="M167" s="393">
        <f>MAX(0,0.5*'APA Projection'!G$23)</f>
        <v>10021.6428571429</v>
      </c>
      <c r="N167" s="393">
        <f>MAX(0,0.5*'APA Projection'!H$23)</f>
        <v>30896.6428571429</v>
      </c>
      <c r="O167" s="393">
        <f>MAX(0,0.5*'APA Projection'!I$23)</f>
        <v>18039.5</v>
      </c>
      <c r="P167" s="393">
        <f>MAX(0,0.5*'APA Projection'!J$23)</f>
        <v>19289.5</v>
      </c>
      <c r="Q167" s="393">
        <f>MAX(0,0.5*'APA Projection'!K$23)</f>
        <v>19289.5</v>
      </c>
      <c r="R167" s="393">
        <f>MAX(0,0.5*'APA Projection'!L$23)</f>
        <v>19289.5</v>
      </c>
      <c r="S167" s="393">
        <f>MAX(0,0.5*'APA Projection'!M$23)</f>
        <v>19289.5</v>
      </c>
      <c r="T167" s="393">
        <f>MAX(0,0.5*'APA Projection'!N$23)</f>
        <v>15289.5</v>
      </c>
      <c r="U167" s="393">
        <f>MAX(0,0.5*'APA Projection'!O$23)</f>
        <v>19289.5</v>
      </c>
      <c r="V167" s="393">
        <f>MAX(0,0.5*'APA Projection'!P$23)</f>
        <v>19289.5</v>
      </c>
      <c r="W167" s="393">
        <f>MAX(0,0.5*'APA Projection'!Q$23)</f>
        <v>19289.5</v>
      </c>
      <c r="X167" s="393">
        <f>MAX(0,0.5*'APA Projection'!R$23)</f>
        <v>17942.5</v>
      </c>
      <c r="Y167" s="393">
        <f>MAX(0,0.5*'APA Projection'!S$23)</f>
        <v>17942.5</v>
      </c>
      <c r="Z167" s="393">
        <f>MAX(0,0.5*'APA Projection'!T$23)</f>
        <v>0</v>
      </c>
      <c r="AA167" s="393">
        <f>MAX(0,0.5*'APA Projection'!U$23)</f>
        <v>0</v>
      </c>
      <c r="AB167" s="393">
        <f>MAX(0,0.5*'APA Projection'!V$23)</f>
        <v>0</v>
      </c>
      <c r="AC167" s="393">
        <f>MAX(0,0.5*'APA Projection'!W$23)</f>
        <v>0</v>
      </c>
      <c r="AD167" s="393">
        <f>MAX(0,0.5*'APA Projection'!X$23)</f>
        <v>0</v>
      </c>
      <c r="AE167" s="393">
        <f>MAX(0,0.5*'APA Projection'!Y$23)</f>
        <v>0</v>
      </c>
      <c r="AF167" s="393">
        <f>MAX(0,0.5*'APA Projection'!Z$23)</f>
        <v>0</v>
      </c>
      <c r="AG167" s="393">
        <f>MAX(0,0.5*'APA Projection'!AA$23)</f>
        <v>0</v>
      </c>
      <c r="AH167" s="393">
        <f>MAX(0,0.5*'APA Projection'!AB$23)</f>
        <v>0</v>
      </c>
      <c r="AI167" s="393">
        <f>MAX(0,0.5*'APA Projection'!AC$23)</f>
        <v>0</v>
      </c>
      <c r="AJ167" s="393">
        <f>MAX(0,0.5*'APA Projection'!AD$23)</f>
        <v>0</v>
      </c>
      <c r="AK167" s="393">
        <f>MAX(0,0.5*'APA Projection'!AE$23)</f>
        <v>0</v>
      </c>
      <c r="AL167" s="393">
        <f>MAX(0,0.5*'APA Projection'!AF$23)</f>
        <v>0</v>
      </c>
      <c r="AM167" s="393">
        <f>MAX(0,0.5*'APA Projection'!AG$23)</f>
        <v>0</v>
      </c>
      <c r="AN167" s="393">
        <f>MAX(0,0.5*'APA Projection'!AH$23)</f>
        <v>0</v>
      </c>
      <c r="AO167" s="393">
        <f>MAX(0,0.5*'APA Projection'!AI$23)</f>
        <v>0</v>
      </c>
      <c r="AP167" s="393">
        <f>MAX(0,0.5*'APA Projection'!AJ$23)</f>
        <v>0</v>
      </c>
      <c r="AQ167" s="393">
        <f>MAX(0,0.5*'APA Projection'!AK$23)</f>
        <v>0</v>
      </c>
      <c r="AR167" s="393">
        <f>MAX(0,0.5*'APA Projection'!AL$23)</f>
        <v>0</v>
      </c>
      <c r="AS167" s="393">
        <f>MAX(0,0.5*'APA Projection'!AM$23)</f>
        <v>0</v>
      </c>
      <c r="AT167" s="393" t="n"/>
      <c r="AU167" s="393" t="n"/>
      <c r="AV167" s="393" t="n"/>
      <c r="AW167" s="393" t="n"/>
      <c r="AX167" s="393" t="n"/>
      <c r="AY167" s="393" t="n"/>
      <c r="AZ167" s="393" t="n"/>
      <c r="BA167" s="393" t="n"/>
      <c r="BB167" s="393" t="n"/>
      <c r="BC167" s="393" t="n"/>
      <c r="BD167" s="393" t="n"/>
      <c r="BE167" s="393" t="n"/>
      <c r="BF167" s="393" t="n"/>
      <c r="BG167" s="393" t="n"/>
      <c r="BH167" s="393" t="n"/>
      <c r="BI167" s="393" t="n"/>
      <c r="BJ167" s="393" t="n"/>
      <c r="BK167" s="393" t="n"/>
      <c r="BL167" s="393" t="n"/>
      <c r="BM167" s="393" t="n"/>
      <c r="BN167" s="393" t="n"/>
      <c r="BO167" s="393" t="n"/>
      <c r="BP167" s="393" t="n"/>
      <c r="BQ167" s="393" t="n"/>
      <c r="BR167" s="393" t="n"/>
      <c r="BS167" s="393" t="n"/>
      <c r="BT167" s="393" t="n"/>
      <c r="BU167" s="393" t="n"/>
      <c r="BV167" s="393" t="n"/>
      <c r="BW167" s="393" t="n"/>
      <c r="BX167" s="393" t="n"/>
      <c r="BY167" s="393" t="n"/>
      <c r="BZ167" s="393" t="n"/>
      <c r="CA167" s="393" t="n"/>
      <c r="CB167" s="393" t="n"/>
      <c r="CC167" s="393" t="n"/>
      <c r="CD167" s="393" t="n"/>
      <c r="CE167" s="393" t="n"/>
      <c r="CF167" s="393" t="n"/>
      <c r="CG167" s="393" t="n"/>
      <c r="CH167" s="393" t="n"/>
      <c r="CI167" s="393" t="n"/>
      <c r="CJ167" s="393" t="n"/>
      <c r="CK167" s="393" t="n"/>
      <c r="CL167" s="393" t="n"/>
      <c r="CM167" s="393" t="n"/>
      <c r="CN167" s="393" t="n"/>
      <c r="CO167" s="393" t="n"/>
      <c r="CP167" s="393" t="n"/>
      <c r="CQ167" s="393" t="n"/>
      <c r="CR167" s="393" t="n"/>
      <c r="CS167" s="393" t="n"/>
      <c r="CT167" s="393" t="n"/>
      <c r="CU167" s="393" t="n"/>
      <c r="CV167" s="393" t="n"/>
      <c r="CW167" s="393" t="n"/>
      <c r="CX167" s="393" t="n"/>
      <c r="CY167" s="393" t="n"/>
      <c r="CZ167" s="393" t="n"/>
      <c r="DA167" s="393" t="n"/>
      <c r="DB167" s="393" t="n"/>
      <c r="DC167" s="393" t="n"/>
      <c r="DD167" s="393" t="n"/>
      <c r="DE167" s="393" t="n"/>
    </row>
    <row r="168" ht="19.5" customFormat="1" customHeight="1" s="381">
      <c r="A168" s="409" t="inlineStr">
        <is>
          <t>Total Six Peak Revenue</t>
        </is>
      </c>
      <c r="B168" s="410">
        <f>SUM(B148:B167)</f>
        <v>34114.58</v>
      </c>
      <c r="C168" s="410">
        <f>SUM(C148:C167)</f>
        <v>34114.58</v>
      </c>
      <c r="D168" s="410">
        <f>SUM(D148:D167)</f>
        <v>34114.58</v>
      </c>
      <c r="E168" s="410">
        <f>SUM(E148:E167)</f>
        <v>34114.58</v>
      </c>
      <c r="F168" s="410">
        <f>SUM(F148:F167)</f>
        <v>34114.58</v>
      </c>
      <c r="G168" s="410">
        <f>SUM(G148:G167)</f>
        <v>333114.58</v>
      </c>
      <c r="H168" s="410">
        <f>SUM(H148:H167)</f>
        <v>46039.2228571429</v>
      </c>
      <c r="I168" s="410">
        <f>SUM(I148:I167)</f>
        <v>52636.2228571429</v>
      </c>
      <c r="J168" s="410">
        <f>SUM(J148:J167)</f>
        <v>55552.8928571429</v>
      </c>
      <c r="K168" s="410">
        <f>SUM(K148:K167)</f>
        <v>55552.8928571429</v>
      </c>
      <c r="L168" s="410">
        <f>SUM(L148:L167)</f>
        <v>46177.8928571429</v>
      </c>
      <c r="M168" s="410">
        <f>SUM(M148:M167)</f>
        <v>43427.8928571429</v>
      </c>
      <c r="N168" s="410">
        <f>SUM(N148:N167)</f>
        <v>523712.102857143</v>
      </c>
      <c r="O168" s="410">
        <f>SUM(O148:O167)</f>
        <v>75129.96</v>
      </c>
      <c r="P168" s="410">
        <f>SUM(P148:P167)</f>
        <v>76379.96</v>
      </c>
      <c r="Q168" s="410">
        <f>SUM(Q148:Q167)</f>
        <v>99512.1904</v>
      </c>
      <c r="R168" s="410">
        <f>SUM(R148:R167)</f>
        <v>93261.9904</v>
      </c>
      <c r="S168" s="410">
        <f>SUM(S148:S167)</f>
        <v>93261.9904</v>
      </c>
      <c r="T168" s="410">
        <f>SUM(T148:T167)</f>
        <v>65355.7404</v>
      </c>
      <c r="U168" s="410">
        <f>SUM(U148:U167)</f>
        <v>64855.7404</v>
      </c>
      <c r="V168" s="410">
        <f>SUM(V148:V167)</f>
        <v>64855.7404</v>
      </c>
      <c r="W168" s="410">
        <f>SUM(W148:W167)</f>
        <v>81428.0028</v>
      </c>
      <c r="X168" s="410">
        <f>SUM(X148:X167)</f>
        <v>96653.2652</v>
      </c>
      <c r="Y168" s="410">
        <f>SUM(Y148:Y167)</f>
        <v>170600.5276</v>
      </c>
      <c r="Z168" s="410">
        <f>SUM(Z148:Z167)</f>
        <v>105410.004</v>
      </c>
      <c r="AA168" s="410">
        <f>SUM(AA148:AA167)</f>
        <v>120946.506</v>
      </c>
      <c r="AB168" s="410">
        <f>SUM(AB148:AB167)</f>
        <v>193857.996</v>
      </c>
      <c r="AC168" s="410">
        <f>SUM(AC148:AC167)</f>
        <v>152019.486</v>
      </c>
      <c r="AD168" s="410">
        <f>SUM(AD148:AD167)</f>
        <v>167555.982</v>
      </c>
      <c r="AE168" s="410">
        <f>SUM(AE148:AE167)</f>
        <v>240467.484</v>
      </c>
      <c r="AF168" s="410">
        <f>SUM(AF148:AF167)</f>
        <v>185883.577</v>
      </c>
      <c r="AG168" s="410">
        <f>SUM(AG148:AG167)</f>
        <v>176441.1605</v>
      </c>
      <c r="AH168" s="410">
        <f>SUM(AH148:AH167)</f>
        <v>209731.2855</v>
      </c>
      <c r="AI168" s="410">
        <f>SUM(AI148:AI167)</f>
        <v>151106.0555</v>
      </c>
      <c r="AJ168" s="410">
        <f>SUM(AJ148:AJ167)</f>
        <v>151536.2215</v>
      </c>
      <c r="AK168" s="410">
        <f>SUM(AK148:AK167)</f>
        <v>151966.3765</v>
      </c>
      <c r="AL168" s="410">
        <f>SUM(AL148:AL167)</f>
        <v>152396.537</v>
      </c>
      <c r="AM168" s="410">
        <f>SUM(AM148:AM167)</f>
        <v>152826.692</v>
      </c>
      <c r="AN168" s="410">
        <f>SUM(AN148:AN167)</f>
        <v>167498.6405</v>
      </c>
      <c r="AO168" s="410">
        <f>SUM(AO148:AO167)</f>
        <v>153687.0185</v>
      </c>
      <c r="AP168" s="410">
        <f>SUM(AP148:AP167)</f>
        <v>139875.391</v>
      </c>
      <c r="AQ168" s="410">
        <f>SUM(AQ148:AQ167)</f>
        <v>126063.7635</v>
      </c>
      <c r="AR168" s="410">
        <f>SUM(AR148:AR167)</f>
        <v>112252.1305</v>
      </c>
      <c r="AS168" s="410">
        <f>SUM(AS148:AS167)</f>
        <v>90627.735</v>
      </c>
      <c r="AT168" s="410">
        <f>SUM(AT148:AT167)</f>
        <v>159754.71</v>
      </c>
      <c r="AU168" s="410">
        <f>SUM(AU148:AU167)</f>
        <v>65515.68</v>
      </c>
      <c r="AV168" s="410">
        <f>SUM(AV148:AV167)</f>
        <v>52959.66</v>
      </c>
      <c r="AW168" s="410">
        <f>SUM(AW148:AW167)</f>
        <v>121601.0485</v>
      </c>
      <c r="AX168" s="410">
        <f>SUM(AX148:AX167)</f>
        <v>80797.05</v>
      </c>
      <c r="AY168" s="410">
        <f>SUM(AY148:AY167)</f>
        <v>67849.975</v>
      </c>
      <c r="AZ168" s="410">
        <f>SUM(AZ148:AZ167)</f>
        <v>123738.6125</v>
      </c>
      <c r="BA168" s="410">
        <f>SUM(BA148:BA167)</f>
        <v>41626.452</v>
      </c>
      <c r="BB168" s="410">
        <f>SUM(BB148:BB167)</f>
        <v>41196.286</v>
      </c>
      <c r="BC168" s="410">
        <f>SUM(BC148:BC167)</f>
        <v>974287.131</v>
      </c>
      <c r="BD168" s="410">
        <f>SUM(BD148:BD167)</f>
        <v>40335.9705</v>
      </c>
      <c r="BE168" s="410">
        <f>SUM(BE148:BE167)</f>
        <v>39905.81</v>
      </c>
      <c r="BF168" s="410">
        <f>SUM(BF148:BF167)</f>
        <v>170353.6495</v>
      </c>
      <c r="BG168" s="410">
        <f>SUM(BG148:BG167)</f>
        <v>39045.489</v>
      </c>
      <c r="BH168" s="410">
        <f>SUM(BH148:BH167)</f>
        <v>38615.3285</v>
      </c>
      <c r="BI168" s="410">
        <f>SUM(BI148:BI167)</f>
        <v>169061.168</v>
      </c>
      <c r="BJ168" s="410">
        <f>SUM(BJ148:BJ167)</f>
        <v>37755.0075</v>
      </c>
      <c r="BK168" s="410">
        <f>SUM(BK148:BK167)</f>
        <v>37324.847</v>
      </c>
      <c r="BL168" s="410">
        <f>SUM(BL148:BL167)</f>
        <v>167770.692</v>
      </c>
      <c r="BM168" s="410">
        <f>SUM(BM148:BM167)</f>
        <v>59965.026</v>
      </c>
      <c r="BN168" s="410">
        <f>SUM(BN148:BN167)</f>
        <v>59534.8655</v>
      </c>
      <c r="BO168" s="410">
        <f>SUM(BO148:BO167)</f>
        <v>243806.995</v>
      </c>
      <c r="BP168" s="410">
        <f>SUM(BP148:BP167)</f>
        <v>0</v>
      </c>
      <c r="BQ168" s="410">
        <f>SUM(BQ148:BQ167)</f>
        <v>0</v>
      </c>
      <c r="BR168" s="410">
        <f>SUM(BR148:BR167)</f>
        <v>142406</v>
      </c>
      <c r="BS168" s="410">
        <f>SUM(BS148:BS167)</f>
        <v>0</v>
      </c>
      <c r="BT168" s="410">
        <f>SUM(BT148:BT167)</f>
        <v>0</v>
      </c>
      <c r="BU168" s="410">
        <f>SUM(BU148:BU167)</f>
        <v>142402</v>
      </c>
      <c r="BV168" s="410">
        <f>SUM(BV148:BV167)</f>
        <v>0</v>
      </c>
      <c r="BW168" s="410">
        <f>SUM(BW148:BW167)</f>
        <v>0</v>
      </c>
      <c r="BX168" s="410">
        <f>SUM(BX148:BX167)</f>
        <v>142402</v>
      </c>
      <c r="BY168" s="410">
        <f>SUM(BY148:BY167)</f>
        <v>0</v>
      </c>
      <c r="BZ168" s="410">
        <f>SUM(BZ148:BZ167)</f>
        <v>0</v>
      </c>
      <c r="CA168" s="410">
        <f>SUM(CA148:CA167)</f>
        <v>215558</v>
      </c>
      <c r="CB168" s="410">
        <f>SUM(CB148:CB167)</f>
        <v>0</v>
      </c>
      <c r="CC168" s="410">
        <f>SUM(CC148:CC167)</f>
        <v>0</v>
      </c>
      <c r="CD168" s="410">
        <f>SUM(CD148:CD167)</f>
        <v>231017</v>
      </c>
      <c r="CE168" s="410">
        <f>SUM(CE148:CE167)</f>
        <v>0</v>
      </c>
      <c r="CF168" s="410">
        <f>SUM(CF148:CF167)</f>
        <v>0</v>
      </c>
      <c r="CG168" s="410">
        <f>SUM(CG148:CG167)</f>
        <v>231016</v>
      </c>
      <c r="CH168" s="410">
        <f>SUM(CH148:CH167)</f>
        <v>0</v>
      </c>
      <c r="CI168" s="410">
        <f>SUM(CI148:CI167)</f>
        <v>0</v>
      </c>
      <c r="CJ168" s="410">
        <f>SUM(CJ148:CJ167)</f>
        <v>231016</v>
      </c>
      <c r="CK168" s="410">
        <f>SUM(CK148:CK167)</f>
        <v>231016</v>
      </c>
      <c r="CL168" s="410">
        <f>SUM(CL148:CL167)</f>
        <v>231016</v>
      </c>
      <c r="CM168" s="410">
        <f>SUM(CM148:CM167)</f>
        <v>231016</v>
      </c>
      <c r="CN168" s="410">
        <f>SUM(CN148:CN167)</f>
        <v>231016</v>
      </c>
      <c r="CO168" s="410">
        <f>SUM(CO148:CO167)</f>
        <v>231016</v>
      </c>
      <c r="CP168" s="410">
        <f>SUM(CP148:CP167)</f>
        <v>231016</v>
      </c>
      <c r="CQ168" s="410">
        <f>SUM(CQ148:CQ167)</f>
        <v>231016</v>
      </c>
      <c r="CR168" s="410">
        <f>SUM(CR148:CR167)</f>
        <v>231016</v>
      </c>
      <c r="CS168" s="410">
        <f>SUM(CS148:CS167)</f>
        <v>231016</v>
      </c>
      <c r="CT168" s="410">
        <f>SUM(CT148:CT167)</f>
        <v>231016</v>
      </c>
      <c r="CU168" s="410">
        <f>SUM(CU148:CU167)</f>
        <v>231016</v>
      </c>
      <c r="CV168" s="410">
        <f>SUM(CV148:CV167)</f>
        <v>231016</v>
      </c>
      <c r="CW168" s="410">
        <f>SUM(CW148:CW167)</f>
        <v>231016</v>
      </c>
      <c r="CX168" s="410">
        <f>SUM(CX148:CX167)</f>
        <v>231016</v>
      </c>
      <c r="CY168" s="410">
        <f>SUM(CY148:CY167)</f>
        <v>231016</v>
      </c>
      <c r="CZ168" s="410">
        <f>SUM(CZ148:CZ167)</f>
        <v>231016</v>
      </c>
      <c r="DA168" s="410">
        <f>SUM(DA148:DA167)</f>
        <v>231016</v>
      </c>
      <c r="DB168" s="410">
        <f>SUM(DB148:DB167)</f>
        <v>231016</v>
      </c>
      <c r="DC168" s="410">
        <f>SUM(DC148:DC167)</f>
        <v>231016</v>
      </c>
      <c r="DD168" s="410">
        <f>SUM(DD148:DD167)</f>
        <v>231016</v>
      </c>
      <c r="DE168" s="410">
        <f>SUM(DE148:DE167)</f>
        <v>231016</v>
      </c>
    </row>
    <row r="169" ht="15" customFormat="1" customHeight="1" s="381">
      <c r="A169" s="403" t="inlineStr">
        <is>
          <t>Six Peak Expenses</t>
        </is>
      </c>
      <c r="B169" s="414" t="n"/>
      <c r="C169" s="414" t="n"/>
      <c r="D169" s="414" t="n"/>
      <c r="E169" s="414" t="n"/>
      <c r="F169" s="414" t="n"/>
      <c r="G169" s="414" t="n"/>
      <c r="H169" s="414" t="n"/>
      <c r="I169" s="414" t="n"/>
      <c r="J169" s="414" t="n"/>
      <c r="K169" s="414" t="n"/>
      <c r="L169" s="414" t="n"/>
      <c r="M169" s="414" t="n"/>
      <c r="N169" s="414" t="n"/>
      <c r="O169" s="414" t="n"/>
      <c r="P169" s="414" t="n"/>
      <c r="Q169" s="414" t="n"/>
      <c r="R169" s="414" t="n"/>
      <c r="S169" s="414" t="n"/>
      <c r="T169" s="414" t="n"/>
      <c r="U169" s="414" t="n"/>
      <c r="V169" s="414" t="n"/>
      <c r="W169" s="414" t="n"/>
      <c r="X169" s="414" t="n"/>
      <c r="Y169" s="414" t="n"/>
      <c r="Z169" s="414" t="n"/>
      <c r="AA169" s="414" t="n"/>
      <c r="AB169" s="414" t="n"/>
      <c r="AC169" s="414" t="n"/>
      <c r="AD169" s="414" t="n"/>
      <c r="AE169" s="414" t="n"/>
      <c r="AF169" s="414" t="n"/>
      <c r="AG169" s="414" t="n"/>
      <c r="AH169" s="414" t="n"/>
      <c r="AI169" s="414" t="n"/>
      <c r="AJ169" s="414" t="n"/>
      <c r="AK169" s="414" t="n"/>
      <c r="AL169" s="414" t="n"/>
      <c r="AM169" s="414" t="n"/>
      <c r="AN169" s="414" t="n"/>
      <c r="AO169" s="414" t="n"/>
      <c r="AP169" s="414" t="n"/>
      <c r="AQ169" s="414" t="n"/>
      <c r="AR169" s="414" t="n"/>
      <c r="AS169" s="414" t="n"/>
      <c r="AT169" s="414" t="n"/>
      <c r="AU169" s="414" t="n"/>
      <c r="AV169" s="414" t="n"/>
      <c r="AW169" s="414" t="n"/>
      <c r="AX169" s="414" t="n"/>
      <c r="AY169" s="414" t="n"/>
      <c r="AZ169" s="414" t="n"/>
      <c r="BA169" s="414" t="n"/>
      <c r="BB169" s="414" t="n"/>
      <c r="BC169" s="414" t="n"/>
      <c r="BD169" s="414" t="n"/>
      <c r="BE169" s="414" t="n"/>
      <c r="BF169" s="414" t="n"/>
      <c r="BG169" s="414" t="n"/>
      <c r="BH169" s="414" t="n"/>
      <c r="BI169" s="414" t="n"/>
      <c r="BJ169" s="414" t="n"/>
      <c r="BK169" s="414" t="n"/>
      <c r="BL169" s="414" t="n"/>
      <c r="BM169" s="414" t="n"/>
      <c r="BN169" s="414" t="n"/>
      <c r="BO169" s="414" t="n"/>
      <c r="BP169" s="414" t="n"/>
      <c r="BQ169" s="414" t="n"/>
      <c r="BR169" s="414" t="n"/>
      <c r="BS169" s="414" t="n"/>
      <c r="BT169" s="414" t="n"/>
      <c r="BU169" s="414" t="n"/>
      <c r="BV169" s="414" t="n"/>
      <c r="BW169" s="414" t="n"/>
      <c r="BX169" s="414" t="n"/>
      <c r="BY169" s="414" t="n"/>
      <c r="BZ169" s="414" t="n"/>
      <c r="CA169" s="414" t="n"/>
      <c r="CB169" s="414" t="n"/>
      <c r="CC169" s="414" t="n"/>
      <c r="CD169" s="414" t="n"/>
      <c r="CE169" s="414" t="n"/>
      <c r="CF169" s="414" t="n"/>
      <c r="CG169" s="414" t="n"/>
      <c r="CH169" s="414" t="n"/>
      <c r="CI169" s="414" t="n"/>
      <c r="CJ169" s="414" t="n"/>
      <c r="CK169" s="414" t="n"/>
      <c r="CL169" s="414" t="n"/>
      <c r="CM169" s="414" t="n"/>
      <c r="CN169" s="414" t="n"/>
      <c r="CO169" s="414" t="n"/>
      <c r="CP169" s="414" t="n"/>
      <c r="CQ169" s="414" t="n"/>
      <c r="CR169" s="414" t="n"/>
      <c r="CS169" s="414" t="n"/>
      <c r="CT169" s="414" t="n"/>
      <c r="CU169" s="414" t="n"/>
      <c r="CV169" s="414" t="n"/>
      <c r="CW169" s="414" t="n"/>
      <c r="CX169" s="414" t="n"/>
      <c r="CY169" s="414" t="n"/>
      <c r="CZ169" s="414" t="n"/>
      <c r="DA169" s="414" t="n"/>
      <c r="DB169" s="414" t="n"/>
      <c r="DC169" s="414" t="n"/>
      <c r="DD169" s="414" t="n"/>
      <c r="DE169" s="414" t="n"/>
    </row>
    <row r="170" ht="15" customFormat="1" customHeight="1" s="381">
      <c r="A170" s="415" t="inlineStr">
        <is>
          <t>5000-1000 Payroll</t>
        </is>
      </c>
      <c r="B170" s="402">
        <f>IF(ISBLANK(Actuals!C83),0,Actuals!C83)</f>
        <v>-54421</v>
      </c>
      <c r="C170" s="402">
        <f>IF(ISBLANK(Actuals!D83),0,Actuals!D83)</f>
        <v>-54166.68</v>
      </c>
      <c r="D170" s="402">
        <f>IF(ISBLANK(Actuals!E83),0,Actuals!E83)</f>
        <v>-54166.68</v>
      </c>
      <c r="E170" s="402">
        <f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402">
        <f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402">
        <f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402">
        <f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70" s="402">
        <f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70" s="402">
        <f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70" s="402">
        <f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70" s="402">
        <f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70" s="402">
        <f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70" s="402">
        <f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70" s="402">
        <f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70" s="402">
        <f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70" s="402">
        <f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70" s="402">
        <f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70" s="402">
        <f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70" s="402">
        <f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70" s="402">
        <f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70" s="402">
        <f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70" s="402">
        <f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70" s="402">
        <f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70" s="402">
        <f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70" s="402">
        <f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70" s="402">
        <f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70" s="402">
        <f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70" s="402">
        <f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70" s="402">
        <f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70" s="402">
        <f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70" s="402">
        <f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70" s="402">
        <f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70" s="402">
        <f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70" s="402">
        <f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70" s="402">
        <f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70" s="402">
        <f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70" s="402">
        <f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70" s="402">
        <f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70" s="402">
        <f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70" s="402">
        <f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70" s="402">
        <f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70" s="402">
        <f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70" s="402">
        <f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70" s="402">
        <f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70" s="402">
        <f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70" s="402">
        <f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70" s="402">
        <f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70" s="402">
        <f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70" s="402">
        <f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70" s="402">
        <f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70" s="402">
        <f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70" s="402">
        <f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70" s="402">
        <f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70" s="402">
        <f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70" s="402">
        <f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70" s="402">
        <f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70" s="402">
        <f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70" s="402">
        <f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70" s="402">
        <f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70" s="402">
        <f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70" s="402">
        <f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70" s="402">
        <f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70" s="402">
        <f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70" s="402">
        <f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70" s="402">
        <f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70" s="402">
        <f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70" s="402">
        <f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70" s="402">
        <f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70" s="402">
        <f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70" s="402">
        <f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70" s="402">
        <f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70" s="402">
        <f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70" s="402">
        <f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70" s="402">
        <f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70" s="402">
        <f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70" s="402">
        <f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70" s="402">
        <f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70" s="402">
        <f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70" s="402">
        <f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70" s="402">
        <f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70" s="402">
        <f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70" s="402">
        <f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70" s="402">
        <f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70" s="402">
        <f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70" s="402">
        <f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70" s="402">
        <f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70" s="402">
        <f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70" s="402">
        <f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70" s="402">
        <f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70" s="402">
        <f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70" s="402">
        <f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70" s="402">
        <f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70" s="402">
        <f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70" s="402">
        <f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70" s="402">
        <f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70" s="402">
        <f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70" s="402">
        <f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70" s="402">
        <f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70" s="402">
        <f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70" s="402">
        <f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70" s="402">
        <f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70" s="402">
        <f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70" s="402">
        <f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70" s="402">
        <f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70" s="402">
        <f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70" s="402">
        <f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70" s="402">
        <f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70" s="402">
        <f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1" ht="15" customFormat="1" customHeight="1" s="381">
      <c r="A171" s="415" t="inlineStr">
        <is>
          <t>5000-1001 Payroll Taxes</t>
        </is>
      </c>
      <c r="B171" s="402">
        <f>IF(ISBLANK(Actuals!C84),0,Actuals!C84)</f>
        <v>-5302</v>
      </c>
      <c r="C171" s="402">
        <f>IF(ISBLANK(Actuals!D84),0,Actuals!D84)</f>
        <v>-4279.79</v>
      </c>
      <c r="D171" s="402">
        <f>IF(ISBLANK(Actuals!E84),0,Actuals!E84)</f>
        <v>-4145.97</v>
      </c>
      <c r="E171" s="402">
        <f>IF(ISBLANK(Actuals!F84),-Helpers!C5*Assumptions!$B$20,Actuals!F84)</f>
        <v>-4145.96</v>
      </c>
      <c r="F171" s="402">
        <f>IF(ISBLANK(Actuals!G84),-Helpers!D5*Assumptions!$B$20,Actuals!G84)</f>
        <v>-4145.99</v>
      </c>
      <c r="G171" s="402">
        <f>IF(ISBLANK(Actuals!H84),-Helpers!E5*Assumptions!$B$20,Actuals!H84)</f>
        <v>-4145.95</v>
      </c>
      <c r="H171" s="402">
        <f>IF(ISBLANK(Actuals!I84),-Helpers!F5*Assumptions!$B$20,Actuals!I84)</f>
        <v>-802.083333333334</v>
      </c>
      <c r="I171" s="402">
        <f>IF(ISBLANK(Actuals!J84),-Helpers!G5*Assumptions!$B$20,Actuals!J84)</f>
        <v>-802.083333333334</v>
      </c>
      <c r="J171" s="402">
        <f>IF(ISBLANK(Actuals!K84),-Helpers!H5*Assumptions!$B$20,Actuals!K84)</f>
        <v>-802.083333333334</v>
      </c>
      <c r="K171" s="402">
        <f>IF(ISBLANK(Actuals!L84),-Helpers!I5*Assumptions!$B$20,Actuals!L84)</f>
        <v>-802.083333333334</v>
      </c>
      <c r="L171" s="402">
        <f>IF(ISBLANK(Actuals!M84),-Helpers!J5*Assumptions!$B$20,Actuals!M84)</f>
        <v>-802.083333333334</v>
      </c>
      <c r="M171" s="402">
        <f>IF(ISBLANK(Actuals!N84),-Helpers!K5*Assumptions!$B$20,Actuals!N84)</f>
        <v>-802.083333333334</v>
      </c>
      <c r="N171" s="402">
        <f>IF(ISBLANK(Actuals!O84),-Helpers!L5*Assumptions!$B$20,Actuals!O84)</f>
        <v>-802.083333333334</v>
      </c>
      <c r="O171" s="402">
        <f>IF(ISBLANK(Actuals!P84),-Helpers!M5*Assumptions!$B$20,Actuals!P84)</f>
        <v>-802.083333333334</v>
      </c>
      <c r="P171" s="402">
        <f>IF(ISBLANK(Actuals!Q84),-Helpers!N5*Assumptions!$B$20,Actuals!Q84)</f>
        <v>-802.083333333334</v>
      </c>
      <c r="Q171" s="402">
        <f>IF(ISBLANK(Actuals!R84),-Helpers!O5*Assumptions!$B$20,Actuals!R84)</f>
        <v>-818.125</v>
      </c>
      <c r="R171" s="402">
        <f>IF(ISBLANK(Actuals!S84),-Helpers!P5*Assumptions!$B$20,Actuals!S84)</f>
        <v>-818.125</v>
      </c>
      <c r="S171" s="402">
        <f>IF(ISBLANK(Actuals!T84),-Helpers!Q5*Assumptions!$B$20,Actuals!T84)</f>
        <v>-818.125</v>
      </c>
      <c r="T171" s="402">
        <f>IF(ISBLANK(Actuals!U84),-Helpers!R5*Assumptions!$B$20,Actuals!U84)</f>
        <v>-818.125</v>
      </c>
      <c r="U171" s="402">
        <f>IF(ISBLANK(Actuals!V84),-Helpers!S5*Assumptions!$B$20,Actuals!V84)</f>
        <v>-818.125</v>
      </c>
      <c r="V171" s="402">
        <f>IF(ISBLANK(Actuals!W84),-Helpers!T5*Assumptions!$B$20,Actuals!W84)</f>
        <v>-818.125</v>
      </c>
      <c r="W171" s="402">
        <f>IF(ISBLANK(Actuals!X84),-Helpers!U5*Assumptions!$B$20,Actuals!X84)</f>
        <v>-818.125</v>
      </c>
      <c r="X171" s="402">
        <f>IF(ISBLANK(Actuals!Y84),-Helpers!V5*Assumptions!$B$20,Actuals!Y84)</f>
        <v>-818.125</v>
      </c>
      <c r="Y171" s="402">
        <f>IF(ISBLANK(Actuals!Z84),-Helpers!W5*Assumptions!$B$20,Actuals!Z84)</f>
        <v>-818.125</v>
      </c>
      <c r="Z171" s="402">
        <f>IF(ISBLANK(Actuals!AA84),-Helpers!X5*Assumptions!$B$20,Actuals!AA84)</f>
        <v>-818.125</v>
      </c>
      <c r="AA171" s="402">
        <f>IF(ISBLANK(Actuals!AB84),-Helpers!Y5*Assumptions!$B$20,Actuals!AB84)</f>
        <v>-818.125</v>
      </c>
      <c r="AB171" s="402">
        <f>IF(ISBLANK(Actuals!AC84),-Helpers!Z5*Assumptions!$B$20,Actuals!AC84)</f>
        <v>-818.125</v>
      </c>
      <c r="AC171" s="402">
        <f>IF(ISBLANK(Actuals!AD84),-Helpers!AA5*Assumptions!$B$20,Actuals!AD84)</f>
        <v>-834.4875</v>
      </c>
      <c r="AD171" s="402">
        <f>IF(ISBLANK(Actuals!AE84),-Helpers!AB5*Assumptions!$B$20,Actuals!AE84)</f>
        <v>-834.4875</v>
      </c>
      <c r="AE171" s="402">
        <f>IF(ISBLANK(Actuals!AF84),-Helpers!AC5*Assumptions!$B$20,Actuals!AF84)</f>
        <v>-834.4875</v>
      </c>
      <c r="AF171" s="402">
        <f>IF(ISBLANK(Actuals!AG84),-Helpers!AD5*Assumptions!$B$20,Actuals!AG84)</f>
        <v>-834.4875</v>
      </c>
      <c r="AG171" s="402">
        <f>IF(ISBLANK(Actuals!AH84),-Helpers!AE5*Assumptions!$B$20,Actuals!AH84)</f>
        <v>-834.4875</v>
      </c>
      <c r="AH171" s="402">
        <f>IF(ISBLANK(Actuals!AI84),-Helpers!AF5*Assumptions!$B$20,Actuals!AI84)</f>
        <v>-834.4875</v>
      </c>
      <c r="AI171" s="402">
        <f>IF(ISBLANK(Actuals!AJ84),-Helpers!AG5*Assumptions!$B$20,Actuals!AJ84)</f>
        <v>-834.4875</v>
      </c>
      <c r="AJ171" s="402">
        <f>IF(ISBLANK(Actuals!AK84),-Helpers!AH5*Assumptions!$B$20,Actuals!AK84)</f>
        <v>-834.4875</v>
      </c>
      <c r="AK171" s="402">
        <f>IF(ISBLANK(Actuals!AL84),-Helpers!AI5*Assumptions!$B$20,Actuals!AL84)</f>
        <v>-834.4875</v>
      </c>
      <c r="AL171" s="402">
        <f>IF(ISBLANK(Actuals!AM84),-Helpers!AJ5*Assumptions!$B$20,Actuals!AM84)</f>
        <v>-834.4875</v>
      </c>
      <c r="AM171" s="402">
        <f>IF(ISBLANK(Actuals!AN84),-Helpers!AK5*Assumptions!$B$20,Actuals!AN84)</f>
        <v>-834.4875</v>
      </c>
      <c r="AN171" s="402">
        <f>IF(ISBLANK(Actuals!AO84),-Helpers!AL5*Assumptions!$B$20,Actuals!AO84)</f>
        <v>-834.4875</v>
      </c>
      <c r="AO171" s="402">
        <f>IF(ISBLANK(Actuals!AP84),-Helpers!AM5*Assumptions!$B$20,Actuals!AP84)</f>
        <v>-851.17725</v>
      </c>
      <c r="AP171" s="402">
        <f>IF(ISBLANK(Actuals!AQ84),-Helpers!AN5*Assumptions!$B$20,Actuals!AQ84)</f>
        <v>-851.17725</v>
      </c>
      <c r="AQ171" s="402">
        <f>IF(ISBLANK(Actuals!AR84),-Helpers!AO5*Assumptions!$B$20,Actuals!AR84)</f>
        <v>-851.17725</v>
      </c>
      <c r="AR171" s="402">
        <f>IF(ISBLANK(Actuals!AS84),-Helpers!AP5*Assumptions!$B$20,Actuals!AS84)</f>
        <v>-851.17725</v>
      </c>
      <c r="AS171" s="402">
        <f>IF(ISBLANK(Actuals!AT84),-Helpers!AQ5*Assumptions!$B$20,Actuals!AT84)</f>
        <v>-851.17725</v>
      </c>
      <c r="AT171" s="402">
        <f>IF(ISBLANK(Actuals!AU84),-Helpers!AR5*Assumptions!$B$20,Actuals!AU84)</f>
        <v>-851.17725</v>
      </c>
      <c r="AU171" s="402">
        <f>IF(ISBLANK(Actuals!AV84),-Helpers!AS5*Assumptions!$B$20,Actuals!AV84)</f>
        <v>-851.17725</v>
      </c>
      <c r="AV171" s="402">
        <f>IF(ISBLANK(Actuals!AW84),-Helpers!AT5*Assumptions!$B$20,Actuals!AW84)</f>
        <v>-851.17725</v>
      </c>
      <c r="AW171" s="402">
        <f>IF(ISBLANK(Actuals!AX84),-Helpers!AU5*Assumptions!$B$20,Actuals!AX84)</f>
        <v>-851.17725</v>
      </c>
      <c r="AX171" s="402">
        <f>IF(ISBLANK(Actuals!AY84),-Helpers!AV5*Assumptions!$B$20,Actuals!AY84)</f>
        <v>-851.17725</v>
      </c>
      <c r="AY171" s="402">
        <f>IF(ISBLANK(Actuals!AZ84),-Helpers!AW5*Assumptions!$B$20,Actuals!AZ84)</f>
        <v>-851.17725</v>
      </c>
      <c r="AZ171" s="402">
        <f>IF(ISBLANK(Actuals!BA84),-Helpers!AX5*Assumptions!$B$20,Actuals!BA84)</f>
        <v>-851.17725</v>
      </c>
      <c r="BA171" s="402">
        <f>IF(ISBLANK(Actuals!BB84),-Helpers!AY5*Assumptions!$B$20,Actuals!BB84)</f>
        <v>-868.200795</v>
      </c>
      <c r="BB171" s="402">
        <f>IF(ISBLANK(Actuals!BC84),-Helpers!AZ5*Assumptions!$B$20,Actuals!BC84)</f>
        <v>-868.200795</v>
      </c>
      <c r="BC171" s="402">
        <f>IF(ISBLANK(Actuals!BD84),-Helpers!BA5*Assumptions!$B$20,Actuals!BD84)</f>
        <v>-868.200795</v>
      </c>
      <c r="BD171" s="402">
        <f>IF(ISBLANK(Actuals!BE84),-Helpers!BB5*Assumptions!$B$20,Actuals!BE84)</f>
        <v>-868.200795</v>
      </c>
      <c r="BE171" s="402">
        <f>IF(ISBLANK(Actuals!BF84),-Helpers!BC5*Assumptions!$B$20,Actuals!BF84)</f>
        <v>-868.200795</v>
      </c>
      <c r="BF171" s="402">
        <f>IF(ISBLANK(Actuals!BG84),-Helpers!BD5*Assumptions!$B$20,Actuals!BG84)</f>
        <v>-868.200795</v>
      </c>
      <c r="BG171" s="402">
        <f>IF(ISBLANK(Actuals!BH84),-Helpers!BE5*Assumptions!$B$20,Actuals!BH84)</f>
        <v>-868.200795</v>
      </c>
      <c r="BH171" s="402">
        <f>IF(ISBLANK(Actuals!BI84),-Helpers!BF5*Assumptions!$B$20,Actuals!BI84)</f>
        <v>-868.200795</v>
      </c>
      <c r="BI171" s="402">
        <f>IF(ISBLANK(Actuals!BJ84),-Helpers!BG5*Assumptions!$B$20,Actuals!BJ84)</f>
        <v>-868.200795</v>
      </c>
      <c r="BJ171" s="402">
        <f>IF(ISBLANK(Actuals!BK84),-Helpers!BH5*Assumptions!$B$20,Actuals!BK84)</f>
        <v>-868.200795</v>
      </c>
      <c r="BK171" s="402">
        <f>IF(ISBLANK(Actuals!BL84),-Helpers!BI5*Assumptions!$B$20,Actuals!BL84)</f>
        <v>-868.200795</v>
      </c>
      <c r="BL171" s="402">
        <f>IF(ISBLANK(Actuals!BM84),-Helpers!BJ5*Assumptions!$B$20,Actuals!BM84)</f>
        <v>-868.200795</v>
      </c>
      <c r="BM171" s="402">
        <f>IF(ISBLANK(Actuals!BN84),-Helpers!BK5*Assumptions!$B$20,Actuals!BN84)</f>
        <v>-885.5648109</v>
      </c>
      <c r="BN171" s="402">
        <f>IF(ISBLANK(Actuals!BO84),-Helpers!BL5*Assumptions!$B$20,Actuals!BO84)</f>
        <v>-885.5648109</v>
      </c>
      <c r="BO171" s="402">
        <f>IF(ISBLANK(Actuals!BP84),-Helpers!BM5*Assumptions!$B$20,Actuals!BP84)</f>
        <v>-885.5648109</v>
      </c>
      <c r="BP171" s="402">
        <f>IF(ISBLANK(Actuals!BQ84),-Helpers!BN5*Assumptions!$B$20,Actuals!BQ84)</f>
        <v>-885.5648109</v>
      </c>
      <c r="BQ171" s="402">
        <f>IF(ISBLANK(Actuals!BR84),-Helpers!BO5*Assumptions!$B$20,Actuals!BR84)</f>
        <v>-885.5648109</v>
      </c>
      <c r="BR171" s="402">
        <f>IF(ISBLANK(Actuals!BS84),-Helpers!BP5*Assumptions!$B$20,Actuals!BS84)</f>
        <v>-885.5648109</v>
      </c>
      <c r="BS171" s="402">
        <f>IF(ISBLANK(Actuals!BT84),-Helpers!BQ5*Assumptions!$B$20,Actuals!BT84)</f>
        <v>-885.5648109</v>
      </c>
      <c r="BT171" s="402">
        <f>IF(ISBLANK(Actuals!BU84),-Helpers!BR5*Assumptions!$B$20,Actuals!BU84)</f>
        <v>-885.5648109</v>
      </c>
      <c r="BU171" s="402">
        <f>IF(ISBLANK(Actuals!BV84),-Helpers!BS5*Assumptions!$B$20,Actuals!BV84)</f>
        <v>-885.5648109</v>
      </c>
      <c r="BV171" s="402">
        <f>IF(ISBLANK(Actuals!BW84),-Helpers!BT5*Assumptions!$B$20,Actuals!BW84)</f>
        <v>-885.5648109</v>
      </c>
      <c r="BW171" s="402">
        <f>IF(ISBLANK(Actuals!BX84),-Helpers!BU5*Assumptions!$B$20,Actuals!BX84)</f>
        <v>-885.5648109</v>
      </c>
      <c r="BX171" s="402">
        <f>IF(ISBLANK(Actuals!BY84),-Helpers!BV5*Assumptions!$B$20,Actuals!BY84)</f>
        <v>-885.5648109</v>
      </c>
      <c r="BY171" s="402">
        <f>IF(ISBLANK(Actuals!BZ84),-Helpers!BW5*Assumptions!$B$20,Actuals!BZ84)</f>
        <v>-903.276107118</v>
      </c>
      <c r="BZ171" s="402">
        <f>IF(ISBLANK(Actuals!CA84),-Helpers!BX5*Assumptions!$B$20,Actuals!CA84)</f>
        <v>-903.276107118</v>
      </c>
      <c r="CA171" s="402">
        <f>IF(ISBLANK(Actuals!CB84),-Helpers!BY5*Assumptions!$B$20,Actuals!CB84)</f>
        <v>-903.276107118</v>
      </c>
      <c r="CB171" s="402">
        <f>IF(ISBLANK(Actuals!CC84),-Helpers!BZ5*Assumptions!$B$20,Actuals!CC84)</f>
        <v>-903.276107118</v>
      </c>
      <c r="CC171" s="402">
        <f>IF(ISBLANK(Actuals!CD84),-Helpers!CA5*Assumptions!$B$20,Actuals!CD84)</f>
        <v>-903.276107118</v>
      </c>
      <c r="CD171" s="402">
        <f>IF(ISBLANK(Actuals!CE84),-Helpers!CB5*Assumptions!$B$20,Actuals!CE84)</f>
        <v>-903.276107118</v>
      </c>
      <c r="CE171" s="402">
        <f>IF(ISBLANK(Actuals!CF84),-Helpers!CC5*Assumptions!$B$20,Actuals!CF84)</f>
        <v>-903.276107118</v>
      </c>
      <c r="CF171" s="402">
        <f>IF(ISBLANK(Actuals!CG84),-Helpers!CD5*Assumptions!$B$20,Actuals!CG84)</f>
        <v>-903.276107118</v>
      </c>
      <c r="CG171" s="402">
        <f>IF(ISBLANK(Actuals!CH84),-Helpers!CE5*Assumptions!$B$20,Actuals!CH84)</f>
        <v>-903.276107118</v>
      </c>
      <c r="CH171" s="402">
        <f>IF(ISBLANK(Actuals!CI84),-Helpers!CF5*Assumptions!$B$20,Actuals!CI84)</f>
        <v>-903.276107118</v>
      </c>
      <c r="CI171" s="402">
        <f>IF(ISBLANK(Actuals!CJ84),-Helpers!CG5*Assumptions!$B$20,Actuals!CJ84)</f>
        <v>-903.276107118</v>
      </c>
      <c r="CJ171" s="402">
        <f>IF(ISBLANK(Actuals!CK84),-Helpers!CH5*Assumptions!$B$20,Actuals!CK84)</f>
        <v>-903.276107118</v>
      </c>
      <c r="CK171" s="402">
        <f>IF(ISBLANK(Actuals!CL84),-Helpers!CI5*Assumptions!$B$20,Actuals!CL84)</f>
        <v>-921.34162926036</v>
      </c>
      <c r="CL171" s="402">
        <f>IF(ISBLANK(Actuals!CM84),-Helpers!CJ5*Assumptions!$B$20,Actuals!CM84)</f>
        <v>-921.34162926036</v>
      </c>
      <c r="CM171" s="402">
        <f>IF(ISBLANK(Actuals!CN84),-Helpers!CK5*Assumptions!$B$20,Actuals!CN84)</f>
        <v>-921.34162926036</v>
      </c>
      <c r="CN171" s="402">
        <f>IF(ISBLANK(Actuals!CO84),-Helpers!CL5*Assumptions!$B$20,Actuals!CO84)</f>
        <v>-921.34162926036</v>
      </c>
      <c r="CO171" s="402">
        <f>IF(ISBLANK(Actuals!CP84),-Helpers!CM5*Assumptions!$B$20,Actuals!CP84)</f>
        <v>-921.34162926036</v>
      </c>
      <c r="CP171" s="402">
        <f>IF(ISBLANK(Actuals!CQ84),-Helpers!CN5*Assumptions!$B$20,Actuals!CQ84)</f>
        <v>-921.34162926036</v>
      </c>
      <c r="CQ171" s="402">
        <f>IF(ISBLANK(Actuals!CR84),-Helpers!CO5*Assumptions!$B$20,Actuals!CR84)</f>
        <v>-921.34162926036</v>
      </c>
      <c r="CR171" s="402">
        <f>IF(ISBLANK(Actuals!CS84),-Helpers!CP5*Assumptions!$B$20,Actuals!CS84)</f>
        <v>-921.34162926036</v>
      </c>
      <c r="CS171" s="402">
        <f>IF(ISBLANK(Actuals!CT84),-Helpers!CQ5*Assumptions!$B$20,Actuals!CT84)</f>
        <v>-921.34162926036</v>
      </c>
      <c r="CT171" s="402">
        <f>IF(ISBLANK(Actuals!CU84),-Helpers!CR5*Assumptions!$B$20,Actuals!CU84)</f>
        <v>0</v>
      </c>
      <c r="CU171" s="402">
        <f>IF(ISBLANK(Actuals!CV84),-Helpers!CS5*Assumptions!$B$20,Actuals!CV84)</f>
        <v>0</v>
      </c>
      <c r="CV171" s="402">
        <f>IF(ISBLANK(Actuals!CW84),-Helpers!CT5*Assumptions!$B$20,Actuals!CW84)</f>
        <v>0</v>
      </c>
      <c r="CW171" s="402">
        <f>IF(ISBLANK(Actuals!CX84),-Helpers!CU5*Assumptions!$B$20,Actuals!CX84)</f>
        <v>0</v>
      </c>
      <c r="CX171" s="402">
        <f>IF(ISBLANK(Actuals!CY84),-Helpers!CV5*Assumptions!$B$20,Actuals!CY84)</f>
        <v>0</v>
      </c>
      <c r="CY171" s="402">
        <f>IF(ISBLANK(Actuals!CZ84),-Helpers!CW5*Assumptions!$B$20,Actuals!CZ84)</f>
        <v>0</v>
      </c>
      <c r="CZ171" s="402">
        <f>IF(ISBLANK(Actuals!DA84),-Helpers!CX5*Assumptions!$B$20,Actuals!DA84)</f>
        <v>0</v>
      </c>
      <c r="DA171" s="402">
        <f>IF(ISBLANK(Actuals!DB84),-Helpers!CY5*Assumptions!$B$20,Actuals!DB84)</f>
        <v>0</v>
      </c>
      <c r="DB171" s="402">
        <f>IF(ISBLANK(Actuals!DC84),-Helpers!CZ5*Assumptions!$B$20,Actuals!DC84)</f>
        <v>0</v>
      </c>
      <c r="DC171" s="402">
        <f>IF(ISBLANK(Actuals!DD84),-Helpers!DA5*Assumptions!$B$20,Actuals!DD84)</f>
        <v>0</v>
      </c>
      <c r="DD171" s="402">
        <f>IF(ISBLANK(Actuals!DE84),-Helpers!DB5*Assumptions!$B$20,Actuals!DE84)</f>
        <v>0</v>
      </c>
      <c r="DE171" s="402">
        <f>IF(ISBLANK(Actuals!DF84),-Helpers!DC5*Assumptions!$B$20,Actuals!DF84)</f>
        <v>0</v>
      </c>
    </row>
    <row r="172" ht="15" customFormat="1" customHeight="1" s="381">
      <c r="A172" s="415" t="inlineStr">
        <is>
          <t>5000-1002 Employee Benefits</t>
        </is>
      </c>
      <c r="B172" s="402">
        <f>IF(ISBLANK(Actuals!C85),0,Actuals!C85)</f>
        <v>-12137.77</v>
      </c>
      <c r="C172" s="402">
        <f>IF(ISBLANK(Actuals!D85),0,Actuals!D85)</f>
        <v>-12137.78</v>
      </c>
      <c r="D172" s="402">
        <f>IF(ISBLANK(Actuals!E85),0,Actuals!E85)</f>
        <v>-12137.78</v>
      </c>
      <c r="E172" s="402">
        <f>IF(ISBLANK(Actuals!F85),-Helpers!C5*Assumptions!$B$22,Actuals!F85)</f>
        <v>-12137.78</v>
      </c>
      <c r="F172" s="402">
        <f>IF(ISBLANK(Actuals!G85),-Helpers!D5*Assumptions!$B$22,Actuals!G85)</f>
        <v>-12137.78</v>
      </c>
      <c r="G172" s="402">
        <f>IF(ISBLANK(Actuals!H85),-Helpers!E5*Assumptions!$B$22,Actuals!H85)</f>
        <v>-12137.78</v>
      </c>
      <c r="H172" s="402">
        <f>IF(ISBLANK(Actuals!I85),-Helpers!F5*Assumptions!$B$22,Actuals!I85)</f>
        <v>-572.916666666667</v>
      </c>
      <c r="I172" s="402">
        <f>IF(ISBLANK(Actuals!J85),-Helpers!G5*Assumptions!$B$22,Actuals!J85)</f>
        <v>-572.916666666667</v>
      </c>
      <c r="J172" s="402">
        <f>IF(ISBLANK(Actuals!K85),-Helpers!H5*Assumptions!$B$22,Actuals!K85)</f>
        <v>-572.916666666667</v>
      </c>
      <c r="K172" s="402">
        <f>IF(ISBLANK(Actuals!L85),-Helpers!I5*Assumptions!$B$22,Actuals!L85)</f>
        <v>-572.916666666667</v>
      </c>
      <c r="L172" s="402">
        <f>IF(ISBLANK(Actuals!M85),-Helpers!J5*Assumptions!$B$22,Actuals!M85)</f>
        <v>-572.916666666667</v>
      </c>
      <c r="M172" s="402">
        <f>IF(ISBLANK(Actuals!N85),-Helpers!K5*Assumptions!$B$22,Actuals!N85)</f>
        <v>-572.916666666667</v>
      </c>
      <c r="N172" s="402">
        <f>IF(ISBLANK(Actuals!O85),-Helpers!L5*Assumptions!$B$22,Actuals!O85)</f>
        <v>-572.916666666667</v>
      </c>
      <c r="O172" s="402">
        <f>IF(ISBLANK(Actuals!P85),-Helpers!M5*Assumptions!$B$22,Actuals!P85)</f>
        <v>-572.916666666667</v>
      </c>
      <c r="P172" s="402">
        <f>IF(ISBLANK(Actuals!Q85),-Helpers!N5*Assumptions!$B$22,Actuals!Q85)</f>
        <v>-572.916666666667</v>
      </c>
      <c r="Q172" s="402">
        <f>IF(ISBLANK(Actuals!R85),-Helpers!O5*Assumptions!$B$22,Actuals!R85)</f>
        <v>-584.375</v>
      </c>
      <c r="R172" s="402">
        <f>IF(ISBLANK(Actuals!S85),-Helpers!P5*Assumptions!$B$22,Actuals!S85)</f>
        <v>-584.375</v>
      </c>
      <c r="S172" s="402">
        <f>IF(ISBLANK(Actuals!T85),-Helpers!Q5*Assumptions!$B$22,Actuals!T85)</f>
        <v>-584.375</v>
      </c>
      <c r="T172" s="402">
        <f>IF(ISBLANK(Actuals!U85),-Helpers!R5*Assumptions!$B$22,Actuals!U85)</f>
        <v>-584.375</v>
      </c>
      <c r="U172" s="402">
        <f>IF(ISBLANK(Actuals!V85),-Helpers!S5*Assumptions!$B$22,Actuals!V85)</f>
        <v>-584.375</v>
      </c>
      <c r="V172" s="402">
        <f>IF(ISBLANK(Actuals!W85),-Helpers!T5*Assumptions!$B$22,Actuals!W85)</f>
        <v>-584.375</v>
      </c>
      <c r="W172" s="402">
        <f>IF(ISBLANK(Actuals!X85),-Helpers!U5*Assumptions!$B$22,Actuals!X85)</f>
        <v>-584.375</v>
      </c>
      <c r="X172" s="402">
        <f>IF(ISBLANK(Actuals!Y85),-Helpers!V5*Assumptions!$B$22,Actuals!Y85)</f>
        <v>-584.375</v>
      </c>
      <c r="Y172" s="402">
        <f>IF(ISBLANK(Actuals!Z85),-Helpers!W5*Assumptions!$B$22,Actuals!Z85)</f>
        <v>-584.375</v>
      </c>
      <c r="Z172" s="402">
        <f>IF(ISBLANK(Actuals!AA85),-Helpers!X5*Assumptions!$B$22,Actuals!AA85)</f>
        <v>-584.375</v>
      </c>
      <c r="AA172" s="402">
        <f>IF(ISBLANK(Actuals!AB85),-Helpers!Y5*Assumptions!$B$22,Actuals!AB85)</f>
        <v>-584.375</v>
      </c>
      <c r="AB172" s="402">
        <f>IF(ISBLANK(Actuals!AC85),-Helpers!Z5*Assumptions!$B$22,Actuals!AC85)</f>
        <v>-584.375</v>
      </c>
      <c r="AC172" s="402">
        <f>IF(ISBLANK(Actuals!AD85),-Helpers!AA5*Assumptions!$B$22,Actuals!AD85)</f>
        <v>-596.0625</v>
      </c>
      <c r="AD172" s="402">
        <f>IF(ISBLANK(Actuals!AE85),-Helpers!AB5*Assumptions!$B$22,Actuals!AE85)</f>
        <v>-596.0625</v>
      </c>
      <c r="AE172" s="402">
        <f>IF(ISBLANK(Actuals!AF85),-Helpers!AC5*Assumptions!$B$22,Actuals!AF85)</f>
        <v>-596.0625</v>
      </c>
      <c r="AF172" s="402">
        <f>IF(ISBLANK(Actuals!AG85),-Helpers!AD5*Assumptions!$B$22,Actuals!AG85)</f>
        <v>-596.0625</v>
      </c>
      <c r="AG172" s="402">
        <f>IF(ISBLANK(Actuals!AH85),-Helpers!AE5*Assumptions!$B$22,Actuals!AH85)</f>
        <v>-596.0625</v>
      </c>
      <c r="AH172" s="402">
        <f>IF(ISBLANK(Actuals!AI85),-Helpers!AF5*Assumptions!$B$22,Actuals!AI85)</f>
        <v>-596.0625</v>
      </c>
      <c r="AI172" s="402">
        <f>IF(ISBLANK(Actuals!AJ85),-Helpers!AG5*Assumptions!$B$22,Actuals!AJ85)</f>
        <v>-596.0625</v>
      </c>
      <c r="AJ172" s="402">
        <f>IF(ISBLANK(Actuals!AK85),-Helpers!AH5*Assumptions!$B$22,Actuals!AK85)</f>
        <v>-596.0625</v>
      </c>
      <c r="AK172" s="402">
        <f>IF(ISBLANK(Actuals!AL85),-Helpers!AI5*Assumptions!$B$22,Actuals!AL85)</f>
        <v>-596.0625</v>
      </c>
      <c r="AL172" s="402">
        <f>IF(ISBLANK(Actuals!AM85),-Helpers!AJ5*Assumptions!$B$22,Actuals!AM85)</f>
        <v>-596.0625</v>
      </c>
      <c r="AM172" s="402">
        <f>IF(ISBLANK(Actuals!AN85),-Helpers!AK5*Assumptions!$B$22,Actuals!AN85)</f>
        <v>-596.0625</v>
      </c>
      <c r="AN172" s="402">
        <f>IF(ISBLANK(Actuals!AO85),-Helpers!AL5*Assumptions!$B$22,Actuals!AO85)</f>
        <v>-596.0625</v>
      </c>
      <c r="AO172" s="402">
        <f>IF(ISBLANK(Actuals!AP85),-Helpers!AM5*Assumptions!$B$22,Actuals!AP85)</f>
        <v>-607.98375</v>
      </c>
      <c r="AP172" s="402">
        <f>IF(ISBLANK(Actuals!AQ85),-Helpers!AN5*Assumptions!$B$22,Actuals!AQ85)</f>
        <v>-607.98375</v>
      </c>
      <c r="AQ172" s="402">
        <f>IF(ISBLANK(Actuals!AR85),-Helpers!AO5*Assumptions!$B$22,Actuals!AR85)</f>
        <v>-607.98375</v>
      </c>
      <c r="AR172" s="402">
        <f>IF(ISBLANK(Actuals!AS85),-Helpers!AP5*Assumptions!$B$22,Actuals!AS85)</f>
        <v>-607.98375</v>
      </c>
      <c r="AS172" s="402">
        <f>IF(ISBLANK(Actuals!AT85),-Helpers!AQ5*Assumptions!$B$22,Actuals!AT85)</f>
        <v>-607.98375</v>
      </c>
      <c r="AT172" s="402">
        <f>IF(ISBLANK(Actuals!AU85),-Helpers!AR5*Assumptions!$B$22,Actuals!AU85)</f>
        <v>-607.98375</v>
      </c>
      <c r="AU172" s="402">
        <f>IF(ISBLANK(Actuals!AV85),-Helpers!AS5*Assumptions!$B$22,Actuals!AV85)</f>
        <v>-607.98375</v>
      </c>
      <c r="AV172" s="402">
        <f>IF(ISBLANK(Actuals!AW85),-Helpers!AT5*Assumptions!$B$22,Actuals!AW85)</f>
        <v>-607.98375</v>
      </c>
      <c r="AW172" s="402">
        <f>IF(ISBLANK(Actuals!AX85),-Helpers!AU5*Assumptions!$B$22,Actuals!AX85)</f>
        <v>-607.98375</v>
      </c>
      <c r="AX172" s="402">
        <f>IF(ISBLANK(Actuals!AY85),-Helpers!AV5*Assumptions!$B$22,Actuals!AY85)</f>
        <v>-607.98375</v>
      </c>
      <c r="AY172" s="402">
        <f>IF(ISBLANK(Actuals!AZ85),-Helpers!AW5*Assumptions!$B$22,Actuals!AZ85)</f>
        <v>-607.98375</v>
      </c>
      <c r="AZ172" s="402">
        <f>IF(ISBLANK(Actuals!BA85),-Helpers!AX5*Assumptions!$B$22,Actuals!BA85)</f>
        <v>-607.98375</v>
      </c>
      <c r="BA172" s="402">
        <f>IF(ISBLANK(Actuals!BB85),-Helpers!AY5*Assumptions!$B$22,Actuals!BB85)</f>
        <v>-620.143425</v>
      </c>
      <c r="BB172" s="402">
        <f>IF(ISBLANK(Actuals!BC85),-Helpers!AZ5*Assumptions!$B$22,Actuals!BC85)</f>
        <v>-620.143425</v>
      </c>
      <c r="BC172" s="402">
        <f>IF(ISBLANK(Actuals!BD85),-Helpers!BA5*Assumptions!$B$22,Actuals!BD85)</f>
        <v>-620.143425</v>
      </c>
      <c r="BD172" s="402">
        <f>IF(ISBLANK(Actuals!BE85),-Helpers!BB5*Assumptions!$B$22,Actuals!BE85)</f>
        <v>-620.143425</v>
      </c>
      <c r="BE172" s="402">
        <f>IF(ISBLANK(Actuals!BF85),-Helpers!BC5*Assumptions!$B$22,Actuals!BF85)</f>
        <v>-620.143425</v>
      </c>
      <c r="BF172" s="402">
        <f>IF(ISBLANK(Actuals!BG85),-Helpers!BD5*Assumptions!$B$22,Actuals!BG85)</f>
        <v>-620.143425</v>
      </c>
      <c r="BG172" s="402">
        <f>IF(ISBLANK(Actuals!BH85),-Helpers!BE5*Assumptions!$B$22,Actuals!BH85)</f>
        <v>-620.143425</v>
      </c>
      <c r="BH172" s="402">
        <f>IF(ISBLANK(Actuals!BI85),-Helpers!BF5*Assumptions!$B$22,Actuals!BI85)</f>
        <v>-620.143425</v>
      </c>
      <c r="BI172" s="402">
        <f>IF(ISBLANK(Actuals!BJ85),-Helpers!BG5*Assumptions!$B$22,Actuals!BJ85)</f>
        <v>-620.143425</v>
      </c>
      <c r="BJ172" s="402">
        <f>IF(ISBLANK(Actuals!BK85),-Helpers!BH5*Assumptions!$B$22,Actuals!BK85)</f>
        <v>-620.143425</v>
      </c>
      <c r="BK172" s="402">
        <f>IF(ISBLANK(Actuals!BL85),-Helpers!BI5*Assumptions!$B$22,Actuals!BL85)</f>
        <v>-620.143425</v>
      </c>
      <c r="BL172" s="402">
        <f>IF(ISBLANK(Actuals!BM85),-Helpers!BJ5*Assumptions!$B$22,Actuals!BM85)</f>
        <v>-620.143425</v>
      </c>
      <c r="BM172" s="402">
        <f>IF(ISBLANK(Actuals!BN85),-Helpers!BK5*Assumptions!$B$22,Actuals!BN85)</f>
        <v>-632.5462935</v>
      </c>
      <c r="BN172" s="402">
        <f>IF(ISBLANK(Actuals!BO85),-Helpers!BL5*Assumptions!$B$22,Actuals!BO85)</f>
        <v>-632.5462935</v>
      </c>
      <c r="BO172" s="402">
        <f>IF(ISBLANK(Actuals!BP85),-Helpers!BM5*Assumptions!$B$22,Actuals!BP85)</f>
        <v>-632.5462935</v>
      </c>
      <c r="BP172" s="402">
        <f>IF(ISBLANK(Actuals!BQ85),-Helpers!BN5*Assumptions!$B$22,Actuals!BQ85)</f>
        <v>-632.5462935</v>
      </c>
      <c r="BQ172" s="402">
        <f>IF(ISBLANK(Actuals!BR85),-Helpers!BO5*Assumptions!$B$22,Actuals!BR85)</f>
        <v>-632.5462935</v>
      </c>
      <c r="BR172" s="402">
        <f>IF(ISBLANK(Actuals!BS85),-Helpers!BP5*Assumptions!$B$22,Actuals!BS85)</f>
        <v>-632.5462935</v>
      </c>
      <c r="BS172" s="402">
        <f>IF(ISBLANK(Actuals!BT85),-Helpers!BQ5*Assumptions!$B$22,Actuals!BT85)</f>
        <v>-632.5462935</v>
      </c>
      <c r="BT172" s="402">
        <f>IF(ISBLANK(Actuals!BU85),-Helpers!BR5*Assumptions!$B$22,Actuals!BU85)</f>
        <v>-632.5462935</v>
      </c>
      <c r="BU172" s="402">
        <f>IF(ISBLANK(Actuals!BV85),-Helpers!BS5*Assumptions!$B$22,Actuals!BV85)</f>
        <v>-632.5462935</v>
      </c>
      <c r="BV172" s="402">
        <f>IF(ISBLANK(Actuals!BW85),-Helpers!BT5*Assumptions!$B$22,Actuals!BW85)</f>
        <v>-632.5462935</v>
      </c>
      <c r="BW172" s="402">
        <f>IF(ISBLANK(Actuals!BX85),-Helpers!BU5*Assumptions!$B$22,Actuals!BX85)</f>
        <v>-632.5462935</v>
      </c>
      <c r="BX172" s="402">
        <f>IF(ISBLANK(Actuals!BY85),-Helpers!BV5*Assumptions!$B$22,Actuals!BY85)</f>
        <v>-632.5462935</v>
      </c>
      <c r="BY172" s="402">
        <f>IF(ISBLANK(Actuals!BZ85),-Helpers!BW5*Assumptions!$B$22,Actuals!BZ85)</f>
        <v>-645.19721937</v>
      </c>
      <c r="BZ172" s="402">
        <f>IF(ISBLANK(Actuals!CA85),-Helpers!BX5*Assumptions!$B$22,Actuals!CA85)</f>
        <v>-645.19721937</v>
      </c>
      <c r="CA172" s="402">
        <f>IF(ISBLANK(Actuals!CB85),-Helpers!BY5*Assumptions!$B$22,Actuals!CB85)</f>
        <v>-645.19721937</v>
      </c>
      <c r="CB172" s="402">
        <f>IF(ISBLANK(Actuals!CC85),-Helpers!BZ5*Assumptions!$B$22,Actuals!CC85)</f>
        <v>-645.19721937</v>
      </c>
      <c r="CC172" s="402">
        <f>IF(ISBLANK(Actuals!CD85),-Helpers!CA5*Assumptions!$B$22,Actuals!CD85)</f>
        <v>-645.19721937</v>
      </c>
      <c r="CD172" s="402">
        <f>IF(ISBLANK(Actuals!CE85),-Helpers!CB5*Assumptions!$B$22,Actuals!CE85)</f>
        <v>-645.19721937</v>
      </c>
      <c r="CE172" s="402">
        <f>IF(ISBLANK(Actuals!CF85),-Helpers!CC5*Assumptions!$B$22,Actuals!CF85)</f>
        <v>-645.19721937</v>
      </c>
      <c r="CF172" s="402">
        <f>IF(ISBLANK(Actuals!CG85),-Helpers!CD5*Assumptions!$B$22,Actuals!CG85)</f>
        <v>-645.19721937</v>
      </c>
      <c r="CG172" s="402">
        <f>IF(ISBLANK(Actuals!CH85),-Helpers!CE5*Assumptions!$B$22,Actuals!CH85)</f>
        <v>-645.19721937</v>
      </c>
      <c r="CH172" s="402">
        <f>IF(ISBLANK(Actuals!CI85),-Helpers!CF5*Assumptions!$B$22,Actuals!CI85)</f>
        <v>-645.19721937</v>
      </c>
      <c r="CI172" s="402">
        <f>IF(ISBLANK(Actuals!CJ85),-Helpers!CG5*Assumptions!$B$22,Actuals!CJ85)</f>
        <v>-645.19721937</v>
      </c>
      <c r="CJ172" s="402">
        <f>IF(ISBLANK(Actuals!CK85),-Helpers!CH5*Assumptions!$B$22,Actuals!CK85)</f>
        <v>-645.19721937</v>
      </c>
      <c r="CK172" s="402">
        <f>IF(ISBLANK(Actuals!CL85),-Helpers!CI5*Assumptions!$B$22,Actuals!CL85)</f>
        <v>-658.1011637574</v>
      </c>
      <c r="CL172" s="402">
        <f>IF(ISBLANK(Actuals!CM85),-Helpers!CJ5*Assumptions!$B$22,Actuals!CM85)</f>
        <v>-658.1011637574</v>
      </c>
      <c r="CM172" s="402">
        <f>IF(ISBLANK(Actuals!CN85),-Helpers!CK5*Assumptions!$B$22,Actuals!CN85)</f>
        <v>-658.1011637574</v>
      </c>
      <c r="CN172" s="402">
        <f>IF(ISBLANK(Actuals!CO85),-Helpers!CL5*Assumptions!$B$22,Actuals!CO85)</f>
        <v>-658.1011637574</v>
      </c>
      <c r="CO172" s="402">
        <f>IF(ISBLANK(Actuals!CP85),-Helpers!CM5*Assumptions!$B$22,Actuals!CP85)</f>
        <v>-658.1011637574</v>
      </c>
      <c r="CP172" s="402">
        <f>IF(ISBLANK(Actuals!CQ85),-Helpers!CN5*Assumptions!$B$22,Actuals!CQ85)</f>
        <v>-658.1011637574</v>
      </c>
      <c r="CQ172" s="402">
        <f>IF(ISBLANK(Actuals!CR85),-Helpers!CO5*Assumptions!$B$22,Actuals!CR85)</f>
        <v>-658.1011637574</v>
      </c>
      <c r="CR172" s="402">
        <f>IF(ISBLANK(Actuals!CS85),-Helpers!CP5*Assumptions!$B$22,Actuals!CS85)</f>
        <v>-658.1011637574</v>
      </c>
      <c r="CS172" s="402">
        <f>IF(ISBLANK(Actuals!CT85),-Helpers!CQ5*Assumptions!$B$22,Actuals!CT85)</f>
        <v>-658.1011637574</v>
      </c>
      <c r="CT172" s="402">
        <f>IF(ISBLANK(Actuals!CU85),-Helpers!CR5*Assumptions!$B$22,Actuals!CU85)</f>
        <v>0</v>
      </c>
      <c r="CU172" s="402">
        <f>IF(ISBLANK(Actuals!CV85),-Helpers!CS5*Assumptions!$B$22,Actuals!CV85)</f>
        <v>0</v>
      </c>
      <c r="CV172" s="402">
        <f>IF(ISBLANK(Actuals!CW85),-Helpers!CT5*Assumptions!$B$22,Actuals!CW85)</f>
        <v>0</v>
      </c>
      <c r="CW172" s="402">
        <f>IF(ISBLANK(Actuals!CX85),-Helpers!CU5*Assumptions!$B$22,Actuals!CX85)</f>
        <v>0</v>
      </c>
      <c r="CX172" s="402">
        <f>IF(ISBLANK(Actuals!CY85),-Helpers!CV5*Assumptions!$B$22,Actuals!CY85)</f>
        <v>0</v>
      </c>
      <c r="CY172" s="402">
        <f>IF(ISBLANK(Actuals!CZ85),-Helpers!CW5*Assumptions!$B$22,Actuals!CZ85)</f>
        <v>0</v>
      </c>
      <c r="CZ172" s="402">
        <f>IF(ISBLANK(Actuals!DA85),-Helpers!CX5*Assumptions!$B$22,Actuals!DA85)</f>
        <v>0</v>
      </c>
      <c r="DA172" s="402">
        <f>IF(ISBLANK(Actuals!DB85),-Helpers!CY5*Assumptions!$B$22,Actuals!DB85)</f>
        <v>0</v>
      </c>
      <c r="DB172" s="402">
        <f>IF(ISBLANK(Actuals!DC85),-Helpers!CZ5*Assumptions!$B$22,Actuals!DC85)</f>
        <v>0</v>
      </c>
      <c r="DC172" s="402">
        <f>IF(ISBLANK(Actuals!DD85),-Helpers!DA5*Assumptions!$B$22,Actuals!DD85)</f>
        <v>0</v>
      </c>
      <c r="DD172" s="402">
        <f>IF(ISBLANK(Actuals!DE85),-Helpers!DB5*Assumptions!$B$22,Actuals!DE85)</f>
        <v>0</v>
      </c>
      <c r="DE172" s="402">
        <f>IF(ISBLANK(Actuals!DF85),-Helpers!DC5*Assumptions!$B$22,Actuals!DF85)</f>
        <v>0</v>
      </c>
    </row>
    <row r="173" ht="15" customFormat="1" customHeight="1" s="381">
      <c r="A173" s="415" t="inlineStr">
        <is>
          <t>5000-1003 Workers Comp</t>
        </is>
      </c>
      <c r="B173" s="402">
        <f>IF(ISBLANK(Actuals!C86),0,Actuals!C86)</f>
        <v>-475.76</v>
      </c>
      <c r="C173" s="402">
        <f>IF(ISBLANK(Actuals!D86),0,Actuals!D86)</f>
        <v>-475.76</v>
      </c>
      <c r="D173" s="402">
        <f>IF(ISBLANK(Actuals!E86),0,Actuals!E86)</f>
        <v>-475.76</v>
      </c>
      <c r="E173" s="402">
        <f>IF(ISBLANK(Actuals!F86),-Helpers!C5*Assumptions!$B$23,Actuals!F86)</f>
        <v>-475.76</v>
      </c>
      <c r="F173" s="402">
        <f>IF(ISBLANK(Actuals!G86),-Helpers!D5*Assumptions!$B$23,Actuals!G86)</f>
        <v>-475.76</v>
      </c>
      <c r="G173" s="402">
        <f>IF(ISBLANK(Actuals!H86),-Helpers!E5*Assumptions!$B$23,Actuals!H86)</f>
        <v>-475.76</v>
      </c>
      <c r="H173" s="402">
        <f>IF(ISBLANK(Actuals!I86),-Helpers!F5*Assumptions!$B$23,Actuals!I86)</f>
        <v>-229.166666666667</v>
      </c>
      <c r="I173" s="402">
        <f>IF(ISBLANK(Actuals!J86),-Helpers!G5*Assumptions!$B$23,Actuals!J86)</f>
        <v>-229.166666666667</v>
      </c>
      <c r="J173" s="402">
        <f>IF(ISBLANK(Actuals!K86),-Helpers!H5*Assumptions!$B$23,Actuals!K86)</f>
        <v>-229.166666666667</v>
      </c>
      <c r="K173" s="402">
        <f>IF(ISBLANK(Actuals!L86),-Helpers!I5*Assumptions!$B$23,Actuals!L86)</f>
        <v>-229.166666666667</v>
      </c>
      <c r="L173" s="402">
        <f>IF(ISBLANK(Actuals!M86),-Helpers!J5*Assumptions!$B$23,Actuals!M86)</f>
        <v>-229.166666666667</v>
      </c>
      <c r="M173" s="402">
        <f>IF(ISBLANK(Actuals!N86),-Helpers!K5*Assumptions!$B$23,Actuals!N86)</f>
        <v>-229.166666666667</v>
      </c>
      <c r="N173" s="402">
        <f>IF(ISBLANK(Actuals!O86),-Helpers!L5*Assumptions!$B$23,Actuals!O86)</f>
        <v>-229.166666666667</v>
      </c>
      <c r="O173" s="402">
        <f>IF(ISBLANK(Actuals!P86),-Helpers!M5*Assumptions!$B$23,Actuals!P86)</f>
        <v>-229.166666666667</v>
      </c>
      <c r="P173" s="402">
        <f>IF(ISBLANK(Actuals!Q86),-Helpers!N5*Assumptions!$B$23,Actuals!Q86)</f>
        <v>-229.166666666667</v>
      </c>
      <c r="Q173" s="402">
        <f>IF(ISBLANK(Actuals!R86),-Helpers!O5*Assumptions!$B$23,Actuals!R86)</f>
        <v>-233.75</v>
      </c>
      <c r="R173" s="402">
        <f>IF(ISBLANK(Actuals!S86),-Helpers!P5*Assumptions!$B$23,Actuals!S86)</f>
        <v>-233.75</v>
      </c>
      <c r="S173" s="402">
        <f>IF(ISBLANK(Actuals!T86),-Helpers!Q5*Assumptions!$B$23,Actuals!T86)</f>
        <v>-233.75</v>
      </c>
      <c r="T173" s="402">
        <f>IF(ISBLANK(Actuals!U86),-Helpers!R5*Assumptions!$B$23,Actuals!U86)</f>
        <v>-233.75</v>
      </c>
      <c r="U173" s="402">
        <f>IF(ISBLANK(Actuals!V86),-Helpers!S5*Assumptions!$B$23,Actuals!V86)</f>
        <v>-233.75</v>
      </c>
      <c r="V173" s="402">
        <f>IF(ISBLANK(Actuals!W86),-Helpers!T5*Assumptions!$B$23,Actuals!W86)</f>
        <v>-233.75</v>
      </c>
      <c r="W173" s="402">
        <f>IF(ISBLANK(Actuals!X86),-Helpers!U5*Assumptions!$B$23,Actuals!X86)</f>
        <v>-233.75</v>
      </c>
      <c r="X173" s="402">
        <f>IF(ISBLANK(Actuals!Y86),-Helpers!V5*Assumptions!$B$23,Actuals!Y86)</f>
        <v>-233.75</v>
      </c>
      <c r="Y173" s="402">
        <f>IF(ISBLANK(Actuals!Z86),-Helpers!W5*Assumptions!$B$23,Actuals!Z86)</f>
        <v>-233.75</v>
      </c>
      <c r="Z173" s="402">
        <f>IF(ISBLANK(Actuals!AA86),-Helpers!X5*Assumptions!$B$23,Actuals!AA86)</f>
        <v>-233.75</v>
      </c>
      <c r="AA173" s="402">
        <f>IF(ISBLANK(Actuals!AB86),-Helpers!Y5*Assumptions!$B$23,Actuals!AB86)</f>
        <v>-233.75</v>
      </c>
      <c r="AB173" s="402">
        <f>IF(ISBLANK(Actuals!AC86),-Helpers!Z5*Assumptions!$B$23,Actuals!AC86)</f>
        <v>-233.75</v>
      </c>
      <c r="AC173" s="402">
        <f>IF(ISBLANK(Actuals!AD86),-Helpers!AA5*Assumptions!$B$23,Actuals!AD86)</f>
        <v>-238.425</v>
      </c>
      <c r="AD173" s="402">
        <f>IF(ISBLANK(Actuals!AE86),-Helpers!AB5*Assumptions!$B$23,Actuals!AE86)</f>
        <v>-238.425</v>
      </c>
      <c r="AE173" s="402">
        <f>IF(ISBLANK(Actuals!AF86),-Helpers!AC5*Assumptions!$B$23,Actuals!AF86)</f>
        <v>-238.425</v>
      </c>
      <c r="AF173" s="402">
        <f>IF(ISBLANK(Actuals!AG86),-Helpers!AD5*Assumptions!$B$23,Actuals!AG86)</f>
        <v>-238.425</v>
      </c>
      <c r="AG173" s="402">
        <f>IF(ISBLANK(Actuals!AH86),-Helpers!AE5*Assumptions!$B$23,Actuals!AH86)</f>
        <v>-238.425</v>
      </c>
      <c r="AH173" s="402">
        <f>IF(ISBLANK(Actuals!AI86),-Helpers!AF5*Assumptions!$B$23,Actuals!AI86)</f>
        <v>-238.425</v>
      </c>
      <c r="AI173" s="402">
        <f>IF(ISBLANK(Actuals!AJ86),-Helpers!AG5*Assumptions!$B$23,Actuals!AJ86)</f>
        <v>-238.425</v>
      </c>
      <c r="AJ173" s="402">
        <f>IF(ISBLANK(Actuals!AK86),-Helpers!AH5*Assumptions!$B$23,Actuals!AK86)</f>
        <v>-238.425</v>
      </c>
      <c r="AK173" s="402">
        <f>IF(ISBLANK(Actuals!AL86),-Helpers!AI5*Assumptions!$B$23,Actuals!AL86)</f>
        <v>-238.425</v>
      </c>
      <c r="AL173" s="402">
        <f>IF(ISBLANK(Actuals!AM86),-Helpers!AJ5*Assumptions!$B$23,Actuals!AM86)</f>
        <v>-238.425</v>
      </c>
      <c r="AM173" s="402">
        <f>IF(ISBLANK(Actuals!AN86),-Helpers!AK5*Assumptions!$B$23,Actuals!AN86)</f>
        <v>-238.425</v>
      </c>
      <c r="AN173" s="402">
        <f>IF(ISBLANK(Actuals!AO86),-Helpers!AL5*Assumptions!$B$23,Actuals!AO86)</f>
        <v>-238.425</v>
      </c>
      <c r="AO173" s="402">
        <f>IF(ISBLANK(Actuals!AP86),-Helpers!AM5*Assumptions!$B$23,Actuals!AP86)</f>
        <v>-243.1935</v>
      </c>
      <c r="AP173" s="402">
        <f>IF(ISBLANK(Actuals!AQ86),-Helpers!AN5*Assumptions!$B$23,Actuals!AQ86)</f>
        <v>-243.1935</v>
      </c>
      <c r="AQ173" s="402">
        <f>IF(ISBLANK(Actuals!AR86),-Helpers!AO5*Assumptions!$B$23,Actuals!AR86)</f>
        <v>-243.1935</v>
      </c>
      <c r="AR173" s="402">
        <f>IF(ISBLANK(Actuals!AS86),-Helpers!AP5*Assumptions!$B$23,Actuals!AS86)</f>
        <v>-243.1935</v>
      </c>
      <c r="AS173" s="402">
        <f>IF(ISBLANK(Actuals!AT86),-Helpers!AQ5*Assumptions!$B$23,Actuals!AT86)</f>
        <v>-243.1935</v>
      </c>
      <c r="AT173" s="402">
        <f>IF(ISBLANK(Actuals!AU86),-Helpers!AR5*Assumptions!$B$23,Actuals!AU86)</f>
        <v>-243.1935</v>
      </c>
      <c r="AU173" s="402">
        <f>IF(ISBLANK(Actuals!AV86),-Helpers!AS5*Assumptions!$B$23,Actuals!AV86)</f>
        <v>-243.1935</v>
      </c>
      <c r="AV173" s="402">
        <f>IF(ISBLANK(Actuals!AW86),-Helpers!AT5*Assumptions!$B$23,Actuals!AW86)</f>
        <v>-243.1935</v>
      </c>
      <c r="AW173" s="402">
        <f>IF(ISBLANK(Actuals!AX86),-Helpers!AU5*Assumptions!$B$23,Actuals!AX86)</f>
        <v>-243.1935</v>
      </c>
      <c r="AX173" s="402">
        <f>IF(ISBLANK(Actuals!AY86),-Helpers!AV5*Assumptions!$B$23,Actuals!AY86)</f>
        <v>-243.1935</v>
      </c>
      <c r="AY173" s="402">
        <f>IF(ISBLANK(Actuals!AZ86),-Helpers!AW5*Assumptions!$B$23,Actuals!AZ86)</f>
        <v>-243.1935</v>
      </c>
      <c r="AZ173" s="402">
        <f>IF(ISBLANK(Actuals!BA86),-Helpers!AX5*Assumptions!$B$23,Actuals!BA86)</f>
        <v>-243.1935</v>
      </c>
      <c r="BA173" s="402">
        <f>IF(ISBLANK(Actuals!BB86),-Helpers!AY5*Assumptions!$B$23,Actuals!BB86)</f>
        <v>-248.05737</v>
      </c>
      <c r="BB173" s="402">
        <f>IF(ISBLANK(Actuals!BC86),-Helpers!AZ5*Assumptions!$B$23,Actuals!BC86)</f>
        <v>-248.05737</v>
      </c>
      <c r="BC173" s="402">
        <f>IF(ISBLANK(Actuals!BD86),-Helpers!BA5*Assumptions!$B$23,Actuals!BD86)</f>
        <v>-248.05737</v>
      </c>
      <c r="BD173" s="402">
        <f>IF(ISBLANK(Actuals!BE86),-Helpers!BB5*Assumptions!$B$23,Actuals!BE86)</f>
        <v>-248.05737</v>
      </c>
      <c r="BE173" s="402">
        <f>IF(ISBLANK(Actuals!BF86),-Helpers!BC5*Assumptions!$B$23,Actuals!BF86)</f>
        <v>-248.05737</v>
      </c>
      <c r="BF173" s="402">
        <f>IF(ISBLANK(Actuals!BG86),-Helpers!BD5*Assumptions!$B$23,Actuals!BG86)</f>
        <v>-248.05737</v>
      </c>
      <c r="BG173" s="402">
        <f>IF(ISBLANK(Actuals!BH86),-Helpers!BE5*Assumptions!$B$23,Actuals!BH86)</f>
        <v>-248.05737</v>
      </c>
      <c r="BH173" s="402">
        <f>IF(ISBLANK(Actuals!BI86),-Helpers!BF5*Assumptions!$B$23,Actuals!BI86)</f>
        <v>-248.05737</v>
      </c>
      <c r="BI173" s="402">
        <f>IF(ISBLANK(Actuals!BJ86),-Helpers!BG5*Assumptions!$B$23,Actuals!BJ86)</f>
        <v>-248.05737</v>
      </c>
      <c r="BJ173" s="402">
        <f>IF(ISBLANK(Actuals!BK86),-Helpers!BH5*Assumptions!$B$23,Actuals!BK86)</f>
        <v>-248.05737</v>
      </c>
      <c r="BK173" s="402">
        <f>IF(ISBLANK(Actuals!BL86),-Helpers!BI5*Assumptions!$B$23,Actuals!BL86)</f>
        <v>-248.05737</v>
      </c>
      <c r="BL173" s="402">
        <f>IF(ISBLANK(Actuals!BM86),-Helpers!BJ5*Assumptions!$B$23,Actuals!BM86)</f>
        <v>-248.05737</v>
      </c>
      <c r="BM173" s="402">
        <f>IF(ISBLANK(Actuals!BN86),-Helpers!BK5*Assumptions!$B$23,Actuals!BN86)</f>
        <v>-253.0185174</v>
      </c>
      <c r="BN173" s="402">
        <f>IF(ISBLANK(Actuals!BO86),-Helpers!BL5*Assumptions!$B$23,Actuals!BO86)</f>
        <v>-253.0185174</v>
      </c>
      <c r="BO173" s="402">
        <f>IF(ISBLANK(Actuals!BP86),-Helpers!BM5*Assumptions!$B$23,Actuals!BP86)</f>
        <v>-253.0185174</v>
      </c>
      <c r="BP173" s="402">
        <f>IF(ISBLANK(Actuals!BQ86),-Helpers!BN5*Assumptions!$B$23,Actuals!BQ86)</f>
        <v>-253.0185174</v>
      </c>
      <c r="BQ173" s="402">
        <f>IF(ISBLANK(Actuals!BR86),-Helpers!BO5*Assumptions!$B$23,Actuals!BR86)</f>
        <v>-253.0185174</v>
      </c>
      <c r="BR173" s="402">
        <f>IF(ISBLANK(Actuals!BS86),-Helpers!BP5*Assumptions!$B$23,Actuals!BS86)</f>
        <v>-253.0185174</v>
      </c>
      <c r="BS173" s="402">
        <f>IF(ISBLANK(Actuals!BT86),-Helpers!BQ5*Assumptions!$B$23,Actuals!BT86)</f>
        <v>-253.0185174</v>
      </c>
      <c r="BT173" s="402">
        <f>IF(ISBLANK(Actuals!BU86),-Helpers!BR5*Assumptions!$B$23,Actuals!BU86)</f>
        <v>-253.0185174</v>
      </c>
      <c r="BU173" s="402">
        <f>IF(ISBLANK(Actuals!BV86),-Helpers!BS5*Assumptions!$B$23,Actuals!BV86)</f>
        <v>-253.0185174</v>
      </c>
      <c r="BV173" s="402">
        <f>IF(ISBLANK(Actuals!BW86),-Helpers!BT5*Assumptions!$B$23,Actuals!BW86)</f>
        <v>-253.0185174</v>
      </c>
      <c r="BW173" s="402">
        <f>IF(ISBLANK(Actuals!BX86),-Helpers!BU5*Assumptions!$B$23,Actuals!BX86)</f>
        <v>-253.0185174</v>
      </c>
      <c r="BX173" s="402">
        <f>IF(ISBLANK(Actuals!BY86),-Helpers!BV5*Assumptions!$B$23,Actuals!BY86)</f>
        <v>-253.0185174</v>
      </c>
      <c r="BY173" s="402">
        <f>IF(ISBLANK(Actuals!BZ86),-Helpers!BW5*Assumptions!$B$23,Actuals!BZ86)</f>
        <v>-258.078887748</v>
      </c>
      <c r="BZ173" s="402">
        <f>IF(ISBLANK(Actuals!CA86),-Helpers!BX5*Assumptions!$B$23,Actuals!CA86)</f>
        <v>-258.078887748</v>
      </c>
      <c r="CA173" s="402">
        <f>IF(ISBLANK(Actuals!CB86),-Helpers!BY5*Assumptions!$B$23,Actuals!CB86)</f>
        <v>-258.078887748</v>
      </c>
      <c r="CB173" s="402">
        <f>IF(ISBLANK(Actuals!CC86),-Helpers!BZ5*Assumptions!$B$23,Actuals!CC86)</f>
        <v>-258.078887748</v>
      </c>
      <c r="CC173" s="402">
        <f>IF(ISBLANK(Actuals!CD86),-Helpers!CA5*Assumptions!$B$23,Actuals!CD86)</f>
        <v>-258.078887748</v>
      </c>
      <c r="CD173" s="402">
        <f>IF(ISBLANK(Actuals!CE86),-Helpers!CB5*Assumptions!$B$23,Actuals!CE86)</f>
        <v>-258.078887748</v>
      </c>
      <c r="CE173" s="402">
        <f>IF(ISBLANK(Actuals!CF86),-Helpers!CC5*Assumptions!$B$23,Actuals!CF86)</f>
        <v>-258.078887748</v>
      </c>
      <c r="CF173" s="402">
        <f>IF(ISBLANK(Actuals!CG86),-Helpers!CD5*Assumptions!$B$23,Actuals!CG86)</f>
        <v>-258.078887748</v>
      </c>
      <c r="CG173" s="402">
        <f>IF(ISBLANK(Actuals!CH86),-Helpers!CE5*Assumptions!$B$23,Actuals!CH86)</f>
        <v>-258.078887748</v>
      </c>
      <c r="CH173" s="402">
        <f>IF(ISBLANK(Actuals!CI86),-Helpers!CF5*Assumptions!$B$23,Actuals!CI86)</f>
        <v>-258.078887748</v>
      </c>
      <c r="CI173" s="402">
        <f>IF(ISBLANK(Actuals!CJ86),-Helpers!CG5*Assumptions!$B$23,Actuals!CJ86)</f>
        <v>-258.078887748</v>
      </c>
      <c r="CJ173" s="402">
        <f>IF(ISBLANK(Actuals!CK86),-Helpers!CH5*Assumptions!$B$23,Actuals!CK86)</f>
        <v>-258.078887748</v>
      </c>
      <c r="CK173" s="402">
        <f>IF(ISBLANK(Actuals!CL86),-Helpers!CI5*Assumptions!$B$23,Actuals!CL86)</f>
        <v>-263.24046550296</v>
      </c>
      <c r="CL173" s="402">
        <f>IF(ISBLANK(Actuals!CM86),-Helpers!CJ5*Assumptions!$B$23,Actuals!CM86)</f>
        <v>-263.24046550296</v>
      </c>
      <c r="CM173" s="402">
        <f>IF(ISBLANK(Actuals!CN86),-Helpers!CK5*Assumptions!$B$23,Actuals!CN86)</f>
        <v>-263.24046550296</v>
      </c>
      <c r="CN173" s="402">
        <f>IF(ISBLANK(Actuals!CO86),-Helpers!CL5*Assumptions!$B$23,Actuals!CO86)</f>
        <v>-263.24046550296</v>
      </c>
      <c r="CO173" s="402">
        <f>IF(ISBLANK(Actuals!CP86),-Helpers!CM5*Assumptions!$B$23,Actuals!CP86)</f>
        <v>-263.24046550296</v>
      </c>
      <c r="CP173" s="402">
        <f>IF(ISBLANK(Actuals!CQ86),-Helpers!CN5*Assumptions!$B$23,Actuals!CQ86)</f>
        <v>-263.24046550296</v>
      </c>
      <c r="CQ173" s="402">
        <f>IF(ISBLANK(Actuals!CR86),-Helpers!CO5*Assumptions!$B$23,Actuals!CR86)</f>
        <v>-263.24046550296</v>
      </c>
      <c r="CR173" s="402">
        <f>IF(ISBLANK(Actuals!CS86),-Helpers!CP5*Assumptions!$B$23,Actuals!CS86)</f>
        <v>-263.24046550296</v>
      </c>
      <c r="CS173" s="402">
        <f>IF(ISBLANK(Actuals!CT86),-Helpers!CQ5*Assumptions!$B$23,Actuals!CT86)</f>
        <v>-263.24046550296</v>
      </c>
      <c r="CT173" s="402">
        <f>IF(ISBLANK(Actuals!CU86),-Helpers!CR5*Assumptions!$B$23,Actuals!CU86)</f>
        <v>0</v>
      </c>
      <c r="CU173" s="402">
        <f>IF(ISBLANK(Actuals!CV86),-Helpers!CS5*Assumptions!$B$23,Actuals!CV86)</f>
        <v>0</v>
      </c>
      <c r="CV173" s="402">
        <f>IF(ISBLANK(Actuals!CW86),-Helpers!CT5*Assumptions!$B$23,Actuals!CW86)</f>
        <v>0</v>
      </c>
      <c r="CW173" s="402">
        <f>IF(ISBLANK(Actuals!CX86),-Helpers!CU5*Assumptions!$B$23,Actuals!CX86)</f>
        <v>0</v>
      </c>
      <c r="CX173" s="402">
        <f>IF(ISBLANK(Actuals!CY86),-Helpers!CV5*Assumptions!$B$23,Actuals!CY86)</f>
        <v>0</v>
      </c>
      <c r="CY173" s="402">
        <f>IF(ISBLANK(Actuals!CZ86),-Helpers!CW5*Assumptions!$B$23,Actuals!CZ86)</f>
        <v>0</v>
      </c>
      <c r="CZ173" s="402">
        <f>IF(ISBLANK(Actuals!DA86),-Helpers!CX5*Assumptions!$B$23,Actuals!DA86)</f>
        <v>0</v>
      </c>
      <c r="DA173" s="402">
        <f>IF(ISBLANK(Actuals!DB86),-Helpers!CY5*Assumptions!$B$23,Actuals!DB86)</f>
        <v>0</v>
      </c>
      <c r="DB173" s="402">
        <f>IF(ISBLANK(Actuals!DC86),-Helpers!CZ5*Assumptions!$B$23,Actuals!DC86)</f>
        <v>0</v>
      </c>
      <c r="DC173" s="402">
        <f>IF(ISBLANK(Actuals!DD86),-Helpers!DA5*Assumptions!$B$23,Actuals!DD86)</f>
        <v>0</v>
      </c>
      <c r="DD173" s="402">
        <f>IF(ISBLANK(Actuals!DE86),-Helpers!DB5*Assumptions!$B$23,Actuals!DE86)</f>
        <v>0</v>
      </c>
      <c r="DE173" s="402">
        <f>IF(ISBLANK(Actuals!DF86),-Helpers!DC5*Assumptions!$B$23,Actuals!DF86)</f>
        <v>0</v>
      </c>
    </row>
    <row r="174" ht="15" customFormat="1" customHeight="1" s="381">
      <c r="A174" s="415" t="inlineStr">
        <is>
          <t>5000-1005 Payroll Servicing Fees</t>
        </is>
      </c>
      <c r="B174" s="402">
        <f>IF(ISBLANK(Actuals!C87),0,Actuals!C87)</f>
        <v>-2200.12</v>
      </c>
      <c r="C174" s="402">
        <f>IF(ISBLANK(Actuals!D87),0,Actuals!D87)</f>
        <v>-2200.12</v>
      </c>
      <c r="D174" s="402">
        <f>IF(ISBLANK(Actuals!E87),0,Actuals!E87)</f>
        <v>-2200.12</v>
      </c>
      <c r="E174" s="402">
        <f>IF(ISBLANK(Actuals!F87),-Helpers!C5*Assumptions!$B$21,Actuals!F87)</f>
        <v>-2200.12</v>
      </c>
      <c r="F174" s="402">
        <f>IF(ISBLANK(Actuals!G87),-Helpers!D5*Assumptions!$B$21,Actuals!G87)</f>
        <v>-2200.12</v>
      </c>
      <c r="G174" s="402">
        <f>IF(ISBLANK(Actuals!H87),-Helpers!E5*Assumptions!$B$21,Actuals!H87)</f>
        <v>-2200.12</v>
      </c>
      <c r="H174" s="402">
        <f>IF(ISBLANK(Actuals!I87),-Helpers!F5*Assumptions!$B$21,Actuals!I87)</f>
        <v>-57.2916666666667</v>
      </c>
      <c r="I174" s="402">
        <f>IF(ISBLANK(Actuals!J87),-Helpers!G5*Assumptions!$B$21,Actuals!J87)</f>
        <v>-57.2916666666667</v>
      </c>
      <c r="J174" s="402">
        <f>IF(ISBLANK(Actuals!K87),-Helpers!H5*Assumptions!$B$21,Actuals!K87)</f>
        <v>-57.2916666666667</v>
      </c>
      <c r="K174" s="402">
        <f>IF(ISBLANK(Actuals!L87),-Helpers!I5*Assumptions!$B$21,Actuals!L87)</f>
        <v>-57.2916666666667</v>
      </c>
      <c r="L174" s="402">
        <f>IF(ISBLANK(Actuals!M87),-Helpers!J5*Assumptions!$B$21,Actuals!M87)</f>
        <v>-57.2916666666667</v>
      </c>
      <c r="M174" s="402">
        <f>IF(ISBLANK(Actuals!N87),-Helpers!K5*Assumptions!$B$21,Actuals!N87)</f>
        <v>-57.2916666666667</v>
      </c>
      <c r="N174" s="402">
        <f>IF(ISBLANK(Actuals!O87),-Helpers!L5*Assumptions!$B$21,Actuals!O87)</f>
        <v>-57.2916666666667</v>
      </c>
      <c r="O174" s="402">
        <f>IF(ISBLANK(Actuals!P87),-Helpers!M5*Assumptions!$B$21,Actuals!P87)</f>
        <v>-57.2916666666667</v>
      </c>
      <c r="P174" s="402">
        <f>IF(ISBLANK(Actuals!Q87),-Helpers!N5*Assumptions!$B$21,Actuals!Q87)</f>
        <v>-57.2916666666667</v>
      </c>
      <c r="Q174" s="402">
        <f>IF(ISBLANK(Actuals!R87),-Helpers!O5*Assumptions!$B$21,Actuals!R87)</f>
        <v>-58.4375</v>
      </c>
      <c r="R174" s="402">
        <f>IF(ISBLANK(Actuals!S87),-Helpers!P5*Assumptions!$B$21,Actuals!S87)</f>
        <v>-58.4375</v>
      </c>
      <c r="S174" s="402">
        <f>IF(ISBLANK(Actuals!T87),-Helpers!Q5*Assumptions!$B$21,Actuals!T87)</f>
        <v>-58.4375</v>
      </c>
      <c r="T174" s="402">
        <f>IF(ISBLANK(Actuals!U87),-Helpers!R5*Assumptions!$B$21,Actuals!U87)</f>
        <v>-58.4375</v>
      </c>
      <c r="U174" s="402">
        <f>IF(ISBLANK(Actuals!V87),-Helpers!S5*Assumptions!$B$21,Actuals!V87)</f>
        <v>-58.4375</v>
      </c>
      <c r="V174" s="402">
        <f>IF(ISBLANK(Actuals!W87),-Helpers!T5*Assumptions!$B$21,Actuals!W87)</f>
        <v>-58.4375</v>
      </c>
      <c r="W174" s="402">
        <f>IF(ISBLANK(Actuals!X87),-Helpers!U5*Assumptions!$B$21,Actuals!X87)</f>
        <v>-58.4375</v>
      </c>
      <c r="X174" s="402">
        <f>IF(ISBLANK(Actuals!Y87),-Helpers!V5*Assumptions!$B$21,Actuals!Y87)</f>
        <v>-58.4375</v>
      </c>
      <c r="Y174" s="402">
        <f>IF(ISBLANK(Actuals!Z87),-Helpers!W5*Assumptions!$B$21,Actuals!Z87)</f>
        <v>-58.4375</v>
      </c>
      <c r="Z174" s="402">
        <f>IF(ISBLANK(Actuals!AA87),-Helpers!X5*Assumptions!$B$21,Actuals!AA87)</f>
        <v>-58.4375</v>
      </c>
      <c r="AA174" s="402">
        <f>IF(ISBLANK(Actuals!AB87),-Helpers!Y5*Assumptions!$B$21,Actuals!AB87)</f>
        <v>-58.4375</v>
      </c>
      <c r="AB174" s="402">
        <f>IF(ISBLANK(Actuals!AC87),-Helpers!Z5*Assumptions!$B$21,Actuals!AC87)</f>
        <v>-58.4375</v>
      </c>
      <c r="AC174" s="402">
        <f>IF(ISBLANK(Actuals!AD87),-Helpers!AA5*Assumptions!$B$21,Actuals!AD87)</f>
        <v>-59.60625</v>
      </c>
      <c r="AD174" s="402">
        <f>IF(ISBLANK(Actuals!AE87),-Helpers!AB5*Assumptions!$B$21,Actuals!AE87)</f>
        <v>-59.60625</v>
      </c>
      <c r="AE174" s="402">
        <f>IF(ISBLANK(Actuals!AF87),-Helpers!AC5*Assumptions!$B$21,Actuals!AF87)</f>
        <v>-59.60625</v>
      </c>
      <c r="AF174" s="402">
        <f>IF(ISBLANK(Actuals!AG87),-Helpers!AD5*Assumptions!$B$21,Actuals!AG87)</f>
        <v>-59.60625</v>
      </c>
      <c r="AG174" s="402">
        <f>IF(ISBLANK(Actuals!AH87),-Helpers!AE5*Assumptions!$B$21,Actuals!AH87)</f>
        <v>-59.60625</v>
      </c>
      <c r="AH174" s="402">
        <f>IF(ISBLANK(Actuals!AI87),-Helpers!AF5*Assumptions!$B$21,Actuals!AI87)</f>
        <v>-59.60625</v>
      </c>
      <c r="AI174" s="402">
        <f>IF(ISBLANK(Actuals!AJ87),-Helpers!AG5*Assumptions!$B$21,Actuals!AJ87)</f>
        <v>-59.60625</v>
      </c>
      <c r="AJ174" s="402">
        <f>IF(ISBLANK(Actuals!AK87),-Helpers!AH5*Assumptions!$B$21,Actuals!AK87)</f>
        <v>-59.60625</v>
      </c>
      <c r="AK174" s="402">
        <f>IF(ISBLANK(Actuals!AL87),-Helpers!AI5*Assumptions!$B$21,Actuals!AL87)</f>
        <v>-59.60625</v>
      </c>
      <c r="AL174" s="402">
        <f>IF(ISBLANK(Actuals!AM87),-Helpers!AJ5*Assumptions!$B$21,Actuals!AM87)</f>
        <v>-59.60625</v>
      </c>
      <c r="AM174" s="402">
        <f>IF(ISBLANK(Actuals!AN87),-Helpers!AK5*Assumptions!$B$21,Actuals!AN87)</f>
        <v>-59.60625</v>
      </c>
      <c r="AN174" s="402">
        <f>IF(ISBLANK(Actuals!AO87),-Helpers!AL5*Assumptions!$B$21,Actuals!AO87)</f>
        <v>-59.60625</v>
      </c>
      <c r="AO174" s="402">
        <f>IF(ISBLANK(Actuals!AP87),-Helpers!AM5*Assumptions!$B$21,Actuals!AP87)</f>
        <v>-60.798375</v>
      </c>
      <c r="AP174" s="402">
        <f>IF(ISBLANK(Actuals!AQ87),-Helpers!AN5*Assumptions!$B$21,Actuals!AQ87)</f>
        <v>-60.798375</v>
      </c>
      <c r="AQ174" s="402">
        <f>IF(ISBLANK(Actuals!AR87),-Helpers!AO5*Assumptions!$B$21,Actuals!AR87)</f>
        <v>-60.798375</v>
      </c>
      <c r="AR174" s="402">
        <f>IF(ISBLANK(Actuals!AS87),-Helpers!AP5*Assumptions!$B$21,Actuals!AS87)</f>
        <v>-60.798375</v>
      </c>
      <c r="AS174" s="402">
        <f>IF(ISBLANK(Actuals!AT87),-Helpers!AQ5*Assumptions!$B$21,Actuals!AT87)</f>
        <v>-60.798375</v>
      </c>
      <c r="AT174" s="402">
        <f>IF(ISBLANK(Actuals!AU87),-Helpers!AR5*Assumptions!$B$21,Actuals!AU87)</f>
        <v>-60.798375</v>
      </c>
      <c r="AU174" s="402">
        <f>IF(ISBLANK(Actuals!AV87),-Helpers!AS5*Assumptions!$B$21,Actuals!AV87)</f>
        <v>-60.798375</v>
      </c>
      <c r="AV174" s="402">
        <f>IF(ISBLANK(Actuals!AW87),-Helpers!AT5*Assumptions!$B$21,Actuals!AW87)</f>
        <v>-60.798375</v>
      </c>
      <c r="AW174" s="402">
        <f>IF(ISBLANK(Actuals!AX87),-Helpers!AU5*Assumptions!$B$21,Actuals!AX87)</f>
        <v>-60.798375</v>
      </c>
      <c r="AX174" s="402">
        <f>IF(ISBLANK(Actuals!AY87),-Helpers!AV5*Assumptions!$B$21,Actuals!AY87)</f>
        <v>-60.798375</v>
      </c>
      <c r="AY174" s="402">
        <f>IF(ISBLANK(Actuals!AZ87),-Helpers!AW5*Assumptions!$B$21,Actuals!AZ87)</f>
        <v>-60.798375</v>
      </c>
      <c r="AZ174" s="402">
        <f>IF(ISBLANK(Actuals!BA87),-Helpers!AX5*Assumptions!$B$21,Actuals!BA87)</f>
        <v>-60.798375</v>
      </c>
      <c r="BA174" s="402">
        <f>IF(ISBLANK(Actuals!BB87),-Helpers!AY5*Assumptions!$B$21,Actuals!BB87)</f>
        <v>-62.0143425</v>
      </c>
      <c r="BB174" s="402">
        <f>IF(ISBLANK(Actuals!BC87),-Helpers!AZ5*Assumptions!$B$21,Actuals!BC87)</f>
        <v>-62.0143425</v>
      </c>
      <c r="BC174" s="402">
        <f>IF(ISBLANK(Actuals!BD87),-Helpers!BA5*Assumptions!$B$21,Actuals!BD87)</f>
        <v>-62.0143425</v>
      </c>
      <c r="BD174" s="402">
        <f>IF(ISBLANK(Actuals!BE87),-Helpers!BB5*Assumptions!$B$21,Actuals!BE87)</f>
        <v>-62.0143425</v>
      </c>
      <c r="BE174" s="402">
        <f>IF(ISBLANK(Actuals!BF87),-Helpers!BC5*Assumptions!$B$21,Actuals!BF87)</f>
        <v>-62.0143425</v>
      </c>
      <c r="BF174" s="402">
        <f>IF(ISBLANK(Actuals!BG87),-Helpers!BD5*Assumptions!$B$21,Actuals!BG87)</f>
        <v>-62.0143425</v>
      </c>
      <c r="BG174" s="402">
        <f>IF(ISBLANK(Actuals!BH87),-Helpers!BE5*Assumptions!$B$21,Actuals!BH87)</f>
        <v>-62.0143425</v>
      </c>
      <c r="BH174" s="402">
        <f>IF(ISBLANK(Actuals!BI87),-Helpers!BF5*Assumptions!$B$21,Actuals!BI87)</f>
        <v>-62.0143425</v>
      </c>
      <c r="BI174" s="402">
        <f>IF(ISBLANK(Actuals!BJ87),-Helpers!BG5*Assumptions!$B$21,Actuals!BJ87)</f>
        <v>-62.0143425</v>
      </c>
      <c r="BJ174" s="402">
        <f>IF(ISBLANK(Actuals!BK87),-Helpers!BH5*Assumptions!$B$21,Actuals!BK87)</f>
        <v>-62.0143425</v>
      </c>
      <c r="BK174" s="402">
        <f>IF(ISBLANK(Actuals!BL87),-Helpers!BI5*Assumptions!$B$21,Actuals!BL87)</f>
        <v>-62.0143425</v>
      </c>
      <c r="BL174" s="402">
        <f>IF(ISBLANK(Actuals!BM87),-Helpers!BJ5*Assumptions!$B$21,Actuals!BM87)</f>
        <v>-62.0143425</v>
      </c>
      <c r="BM174" s="402">
        <f>IF(ISBLANK(Actuals!BN87),-Helpers!BK5*Assumptions!$B$21,Actuals!BN87)</f>
        <v>-63.25462935</v>
      </c>
      <c r="BN174" s="402">
        <f>IF(ISBLANK(Actuals!BO87),-Helpers!BL5*Assumptions!$B$21,Actuals!BO87)</f>
        <v>-63.25462935</v>
      </c>
      <c r="BO174" s="402">
        <f>IF(ISBLANK(Actuals!BP87),-Helpers!BM5*Assumptions!$B$21,Actuals!BP87)</f>
        <v>-63.25462935</v>
      </c>
      <c r="BP174" s="402">
        <f>IF(ISBLANK(Actuals!BQ87),-Helpers!BN5*Assumptions!$B$21,Actuals!BQ87)</f>
        <v>-63.25462935</v>
      </c>
      <c r="BQ174" s="402">
        <f>IF(ISBLANK(Actuals!BR87),-Helpers!BO5*Assumptions!$B$21,Actuals!BR87)</f>
        <v>-63.25462935</v>
      </c>
      <c r="BR174" s="402">
        <f>IF(ISBLANK(Actuals!BS87),-Helpers!BP5*Assumptions!$B$21,Actuals!BS87)</f>
        <v>-63.25462935</v>
      </c>
      <c r="BS174" s="402">
        <f>IF(ISBLANK(Actuals!BT87),-Helpers!BQ5*Assumptions!$B$21,Actuals!BT87)</f>
        <v>-63.25462935</v>
      </c>
      <c r="BT174" s="402">
        <f>IF(ISBLANK(Actuals!BU87),-Helpers!BR5*Assumptions!$B$21,Actuals!BU87)</f>
        <v>-63.25462935</v>
      </c>
      <c r="BU174" s="402">
        <f>IF(ISBLANK(Actuals!BV87),-Helpers!BS5*Assumptions!$B$21,Actuals!BV87)</f>
        <v>-63.25462935</v>
      </c>
      <c r="BV174" s="402">
        <f>IF(ISBLANK(Actuals!BW87),-Helpers!BT5*Assumptions!$B$21,Actuals!BW87)</f>
        <v>-63.25462935</v>
      </c>
      <c r="BW174" s="402">
        <f>IF(ISBLANK(Actuals!BX87),-Helpers!BU5*Assumptions!$B$21,Actuals!BX87)</f>
        <v>-63.25462935</v>
      </c>
      <c r="BX174" s="402">
        <f>IF(ISBLANK(Actuals!BY87),-Helpers!BV5*Assumptions!$B$21,Actuals!BY87)</f>
        <v>-63.25462935</v>
      </c>
      <c r="BY174" s="402">
        <f>IF(ISBLANK(Actuals!BZ87),-Helpers!BW5*Assumptions!$B$21,Actuals!BZ87)</f>
        <v>-64.519721937</v>
      </c>
      <c r="BZ174" s="402">
        <f>IF(ISBLANK(Actuals!CA87),-Helpers!BX5*Assumptions!$B$21,Actuals!CA87)</f>
        <v>-64.519721937</v>
      </c>
      <c r="CA174" s="402">
        <f>IF(ISBLANK(Actuals!CB87),-Helpers!BY5*Assumptions!$B$21,Actuals!CB87)</f>
        <v>-64.519721937</v>
      </c>
      <c r="CB174" s="402">
        <f>IF(ISBLANK(Actuals!CC87),-Helpers!BZ5*Assumptions!$B$21,Actuals!CC87)</f>
        <v>-64.519721937</v>
      </c>
      <c r="CC174" s="402">
        <f>IF(ISBLANK(Actuals!CD87),-Helpers!CA5*Assumptions!$B$21,Actuals!CD87)</f>
        <v>-64.519721937</v>
      </c>
      <c r="CD174" s="402">
        <f>IF(ISBLANK(Actuals!CE87),-Helpers!CB5*Assumptions!$B$21,Actuals!CE87)</f>
        <v>-64.519721937</v>
      </c>
      <c r="CE174" s="402">
        <f>IF(ISBLANK(Actuals!CF87),-Helpers!CC5*Assumptions!$B$21,Actuals!CF87)</f>
        <v>-64.519721937</v>
      </c>
      <c r="CF174" s="402">
        <f>IF(ISBLANK(Actuals!CG87),-Helpers!CD5*Assumptions!$B$21,Actuals!CG87)</f>
        <v>-64.519721937</v>
      </c>
      <c r="CG174" s="402">
        <f>IF(ISBLANK(Actuals!CH87),-Helpers!CE5*Assumptions!$B$21,Actuals!CH87)</f>
        <v>-64.519721937</v>
      </c>
      <c r="CH174" s="402">
        <f>IF(ISBLANK(Actuals!CI87),-Helpers!CF5*Assumptions!$B$21,Actuals!CI87)</f>
        <v>-64.519721937</v>
      </c>
      <c r="CI174" s="402">
        <f>IF(ISBLANK(Actuals!CJ87),-Helpers!CG5*Assumptions!$B$21,Actuals!CJ87)</f>
        <v>-64.519721937</v>
      </c>
      <c r="CJ174" s="402">
        <f>IF(ISBLANK(Actuals!CK87),-Helpers!CH5*Assumptions!$B$21,Actuals!CK87)</f>
        <v>-64.519721937</v>
      </c>
      <c r="CK174" s="402">
        <f>IF(ISBLANK(Actuals!CL87),-Helpers!CI5*Assumptions!$B$21,Actuals!CL87)</f>
        <v>-65.81011637574</v>
      </c>
      <c r="CL174" s="402">
        <f>IF(ISBLANK(Actuals!CM87),-Helpers!CJ5*Assumptions!$B$21,Actuals!CM87)</f>
        <v>-65.81011637574</v>
      </c>
      <c r="CM174" s="402">
        <f>IF(ISBLANK(Actuals!CN87),-Helpers!CK5*Assumptions!$B$21,Actuals!CN87)</f>
        <v>-65.81011637574</v>
      </c>
      <c r="CN174" s="402">
        <f>IF(ISBLANK(Actuals!CO87),-Helpers!CL5*Assumptions!$B$21,Actuals!CO87)</f>
        <v>-65.81011637574</v>
      </c>
      <c r="CO174" s="402">
        <f>IF(ISBLANK(Actuals!CP87),-Helpers!CM5*Assumptions!$B$21,Actuals!CP87)</f>
        <v>-65.81011637574</v>
      </c>
      <c r="CP174" s="402">
        <f>IF(ISBLANK(Actuals!CQ87),-Helpers!CN5*Assumptions!$B$21,Actuals!CQ87)</f>
        <v>-65.81011637574</v>
      </c>
      <c r="CQ174" s="402">
        <f>IF(ISBLANK(Actuals!CR87),-Helpers!CO5*Assumptions!$B$21,Actuals!CR87)</f>
        <v>-65.81011637574</v>
      </c>
      <c r="CR174" s="402">
        <f>IF(ISBLANK(Actuals!CS87),-Helpers!CP5*Assumptions!$B$21,Actuals!CS87)</f>
        <v>-65.81011637574</v>
      </c>
      <c r="CS174" s="402">
        <f>IF(ISBLANK(Actuals!CT87),-Helpers!CQ5*Assumptions!$B$21,Actuals!CT87)</f>
        <v>-65.81011637574</v>
      </c>
      <c r="CT174" s="402">
        <f>IF(ISBLANK(Actuals!CU87),-Helpers!CR5*Assumptions!$B$21,Actuals!CU87)</f>
        <v>0</v>
      </c>
      <c r="CU174" s="402">
        <f>IF(ISBLANK(Actuals!CV87),-Helpers!CS5*Assumptions!$B$21,Actuals!CV87)</f>
        <v>0</v>
      </c>
      <c r="CV174" s="402">
        <f>IF(ISBLANK(Actuals!CW87),-Helpers!CT5*Assumptions!$B$21,Actuals!CW87)</f>
        <v>0</v>
      </c>
      <c r="CW174" s="402">
        <f>IF(ISBLANK(Actuals!CX87),-Helpers!CU5*Assumptions!$B$21,Actuals!CX87)</f>
        <v>0</v>
      </c>
      <c r="CX174" s="402">
        <f>IF(ISBLANK(Actuals!CY87),-Helpers!CV5*Assumptions!$B$21,Actuals!CY87)</f>
        <v>0</v>
      </c>
      <c r="CY174" s="402">
        <f>IF(ISBLANK(Actuals!CZ87),-Helpers!CW5*Assumptions!$B$21,Actuals!CZ87)</f>
        <v>0</v>
      </c>
      <c r="CZ174" s="402">
        <f>IF(ISBLANK(Actuals!DA87),-Helpers!CX5*Assumptions!$B$21,Actuals!DA87)</f>
        <v>0</v>
      </c>
      <c r="DA174" s="402">
        <f>IF(ISBLANK(Actuals!DB87),-Helpers!CY5*Assumptions!$B$21,Actuals!DB87)</f>
        <v>0</v>
      </c>
      <c r="DB174" s="402">
        <f>IF(ISBLANK(Actuals!DC87),-Helpers!CZ5*Assumptions!$B$21,Actuals!DC87)</f>
        <v>0</v>
      </c>
      <c r="DC174" s="402">
        <f>IF(ISBLANK(Actuals!DD87),-Helpers!DA5*Assumptions!$B$21,Actuals!DD87)</f>
        <v>0</v>
      </c>
      <c r="DD174" s="402">
        <f>IF(ISBLANK(Actuals!DE87),-Helpers!DB5*Assumptions!$B$21,Actuals!DE87)</f>
        <v>0</v>
      </c>
      <c r="DE174" s="402">
        <f>IF(ISBLANK(Actuals!DF87),-Helpers!DC5*Assumptions!$B$21,Actuals!DF87)</f>
        <v>0</v>
      </c>
    </row>
    <row r="175" ht="15" customFormat="1" customHeight="1" s="381">
      <c r="A175" s="415" t="inlineStr">
        <is>
          <t>5100-1000 Rent Expense</t>
        </is>
      </c>
      <c r="B175" s="402">
        <f>IF(ISBLANK(Actuals!C88),0,Actuals!C88)</f>
        <v>-8848.65</v>
      </c>
      <c r="C175" s="402">
        <f>IF(ISBLANK(Actuals!D88),0,Actuals!D88)</f>
        <v>-8817.63</v>
      </c>
      <c r="D175" s="402">
        <f>IF(ISBLANK(Actuals!E88),0,Actuals!E88)</f>
        <v>-3775.91</v>
      </c>
      <c r="E175" s="402">
        <f>IF(ISBLANK(Actuals!F88),-8500*Escalation!$B$2,Actuals!F88)</f>
        <v>-8731.12</v>
      </c>
      <c r="F175" s="402">
        <f>IF(ISBLANK(Actuals!G88),-8500*Escalation!$B$3,Actuals!G88)</f>
        <v>-8739.17</v>
      </c>
      <c r="G175" s="402">
        <f>IF(ISBLANK(Actuals!H88),-8500*Escalation!$B$4,Actuals!H88)</f>
        <v>-8771.99</v>
      </c>
      <c r="H175" s="402">
        <f>IF(ISBLANK(Actuals!I88),-8500*Escalation!$B$5,Actuals!I88)</f>
        <v>-8500</v>
      </c>
      <c r="I175" s="402">
        <f>IF(ISBLANK(Actuals!J88),-8500*Escalation!$B$6,Actuals!J88)</f>
        <v>-8500</v>
      </c>
      <c r="J175" s="402">
        <f>IF(ISBLANK(Actuals!K88),-8500*Escalation!$B$7,Actuals!K88)</f>
        <v>-8500</v>
      </c>
      <c r="K175" s="402">
        <f>IF(ISBLANK(Actuals!L88),-8500*Escalation!$B$8,Actuals!L88)</f>
        <v>-8500</v>
      </c>
      <c r="L175" s="402">
        <f>IF(ISBLANK(Actuals!M88),-8500*Escalation!$B$9,Actuals!M88)</f>
        <v>-8500</v>
      </c>
      <c r="M175" s="402">
        <f>IF(ISBLANK(Actuals!N88),-8500*Escalation!$B$10,Actuals!N88)</f>
        <v>-8500</v>
      </c>
      <c r="N175" s="402">
        <f>IF(ISBLANK(Actuals!O88),-8500*Escalation!$B$11,Actuals!O88)</f>
        <v>-8500</v>
      </c>
      <c r="O175" s="402">
        <f>IF(ISBLANK(Actuals!P88),-8500*Escalation!$B$12,Actuals!P88)</f>
        <v>-8500</v>
      </c>
      <c r="P175" s="402">
        <f>IF(ISBLANK(Actuals!Q88),-8500*Escalation!$B$13,Actuals!Q88)</f>
        <v>-8500</v>
      </c>
      <c r="Q175" s="402">
        <f>IF(ISBLANK(Actuals!R88),-8500*Escalation!$B$14,Actuals!R88)</f>
        <v>-8670</v>
      </c>
      <c r="R175" s="402">
        <f>IF(ISBLANK(Actuals!S88),-8500*Escalation!$B$15,Actuals!S88)</f>
        <v>-8670</v>
      </c>
      <c r="S175" s="402">
        <f>IF(ISBLANK(Actuals!T88),-8500*Escalation!$B$16,Actuals!T88)</f>
        <v>-8670</v>
      </c>
      <c r="T175" s="402">
        <f>IF(ISBLANK(Actuals!U88),-8500*Escalation!$B$17,Actuals!U88)</f>
        <v>-8670</v>
      </c>
      <c r="U175" s="402">
        <f>IF(ISBLANK(Actuals!V88),-8500*Escalation!$B$18,Actuals!V88)</f>
        <v>-8670</v>
      </c>
      <c r="V175" s="402">
        <f>IF(ISBLANK(Actuals!W88),-8500*Escalation!$B$19,Actuals!W88)</f>
        <v>-8670</v>
      </c>
      <c r="W175" s="402">
        <f>IF(ISBLANK(Actuals!X88),-8500*Escalation!$B$20,Actuals!X88)</f>
        <v>-8670</v>
      </c>
      <c r="X175" s="402">
        <f>IF(ISBLANK(Actuals!Y88),-8500*Escalation!$B$21,Actuals!Y88)</f>
        <v>-8670</v>
      </c>
      <c r="Y175" s="402">
        <f>IF(ISBLANK(Actuals!Z88),-8500*Escalation!$B$22,Actuals!Z88)</f>
        <v>-8670</v>
      </c>
      <c r="Z175" s="402">
        <f>IF(ISBLANK(Actuals!AA88),-8500*Escalation!$B$23,Actuals!AA88)</f>
        <v>-8670</v>
      </c>
      <c r="AA175" s="402">
        <f>IF(ISBLANK(Actuals!AB88),-8500*Escalation!$B$24,Actuals!AB88)</f>
        <v>-8670</v>
      </c>
      <c r="AB175" s="402">
        <f>IF(ISBLANK(Actuals!AC88),-8500*Escalation!$B$25,Actuals!AC88)</f>
        <v>-8670</v>
      </c>
      <c r="AC175" s="402">
        <f>IF(ISBLANK(Actuals!AD88),-8500*Escalation!$B$26,Actuals!AD88)</f>
        <v>-8843.4</v>
      </c>
      <c r="AD175" s="402">
        <f>IF(ISBLANK(Actuals!AE88),-8500*Escalation!$B$27,Actuals!AE88)</f>
        <v>-8843.4</v>
      </c>
      <c r="AE175" s="402">
        <f>IF(ISBLANK(Actuals!AF88),-8500*Escalation!$B$28,Actuals!AF88)</f>
        <v>-8843.4</v>
      </c>
      <c r="AF175" s="402">
        <f>IF(ISBLANK(Actuals!AG88),-8500*Escalation!$B$29,Actuals!AG88)</f>
        <v>-8843.4</v>
      </c>
      <c r="AG175" s="402">
        <f>IF(ISBLANK(Actuals!AH88),-8500*Escalation!$B$30,Actuals!AH88)</f>
        <v>-8843.4</v>
      </c>
      <c r="AH175" s="402">
        <f>IF(ISBLANK(Actuals!AI88),-8500*Escalation!$B$31,Actuals!AI88)</f>
        <v>-8843.4</v>
      </c>
      <c r="AI175" s="402">
        <f>IF(ISBLANK(Actuals!AJ88),-8500*Escalation!$B$32,Actuals!AJ88)</f>
        <v>-8843.4</v>
      </c>
      <c r="AJ175" s="402">
        <f>IF(ISBLANK(Actuals!AK88),-8500*Escalation!$B$33,Actuals!AK88)</f>
        <v>-8843.4</v>
      </c>
      <c r="AK175" s="402">
        <f>IF(ISBLANK(Actuals!AL88),-8500*Escalation!$B$34,Actuals!AL88)</f>
        <v>-8843.4</v>
      </c>
      <c r="AL175" s="402">
        <f>IF(ISBLANK(Actuals!AM88),-8500*Escalation!$B$35,Actuals!AM88)</f>
        <v>-8843.4</v>
      </c>
      <c r="AM175" s="402">
        <f>IF(ISBLANK(Actuals!AN88),-8500*Escalation!$B$36,Actuals!AN88)</f>
        <v>-8843.4</v>
      </c>
      <c r="AN175" s="402">
        <f>IF(ISBLANK(Actuals!AO88),-8500*Escalation!$B$37,Actuals!AO88)</f>
        <v>-8843.4</v>
      </c>
      <c r="AO175" s="402">
        <f>IF(ISBLANK(Actuals!AP88),-8500*Escalation!$B$38,Actuals!AP88)</f>
        <v>-9020.268</v>
      </c>
      <c r="AP175" s="402">
        <f>IF(ISBLANK(Actuals!AQ88),-8500*Escalation!$B$39,Actuals!AQ88)</f>
        <v>-9020.268</v>
      </c>
      <c r="AQ175" s="402">
        <f>IF(ISBLANK(Actuals!AR88),-8500*Escalation!$B$40,Actuals!AR88)</f>
        <v>-9020.268</v>
      </c>
      <c r="AR175" s="402">
        <f>IF(ISBLANK(Actuals!AS88),-8500*Escalation!$B$41,Actuals!AS88)</f>
        <v>-9020.268</v>
      </c>
      <c r="AS175" s="402">
        <f>IF(ISBLANK(Actuals!AT88),-8500*Escalation!$B$42,Actuals!AT88)</f>
        <v>-9020.268</v>
      </c>
      <c r="AT175" s="402">
        <f>IF(ISBLANK(Actuals!AU88),-8500*Escalation!$B$43,Actuals!AU88)</f>
        <v>-9020.268</v>
      </c>
      <c r="AU175" s="402">
        <f>IF(ISBLANK(Actuals!AV88),-8500*Escalation!$B$44,Actuals!AV88)</f>
        <v>-9020.268</v>
      </c>
      <c r="AV175" s="402">
        <f>IF(ISBLANK(Actuals!AW88),-8500*Escalation!$B$45,Actuals!AW88)</f>
        <v>-9020.268</v>
      </c>
      <c r="AW175" s="402">
        <f>IF(ISBLANK(Actuals!AX88),-8500*Escalation!$B$46,Actuals!AX88)</f>
        <v>-9020.268</v>
      </c>
      <c r="AX175" s="402">
        <f>IF(ISBLANK(Actuals!AY88),-8500*Escalation!$B$47,Actuals!AY88)</f>
        <v>-9020.268</v>
      </c>
      <c r="AY175" s="402">
        <f>IF(ISBLANK(Actuals!AZ88),-8500*Escalation!$B$48,Actuals!AZ88)</f>
        <v>-9020.268</v>
      </c>
      <c r="AZ175" s="402">
        <f>IF(ISBLANK(Actuals!BA88),-8500*Escalation!$B$49,Actuals!BA88)</f>
        <v>-9020.268</v>
      </c>
      <c r="BA175" s="402">
        <f>IF(ISBLANK(Actuals!BB88),-8500*Escalation!$B$50,Actuals!BB88)</f>
        <v>-9200.67336</v>
      </c>
      <c r="BB175" s="402">
        <f>IF(ISBLANK(Actuals!BC88),-8500*Escalation!$B$51,Actuals!BC88)</f>
        <v>-9200.67336</v>
      </c>
      <c r="BC175" s="402">
        <f>IF(ISBLANK(Actuals!BD88),-8500*Escalation!$B$52,Actuals!BD88)</f>
        <v>-9200.67336</v>
      </c>
      <c r="BD175" s="402">
        <f>IF(ISBLANK(Actuals!BE88),-8500*Escalation!$B$53,Actuals!BE88)</f>
        <v>-9200.67336</v>
      </c>
      <c r="BE175" s="402">
        <f>IF(ISBLANK(Actuals!BF88),-8500*Escalation!$B$54,Actuals!BF88)</f>
        <v>-9200.67336</v>
      </c>
      <c r="BF175" s="402">
        <f>IF(ISBLANK(Actuals!BG88),-8500*Escalation!$B$55,Actuals!BG88)</f>
        <v>-9200.67336</v>
      </c>
      <c r="BG175" s="402">
        <f>IF(ISBLANK(Actuals!BH88),-8500*Escalation!$B$56,Actuals!BH88)</f>
        <v>-9200.67336</v>
      </c>
      <c r="BH175" s="402">
        <f>IF(ISBLANK(Actuals!BI88),-8500*Escalation!$B$57,Actuals!BI88)</f>
        <v>-9200.67336</v>
      </c>
      <c r="BI175" s="402">
        <f>IF(ISBLANK(Actuals!BJ88),-8500*Escalation!$B$58,Actuals!BJ88)</f>
        <v>-9200.67336</v>
      </c>
      <c r="BJ175" s="402">
        <f>IF(ISBLANK(Actuals!BK88),-8500*Escalation!$B$59,Actuals!BK88)</f>
        <v>-9200.67336</v>
      </c>
      <c r="BK175" s="402">
        <f>IF(ISBLANK(Actuals!BL88),-8500*Escalation!$B$60,Actuals!BL88)</f>
        <v>-9200.67336</v>
      </c>
      <c r="BL175" s="402">
        <f>IF(ISBLANK(Actuals!BM88),-8500*Escalation!$B$61,Actuals!BM88)</f>
        <v>-9200.67336</v>
      </c>
      <c r="BM175" s="402">
        <f>IF(ISBLANK(Actuals!BN88),-8500*Escalation!$B$62,Actuals!BN88)</f>
        <v>-9384.6868272</v>
      </c>
      <c r="BN175" s="402">
        <f>IF(ISBLANK(Actuals!BO88),-8500*Escalation!$B$63,Actuals!BO88)</f>
        <v>-9384.6868272</v>
      </c>
      <c r="BO175" s="402">
        <f>IF(ISBLANK(Actuals!BP88),-8500*Escalation!$B$64,Actuals!BP88)</f>
        <v>-9384.6868272</v>
      </c>
      <c r="BP175" s="402">
        <f>IF(ISBLANK(Actuals!BQ88),-8500*Escalation!$B$65,Actuals!BQ88)</f>
        <v>-9384.6868272</v>
      </c>
      <c r="BQ175" s="402">
        <f>IF(ISBLANK(Actuals!BR88),-8500*Escalation!$B$66,Actuals!BR88)</f>
        <v>-9384.6868272</v>
      </c>
      <c r="BR175" s="402">
        <f>IF(ISBLANK(Actuals!BS88),-8500*Escalation!$B$67,Actuals!BS88)</f>
        <v>-9384.6868272</v>
      </c>
      <c r="BS175" s="402">
        <f>IF(ISBLANK(Actuals!BT88),-8500*Escalation!$B$68,Actuals!BT88)</f>
        <v>-9384.6868272</v>
      </c>
      <c r="BT175" s="402">
        <f>IF(ISBLANK(Actuals!BU88),-8500*Escalation!$B$69,Actuals!BU88)</f>
        <v>-9384.6868272</v>
      </c>
      <c r="BU175" s="402">
        <f>IF(ISBLANK(Actuals!BV88),-8500*Escalation!$B$70,Actuals!BV88)</f>
        <v>-9384.6868272</v>
      </c>
      <c r="BV175" s="402">
        <f>IF(ISBLANK(Actuals!BW88),-8500*Escalation!$B$71,Actuals!BW88)</f>
        <v>-9384.6868272</v>
      </c>
      <c r="BW175" s="402">
        <f>IF(ISBLANK(Actuals!BX88),-8500*Escalation!$B$72,Actuals!BX88)</f>
        <v>-9384.6868272</v>
      </c>
      <c r="BX175" s="402">
        <f>IF(ISBLANK(Actuals!BY88),-8500*Escalation!$B$73,Actuals!BY88)</f>
        <v>-9384.6868272</v>
      </c>
      <c r="BY175" s="402">
        <f>IF(ISBLANK(Actuals!BZ88),-8500*Escalation!$B$74,Actuals!BZ88)</f>
        <v>-9572.380563744</v>
      </c>
      <c r="BZ175" s="402">
        <f>IF(ISBLANK(Actuals!CA88),-8500*Escalation!$B$75,Actuals!CA88)</f>
        <v>-9572.380563744</v>
      </c>
      <c r="CA175" s="402">
        <f>IF(ISBLANK(Actuals!CB88),-8500*Escalation!$B$76,Actuals!CB88)</f>
        <v>-9572.380563744</v>
      </c>
      <c r="CB175" s="402">
        <f>IF(ISBLANK(Actuals!CC88),-8500*Escalation!$B$77,Actuals!CC88)</f>
        <v>-9572.380563744</v>
      </c>
      <c r="CC175" s="402">
        <f>IF(ISBLANK(Actuals!CD88),-8500*Escalation!$B$78,Actuals!CD88)</f>
        <v>-9572.380563744</v>
      </c>
      <c r="CD175" s="402">
        <f>IF(ISBLANK(Actuals!CE88),-8500*Escalation!$B$79,Actuals!CE88)</f>
        <v>-9572.380563744</v>
      </c>
      <c r="CE175" s="402">
        <f>IF(ISBLANK(Actuals!CF88),-8500*Escalation!$B$80,Actuals!CF88)</f>
        <v>-9572.380563744</v>
      </c>
      <c r="CF175" s="402">
        <f>IF(ISBLANK(Actuals!CG88),-8500*Escalation!$B$81,Actuals!CG88)</f>
        <v>-9572.380563744</v>
      </c>
      <c r="CG175" s="402">
        <f>IF(ISBLANK(Actuals!CH88),-8500*Escalation!$B$82,Actuals!CH88)</f>
        <v>-9572.380563744</v>
      </c>
      <c r="CH175" s="402">
        <f>IF(ISBLANK(Actuals!CI88),-8500*Escalation!$B$83,Actuals!CI88)</f>
        <v>-9572.380563744</v>
      </c>
      <c r="CI175" s="402">
        <f>IF(ISBLANK(Actuals!CJ88),-8500*Escalation!$B$84,Actuals!CJ88)</f>
        <v>-9572.380563744</v>
      </c>
      <c r="CJ175" s="402">
        <f>IF(ISBLANK(Actuals!CK88),-8500*Escalation!$B$85,Actuals!CK88)</f>
        <v>-9572.380563744</v>
      </c>
      <c r="CK175" s="402">
        <f>IF(ISBLANK(Actuals!CL88),-8500*Escalation!$B$86,Actuals!CL88)</f>
        <v>-9763.82817501888</v>
      </c>
      <c r="CL175" s="402">
        <f>IF(ISBLANK(Actuals!CM88),-8500*Escalation!$B$87,Actuals!CM88)</f>
        <v>-9763.82817501888</v>
      </c>
      <c r="CM175" s="402">
        <f>IF(ISBLANK(Actuals!CN88),-8500*Escalation!$B$88,Actuals!CN88)</f>
        <v>-9763.82817501888</v>
      </c>
      <c r="CN175" s="402">
        <f>IF(ISBLANK(Actuals!CO88),-8500*Escalation!$B$89,Actuals!CO88)</f>
        <v>-9763.82817501888</v>
      </c>
      <c r="CO175" s="402">
        <f>IF(ISBLANK(Actuals!CP88),-8500*Escalation!$B$90,Actuals!CP88)</f>
        <v>-9763.82817501888</v>
      </c>
      <c r="CP175" s="402">
        <f>IF(ISBLANK(Actuals!CQ88),-8500*Escalation!$B$91,Actuals!CQ88)</f>
        <v>-9763.82817501888</v>
      </c>
      <c r="CQ175" s="402">
        <f>IF(ISBLANK(Actuals!CR88),-8500*Escalation!$B$92,Actuals!CR88)</f>
        <v>-9763.82817501888</v>
      </c>
      <c r="CR175" s="402">
        <f>IF(ISBLANK(Actuals!CS88),-8500*Escalation!$B$93,Actuals!CS88)</f>
        <v>-9763.82817501888</v>
      </c>
      <c r="CS175" s="402">
        <f>IF(ISBLANK(Actuals!CT88),-8500*Escalation!$B$94,Actuals!CT88)</f>
        <v>-9763.82817501888</v>
      </c>
      <c r="CT175" s="402">
        <f>IF(ISBLANK(Actuals!CU88),-8500*Escalation!$B$95,Actuals!CU88)</f>
        <v>-9763.82817501888</v>
      </c>
      <c r="CU175" s="402">
        <f>IF(ISBLANK(Actuals!CV88),-8500*Escalation!$B$96,Actuals!CV88)</f>
        <v>-9763.82817501888</v>
      </c>
      <c r="CV175" s="402">
        <f>IF(ISBLANK(Actuals!CW88),-8500*Escalation!$B$97,Actuals!CW88)</f>
        <v>-9763.82817501888</v>
      </c>
      <c r="CW175" s="402">
        <f>IF(ISBLANK(Actuals!CX88),-8500*Escalation!$B$98,Actuals!CX88)</f>
        <v>-9959.10473851926</v>
      </c>
      <c r="CX175" s="402">
        <f>IF(ISBLANK(Actuals!CY88),-8500*Escalation!$B$99,Actuals!CY88)</f>
        <v>-9959.10473851926</v>
      </c>
      <c r="CY175" s="402">
        <f>IF(ISBLANK(Actuals!CZ88),-8500*Escalation!$B$100,Actuals!CZ88)</f>
        <v>-9959.10473851926</v>
      </c>
      <c r="CZ175" s="402">
        <f>IF(ISBLANK(Actuals!DA88),-8500*Escalation!$B$101,Actuals!DA88)</f>
        <v>-9959.10473851926</v>
      </c>
      <c r="DA175" s="402">
        <f>IF(ISBLANK(Actuals!DB88),-8500*Escalation!$B$102,Actuals!DB88)</f>
        <v>-9959.10473851926</v>
      </c>
      <c r="DB175" s="402">
        <f>IF(ISBLANK(Actuals!DC88),-8500*Escalation!$B$103,Actuals!DC88)</f>
        <v>-9959.10473851926</v>
      </c>
      <c r="DC175" s="402">
        <f>IF(ISBLANK(Actuals!DD88),-8500*Escalation!$B$104,Actuals!DD88)</f>
        <v>-9959.10473851926</v>
      </c>
      <c r="DD175" s="402">
        <f>IF(ISBLANK(Actuals!DE88),-8500*Escalation!$B$105,Actuals!DE88)</f>
        <v>-9959.10473851926</v>
      </c>
      <c r="DE175" s="402">
        <f>IF(ISBLANK(Actuals!DF88),-8500*Escalation!$B$106,Actuals!DF88)</f>
        <v>-9959.10473851926</v>
      </c>
    </row>
    <row r="176" ht="15" customFormat="1" customHeight="1" s="381">
      <c r="A176" s="415" t="inlineStr">
        <is>
          <t>5200-1000 Office Supplies and Expenses</t>
        </is>
      </c>
      <c r="B176" s="402">
        <f>IF(ISBLANK(Actuals!C89),0,Actuals!C89)</f>
        <v>-1722.9</v>
      </c>
      <c r="C176" s="402">
        <f>IF(ISBLANK(Actuals!D89),0,Actuals!D89)</f>
        <v>0</v>
      </c>
      <c r="D176" s="402">
        <f>IF(ISBLANK(Actuals!E89),0,Actuals!E89)</f>
        <v>-28.51</v>
      </c>
      <c r="E176" s="402">
        <f>IF(ISBLANK(Actuals!F89),-583.8*Escalation!$B$2,Actuals!F89)</f>
        <v>0</v>
      </c>
      <c r="F176" s="402">
        <f>IF(ISBLANK(Actuals!G89),-583.8*Escalation!$B$3,Actuals!G89)</f>
        <v>-212.12</v>
      </c>
      <c r="G176" s="402">
        <f>IF(ISBLANK(Actuals!H89),-583.8*Escalation!$B$4,Actuals!H89)</f>
        <v>-83.92</v>
      </c>
      <c r="H176" s="402">
        <f>IF(ISBLANK(Actuals!I89),-583.8*Escalation!$B$5,Actuals!I89)</f>
        <v>-583.8</v>
      </c>
      <c r="I176" s="402">
        <f>IF(ISBLANK(Actuals!J89),-583.8*Escalation!$B$6,Actuals!J89)</f>
        <v>-583.8</v>
      </c>
      <c r="J176" s="402">
        <f>IF(ISBLANK(Actuals!K89),-583.8*Escalation!$B$7,Actuals!K89)</f>
        <v>-583.8</v>
      </c>
      <c r="K176" s="402">
        <f>IF(ISBLANK(Actuals!L89),-583.8*Escalation!$B$8,Actuals!L89)</f>
        <v>-583.8</v>
      </c>
      <c r="L176" s="402">
        <f>IF(ISBLANK(Actuals!M89),-583.8*Escalation!$B$9,Actuals!M89)</f>
        <v>-583.8</v>
      </c>
      <c r="M176" s="402">
        <f>IF(ISBLANK(Actuals!N89),-583.8*Escalation!$B$10,Actuals!N89)</f>
        <v>-583.8</v>
      </c>
      <c r="N176" s="402">
        <f>IF(ISBLANK(Actuals!O89),-583.8*Escalation!$B$11,Actuals!O89)</f>
        <v>-583.8</v>
      </c>
      <c r="O176" s="402">
        <f>IF(ISBLANK(Actuals!P89),-583.8*Escalation!$B$12,Actuals!P89)</f>
        <v>-583.8</v>
      </c>
      <c r="P176" s="402">
        <f>IF(ISBLANK(Actuals!Q89),-583.8*Escalation!$B$13,Actuals!Q89)</f>
        <v>-583.8</v>
      </c>
      <c r="Q176" s="402">
        <f>IF(ISBLANK(Actuals!R89),-583.8*Escalation!$B$14,Actuals!R89)</f>
        <v>-595.476</v>
      </c>
      <c r="R176" s="402">
        <f>IF(ISBLANK(Actuals!S89),-583.8*Escalation!$B$15,Actuals!S89)</f>
        <v>-595.476</v>
      </c>
      <c r="S176" s="402">
        <f>IF(ISBLANK(Actuals!T89),-583.8*Escalation!$B$16,Actuals!T89)</f>
        <v>-595.476</v>
      </c>
      <c r="T176" s="402">
        <f>IF(ISBLANK(Actuals!U89),-583.8*Escalation!$B$17,Actuals!U89)</f>
        <v>-595.476</v>
      </c>
      <c r="U176" s="402">
        <f>IF(ISBLANK(Actuals!V89),-583.8*Escalation!$B$18,Actuals!V89)</f>
        <v>-595.476</v>
      </c>
      <c r="V176" s="402">
        <f>IF(ISBLANK(Actuals!W89),-583.8*Escalation!$B$19,Actuals!W89)</f>
        <v>-595.476</v>
      </c>
      <c r="W176" s="402">
        <f>IF(ISBLANK(Actuals!X89),-583.8*Escalation!$B$20,Actuals!X89)</f>
        <v>-595.476</v>
      </c>
      <c r="X176" s="402">
        <f>IF(ISBLANK(Actuals!Y89),-583.8*Escalation!$B$21,Actuals!Y89)</f>
        <v>-595.476</v>
      </c>
      <c r="Y176" s="402">
        <f>IF(ISBLANK(Actuals!Z89),-583.8*Escalation!$B$22,Actuals!Z89)</f>
        <v>-595.476</v>
      </c>
      <c r="Z176" s="402">
        <f>IF(ISBLANK(Actuals!AA89),-583.8*Escalation!$B$23,Actuals!AA89)</f>
        <v>-595.476</v>
      </c>
      <c r="AA176" s="402">
        <f>IF(ISBLANK(Actuals!AB89),-583.8*Escalation!$B$24,Actuals!AB89)</f>
        <v>-595.476</v>
      </c>
      <c r="AB176" s="402">
        <f>IF(ISBLANK(Actuals!AC89),-583.8*Escalation!$B$25,Actuals!AC89)</f>
        <v>-595.476</v>
      </c>
      <c r="AC176" s="402">
        <f>IF(ISBLANK(Actuals!AD89),-583.8*Escalation!$B$26,Actuals!AD89)</f>
        <v>-607.38552</v>
      </c>
      <c r="AD176" s="402">
        <f>IF(ISBLANK(Actuals!AE89),-583.8*Escalation!$B$27,Actuals!AE89)</f>
        <v>-607.38552</v>
      </c>
      <c r="AE176" s="402">
        <f>IF(ISBLANK(Actuals!AF89),-583.8*Escalation!$B$28,Actuals!AF89)</f>
        <v>-607.38552</v>
      </c>
      <c r="AF176" s="402">
        <f>IF(ISBLANK(Actuals!AG89),-583.8*Escalation!$B$29,Actuals!AG89)</f>
        <v>-607.38552</v>
      </c>
      <c r="AG176" s="402">
        <f>IF(ISBLANK(Actuals!AH89),-583.8*Escalation!$B$30,Actuals!AH89)</f>
        <v>-607.38552</v>
      </c>
      <c r="AH176" s="402">
        <f>IF(ISBLANK(Actuals!AI89),-583.8*Escalation!$B$31,Actuals!AI89)</f>
        <v>-607.38552</v>
      </c>
      <c r="AI176" s="402">
        <f>IF(ISBLANK(Actuals!AJ89),-583.8*Escalation!$B$32,Actuals!AJ89)</f>
        <v>-607.38552</v>
      </c>
      <c r="AJ176" s="402">
        <f>IF(ISBLANK(Actuals!AK89),-583.8*Escalation!$B$33,Actuals!AK89)</f>
        <v>-607.38552</v>
      </c>
      <c r="AK176" s="402">
        <f>IF(ISBLANK(Actuals!AL89),-583.8*Escalation!$B$34,Actuals!AL89)</f>
        <v>-607.38552</v>
      </c>
      <c r="AL176" s="402">
        <f>IF(ISBLANK(Actuals!AM89),-583.8*Escalation!$B$35,Actuals!AM89)</f>
        <v>-607.38552</v>
      </c>
      <c r="AM176" s="402">
        <f>IF(ISBLANK(Actuals!AN89),-583.8*Escalation!$B$36,Actuals!AN89)</f>
        <v>-607.38552</v>
      </c>
      <c r="AN176" s="402">
        <f>IF(ISBLANK(Actuals!AO89),-583.8*Escalation!$B$37,Actuals!AO89)</f>
        <v>-607.38552</v>
      </c>
      <c r="AO176" s="402">
        <f>IF(ISBLANK(Actuals!AP89),-583.8*Escalation!$B$38,Actuals!AP89)</f>
        <v>-619.5332304</v>
      </c>
      <c r="AP176" s="402">
        <f>IF(ISBLANK(Actuals!AQ89),-583.8*Escalation!$B$39,Actuals!AQ89)</f>
        <v>-619.5332304</v>
      </c>
      <c r="AQ176" s="402">
        <f>IF(ISBLANK(Actuals!AR89),-583.8*Escalation!$B$40,Actuals!AR89)</f>
        <v>-619.5332304</v>
      </c>
      <c r="AR176" s="402">
        <f>IF(ISBLANK(Actuals!AS89),-583.8*Escalation!$B$41,Actuals!AS89)</f>
        <v>-619.5332304</v>
      </c>
      <c r="AS176" s="402">
        <f>IF(ISBLANK(Actuals!AT89),-583.8*Escalation!$B$42,Actuals!AT89)</f>
        <v>-619.5332304</v>
      </c>
      <c r="AT176" s="402">
        <f>IF(ISBLANK(Actuals!AU89),-583.8*Escalation!$B$43,Actuals!AU89)</f>
        <v>-619.5332304</v>
      </c>
      <c r="AU176" s="402">
        <f>IF(ISBLANK(Actuals!AV89),-583.8*Escalation!$B$44,Actuals!AV89)</f>
        <v>-619.5332304</v>
      </c>
      <c r="AV176" s="402">
        <f>IF(ISBLANK(Actuals!AW89),-583.8*Escalation!$B$45,Actuals!AW89)</f>
        <v>-619.5332304</v>
      </c>
      <c r="AW176" s="402">
        <f>IF(ISBLANK(Actuals!AX89),-583.8*Escalation!$B$46,Actuals!AX89)</f>
        <v>-619.5332304</v>
      </c>
      <c r="AX176" s="402">
        <f>IF(ISBLANK(Actuals!AY89),-583.8*Escalation!$B$47,Actuals!AY89)</f>
        <v>-619.5332304</v>
      </c>
      <c r="AY176" s="402">
        <f>IF(ISBLANK(Actuals!AZ89),-583.8*Escalation!$B$48,Actuals!AZ89)</f>
        <v>-619.5332304</v>
      </c>
      <c r="AZ176" s="402">
        <f>IF(ISBLANK(Actuals!BA89),-583.8*Escalation!$B$49,Actuals!BA89)</f>
        <v>-619.5332304</v>
      </c>
      <c r="BA176" s="402">
        <f>IF(ISBLANK(Actuals!BB89),-583.8*Escalation!$B$50,Actuals!BB89)</f>
        <v>-631.923895008</v>
      </c>
      <c r="BB176" s="402">
        <f>IF(ISBLANK(Actuals!BC89),-583.8*Escalation!$B$51,Actuals!BC89)</f>
        <v>-631.923895008</v>
      </c>
      <c r="BC176" s="402">
        <f>IF(ISBLANK(Actuals!BD89),-583.8*Escalation!$B$52,Actuals!BD89)</f>
        <v>-631.923895008</v>
      </c>
      <c r="BD176" s="402">
        <f>IF(ISBLANK(Actuals!BE89),-583.8*Escalation!$B$53,Actuals!BE89)</f>
        <v>-631.923895008</v>
      </c>
      <c r="BE176" s="402">
        <f>IF(ISBLANK(Actuals!BF89),-583.8*Escalation!$B$54,Actuals!BF89)</f>
        <v>-631.923895008</v>
      </c>
      <c r="BF176" s="402">
        <f>IF(ISBLANK(Actuals!BG89),-583.8*Escalation!$B$55,Actuals!BG89)</f>
        <v>-631.923895008</v>
      </c>
      <c r="BG176" s="402">
        <f>IF(ISBLANK(Actuals!BH89),-583.8*Escalation!$B$56,Actuals!BH89)</f>
        <v>-631.923895008</v>
      </c>
      <c r="BH176" s="402">
        <f>IF(ISBLANK(Actuals!BI89),-583.8*Escalation!$B$57,Actuals!BI89)</f>
        <v>-631.923895008</v>
      </c>
      <c r="BI176" s="402">
        <f>IF(ISBLANK(Actuals!BJ89),-583.8*Escalation!$B$58,Actuals!BJ89)</f>
        <v>-631.923895008</v>
      </c>
      <c r="BJ176" s="402">
        <f>IF(ISBLANK(Actuals!BK89),-583.8*Escalation!$B$59,Actuals!BK89)</f>
        <v>-631.923895008</v>
      </c>
      <c r="BK176" s="402">
        <f>IF(ISBLANK(Actuals!BL89),-583.8*Escalation!$B$60,Actuals!BL89)</f>
        <v>-631.923895008</v>
      </c>
      <c r="BL176" s="402">
        <f>IF(ISBLANK(Actuals!BM89),-583.8*Escalation!$B$61,Actuals!BM89)</f>
        <v>-631.923895008</v>
      </c>
      <c r="BM176" s="402">
        <f>IF(ISBLANK(Actuals!BN89),-583.8*Escalation!$B$62,Actuals!BN89)</f>
        <v>-644.56237290816</v>
      </c>
      <c r="BN176" s="402">
        <f>IF(ISBLANK(Actuals!BO89),-583.8*Escalation!$B$63,Actuals!BO89)</f>
        <v>-644.56237290816</v>
      </c>
      <c r="BO176" s="402">
        <f>IF(ISBLANK(Actuals!BP89),-583.8*Escalation!$B$64,Actuals!BP89)</f>
        <v>-644.56237290816</v>
      </c>
      <c r="BP176" s="402">
        <f>IF(ISBLANK(Actuals!BQ89),-583.8*Escalation!$B$65,Actuals!BQ89)</f>
        <v>-644.56237290816</v>
      </c>
      <c r="BQ176" s="402">
        <f>IF(ISBLANK(Actuals!BR89),-583.8*Escalation!$B$66,Actuals!BR89)</f>
        <v>-644.56237290816</v>
      </c>
      <c r="BR176" s="402">
        <f>IF(ISBLANK(Actuals!BS89),-583.8*Escalation!$B$67,Actuals!BS89)</f>
        <v>-644.56237290816</v>
      </c>
      <c r="BS176" s="402">
        <f>IF(ISBLANK(Actuals!BT89),-583.8*Escalation!$B$68,Actuals!BT89)</f>
        <v>-644.56237290816</v>
      </c>
      <c r="BT176" s="402">
        <f>IF(ISBLANK(Actuals!BU89),-583.8*Escalation!$B$69,Actuals!BU89)</f>
        <v>-644.56237290816</v>
      </c>
      <c r="BU176" s="402">
        <f>IF(ISBLANK(Actuals!BV89),-583.8*Escalation!$B$70,Actuals!BV89)</f>
        <v>-644.56237290816</v>
      </c>
      <c r="BV176" s="402">
        <f>IF(ISBLANK(Actuals!BW89),-583.8*Escalation!$B$71,Actuals!BW89)</f>
        <v>-644.56237290816</v>
      </c>
      <c r="BW176" s="402">
        <f>IF(ISBLANK(Actuals!BX89),-583.8*Escalation!$B$72,Actuals!BX89)</f>
        <v>-644.56237290816</v>
      </c>
      <c r="BX176" s="402">
        <f>IF(ISBLANK(Actuals!BY89),-583.8*Escalation!$B$73,Actuals!BY89)</f>
        <v>-644.56237290816</v>
      </c>
      <c r="BY176" s="402">
        <f>IF(ISBLANK(Actuals!BZ89),-583.8*Escalation!$B$74,Actuals!BZ89)</f>
        <v>-657.453620366323</v>
      </c>
      <c r="BZ176" s="402">
        <f>IF(ISBLANK(Actuals!CA89),-583.8*Escalation!$B$75,Actuals!CA89)</f>
        <v>-657.453620366323</v>
      </c>
      <c r="CA176" s="402">
        <f>IF(ISBLANK(Actuals!CB89),-583.8*Escalation!$B$76,Actuals!CB89)</f>
        <v>-657.453620366323</v>
      </c>
      <c r="CB176" s="402">
        <f>IF(ISBLANK(Actuals!CC89),-583.8*Escalation!$B$77,Actuals!CC89)</f>
        <v>-657.453620366323</v>
      </c>
      <c r="CC176" s="402">
        <f>IF(ISBLANK(Actuals!CD89),-583.8*Escalation!$B$78,Actuals!CD89)</f>
        <v>-657.453620366323</v>
      </c>
      <c r="CD176" s="402">
        <f>IF(ISBLANK(Actuals!CE89),-583.8*Escalation!$B$79,Actuals!CE89)</f>
        <v>-657.453620366323</v>
      </c>
      <c r="CE176" s="402">
        <f>IF(ISBLANK(Actuals!CF89),-583.8*Escalation!$B$80,Actuals!CF89)</f>
        <v>-657.453620366323</v>
      </c>
      <c r="CF176" s="402">
        <f>IF(ISBLANK(Actuals!CG89),-583.8*Escalation!$B$81,Actuals!CG89)</f>
        <v>-657.453620366323</v>
      </c>
      <c r="CG176" s="402">
        <f>IF(ISBLANK(Actuals!CH89),-583.8*Escalation!$B$82,Actuals!CH89)</f>
        <v>-657.453620366323</v>
      </c>
      <c r="CH176" s="402">
        <f>IF(ISBLANK(Actuals!CI89),-583.8*Escalation!$B$83,Actuals!CI89)</f>
        <v>-657.453620366323</v>
      </c>
      <c r="CI176" s="402">
        <f>IF(ISBLANK(Actuals!CJ89),-583.8*Escalation!$B$84,Actuals!CJ89)</f>
        <v>-657.453620366323</v>
      </c>
      <c r="CJ176" s="402">
        <f>IF(ISBLANK(Actuals!CK89),-583.8*Escalation!$B$85,Actuals!CK89)</f>
        <v>-657.453620366323</v>
      </c>
      <c r="CK176" s="402">
        <f>IF(ISBLANK(Actuals!CL89),-583.8*Escalation!$B$86,Actuals!CL89)</f>
        <v>-670.60269277365</v>
      </c>
      <c r="CL176" s="402">
        <f>IF(ISBLANK(Actuals!CM89),-583.8*Escalation!$B$87,Actuals!CM89)</f>
        <v>-670.60269277365</v>
      </c>
      <c r="CM176" s="402">
        <f>IF(ISBLANK(Actuals!CN89),-583.8*Escalation!$B$88,Actuals!CN89)</f>
        <v>-670.60269277365</v>
      </c>
      <c r="CN176" s="402">
        <f>IF(ISBLANK(Actuals!CO89),-583.8*Escalation!$B$89,Actuals!CO89)</f>
        <v>-670.60269277365</v>
      </c>
      <c r="CO176" s="402">
        <f>IF(ISBLANK(Actuals!CP89),-583.8*Escalation!$B$90,Actuals!CP89)</f>
        <v>-670.60269277365</v>
      </c>
      <c r="CP176" s="402">
        <f>IF(ISBLANK(Actuals!CQ89),-583.8*Escalation!$B$91,Actuals!CQ89)</f>
        <v>-670.60269277365</v>
      </c>
      <c r="CQ176" s="402">
        <f>IF(ISBLANK(Actuals!CR89),-583.8*Escalation!$B$92,Actuals!CR89)</f>
        <v>-670.60269277365</v>
      </c>
      <c r="CR176" s="402">
        <f>IF(ISBLANK(Actuals!CS89),-583.8*Escalation!$B$93,Actuals!CS89)</f>
        <v>-670.60269277365</v>
      </c>
      <c r="CS176" s="402">
        <f>IF(ISBLANK(Actuals!CT89),-583.8*Escalation!$B$94,Actuals!CT89)</f>
        <v>-670.60269277365</v>
      </c>
      <c r="CT176" s="402">
        <f>IF(ISBLANK(Actuals!CU89),-583.8*Escalation!$B$95,Actuals!CU89)</f>
        <v>-670.60269277365</v>
      </c>
      <c r="CU176" s="402">
        <f>IF(ISBLANK(Actuals!CV89),-583.8*Escalation!$B$96,Actuals!CV89)</f>
        <v>-670.60269277365</v>
      </c>
      <c r="CV176" s="402">
        <f>IF(ISBLANK(Actuals!CW89),-583.8*Escalation!$B$97,Actuals!CW89)</f>
        <v>-670.60269277365</v>
      </c>
      <c r="CW176" s="402">
        <f>IF(ISBLANK(Actuals!CX89),-583.8*Escalation!$B$98,Actuals!CX89)</f>
        <v>-684.014746629123</v>
      </c>
      <c r="CX176" s="402">
        <f>IF(ISBLANK(Actuals!CY89),-583.8*Escalation!$B$99,Actuals!CY89)</f>
        <v>-684.014746629123</v>
      </c>
      <c r="CY176" s="402">
        <f>IF(ISBLANK(Actuals!CZ89),-583.8*Escalation!$B$100,Actuals!CZ89)</f>
        <v>-684.014746629123</v>
      </c>
      <c r="CZ176" s="402">
        <f>IF(ISBLANK(Actuals!DA89),-583.8*Escalation!$B$101,Actuals!DA89)</f>
        <v>-684.014746629123</v>
      </c>
      <c r="DA176" s="402">
        <f>IF(ISBLANK(Actuals!DB89),-583.8*Escalation!$B$102,Actuals!DB89)</f>
        <v>-684.014746629123</v>
      </c>
      <c r="DB176" s="402">
        <f>IF(ISBLANK(Actuals!DC89),-583.8*Escalation!$B$103,Actuals!DC89)</f>
        <v>-684.014746629123</v>
      </c>
      <c r="DC176" s="402">
        <f>IF(ISBLANK(Actuals!DD89),-583.8*Escalation!$B$104,Actuals!DD89)</f>
        <v>-684.014746629123</v>
      </c>
      <c r="DD176" s="402">
        <f>IF(ISBLANK(Actuals!DE89),-583.8*Escalation!$B$105,Actuals!DE89)</f>
        <v>-684.014746629123</v>
      </c>
      <c r="DE176" s="402">
        <f>IF(ISBLANK(Actuals!DF89),-583.8*Escalation!$B$106,Actuals!DF89)</f>
        <v>-684.014746629123</v>
      </c>
    </row>
    <row r="177" ht="15" customFormat="1" customHeight="1" s="381">
      <c r="A177" s="415" t="inlineStr">
        <is>
          <t>5200-1053 IT Software and Subscriptions</t>
        </is>
      </c>
      <c r="B177" s="402">
        <f>IF(ISBLANK(Actuals!C90),0,Actuals!C90)</f>
        <v>-246.85</v>
      </c>
      <c r="C177" s="402">
        <f>IF(ISBLANK(Actuals!D90),0,Actuals!D90)</f>
        <v>0</v>
      </c>
      <c r="D177" s="402">
        <f>IF(ISBLANK(Actuals!E90),0,Actuals!E90)</f>
        <v>-4246.73</v>
      </c>
      <c r="E177" s="402">
        <f>IF(ISBLANK(Actuals!F90),-1497.86*Escalation!$B$2,Actuals!F90)</f>
        <v>-3123.87</v>
      </c>
      <c r="F177" s="402">
        <f>IF(ISBLANK(Actuals!G90),-1497.86*Escalation!$B$3,Actuals!G90)</f>
        <v>-3184.88</v>
      </c>
      <c r="G177" s="402">
        <f>IF(ISBLANK(Actuals!H90),-1497.86*Escalation!$B$4,Actuals!H90)</f>
        <v>-4015.94</v>
      </c>
      <c r="H177" s="402">
        <f>IF(ISBLANK(Actuals!I90),-1497.86*Escalation!$B$5,Actuals!I90)</f>
        <v>-1497.86</v>
      </c>
      <c r="I177" s="402">
        <f>IF(ISBLANK(Actuals!J90),-1497.86*Escalation!$B$6,Actuals!J90)</f>
        <v>-1497.86</v>
      </c>
      <c r="J177" s="402">
        <f>IF(ISBLANK(Actuals!K90),-1497.86*Escalation!$B$7,Actuals!K90)</f>
        <v>-1497.86</v>
      </c>
      <c r="K177" s="402">
        <f>IF(ISBLANK(Actuals!L90),-1497.86*Escalation!$B$8,Actuals!L90)</f>
        <v>-1497.86</v>
      </c>
      <c r="L177" s="402">
        <f>IF(ISBLANK(Actuals!M90),-1497.86*Escalation!$B$9,Actuals!M90)</f>
        <v>-1497.86</v>
      </c>
      <c r="M177" s="402">
        <f>IF(ISBLANK(Actuals!N90),-1497.86*Escalation!$B$10,Actuals!N90)</f>
        <v>-1497.86</v>
      </c>
      <c r="N177" s="402">
        <f>IF(ISBLANK(Actuals!O90),-1497.86*Escalation!$B$11,Actuals!O90)</f>
        <v>-1497.86</v>
      </c>
      <c r="O177" s="402">
        <f>IF(ISBLANK(Actuals!P90),-1497.86*Escalation!$B$12,Actuals!P90)</f>
        <v>-1497.86</v>
      </c>
      <c r="P177" s="402">
        <f>IF(ISBLANK(Actuals!Q90),-1497.86*Escalation!$B$13,Actuals!Q90)</f>
        <v>-1497.86</v>
      </c>
      <c r="Q177" s="402">
        <f>IF(ISBLANK(Actuals!R90),-1497.86*Escalation!$B$14,Actuals!R90)</f>
        <v>-1527.8172</v>
      </c>
      <c r="R177" s="402">
        <f>IF(ISBLANK(Actuals!S90),-1497.86*Escalation!$B$15,Actuals!S90)</f>
        <v>-1527.8172</v>
      </c>
      <c r="S177" s="402">
        <f>IF(ISBLANK(Actuals!T90),-1497.86*Escalation!$B$16,Actuals!T90)</f>
        <v>-1527.8172</v>
      </c>
      <c r="T177" s="402">
        <f>IF(ISBLANK(Actuals!U90),-1497.86*Escalation!$B$17,Actuals!U90)</f>
        <v>-1527.8172</v>
      </c>
      <c r="U177" s="402">
        <f>IF(ISBLANK(Actuals!V90),-1497.86*Escalation!$B$18,Actuals!V90)</f>
        <v>-1527.8172</v>
      </c>
      <c r="V177" s="402">
        <f>IF(ISBLANK(Actuals!W90),-1497.86*Escalation!$B$19,Actuals!W90)</f>
        <v>-1527.8172</v>
      </c>
      <c r="W177" s="402">
        <f>IF(ISBLANK(Actuals!X90),-1497.86*Escalation!$B$20,Actuals!X90)</f>
        <v>-1527.8172</v>
      </c>
      <c r="X177" s="402">
        <f>IF(ISBLANK(Actuals!Y90),-1497.86*Escalation!$B$21,Actuals!Y90)</f>
        <v>-1527.8172</v>
      </c>
      <c r="Y177" s="402">
        <f>IF(ISBLANK(Actuals!Z90),-1497.86*Escalation!$B$22,Actuals!Z90)</f>
        <v>-1527.8172</v>
      </c>
      <c r="Z177" s="402">
        <f>IF(ISBLANK(Actuals!AA90),-1497.86*Escalation!$B$23,Actuals!AA90)</f>
        <v>-1527.8172</v>
      </c>
      <c r="AA177" s="402">
        <f>IF(ISBLANK(Actuals!AB90),-1497.86*Escalation!$B$24,Actuals!AB90)</f>
        <v>-1527.8172</v>
      </c>
      <c r="AB177" s="402">
        <f>IF(ISBLANK(Actuals!AC90),-1497.86*Escalation!$B$25,Actuals!AC90)</f>
        <v>-1527.8172</v>
      </c>
      <c r="AC177" s="402">
        <f>IF(ISBLANK(Actuals!AD90),-1497.86*Escalation!$B$26,Actuals!AD90)</f>
        <v>-1558.373544</v>
      </c>
      <c r="AD177" s="402">
        <f>IF(ISBLANK(Actuals!AE90),-1497.86*Escalation!$B$27,Actuals!AE90)</f>
        <v>-1558.373544</v>
      </c>
      <c r="AE177" s="402">
        <f>IF(ISBLANK(Actuals!AF90),-1497.86*Escalation!$B$28,Actuals!AF90)</f>
        <v>-1558.373544</v>
      </c>
      <c r="AF177" s="402">
        <f>IF(ISBLANK(Actuals!AG90),-1497.86*Escalation!$B$29,Actuals!AG90)</f>
        <v>-1558.373544</v>
      </c>
      <c r="AG177" s="402">
        <f>IF(ISBLANK(Actuals!AH90),-1497.86*Escalation!$B$30,Actuals!AH90)</f>
        <v>-1558.373544</v>
      </c>
      <c r="AH177" s="402">
        <f>IF(ISBLANK(Actuals!AI90),-1497.86*Escalation!$B$31,Actuals!AI90)</f>
        <v>-1558.373544</v>
      </c>
      <c r="AI177" s="402">
        <f>IF(ISBLANK(Actuals!AJ90),-1497.86*Escalation!$B$32,Actuals!AJ90)</f>
        <v>-1558.373544</v>
      </c>
      <c r="AJ177" s="402">
        <f>IF(ISBLANK(Actuals!AK90),-1497.86*Escalation!$B$33,Actuals!AK90)</f>
        <v>-1558.373544</v>
      </c>
      <c r="AK177" s="402">
        <f>IF(ISBLANK(Actuals!AL90),-1497.86*Escalation!$B$34,Actuals!AL90)</f>
        <v>-1558.373544</v>
      </c>
      <c r="AL177" s="402">
        <f>IF(ISBLANK(Actuals!AM90),-1497.86*Escalation!$B$35,Actuals!AM90)</f>
        <v>-1558.373544</v>
      </c>
      <c r="AM177" s="402">
        <f>IF(ISBLANK(Actuals!AN90),-1497.86*Escalation!$B$36,Actuals!AN90)</f>
        <v>-1558.373544</v>
      </c>
      <c r="AN177" s="402">
        <f>IF(ISBLANK(Actuals!AO90),-1497.86*Escalation!$B$37,Actuals!AO90)</f>
        <v>-1558.373544</v>
      </c>
      <c r="AO177" s="402">
        <f>IF(ISBLANK(Actuals!AP90),-1497.86*Escalation!$B$38,Actuals!AP90)</f>
        <v>-1589.54101488</v>
      </c>
      <c r="AP177" s="402">
        <f>IF(ISBLANK(Actuals!AQ90),-1497.86*Escalation!$B$39,Actuals!AQ90)</f>
        <v>-1589.54101488</v>
      </c>
      <c r="AQ177" s="402">
        <f>IF(ISBLANK(Actuals!AR90),-1497.86*Escalation!$B$40,Actuals!AR90)</f>
        <v>-1589.54101488</v>
      </c>
      <c r="AR177" s="402">
        <f>IF(ISBLANK(Actuals!AS90),-1497.86*Escalation!$B$41,Actuals!AS90)</f>
        <v>-1589.54101488</v>
      </c>
      <c r="AS177" s="402">
        <f>IF(ISBLANK(Actuals!AT90),-1497.86*Escalation!$B$42,Actuals!AT90)</f>
        <v>-1589.54101488</v>
      </c>
      <c r="AT177" s="402">
        <f>IF(ISBLANK(Actuals!AU90),-1497.86*Escalation!$B$43,Actuals!AU90)</f>
        <v>-1589.54101488</v>
      </c>
      <c r="AU177" s="402">
        <f>IF(ISBLANK(Actuals!AV90),-1497.86*Escalation!$B$44,Actuals!AV90)</f>
        <v>-1589.54101488</v>
      </c>
      <c r="AV177" s="402">
        <f>IF(ISBLANK(Actuals!AW90),-1497.86*Escalation!$B$45,Actuals!AW90)</f>
        <v>-1589.54101488</v>
      </c>
      <c r="AW177" s="402">
        <f>IF(ISBLANK(Actuals!AX90),-1497.86*Escalation!$B$46,Actuals!AX90)</f>
        <v>-1589.54101488</v>
      </c>
      <c r="AX177" s="402">
        <f>IF(ISBLANK(Actuals!AY90),-1497.86*Escalation!$B$47,Actuals!AY90)</f>
        <v>-1589.54101488</v>
      </c>
      <c r="AY177" s="402">
        <f>IF(ISBLANK(Actuals!AZ90),-1497.86*Escalation!$B$48,Actuals!AZ90)</f>
        <v>-1589.54101488</v>
      </c>
      <c r="AZ177" s="402">
        <f>IF(ISBLANK(Actuals!BA90),-1497.86*Escalation!$B$49,Actuals!BA90)</f>
        <v>-1589.54101488</v>
      </c>
      <c r="BA177" s="402">
        <f>IF(ISBLANK(Actuals!BB90),-1497.86*Escalation!$B$50,Actuals!BB90)</f>
        <v>-1621.3318351776</v>
      </c>
      <c r="BB177" s="402">
        <f>IF(ISBLANK(Actuals!BC90),-1497.86*Escalation!$B$51,Actuals!BC90)</f>
        <v>-1621.3318351776</v>
      </c>
      <c r="BC177" s="402">
        <f>IF(ISBLANK(Actuals!BD90),-1497.86*Escalation!$B$52,Actuals!BD90)</f>
        <v>-1621.3318351776</v>
      </c>
      <c r="BD177" s="402">
        <f>IF(ISBLANK(Actuals!BE90),-1497.86*Escalation!$B$53,Actuals!BE90)</f>
        <v>-1621.3318351776</v>
      </c>
      <c r="BE177" s="402">
        <f>IF(ISBLANK(Actuals!BF90),-1497.86*Escalation!$B$54,Actuals!BF90)</f>
        <v>-1621.3318351776</v>
      </c>
      <c r="BF177" s="402">
        <f>IF(ISBLANK(Actuals!BG90),-1497.86*Escalation!$B$55,Actuals!BG90)</f>
        <v>-1621.3318351776</v>
      </c>
      <c r="BG177" s="402">
        <f>IF(ISBLANK(Actuals!BH90),-1497.86*Escalation!$B$56,Actuals!BH90)</f>
        <v>-1621.3318351776</v>
      </c>
      <c r="BH177" s="402">
        <f>IF(ISBLANK(Actuals!BI90),-1497.86*Escalation!$B$57,Actuals!BI90)</f>
        <v>-1621.3318351776</v>
      </c>
      <c r="BI177" s="402">
        <f>IF(ISBLANK(Actuals!BJ90),-1497.86*Escalation!$B$58,Actuals!BJ90)</f>
        <v>-1621.3318351776</v>
      </c>
      <c r="BJ177" s="402">
        <f>IF(ISBLANK(Actuals!BK90),-1497.86*Escalation!$B$59,Actuals!BK90)</f>
        <v>-1621.3318351776</v>
      </c>
      <c r="BK177" s="402">
        <f>IF(ISBLANK(Actuals!BL90),-1497.86*Escalation!$B$60,Actuals!BL90)</f>
        <v>-1621.3318351776</v>
      </c>
      <c r="BL177" s="402">
        <f>IF(ISBLANK(Actuals!BM90),-1497.86*Escalation!$B$61,Actuals!BM90)</f>
        <v>-1621.3318351776</v>
      </c>
      <c r="BM177" s="402">
        <f>IF(ISBLANK(Actuals!BN90),-1497.86*Escalation!$B$62,Actuals!BN90)</f>
        <v>-1653.75847188115</v>
      </c>
      <c r="BN177" s="402">
        <f>IF(ISBLANK(Actuals!BO90),-1497.86*Escalation!$B$63,Actuals!BO90)</f>
        <v>-1653.75847188115</v>
      </c>
      <c r="BO177" s="402">
        <f>IF(ISBLANK(Actuals!BP90),-1497.86*Escalation!$B$64,Actuals!BP90)</f>
        <v>-1653.75847188115</v>
      </c>
      <c r="BP177" s="402">
        <f>IF(ISBLANK(Actuals!BQ90),-1497.86*Escalation!$B$65,Actuals!BQ90)</f>
        <v>-1653.75847188115</v>
      </c>
      <c r="BQ177" s="402">
        <f>IF(ISBLANK(Actuals!BR90),-1497.86*Escalation!$B$66,Actuals!BR90)</f>
        <v>-1653.75847188115</v>
      </c>
      <c r="BR177" s="402">
        <f>IF(ISBLANK(Actuals!BS90),-1497.86*Escalation!$B$67,Actuals!BS90)</f>
        <v>-1653.75847188115</v>
      </c>
      <c r="BS177" s="402">
        <f>IF(ISBLANK(Actuals!BT90),-1497.86*Escalation!$B$68,Actuals!BT90)</f>
        <v>-1653.75847188115</v>
      </c>
      <c r="BT177" s="402">
        <f>IF(ISBLANK(Actuals!BU90),-1497.86*Escalation!$B$69,Actuals!BU90)</f>
        <v>-1653.75847188115</v>
      </c>
      <c r="BU177" s="402">
        <f>IF(ISBLANK(Actuals!BV90),-1497.86*Escalation!$B$70,Actuals!BV90)</f>
        <v>-1653.75847188115</v>
      </c>
      <c r="BV177" s="402">
        <f>IF(ISBLANK(Actuals!BW90),-1497.86*Escalation!$B$71,Actuals!BW90)</f>
        <v>-1653.75847188115</v>
      </c>
      <c r="BW177" s="402">
        <f>IF(ISBLANK(Actuals!BX90),-1497.86*Escalation!$B$72,Actuals!BX90)</f>
        <v>-1653.75847188115</v>
      </c>
      <c r="BX177" s="402">
        <f>IF(ISBLANK(Actuals!BY90),-1497.86*Escalation!$B$73,Actuals!BY90)</f>
        <v>-1653.75847188115</v>
      </c>
      <c r="BY177" s="402">
        <f>IF(ISBLANK(Actuals!BZ90),-1497.86*Escalation!$B$74,Actuals!BZ90)</f>
        <v>-1686.83364131878</v>
      </c>
      <c r="BZ177" s="402">
        <f>IF(ISBLANK(Actuals!CA90),-1497.86*Escalation!$B$75,Actuals!CA90)</f>
        <v>-1686.83364131878</v>
      </c>
      <c r="CA177" s="402">
        <f>IF(ISBLANK(Actuals!CB90),-1497.86*Escalation!$B$76,Actuals!CB90)</f>
        <v>-1686.83364131878</v>
      </c>
      <c r="CB177" s="402">
        <f>IF(ISBLANK(Actuals!CC90),-1497.86*Escalation!$B$77,Actuals!CC90)</f>
        <v>-1686.83364131878</v>
      </c>
      <c r="CC177" s="402">
        <f>IF(ISBLANK(Actuals!CD90),-1497.86*Escalation!$B$78,Actuals!CD90)</f>
        <v>-1686.83364131878</v>
      </c>
      <c r="CD177" s="402">
        <f>IF(ISBLANK(Actuals!CE90),-1497.86*Escalation!$B$79,Actuals!CE90)</f>
        <v>-1686.83364131878</v>
      </c>
      <c r="CE177" s="402">
        <f>IF(ISBLANK(Actuals!CF90),-1497.86*Escalation!$B$80,Actuals!CF90)</f>
        <v>-1686.83364131878</v>
      </c>
      <c r="CF177" s="402">
        <f>IF(ISBLANK(Actuals!CG90),-1497.86*Escalation!$B$81,Actuals!CG90)</f>
        <v>-1686.83364131878</v>
      </c>
      <c r="CG177" s="402">
        <f>IF(ISBLANK(Actuals!CH90),-1497.86*Escalation!$B$82,Actuals!CH90)</f>
        <v>-1686.83364131878</v>
      </c>
      <c r="CH177" s="402">
        <f>IF(ISBLANK(Actuals!CI90),-1497.86*Escalation!$B$83,Actuals!CI90)</f>
        <v>-1686.83364131878</v>
      </c>
      <c r="CI177" s="402">
        <f>IF(ISBLANK(Actuals!CJ90),-1497.86*Escalation!$B$84,Actuals!CJ90)</f>
        <v>-1686.83364131878</v>
      </c>
      <c r="CJ177" s="402">
        <f>IF(ISBLANK(Actuals!CK90),-1497.86*Escalation!$B$85,Actuals!CK90)</f>
        <v>-1686.83364131878</v>
      </c>
      <c r="CK177" s="402">
        <f>IF(ISBLANK(Actuals!CL90),-1497.86*Escalation!$B$86,Actuals!CL90)</f>
        <v>-1720.57031414515</v>
      </c>
      <c r="CL177" s="402">
        <f>IF(ISBLANK(Actuals!CM90),-1497.86*Escalation!$B$87,Actuals!CM90)</f>
        <v>-1720.57031414515</v>
      </c>
      <c r="CM177" s="402">
        <f>IF(ISBLANK(Actuals!CN90),-1497.86*Escalation!$B$88,Actuals!CN90)</f>
        <v>-1720.57031414515</v>
      </c>
      <c r="CN177" s="402">
        <f>IF(ISBLANK(Actuals!CO90),-1497.86*Escalation!$B$89,Actuals!CO90)</f>
        <v>-1720.57031414515</v>
      </c>
      <c r="CO177" s="402">
        <f>IF(ISBLANK(Actuals!CP90),-1497.86*Escalation!$B$90,Actuals!CP90)</f>
        <v>-1720.57031414515</v>
      </c>
      <c r="CP177" s="402">
        <f>IF(ISBLANK(Actuals!CQ90),-1497.86*Escalation!$B$91,Actuals!CQ90)</f>
        <v>-1720.57031414515</v>
      </c>
      <c r="CQ177" s="402">
        <f>IF(ISBLANK(Actuals!CR90),-1497.86*Escalation!$B$92,Actuals!CR90)</f>
        <v>-1720.57031414515</v>
      </c>
      <c r="CR177" s="402">
        <f>IF(ISBLANK(Actuals!CS90),-1497.86*Escalation!$B$93,Actuals!CS90)</f>
        <v>-1720.57031414515</v>
      </c>
      <c r="CS177" s="402">
        <f>IF(ISBLANK(Actuals!CT90),-1497.86*Escalation!$B$94,Actuals!CT90)</f>
        <v>-1720.57031414515</v>
      </c>
      <c r="CT177" s="402">
        <f>IF(ISBLANK(Actuals!CU90),-1497.86*Escalation!$B$95,Actuals!CU90)</f>
        <v>-1720.57031414515</v>
      </c>
      <c r="CU177" s="402">
        <f>IF(ISBLANK(Actuals!CV90),-1497.86*Escalation!$B$96,Actuals!CV90)</f>
        <v>-1720.57031414515</v>
      </c>
      <c r="CV177" s="402">
        <f>IF(ISBLANK(Actuals!CW90),-1497.86*Escalation!$B$97,Actuals!CW90)</f>
        <v>-1720.57031414515</v>
      </c>
      <c r="CW177" s="402">
        <f>IF(ISBLANK(Actuals!CX90),-1497.86*Escalation!$B$98,Actuals!CX90)</f>
        <v>-1754.98172042805</v>
      </c>
      <c r="CX177" s="402">
        <f>IF(ISBLANK(Actuals!CY90),-1497.86*Escalation!$B$99,Actuals!CY90)</f>
        <v>-1754.98172042805</v>
      </c>
      <c r="CY177" s="402">
        <f>IF(ISBLANK(Actuals!CZ90),-1497.86*Escalation!$B$100,Actuals!CZ90)</f>
        <v>-1754.98172042805</v>
      </c>
      <c r="CZ177" s="402">
        <f>IF(ISBLANK(Actuals!DA90),-1497.86*Escalation!$B$101,Actuals!DA90)</f>
        <v>-1754.98172042805</v>
      </c>
      <c r="DA177" s="402">
        <f>IF(ISBLANK(Actuals!DB90),-1497.86*Escalation!$B$102,Actuals!DB90)</f>
        <v>-1754.98172042805</v>
      </c>
      <c r="DB177" s="402">
        <f>IF(ISBLANK(Actuals!DC90),-1497.86*Escalation!$B$103,Actuals!DC90)</f>
        <v>-1754.98172042805</v>
      </c>
      <c r="DC177" s="402">
        <f>IF(ISBLANK(Actuals!DD90),-1497.86*Escalation!$B$104,Actuals!DD90)</f>
        <v>-1754.98172042805</v>
      </c>
      <c r="DD177" s="402">
        <f>IF(ISBLANK(Actuals!DE90),-1497.86*Escalation!$B$105,Actuals!DE90)</f>
        <v>-1754.98172042805</v>
      </c>
      <c r="DE177" s="402">
        <f>IF(ISBLANK(Actuals!DF90),-1497.86*Escalation!$B$106,Actuals!DF90)</f>
        <v>-1754.98172042805</v>
      </c>
    </row>
    <row r="178" ht="15" customFormat="1" customHeight="1" s="381">
      <c r="A178" s="415" t="inlineStr">
        <is>
          <t>5200-1060 Website Design</t>
        </is>
      </c>
      <c r="B178" s="402">
        <f>IF(ISBLANK(Actuals!C91),0,Actuals!C91)</f>
        <v>0</v>
      </c>
      <c r="C178" s="402">
        <f>IF(ISBLANK(Actuals!D91),0,Actuals!D91)</f>
        <v>0</v>
      </c>
      <c r="D178" s="402">
        <f>IF(ISBLANK(Actuals!E91),0,Actuals!E91)</f>
        <v>-870</v>
      </c>
      <c r="E178" s="402">
        <f>IF(ISBLANK(Actuals!F91),-290*Escalation!$B$2,Actuals!F91)</f>
        <v>0</v>
      </c>
      <c r="F178" s="402">
        <f>IF(ISBLANK(Actuals!G91),-290*Escalation!$B$3,Actuals!G91)</f>
        <v>0</v>
      </c>
      <c r="G178" s="402">
        <f>IF(ISBLANK(Actuals!H91),-290*Escalation!$B$4,Actuals!H91)</f>
        <v>0</v>
      </c>
      <c r="H178" s="402">
        <f>IF(ISBLANK(Actuals!I91),-290*Escalation!$B$5,Actuals!I91)</f>
        <v>-290</v>
      </c>
      <c r="I178" s="402">
        <f>IF(ISBLANK(Actuals!J91),-290*Escalation!$B$6,Actuals!J91)</f>
        <v>-290</v>
      </c>
      <c r="J178" s="402">
        <f>IF(ISBLANK(Actuals!K91),-290*Escalation!$B$7,Actuals!K91)</f>
        <v>-290</v>
      </c>
      <c r="K178" s="402">
        <f>IF(ISBLANK(Actuals!L91),-290*Escalation!$B$8,Actuals!L91)</f>
        <v>-290</v>
      </c>
      <c r="L178" s="402">
        <f>IF(ISBLANK(Actuals!M91),-290*Escalation!$B$9,Actuals!M91)</f>
        <v>-290</v>
      </c>
      <c r="M178" s="402">
        <f>IF(ISBLANK(Actuals!N91),-290*Escalation!$B$10,Actuals!N91)</f>
        <v>-290</v>
      </c>
      <c r="N178" s="402">
        <f>IF(ISBLANK(Actuals!O91),-290*Escalation!$B$11,Actuals!O91)</f>
        <v>-290</v>
      </c>
      <c r="O178" s="402">
        <f>IF(ISBLANK(Actuals!P91),-290*Escalation!$B$12,Actuals!P91)</f>
        <v>-290</v>
      </c>
      <c r="P178" s="402">
        <f>IF(ISBLANK(Actuals!Q91),-290*Escalation!$B$13,Actuals!Q91)</f>
        <v>-290</v>
      </c>
      <c r="Q178" s="402">
        <f>IF(ISBLANK(Actuals!R91),-290*Escalation!$B$14,Actuals!R91)</f>
        <v>-295.8</v>
      </c>
      <c r="R178" s="402">
        <f>IF(ISBLANK(Actuals!S91),-290*Escalation!$B$15,Actuals!S91)</f>
        <v>-295.8</v>
      </c>
      <c r="S178" s="402">
        <f>IF(ISBLANK(Actuals!T91),-290*Escalation!$B$16,Actuals!T91)</f>
        <v>-295.8</v>
      </c>
      <c r="T178" s="402">
        <f>IF(ISBLANK(Actuals!U91),-290*Escalation!$B$17,Actuals!U91)</f>
        <v>-295.8</v>
      </c>
      <c r="U178" s="402">
        <f>IF(ISBLANK(Actuals!V91),-290*Escalation!$B$18,Actuals!V91)</f>
        <v>-295.8</v>
      </c>
      <c r="V178" s="402">
        <f>IF(ISBLANK(Actuals!W91),-290*Escalation!$B$19,Actuals!W91)</f>
        <v>-295.8</v>
      </c>
      <c r="W178" s="402">
        <f>IF(ISBLANK(Actuals!X91),-290*Escalation!$B$20,Actuals!X91)</f>
        <v>-295.8</v>
      </c>
      <c r="X178" s="402">
        <f>IF(ISBLANK(Actuals!Y91),-290*Escalation!$B$21,Actuals!Y91)</f>
        <v>-295.8</v>
      </c>
      <c r="Y178" s="402">
        <f>IF(ISBLANK(Actuals!Z91),-290*Escalation!$B$22,Actuals!Z91)</f>
        <v>-295.8</v>
      </c>
      <c r="Z178" s="402">
        <f>IF(ISBLANK(Actuals!AA91),-290*Escalation!$B$23,Actuals!AA91)</f>
        <v>-295.8</v>
      </c>
      <c r="AA178" s="402">
        <f>IF(ISBLANK(Actuals!AB91),-290*Escalation!$B$24,Actuals!AB91)</f>
        <v>-295.8</v>
      </c>
      <c r="AB178" s="402">
        <f>IF(ISBLANK(Actuals!AC91),-290*Escalation!$B$25,Actuals!AC91)</f>
        <v>-295.8</v>
      </c>
      <c r="AC178" s="402">
        <f>IF(ISBLANK(Actuals!AD91),-290*Escalation!$B$26,Actuals!AD91)</f>
        <v>-301.716</v>
      </c>
      <c r="AD178" s="402">
        <f>IF(ISBLANK(Actuals!AE91),-290*Escalation!$B$27,Actuals!AE91)</f>
        <v>-301.716</v>
      </c>
      <c r="AE178" s="402">
        <f>IF(ISBLANK(Actuals!AF91),-290*Escalation!$B$28,Actuals!AF91)</f>
        <v>-301.716</v>
      </c>
      <c r="AF178" s="402">
        <f>IF(ISBLANK(Actuals!AG91),-290*Escalation!$B$29,Actuals!AG91)</f>
        <v>-301.716</v>
      </c>
      <c r="AG178" s="402">
        <f>IF(ISBLANK(Actuals!AH91),-290*Escalation!$B$30,Actuals!AH91)</f>
        <v>-301.716</v>
      </c>
      <c r="AH178" s="402">
        <f>IF(ISBLANK(Actuals!AI91),-290*Escalation!$B$31,Actuals!AI91)</f>
        <v>-301.716</v>
      </c>
      <c r="AI178" s="402">
        <f>IF(ISBLANK(Actuals!AJ91),-290*Escalation!$B$32,Actuals!AJ91)</f>
        <v>-301.716</v>
      </c>
      <c r="AJ178" s="402">
        <f>IF(ISBLANK(Actuals!AK91),-290*Escalation!$B$33,Actuals!AK91)</f>
        <v>-301.716</v>
      </c>
      <c r="AK178" s="402">
        <f>IF(ISBLANK(Actuals!AL91),-290*Escalation!$B$34,Actuals!AL91)</f>
        <v>-301.716</v>
      </c>
      <c r="AL178" s="402">
        <f>IF(ISBLANK(Actuals!AM91),-290*Escalation!$B$35,Actuals!AM91)</f>
        <v>-301.716</v>
      </c>
      <c r="AM178" s="402">
        <f>IF(ISBLANK(Actuals!AN91),-290*Escalation!$B$36,Actuals!AN91)</f>
        <v>-301.716</v>
      </c>
      <c r="AN178" s="402">
        <f>IF(ISBLANK(Actuals!AO91),-290*Escalation!$B$37,Actuals!AO91)</f>
        <v>-301.716</v>
      </c>
      <c r="AO178" s="402">
        <f>IF(ISBLANK(Actuals!AP91),-290*Escalation!$B$38,Actuals!AP91)</f>
        <v>-307.75032</v>
      </c>
      <c r="AP178" s="402">
        <f>IF(ISBLANK(Actuals!AQ91),-290*Escalation!$B$39,Actuals!AQ91)</f>
        <v>-307.75032</v>
      </c>
      <c r="AQ178" s="402">
        <f>IF(ISBLANK(Actuals!AR91),-290*Escalation!$B$40,Actuals!AR91)</f>
        <v>-307.75032</v>
      </c>
      <c r="AR178" s="402">
        <f>IF(ISBLANK(Actuals!AS91),-290*Escalation!$B$41,Actuals!AS91)</f>
        <v>-307.75032</v>
      </c>
      <c r="AS178" s="402">
        <f>IF(ISBLANK(Actuals!AT91),-290*Escalation!$B$42,Actuals!AT91)</f>
        <v>-307.75032</v>
      </c>
      <c r="AT178" s="402">
        <f>IF(ISBLANK(Actuals!AU91),-290*Escalation!$B$43,Actuals!AU91)</f>
        <v>-307.75032</v>
      </c>
      <c r="AU178" s="402">
        <f>IF(ISBLANK(Actuals!AV91),-290*Escalation!$B$44,Actuals!AV91)</f>
        <v>-307.75032</v>
      </c>
      <c r="AV178" s="402">
        <f>IF(ISBLANK(Actuals!AW91),-290*Escalation!$B$45,Actuals!AW91)</f>
        <v>-307.75032</v>
      </c>
      <c r="AW178" s="402">
        <f>IF(ISBLANK(Actuals!AX91),-290*Escalation!$B$46,Actuals!AX91)</f>
        <v>-307.75032</v>
      </c>
      <c r="AX178" s="402">
        <f>IF(ISBLANK(Actuals!AY91),-290*Escalation!$B$47,Actuals!AY91)</f>
        <v>-307.75032</v>
      </c>
      <c r="AY178" s="402">
        <f>IF(ISBLANK(Actuals!AZ91),-290*Escalation!$B$48,Actuals!AZ91)</f>
        <v>-307.75032</v>
      </c>
      <c r="AZ178" s="402">
        <f>IF(ISBLANK(Actuals!BA91),-290*Escalation!$B$49,Actuals!BA91)</f>
        <v>-307.75032</v>
      </c>
      <c r="BA178" s="402">
        <f>IF(ISBLANK(Actuals!BB91),-290*Escalation!$B$50,Actuals!BB91)</f>
        <v>-313.9053264</v>
      </c>
      <c r="BB178" s="402">
        <f>IF(ISBLANK(Actuals!BC91),-290*Escalation!$B$51,Actuals!BC91)</f>
        <v>-313.9053264</v>
      </c>
      <c r="BC178" s="402">
        <f>IF(ISBLANK(Actuals!BD91),-290*Escalation!$B$52,Actuals!BD91)</f>
        <v>-313.9053264</v>
      </c>
      <c r="BD178" s="402">
        <f>IF(ISBLANK(Actuals!BE91),-290*Escalation!$B$53,Actuals!BE91)</f>
        <v>-313.9053264</v>
      </c>
      <c r="BE178" s="402">
        <f>IF(ISBLANK(Actuals!BF91),-290*Escalation!$B$54,Actuals!BF91)</f>
        <v>-313.9053264</v>
      </c>
      <c r="BF178" s="402">
        <f>IF(ISBLANK(Actuals!BG91),-290*Escalation!$B$55,Actuals!BG91)</f>
        <v>-313.9053264</v>
      </c>
      <c r="BG178" s="402">
        <f>IF(ISBLANK(Actuals!BH91),-290*Escalation!$B$56,Actuals!BH91)</f>
        <v>-313.9053264</v>
      </c>
      <c r="BH178" s="402">
        <f>IF(ISBLANK(Actuals!BI91),-290*Escalation!$B$57,Actuals!BI91)</f>
        <v>-313.9053264</v>
      </c>
      <c r="BI178" s="402">
        <f>IF(ISBLANK(Actuals!BJ91),-290*Escalation!$B$58,Actuals!BJ91)</f>
        <v>-313.9053264</v>
      </c>
      <c r="BJ178" s="402">
        <f>IF(ISBLANK(Actuals!BK91),-290*Escalation!$B$59,Actuals!BK91)</f>
        <v>-313.9053264</v>
      </c>
      <c r="BK178" s="402">
        <f>IF(ISBLANK(Actuals!BL91),-290*Escalation!$B$60,Actuals!BL91)</f>
        <v>-313.9053264</v>
      </c>
      <c r="BL178" s="402">
        <f>IF(ISBLANK(Actuals!BM91),-290*Escalation!$B$61,Actuals!BM91)</f>
        <v>-313.9053264</v>
      </c>
      <c r="BM178" s="402">
        <f>IF(ISBLANK(Actuals!BN91),-290*Escalation!$B$62,Actuals!BN91)</f>
        <v>-320.183432928</v>
      </c>
      <c r="BN178" s="402">
        <f>IF(ISBLANK(Actuals!BO91),-290*Escalation!$B$63,Actuals!BO91)</f>
        <v>-320.183432928</v>
      </c>
      <c r="BO178" s="402">
        <f>IF(ISBLANK(Actuals!BP91),-290*Escalation!$B$64,Actuals!BP91)</f>
        <v>-320.183432928</v>
      </c>
      <c r="BP178" s="402">
        <f>IF(ISBLANK(Actuals!BQ91),-290*Escalation!$B$65,Actuals!BQ91)</f>
        <v>-320.183432928</v>
      </c>
      <c r="BQ178" s="402">
        <f>IF(ISBLANK(Actuals!BR91),-290*Escalation!$B$66,Actuals!BR91)</f>
        <v>-320.183432928</v>
      </c>
      <c r="BR178" s="402">
        <f>IF(ISBLANK(Actuals!BS91),-290*Escalation!$B$67,Actuals!BS91)</f>
        <v>-320.183432928</v>
      </c>
      <c r="BS178" s="402">
        <f>IF(ISBLANK(Actuals!BT91),-290*Escalation!$B$68,Actuals!BT91)</f>
        <v>-320.183432928</v>
      </c>
      <c r="BT178" s="402">
        <f>IF(ISBLANK(Actuals!BU91),-290*Escalation!$B$69,Actuals!BU91)</f>
        <v>-320.183432928</v>
      </c>
      <c r="BU178" s="402">
        <f>IF(ISBLANK(Actuals!BV91),-290*Escalation!$B$70,Actuals!BV91)</f>
        <v>-320.183432928</v>
      </c>
      <c r="BV178" s="402">
        <f>IF(ISBLANK(Actuals!BW91),-290*Escalation!$B$71,Actuals!BW91)</f>
        <v>-320.183432928</v>
      </c>
      <c r="BW178" s="402">
        <f>IF(ISBLANK(Actuals!BX91),-290*Escalation!$B$72,Actuals!BX91)</f>
        <v>-320.183432928</v>
      </c>
      <c r="BX178" s="402">
        <f>IF(ISBLANK(Actuals!BY91),-290*Escalation!$B$73,Actuals!BY91)</f>
        <v>-320.183432928</v>
      </c>
      <c r="BY178" s="402">
        <f>IF(ISBLANK(Actuals!BZ91),-290*Escalation!$B$74,Actuals!BZ91)</f>
        <v>-326.58710158656</v>
      </c>
      <c r="BZ178" s="402">
        <f>IF(ISBLANK(Actuals!CA91),-290*Escalation!$B$75,Actuals!CA91)</f>
        <v>-326.58710158656</v>
      </c>
      <c r="CA178" s="402">
        <f>IF(ISBLANK(Actuals!CB91),-290*Escalation!$B$76,Actuals!CB91)</f>
        <v>-326.58710158656</v>
      </c>
      <c r="CB178" s="402">
        <f>IF(ISBLANK(Actuals!CC91),-290*Escalation!$B$77,Actuals!CC91)</f>
        <v>-326.58710158656</v>
      </c>
      <c r="CC178" s="402">
        <f>IF(ISBLANK(Actuals!CD91),-290*Escalation!$B$78,Actuals!CD91)</f>
        <v>-326.58710158656</v>
      </c>
      <c r="CD178" s="402">
        <f>IF(ISBLANK(Actuals!CE91),-290*Escalation!$B$79,Actuals!CE91)</f>
        <v>-326.58710158656</v>
      </c>
      <c r="CE178" s="402">
        <f>IF(ISBLANK(Actuals!CF91),-290*Escalation!$B$80,Actuals!CF91)</f>
        <v>-326.58710158656</v>
      </c>
      <c r="CF178" s="402">
        <f>IF(ISBLANK(Actuals!CG91),-290*Escalation!$B$81,Actuals!CG91)</f>
        <v>-326.58710158656</v>
      </c>
      <c r="CG178" s="402">
        <f>IF(ISBLANK(Actuals!CH91),-290*Escalation!$B$82,Actuals!CH91)</f>
        <v>-326.58710158656</v>
      </c>
      <c r="CH178" s="402">
        <f>IF(ISBLANK(Actuals!CI91),-290*Escalation!$B$83,Actuals!CI91)</f>
        <v>-326.58710158656</v>
      </c>
      <c r="CI178" s="402">
        <f>IF(ISBLANK(Actuals!CJ91),-290*Escalation!$B$84,Actuals!CJ91)</f>
        <v>-326.58710158656</v>
      </c>
      <c r="CJ178" s="402">
        <f>IF(ISBLANK(Actuals!CK91),-290*Escalation!$B$85,Actuals!CK91)</f>
        <v>-326.58710158656</v>
      </c>
      <c r="CK178" s="402">
        <f>IF(ISBLANK(Actuals!CL91),-290*Escalation!$B$86,Actuals!CL91)</f>
        <v>-333.118843618291</v>
      </c>
      <c r="CL178" s="402">
        <f>IF(ISBLANK(Actuals!CM91),-290*Escalation!$B$87,Actuals!CM91)</f>
        <v>-333.118843618291</v>
      </c>
      <c r="CM178" s="402">
        <f>IF(ISBLANK(Actuals!CN91),-290*Escalation!$B$88,Actuals!CN91)</f>
        <v>-333.118843618291</v>
      </c>
      <c r="CN178" s="402">
        <f>IF(ISBLANK(Actuals!CO91),-290*Escalation!$B$89,Actuals!CO91)</f>
        <v>-333.118843618291</v>
      </c>
      <c r="CO178" s="402">
        <f>IF(ISBLANK(Actuals!CP91),-290*Escalation!$B$90,Actuals!CP91)</f>
        <v>-333.118843618291</v>
      </c>
      <c r="CP178" s="402">
        <f>IF(ISBLANK(Actuals!CQ91),-290*Escalation!$B$91,Actuals!CQ91)</f>
        <v>-333.118843618291</v>
      </c>
      <c r="CQ178" s="402">
        <f>IF(ISBLANK(Actuals!CR91),-290*Escalation!$B$92,Actuals!CR91)</f>
        <v>-333.118843618291</v>
      </c>
      <c r="CR178" s="402">
        <f>IF(ISBLANK(Actuals!CS91),-290*Escalation!$B$93,Actuals!CS91)</f>
        <v>-333.118843618291</v>
      </c>
      <c r="CS178" s="402">
        <f>IF(ISBLANK(Actuals!CT91),-290*Escalation!$B$94,Actuals!CT91)</f>
        <v>-333.118843618291</v>
      </c>
      <c r="CT178" s="402">
        <f>IF(ISBLANK(Actuals!CU91),-290*Escalation!$B$95,Actuals!CU91)</f>
        <v>-333.118843618291</v>
      </c>
      <c r="CU178" s="402">
        <f>IF(ISBLANK(Actuals!CV91),-290*Escalation!$B$96,Actuals!CV91)</f>
        <v>-333.118843618291</v>
      </c>
      <c r="CV178" s="402">
        <f>IF(ISBLANK(Actuals!CW91),-290*Escalation!$B$97,Actuals!CW91)</f>
        <v>-333.118843618291</v>
      </c>
      <c r="CW178" s="402">
        <f>IF(ISBLANK(Actuals!CX91),-290*Escalation!$B$98,Actuals!CX91)</f>
        <v>-339.781220490657</v>
      </c>
      <c r="CX178" s="402">
        <f>IF(ISBLANK(Actuals!CY91),-290*Escalation!$B$99,Actuals!CY91)</f>
        <v>-339.781220490657</v>
      </c>
      <c r="CY178" s="402">
        <f>IF(ISBLANK(Actuals!CZ91),-290*Escalation!$B$100,Actuals!CZ91)</f>
        <v>-339.781220490657</v>
      </c>
      <c r="CZ178" s="402">
        <f>IF(ISBLANK(Actuals!DA91),-290*Escalation!$B$101,Actuals!DA91)</f>
        <v>-339.781220490657</v>
      </c>
      <c r="DA178" s="402">
        <f>IF(ISBLANK(Actuals!DB91),-290*Escalation!$B$102,Actuals!DB91)</f>
        <v>-339.781220490657</v>
      </c>
      <c r="DB178" s="402">
        <f>IF(ISBLANK(Actuals!DC91),-290*Escalation!$B$103,Actuals!DC91)</f>
        <v>-339.781220490657</v>
      </c>
      <c r="DC178" s="402">
        <f>IF(ISBLANK(Actuals!DD91),-290*Escalation!$B$104,Actuals!DD91)</f>
        <v>-339.781220490657</v>
      </c>
      <c r="DD178" s="402">
        <f>IF(ISBLANK(Actuals!DE91),-290*Escalation!$B$105,Actuals!DE91)</f>
        <v>-339.781220490657</v>
      </c>
      <c r="DE178" s="402">
        <f>IF(ISBLANK(Actuals!DF91),-290*Escalation!$B$106,Actuals!DF91)</f>
        <v>-339.781220490657</v>
      </c>
    </row>
    <row r="179" ht="15" customFormat="1" customHeight="1" s="381">
      <c r="A179" s="415" t="inlineStr">
        <is>
          <t>5200-1061 Website Hosting</t>
        </is>
      </c>
      <c r="B179" s="402">
        <f>IF(ISBLANK(Actuals!C92),0,Actuals!C92)</f>
        <v>-245</v>
      </c>
      <c r="C179" s="402">
        <f>IF(ISBLANK(Actuals!D92),0,Actuals!D92)</f>
        <v>-245</v>
      </c>
      <c r="D179" s="402">
        <f>IF(ISBLANK(Actuals!E92),0,Actuals!E92)</f>
        <v>-245</v>
      </c>
      <c r="E179" s="402">
        <f>IF(ISBLANK(Actuals!F92),-245*Escalation!$B$2,Actuals!F92)</f>
        <v>-245</v>
      </c>
      <c r="F179" s="402">
        <f>IF(ISBLANK(Actuals!G92),-245*Escalation!$B$3,Actuals!G92)</f>
        <v>-245</v>
      </c>
      <c r="G179" s="402">
        <f>IF(ISBLANK(Actuals!H92),-245*Escalation!$B$4,Actuals!H92)</f>
        <v>-245</v>
      </c>
      <c r="H179" s="402">
        <f>IF(ISBLANK(Actuals!I92),-245*Escalation!$B$5,Actuals!I92)</f>
        <v>-245</v>
      </c>
      <c r="I179" s="402">
        <f>IF(ISBLANK(Actuals!J92),-245*Escalation!$B$6,Actuals!J92)</f>
        <v>-245</v>
      </c>
      <c r="J179" s="402">
        <f>IF(ISBLANK(Actuals!K92),-245*Escalation!$B$7,Actuals!K92)</f>
        <v>-245</v>
      </c>
      <c r="K179" s="402">
        <f>IF(ISBLANK(Actuals!L92),-245*Escalation!$B$8,Actuals!L92)</f>
        <v>-245</v>
      </c>
      <c r="L179" s="402">
        <f>IF(ISBLANK(Actuals!M92),-245*Escalation!$B$9,Actuals!M92)</f>
        <v>-245</v>
      </c>
      <c r="M179" s="402">
        <f>IF(ISBLANK(Actuals!N92),-245*Escalation!$B$10,Actuals!N92)</f>
        <v>-245</v>
      </c>
      <c r="N179" s="402">
        <f>IF(ISBLANK(Actuals!O92),-245*Escalation!$B$11,Actuals!O92)</f>
        <v>-245</v>
      </c>
      <c r="O179" s="402">
        <f>IF(ISBLANK(Actuals!P92),-245*Escalation!$B$12,Actuals!P92)</f>
        <v>-245</v>
      </c>
      <c r="P179" s="402">
        <f>IF(ISBLANK(Actuals!Q92),-245*Escalation!$B$13,Actuals!Q92)</f>
        <v>-245</v>
      </c>
      <c r="Q179" s="402">
        <f>IF(ISBLANK(Actuals!R92),-245*Escalation!$B$14,Actuals!R92)</f>
        <v>-249.9</v>
      </c>
      <c r="R179" s="402">
        <f>IF(ISBLANK(Actuals!S92),-245*Escalation!$B$15,Actuals!S92)</f>
        <v>-249.9</v>
      </c>
      <c r="S179" s="402">
        <f>IF(ISBLANK(Actuals!T92),-245*Escalation!$B$16,Actuals!T92)</f>
        <v>-249.9</v>
      </c>
      <c r="T179" s="402">
        <f>IF(ISBLANK(Actuals!U92),-245*Escalation!$B$17,Actuals!U92)</f>
        <v>-249.9</v>
      </c>
      <c r="U179" s="402">
        <f>IF(ISBLANK(Actuals!V92),-245*Escalation!$B$18,Actuals!V92)</f>
        <v>-249.9</v>
      </c>
      <c r="V179" s="402">
        <f>IF(ISBLANK(Actuals!W92),-245*Escalation!$B$19,Actuals!W92)</f>
        <v>-249.9</v>
      </c>
      <c r="W179" s="402">
        <f>IF(ISBLANK(Actuals!X92),-245*Escalation!$B$20,Actuals!X92)</f>
        <v>-249.9</v>
      </c>
      <c r="X179" s="402">
        <f>IF(ISBLANK(Actuals!Y92),-245*Escalation!$B$21,Actuals!Y92)</f>
        <v>-249.9</v>
      </c>
      <c r="Y179" s="402">
        <f>IF(ISBLANK(Actuals!Z92),-245*Escalation!$B$22,Actuals!Z92)</f>
        <v>-249.9</v>
      </c>
      <c r="Z179" s="402">
        <f>IF(ISBLANK(Actuals!AA92),-245*Escalation!$B$23,Actuals!AA92)</f>
        <v>-249.9</v>
      </c>
      <c r="AA179" s="402">
        <f>IF(ISBLANK(Actuals!AB92),-245*Escalation!$B$24,Actuals!AB92)</f>
        <v>-249.9</v>
      </c>
      <c r="AB179" s="402">
        <f>IF(ISBLANK(Actuals!AC92),-245*Escalation!$B$25,Actuals!AC92)</f>
        <v>-249.9</v>
      </c>
      <c r="AC179" s="402">
        <f>IF(ISBLANK(Actuals!AD92),-245*Escalation!$B$26,Actuals!AD92)</f>
        <v>-254.898</v>
      </c>
      <c r="AD179" s="402">
        <f>IF(ISBLANK(Actuals!AE92),-245*Escalation!$B$27,Actuals!AE92)</f>
        <v>-254.898</v>
      </c>
      <c r="AE179" s="402">
        <f>IF(ISBLANK(Actuals!AF92),-245*Escalation!$B$28,Actuals!AF92)</f>
        <v>-254.898</v>
      </c>
      <c r="AF179" s="402">
        <f>IF(ISBLANK(Actuals!AG92),-245*Escalation!$B$29,Actuals!AG92)</f>
        <v>-254.898</v>
      </c>
      <c r="AG179" s="402">
        <f>IF(ISBLANK(Actuals!AH92),-245*Escalation!$B$30,Actuals!AH92)</f>
        <v>-254.898</v>
      </c>
      <c r="AH179" s="402">
        <f>IF(ISBLANK(Actuals!AI92),-245*Escalation!$B$31,Actuals!AI92)</f>
        <v>-254.898</v>
      </c>
      <c r="AI179" s="402">
        <f>IF(ISBLANK(Actuals!AJ92),-245*Escalation!$B$32,Actuals!AJ92)</f>
        <v>-254.898</v>
      </c>
      <c r="AJ179" s="402">
        <f>IF(ISBLANK(Actuals!AK92),-245*Escalation!$B$33,Actuals!AK92)</f>
        <v>-254.898</v>
      </c>
      <c r="AK179" s="402">
        <f>IF(ISBLANK(Actuals!AL92),-245*Escalation!$B$34,Actuals!AL92)</f>
        <v>-254.898</v>
      </c>
      <c r="AL179" s="402">
        <f>IF(ISBLANK(Actuals!AM92),-245*Escalation!$B$35,Actuals!AM92)</f>
        <v>-254.898</v>
      </c>
      <c r="AM179" s="402">
        <f>IF(ISBLANK(Actuals!AN92),-245*Escalation!$B$36,Actuals!AN92)</f>
        <v>-254.898</v>
      </c>
      <c r="AN179" s="402">
        <f>IF(ISBLANK(Actuals!AO92),-245*Escalation!$B$37,Actuals!AO92)</f>
        <v>-254.898</v>
      </c>
      <c r="AO179" s="402">
        <f>IF(ISBLANK(Actuals!AP92),-245*Escalation!$B$38,Actuals!AP92)</f>
        <v>-259.99596</v>
      </c>
      <c r="AP179" s="402">
        <f>IF(ISBLANK(Actuals!AQ92),-245*Escalation!$B$39,Actuals!AQ92)</f>
        <v>-259.99596</v>
      </c>
      <c r="AQ179" s="402">
        <f>IF(ISBLANK(Actuals!AR92),-245*Escalation!$B$40,Actuals!AR92)</f>
        <v>-259.99596</v>
      </c>
      <c r="AR179" s="402">
        <f>IF(ISBLANK(Actuals!AS92),-245*Escalation!$B$41,Actuals!AS92)</f>
        <v>-259.99596</v>
      </c>
      <c r="AS179" s="402">
        <f>IF(ISBLANK(Actuals!AT92),-245*Escalation!$B$42,Actuals!AT92)</f>
        <v>-259.99596</v>
      </c>
      <c r="AT179" s="402">
        <f>IF(ISBLANK(Actuals!AU92),-245*Escalation!$B$43,Actuals!AU92)</f>
        <v>-259.99596</v>
      </c>
      <c r="AU179" s="402">
        <f>IF(ISBLANK(Actuals!AV92),-245*Escalation!$B$44,Actuals!AV92)</f>
        <v>-259.99596</v>
      </c>
      <c r="AV179" s="402">
        <f>IF(ISBLANK(Actuals!AW92),-245*Escalation!$B$45,Actuals!AW92)</f>
        <v>-259.99596</v>
      </c>
      <c r="AW179" s="402">
        <f>IF(ISBLANK(Actuals!AX92),-245*Escalation!$B$46,Actuals!AX92)</f>
        <v>-259.99596</v>
      </c>
      <c r="AX179" s="402">
        <f>IF(ISBLANK(Actuals!AY92),-245*Escalation!$B$47,Actuals!AY92)</f>
        <v>-259.99596</v>
      </c>
      <c r="AY179" s="402">
        <f>IF(ISBLANK(Actuals!AZ92),-245*Escalation!$B$48,Actuals!AZ92)</f>
        <v>-259.99596</v>
      </c>
      <c r="AZ179" s="402">
        <f>IF(ISBLANK(Actuals!BA92),-245*Escalation!$B$49,Actuals!BA92)</f>
        <v>-259.99596</v>
      </c>
      <c r="BA179" s="402">
        <f>IF(ISBLANK(Actuals!BB92),-245*Escalation!$B$50,Actuals!BB92)</f>
        <v>-265.1958792</v>
      </c>
      <c r="BB179" s="402">
        <f>IF(ISBLANK(Actuals!BC92),-245*Escalation!$B$51,Actuals!BC92)</f>
        <v>-265.1958792</v>
      </c>
      <c r="BC179" s="402">
        <f>IF(ISBLANK(Actuals!BD92),-245*Escalation!$B$52,Actuals!BD92)</f>
        <v>-265.1958792</v>
      </c>
      <c r="BD179" s="402">
        <f>IF(ISBLANK(Actuals!BE92),-245*Escalation!$B$53,Actuals!BE92)</f>
        <v>-265.1958792</v>
      </c>
      <c r="BE179" s="402">
        <f>IF(ISBLANK(Actuals!BF92),-245*Escalation!$B$54,Actuals!BF92)</f>
        <v>-265.1958792</v>
      </c>
      <c r="BF179" s="402">
        <f>IF(ISBLANK(Actuals!BG92),-245*Escalation!$B$55,Actuals!BG92)</f>
        <v>-265.1958792</v>
      </c>
      <c r="BG179" s="402">
        <f>IF(ISBLANK(Actuals!BH92),-245*Escalation!$B$56,Actuals!BH92)</f>
        <v>-265.1958792</v>
      </c>
      <c r="BH179" s="402">
        <f>IF(ISBLANK(Actuals!BI92),-245*Escalation!$B$57,Actuals!BI92)</f>
        <v>-265.1958792</v>
      </c>
      <c r="BI179" s="402">
        <f>IF(ISBLANK(Actuals!BJ92),-245*Escalation!$B$58,Actuals!BJ92)</f>
        <v>-265.1958792</v>
      </c>
      <c r="BJ179" s="402">
        <f>IF(ISBLANK(Actuals!BK92),-245*Escalation!$B$59,Actuals!BK92)</f>
        <v>-265.1958792</v>
      </c>
      <c r="BK179" s="402">
        <f>IF(ISBLANK(Actuals!BL92),-245*Escalation!$B$60,Actuals!BL92)</f>
        <v>-265.1958792</v>
      </c>
      <c r="BL179" s="402">
        <f>IF(ISBLANK(Actuals!BM92),-245*Escalation!$B$61,Actuals!BM92)</f>
        <v>-265.1958792</v>
      </c>
      <c r="BM179" s="402">
        <f>IF(ISBLANK(Actuals!BN92),-245*Escalation!$B$62,Actuals!BN92)</f>
        <v>-270.499796784</v>
      </c>
      <c r="BN179" s="402">
        <f>IF(ISBLANK(Actuals!BO92),-245*Escalation!$B$63,Actuals!BO92)</f>
        <v>-270.499796784</v>
      </c>
      <c r="BO179" s="402">
        <f>IF(ISBLANK(Actuals!BP92),-245*Escalation!$B$64,Actuals!BP92)</f>
        <v>-270.499796784</v>
      </c>
      <c r="BP179" s="402">
        <f>IF(ISBLANK(Actuals!BQ92),-245*Escalation!$B$65,Actuals!BQ92)</f>
        <v>-270.499796784</v>
      </c>
      <c r="BQ179" s="402">
        <f>IF(ISBLANK(Actuals!BR92),-245*Escalation!$B$66,Actuals!BR92)</f>
        <v>-270.499796784</v>
      </c>
      <c r="BR179" s="402">
        <f>IF(ISBLANK(Actuals!BS92),-245*Escalation!$B$67,Actuals!BS92)</f>
        <v>-270.499796784</v>
      </c>
      <c r="BS179" s="402">
        <f>IF(ISBLANK(Actuals!BT92),-245*Escalation!$B$68,Actuals!BT92)</f>
        <v>-270.499796784</v>
      </c>
      <c r="BT179" s="402">
        <f>IF(ISBLANK(Actuals!BU92),-245*Escalation!$B$69,Actuals!BU92)</f>
        <v>-270.499796784</v>
      </c>
      <c r="BU179" s="402">
        <f>IF(ISBLANK(Actuals!BV92),-245*Escalation!$B$70,Actuals!BV92)</f>
        <v>-270.499796784</v>
      </c>
      <c r="BV179" s="402">
        <f>IF(ISBLANK(Actuals!BW92),-245*Escalation!$B$71,Actuals!BW92)</f>
        <v>-270.499796784</v>
      </c>
      <c r="BW179" s="402">
        <f>IF(ISBLANK(Actuals!BX92),-245*Escalation!$B$72,Actuals!BX92)</f>
        <v>-270.499796784</v>
      </c>
      <c r="BX179" s="402">
        <f>IF(ISBLANK(Actuals!BY92),-245*Escalation!$B$73,Actuals!BY92)</f>
        <v>-270.499796784</v>
      </c>
      <c r="BY179" s="402">
        <f>IF(ISBLANK(Actuals!BZ92),-245*Escalation!$B$74,Actuals!BZ92)</f>
        <v>-275.90979271968</v>
      </c>
      <c r="BZ179" s="402">
        <f>IF(ISBLANK(Actuals!CA92),-245*Escalation!$B$75,Actuals!CA92)</f>
        <v>-275.90979271968</v>
      </c>
      <c r="CA179" s="402">
        <f>IF(ISBLANK(Actuals!CB92),-245*Escalation!$B$76,Actuals!CB92)</f>
        <v>-275.90979271968</v>
      </c>
      <c r="CB179" s="402">
        <f>IF(ISBLANK(Actuals!CC92),-245*Escalation!$B$77,Actuals!CC92)</f>
        <v>-275.90979271968</v>
      </c>
      <c r="CC179" s="402">
        <f>IF(ISBLANK(Actuals!CD92),-245*Escalation!$B$78,Actuals!CD92)</f>
        <v>-275.90979271968</v>
      </c>
      <c r="CD179" s="402">
        <f>IF(ISBLANK(Actuals!CE92),-245*Escalation!$B$79,Actuals!CE92)</f>
        <v>-275.90979271968</v>
      </c>
      <c r="CE179" s="402">
        <f>IF(ISBLANK(Actuals!CF92),-245*Escalation!$B$80,Actuals!CF92)</f>
        <v>-275.90979271968</v>
      </c>
      <c r="CF179" s="402">
        <f>IF(ISBLANK(Actuals!CG92),-245*Escalation!$B$81,Actuals!CG92)</f>
        <v>-275.90979271968</v>
      </c>
      <c r="CG179" s="402">
        <f>IF(ISBLANK(Actuals!CH92),-245*Escalation!$B$82,Actuals!CH92)</f>
        <v>-275.90979271968</v>
      </c>
      <c r="CH179" s="402">
        <f>IF(ISBLANK(Actuals!CI92),-245*Escalation!$B$83,Actuals!CI92)</f>
        <v>-275.90979271968</v>
      </c>
      <c r="CI179" s="402">
        <f>IF(ISBLANK(Actuals!CJ92),-245*Escalation!$B$84,Actuals!CJ92)</f>
        <v>-275.90979271968</v>
      </c>
      <c r="CJ179" s="402">
        <f>IF(ISBLANK(Actuals!CK92),-245*Escalation!$B$85,Actuals!CK92)</f>
        <v>-275.90979271968</v>
      </c>
      <c r="CK179" s="402">
        <f>IF(ISBLANK(Actuals!CL92),-245*Escalation!$B$86,Actuals!CL92)</f>
        <v>-281.427988574074</v>
      </c>
      <c r="CL179" s="402">
        <f>IF(ISBLANK(Actuals!CM92),-245*Escalation!$B$87,Actuals!CM92)</f>
        <v>-281.427988574074</v>
      </c>
      <c r="CM179" s="402">
        <f>IF(ISBLANK(Actuals!CN92),-245*Escalation!$B$88,Actuals!CN92)</f>
        <v>-281.427988574074</v>
      </c>
      <c r="CN179" s="402">
        <f>IF(ISBLANK(Actuals!CO92),-245*Escalation!$B$89,Actuals!CO92)</f>
        <v>-281.427988574074</v>
      </c>
      <c r="CO179" s="402">
        <f>IF(ISBLANK(Actuals!CP92),-245*Escalation!$B$90,Actuals!CP92)</f>
        <v>-281.427988574074</v>
      </c>
      <c r="CP179" s="402">
        <f>IF(ISBLANK(Actuals!CQ92),-245*Escalation!$B$91,Actuals!CQ92)</f>
        <v>-281.427988574074</v>
      </c>
      <c r="CQ179" s="402">
        <f>IF(ISBLANK(Actuals!CR92),-245*Escalation!$B$92,Actuals!CR92)</f>
        <v>-281.427988574074</v>
      </c>
      <c r="CR179" s="402">
        <f>IF(ISBLANK(Actuals!CS92),-245*Escalation!$B$93,Actuals!CS92)</f>
        <v>-281.427988574074</v>
      </c>
      <c r="CS179" s="402">
        <f>IF(ISBLANK(Actuals!CT92),-245*Escalation!$B$94,Actuals!CT92)</f>
        <v>-281.427988574074</v>
      </c>
      <c r="CT179" s="402">
        <f>IF(ISBLANK(Actuals!CU92),-245*Escalation!$B$95,Actuals!CU92)</f>
        <v>-281.427988574074</v>
      </c>
      <c r="CU179" s="402">
        <f>IF(ISBLANK(Actuals!CV92),-245*Escalation!$B$96,Actuals!CV92)</f>
        <v>-281.427988574074</v>
      </c>
      <c r="CV179" s="402">
        <f>IF(ISBLANK(Actuals!CW92),-245*Escalation!$B$97,Actuals!CW92)</f>
        <v>-281.427988574074</v>
      </c>
      <c r="CW179" s="402">
        <f>IF(ISBLANK(Actuals!CX92),-245*Escalation!$B$98,Actuals!CX92)</f>
        <v>-287.056548345555</v>
      </c>
      <c r="CX179" s="402">
        <f>IF(ISBLANK(Actuals!CY92),-245*Escalation!$B$99,Actuals!CY92)</f>
        <v>-287.056548345555</v>
      </c>
      <c r="CY179" s="402">
        <f>IF(ISBLANK(Actuals!CZ92),-245*Escalation!$B$100,Actuals!CZ92)</f>
        <v>-287.056548345555</v>
      </c>
      <c r="CZ179" s="402">
        <f>IF(ISBLANK(Actuals!DA92),-245*Escalation!$B$101,Actuals!DA92)</f>
        <v>-287.056548345555</v>
      </c>
      <c r="DA179" s="402">
        <f>IF(ISBLANK(Actuals!DB92),-245*Escalation!$B$102,Actuals!DB92)</f>
        <v>-287.056548345555</v>
      </c>
      <c r="DB179" s="402">
        <f>IF(ISBLANK(Actuals!DC92),-245*Escalation!$B$103,Actuals!DC92)</f>
        <v>-287.056548345555</v>
      </c>
      <c r="DC179" s="402">
        <f>IF(ISBLANK(Actuals!DD92),-245*Escalation!$B$104,Actuals!DD92)</f>
        <v>-287.056548345555</v>
      </c>
      <c r="DD179" s="402">
        <f>IF(ISBLANK(Actuals!DE92),-245*Escalation!$B$105,Actuals!DE92)</f>
        <v>-287.056548345555</v>
      </c>
      <c r="DE179" s="402">
        <f>IF(ISBLANK(Actuals!DF92),-245*Escalation!$B$106,Actuals!DF92)</f>
        <v>-287.056548345555</v>
      </c>
    </row>
    <row r="180" ht="15" customFormat="1" customHeight="1" s="381">
      <c r="A180" s="415" t="inlineStr">
        <is>
          <t>5300-1000 Travel and Lodging</t>
        </is>
      </c>
      <c r="B180" s="402">
        <f>IF(ISBLANK(Actuals!C93),0,Actuals!C93)</f>
        <v>-986.57</v>
      </c>
      <c r="C180" s="402">
        <f>IF(ISBLANK(Actuals!D93),0,Actuals!D93)</f>
        <v>-1254.61</v>
      </c>
      <c r="D180" s="402">
        <f>IF(ISBLANK(Actuals!E93),0,Actuals!E93)</f>
        <v>-1297.31</v>
      </c>
      <c r="E180" s="402">
        <f>IF(ISBLANK(Actuals!F93),-1179.5*Escalation!$B$2,Actuals!F93)</f>
        <v>-48.78</v>
      </c>
      <c r="F180" s="402">
        <f>IF(ISBLANK(Actuals!G93),-1179.5*Escalation!$B$3,Actuals!G93)</f>
        <v>-4199.86</v>
      </c>
      <c r="G180" s="402">
        <f>IF(ISBLANK(Actuals!H93),-1179.5*Escalation!$B$4,Actuals!H93)</f>
        <v>-3433.39</v>
      </c>
      <c r="H180" s="402">
        <f>IF(ISBLANK(Actuals!I93),-1179.5*Escalation!$B$5,Actuals!I93)</f>
        <v>-1179.5</v>
      </c>
      <c r="I180" s="402">
        <f>IF(ISBLANK(Actuals!J93),-1179.5*Escalation!$B$6,Actuals!J93)</f>
        <v>-1179.5</v>
      </c>
      <c r="J180" s="402">
        <f>IF(ISBLANK(Actuals!K93),-1179.5*Escalation!$B$7,Actuals!K93)</f>
        <v>-1179.5</v>
      </c>
      <c r="K180" s="402">
        <f>IF(ISBLANK(Actuals!L93),-1179.5*Escalation!$B$8,Actuals!L93)</f>
        <v>-1179.5</v>
      </c>
      <c r="L180" s="402">
        <f>IF(ISBLANK(Actuals!M93),-1179.5*Escalation!$B$9,Actuals!M93)</f>
        <v>-1179.5</v>
      </c>
      <c r="M180" s="402">
        <f>IF(ISBLANK(Actuals!N93),-1179.5*Escalation!$B$10,Actuals!N93)</f>
        <v>-1179.5</v>
      </c>
      <c r="N180" s="402">
        <f>IF(ISBLANK(Actuals!O93),-1179.5*Escalation!$B$11,Actuals!O93)</f>
        <v>-1179.5</v>
      </c>
      <c r="O180" s="402">
        <f>IF(ISBLANK(Actuals!P93),-1179.5*Escalation!$B$12,Actuals!P93)</f>
        <v>-1179.5</v>
      </c>
      <c r="P180" s="402">
        <f>IF(ISBLANK(Actuals!Q93),-1179.5*Escalation!$B$13,Actuals!Q93)</f>
        <v>-1179.5</v>
      </c>
      <c r="Q180" s="402">
        <f>IF(ISBLANK(Actuals!R93),-1179.5*Escalation!$B$14,Actuals!R93)</f>
        <v>-1203.09</v>
      </c>
      <c r="R180" s="402">
        <f>IF(ISBLANK(Actuals!S93),-1179.5*Escalation!$B$15,Actuals!S93)</f>
        <v>-1203.09</v>
      </c>
      <c r="S180" s="402">
        <f>IF(ISBLANK(Actuals!T93),-1179.5*Escalation!$B$16,Actuals!T93)</f>
        <v>-1203.09</v>
      </c>
      <c r="T180" s="402">
        <f>IF(ISBLANK(Actuals!U93),-1179.5*Escalation!$B$17,Actuals!U93)</f>
        <v>-1203.09</v>
      </c>
      <c r="U180" s="402">
        <f>IF(ISBLANK(Actuals!V93),-1179.5*Escalation!$B$18,Actuals!V93)</f>
        <v>-1203.09</v>
      </c>
      <c r="V180" s="402">
        <f>IF(ISBLANK(Actuals!W93),-1179.5*Escalation!$B$19,Actuals!W93)</f>
        <v>-1203.09</v>
      </c>
      <c r="W180" s="402">
        <f>IF(ISBLANK(Actuals!X93),-1179.5*Escalation!$B$20,Actuals!X93)</f>
        <v>-1203.09</v>
      </c>
      <c r="X180" s="402">
        <f>IF(ISBLANK(Actuals!Y93),-1179.5*Escalation!$B$21,Actuals!Y93)</f>
        <v>-1203.09</v>
      </c>
      <c r="Y180" s="402">
        <f>IF(ISBLANK(Actuals!Z93),-1179.5*Escalation!$B$22,Actuals!Z93)</f>
        <v>-1203.09</v>
      </c>
      <c r="Z180" s="402">
        <f>IF(ISBLANK(Actuals!AA93),-1179.5*Escalation!$B$23,Actuals!AA93)</f>
        <v>-1203.09</v>
      </c>
      <c r="AA180" s="402">
        <f>IF(ISBLANK(Actuals!AB93),-1179.5*Escalation!$B$24,Actuals!AB93)</f>
        <v>-1203.09</v>
      </c>
      <c r="AB180" s="402">
        <f>IF(ISBLANK(Actuals!AC93),-1179.5*Escalation!$B$25,Actuals!AC93)</f>
        <v>-1203.09</v>
      </c>
      <c r="AC180" s="402">
        <f>IF(ISBLANK(Actuals!AD93),-1179.5*Escalation!$B$26,Actuals!AD93)</f>
        <v>-1227.1518</v>
      </c>
      <c r="AD180" s="402">
        <f>IF(ISBLANK(Actuals!AE93),-1179.5*Escalation!$B$27,Actuals!AE93)</f>
        <v>-1227.1518</v>
      </c>
      <c r="AE180" s="402">
        <f>IF(ISBLANK(Actuals!AF93),-1179.5*Escalation!$B$28,Actuals!AF93)</f>
        <v>-1227.1518</v>
      </c>
      <c r="AF180" s="402">
        <f>IF(ISBLANK(Actuals!AG93),-1179.5*Escalation!$B$29,Actuals!AG93)</f>
        <v>-1227.1518</v>
      </c>
      <c r="AG180" s="402">
        <f>IF(ISBLANK(Actuals!AH93),-1179.5*Escalation!$B$30,Actuals!AH93)</f>
        <v>-1227.1518</v>
      </c>
      <c r="AH180" s="402">
        <f>IF(ISBLANK(Actuals!AI93),-1179.5*Escalation!$B$31,Actuals!AI93)</f>
        <v>-1227.1518</v>
      </c>
      <c r="AI180" s="402">
        <f>IF(ISBLANK(Actuals!AJ93),-1179.5*Escalation!$B$32,Actuals!AJ93)</f>
        <v>-1227.1518</v>
      </c>
      <c r="AJ180" s="402">
        <f>IF(ISBLANK(Actuals!AK93),-1179.5*Escalation!$B$33,Actuals!AK93)</f>
        <v>-1227.1518</v>
      </c>
      <c r="AK180" s="402">
        <f>IF(ISBLANK(Actuals!AL93),-1179.5*Escalation!$B$34,Actuals!AL93)</f>
        <v>-1227.1518</v>
      </c>
      <c r="AL180" s="402">
        <f>IF(ISBLANK(Actuals!AM93),-1179.5*Escalation!$B$35,Actuals!AM93)</f>
        <v>-1227.1518</v>
      </c>
      <c r="AM180" s="402">
        <f>IF(ISBLANK(Actuals!AN93),-1179.5*Escalation!$B$36,Actuals!AN93)</f>
        <v>-1227.1518</v>
      </c>
      <c r="AN180" s="402">
        <f>IF(ISBLANK(Actuals!AO93),-1179.5*Escalation!$B$37,Actuals!AO93)</f>
        <v>-1227.1518</v>
      </c>
      <c r="AO180" s="402">
        <f>IF(ISBLANK(Actuals!AP93),-1179.5*Escalation!$B$38,Actuals!AP93)</f>
        <v>-1251.694836</v>
      </c>
      <c r="AP180" s="402">
        <f>IF(ISBLANK(Actuals!AQ93),-1179.5*Escalation!$B$39,Actuals!AQ93)</f>
        <v>-1251.694836</v>
      </c>
      <c r="AQ180" s="402">
        <f>IF(ISBLANK(Actuals!AR93),-1179.5*Escalation!$B$40,Actuals!AR93)</f>
        <v>-1251.694836</v>
      </c>
      <c r="AR180" s="402">
        <f>IF(ISBLANK(Actuals!AS93),-1179.5*Escalation!$B$41,Actuals!AS93)</f>
        <v>-1251.694836</v>
      </c>
      <c r="AS180" s="402">
        <f>IF(ISBLANK(Actuals!AT93),-1179.5*Escalation!$B$42,Actuals!AT93)</f>
        <v>-1251.694836</v>
      </c>
      <c r="AT180" s="402">
        <f>IF(ISBLANK(Actuals!AU93),-1179.5*Escalation!$B$43,Actuals!AU93)</f>
        <v>-1251.694836</v>
      </c>
      <c r="AU180" s="402">
        <f>IF(ISBLANK(Actuals!AV93),-1179.5*Escalation!$B$44,Actuals!AV93)</f>
        <v>-1251.694836</v>
      </c>
      <c r="AV180" s="402">
        <f>IF(ISBLANK(Actuals!AW93),-1179.5*Escalation!$B$45,Actuals!AW93)</f>
        <v>-1251.694836</v>
      </c>
      <c r="AW180" s="402">
        <f>IF(ISBLANK(Actuals!AX93),-1179.5*Escalation!$B$46,Actuals!AX93)</f>
        <v>-1251.694836</v>
      </c>
      <c r="AX180" s="402">
        <f>IF(ISBLANK(Actuals!AY93),-1179.5*Escalation!$B$47,Actuals!AY93)</f>
        <v>-1251.694836</v>
      </c>
      <c r="AY180" s="402">
        <f>IF(ISBLANK(Actuals!AZ93),-1179.5*Escalation!$B$48,Actuals!AZ93)</f>
        <v>-1251.694836</v>
      </c>
      <c r="AZ180" s="402">
        <f>IF(ISBLANK(Actuals!BA93),-1179.5*Escalation!$B$49,Actuals!BA93)</f>
        <v>-1251.694836</v>
      </c>
      <c r="BA180" s="402">
        <f>IF(ISBLANK(Actuals!BB93),-1179.5*Escalation!$B$50,Actuals!BB93)</f>
        <v>-1276.72873272</v>
      </c>
      <c r="BB180" s="402">
        <f>IF(ISBLANK(Actuals!BC93),-1179.5*Escalation!$B$51,Actuals!BC93)</f>
        <v>-1276.72873272</v>
      </c>
      <c r="BC180" s="402">
        <f>IF(ISBLANK(Actuals!BD93),-1179.5*Escalation!$B$52,Actuals!BD93)</f>
        <v>-1276.72873272</v>
      </c>
      <c r="BD180" s="402">
        <f>IF(ISBLANK(Actuals!BE93),-1179.5*Escalation!$B$53,Actuals!BE93)</f>
        <v>-1276.72873272</v>
      </c>
      <c r="BE180" s="402">
        <f>IF(ISBLANK(Actuals!BF93),-1179.5*Escalation!$B$54,Actuals!BF93)</f>
        <v>-1276.72873272</v>
      </c>
      <c r="BF180" s="402">
        <f>IF(ISBLANK(Actuals!BG93),-1179.5*Escalation!$B$55,Actuals!BG93)</f>
        <v>-1276.72873272</v>
      </c>
      <c r="BG180" s="402">
        <f>IF(ISBLANK(Actuals!BH93),-1179.5*Escalation!$B$56,Actuals!BH93)</f>
        <v>-1276.72873272</v>
      </c>
      <c r="BH180" s="402">
        <f>IF(ISBLANK(Actuals!BI93),-1179.5*Escalation!$B$57,Actuals!BI93)</f>
        <v>-1276.72873272</v>
      </c>
      <c r="BI180" s="402">
        <f>IF(ISBLANK(Actuals!BJ93),-1179.5*Escalation!$B$58,Actuals!BJ93)</f>
        <v>-1276.72873272</v>
      </c>
      <c r="BJ180" s="402">
        <f>IF(ISBLANK(Actuals!BK93),-1179.5*Escalation!$B$59,Actuals!BK93)</f>
        <v>-1276.72873272</v>
      </c>
      <c r="BK180" s="402">
        <f>IF(ISBLANK(Actuals!BL93),-1179.5*Escalation!$B$60,Actuals!BL93)</f>
        <v>-1276.72873272</v>
      </c>
      <c r="BL180" s="402">
        <f>IF(ISBLANK(Actuals!BM93),-1179.5*Escalation!$B$61,Actuals!BM93)</f>
        <v>-1276.72873272</v>
      </c>
      <c r="BM180" s="402">
        <f>IF(ISBLANK(Actuals!BN93),-1179.5*Escalation!$B$62,Actuals!BN93)</f>
        <v>-1302.2633073744</v>
      </c>
      <c r="BN180" s="402">
        <f>IF(ISBLANK(Actuals!BO93),-1179.5*Escalation!$B$63,Actuals!BO93)</f>
        <v>-1302.2633073744</v>
      </c>
      <c r="BO180" s="402">
        <f>IF(ISBLANK(Actuals!BP93),-1179.5*Escalation!$B$64,Actuals!BP93)</f>
        <v>-1302.2633073744</v>
      </c>
      <c r="BP180" s="402">
        <f>IF(ISBLANK(Actuals!BQ93),-1179.5*Escalation!$B$65,Actuals!BQ93)</f>
        <v>-1302.2633073744</v>
      </c>
      <c r="BQ180" s="402">
        <f>IF(ISBLANK(Actuals!BR93),-1179.5*Escalation!$B$66,Actuals!BR93)</f>
        <v>-1302.2633073744</v>
      </c>
      <c r="BR180" s="402">
        <f>IF(ISBLANK(Actuals!BS93),-1179.5*Escalation!$B$67,Actuals!BS93)</f>
        <v>-1302.2633073744</v>
      </c>
      <c r="BS180" s="402">
        <f>IF(ISBLANK(Actuals!BT93),-1179.5*Escalation!$B$68,Actuals!BT93)</f>
        <v>-1302.2633073744</v>
      </c>
      <c r="BT180" s="402">
        <f>IF(ISBLANK(Actuals!BU93),-1179.5*Escalation!$B$69,Actuals!BU93)</f>
        <v>-1302.2633073744</v>
      </c>
      <c r="BU180" s="402">
        <f>IF(ISBLANK(Actuals!BV93),-1179.5*Escalation!$B$70,Actuals!BV93)</f>
        <v>-1302.2633073744</v>
      </c>
      <c r="BV180" s="402">
        <f>IF(ISBLANK(Actuals!BW93),-1179.5*Escalation!$B$71,Actuals!BW93)</f>
        <v>-1302.2633073744</v>
      </c>
      <c r="BW180" s="402">
        <f>IF(ISBLANK(Actuals!BX93),-1179.5*Escalation!$B$72,Actuals!BX93)</f>
        <v>-1302.2633073744</v>
      </c>
      <c r="BX180" s="402">
        <f>IF(ISBLANK(Actuals!BY93),-1179.5*Escalation!$B$73,Actuals!BY93)</f>
        <v>-1302.2633073744</v>
      </c>
      <c r="BY180" s="402">
        <f>IF(ISBLANK(Actuals!BZ93),-1179.5*Escalation!$B$74,Actuals!BZ93)</f>
        <v>-1328.30857352189</v>
      </c>
      <c r="BZ180" s="402">
        <f>IF(ISBLANK(Actuals!CA93),-1179.5*Escalation!$B$75,Actuals!CA93)</f>
        <v>-1328.30857352189</v>
      </c>
      <c r="CA180" s="402">
        <f>IF(ISBLANK(Actuals!CB93),-1179.5*Escalation!$B$76,Actuals!CB93)</f>
        <v>-1328.30857352189</v>
      </c>
      <c r="CB180" s="402">
        <f>IF(ISBLANK(Actuals!CC93),-1179.5*Escalation!$B$77,Actuals!CC93)</f>
        <v>-1328.30857352189</v>
      </c>
      <c r="CC180" s="402">
        <f>IF(ISBLANK(Actuals!CD93),-1179.5*Escalation!$B$78,Actuals!CD93)</f>
        <v>-1328.30857352189</v>
      </c>
      <c r="CD180" s="402">
        <f>IF(ISBLANK(Actuals!CE93),-1179.5*Escalation!$B$79,Actuals!CE93)</f>
        <v>-1328.30857352189</v>
      </c>
      <c r="CE180" s="402">
        <f>IF(ISBLANK(Actuals!CF93),-1179.5*Escalation!$B$80,Actuals!CF93)</f>
        <v>-1328.30857352189</v>
      </c>
      <c r="CF180" s="402">
        <f>IF(ISBLANK(Actuals!CG93),-1179.5*Escalation!$B$81,Actuals!CG93)</f>
        <v>-1328.30857352189</v>
      </c>
      <c r="CG180" s="402">
        <f>IF(ISBLANK(Actuals!CH93),-1179.5*Escalation!$B$82,Actuals!CH93)</f>
        <v>-1328.30857352189</v>
      </c>
      <c r="CH180" s="402">
        <f>IF(ISBLANK(Actuals!CI93),-1179.5*Escalation!$B$83,Actuals!CI93)</f>
        <v>-1328.30857352189</v>
      </c>
      <c r="CI180" s="402">
        <f>IF(ISBLANK(Actuals!CJ93),-1179.5*Escalation!$B$84,Actuals!CJ93)</f>
        <v>-1328.30857352189</v>
      </c>
      <c r="CJ180" s="402">
        <f>IF(ISBLANK(Actuals!CK93),-1179.5*Escalation!$B$85,Actuals!CK93)</f>
        <v>-1328.30857352189</v>
      </c>
      <c r="CK180" s="402">
        <f>IF(ISBLANK(Actuals!CL93),-1179.5*Escalation!$B$86,Actuals!CL93)</f>
        <v>-1354.87474499233</v>
      </c>
      <c r="CL180" s="402">
        <f>IF(ISBLANK(Actuals!CM93),-1179.5*Escalation!$B$87,Actuals!CM93)</f>
        <v>-1354.87474499233</v>
      </c>
      <c r="CM180" s="402">
        <f>IF(ISBLANK(Actuals!CN93),-1179.5*Escalation!$B$88,Actuals!CN93)</f>
        <v>-1354.87474499233</v>
      </c>
      <c r="CN180" s="402">
        <f>IF(ISBLANK(Actuals!CO93),-1179.5*Escalation!$B$89,Actuals!CO93)</f>
        <v>-1354.87474499233</v>
      </c>
      <c r="CO180" s="402">
        <f>IF(ISBLANK(Actuals!CP93),-1179.5*Escalation!$B$90,Actuals!CP93)</f>
        <v>-1354.87474499233</v>
      </c>
      <c r="CP180" s="402">
        <f>IF(ISBLANK(Actuals!CQ93),-1179.5*Escalation!$B$91,Actuals!CQ93)</f>
        <v>-1354.87474499233</v>
      </c>
      <c r="CQ180" s="402">
        <f>IF(ISBLANK(Actuals!CR93),-1179.5*Escalation!$B$92,Actuals!CR93)</f>
        <v>-1354.87474499233</v>
      </c>
      <c r="CR180" s="402">
        <f>IF(ISBLANK(Actuals!CS93),-1179.5*Escalation!$B$93,Actuals!CS93)</f>
        <v>-1354.87474499233</v>
      </c>
      <c r="CS180" s="402">
        <f>IF(ISBLANK(Actuals!CT93),-1179.5*Escalation!$B$94,Actuals!CT93)</f>
        <v>-1354.87474499233</v>
      </c>
      <c r="CT180" s="402">
        <f>IF(ISBLANK(Actuals!CU93),-1179.5*Escalation!$B$95,Actuals!CU93)</f>
        <v>-1354.87474499233</v>
      </c>
      <c r="CU180" s="402">
        <f>IF(ISBLANK(Actuals!CV93),-1179.5*Escalation!$B$96,Actuals!CV93)</f>
        <v>-1354.87474499233</v>
      </c>
      <c r="CV180" s="402">
        <f>IF(ISBLANK(Actuals!CW93),-1179.5*Escalation!$B$97,Actuals!CW93)</f>
        <v>-1354.87474499233</v>
      </c>
      <c r="CW180" s="402">
        <f>IF(ISBLANK(Actuals!CX93),-1179.5*Escalation!$B$98,Actuals!CX93)</f>
        <v>-1381.97223989217</v>
      </c>
      <c r="CX180" s="402">
        <f>IF(ISBLANK(Actuals!CY93),-1179.5*Escalation!$B$99,Actuals!CY93)</f>
        <v>-1381.97223989217</v>
      </c>
      <c r="CY180" s="402">
        <f>IF(ISBLANK(Actuals!CZ93),-1179.5*Escalation!$B$100,Actuals!CZ93)</f>
        <v>-1381.97223989217</v>
      </c>
      <c r="CZ180" s="402">
        <f>IF(ISBLANK(Actuals!DA93),-1179.5*Escalation!$B$101,Actuals!DA93)</f>
        <v>-1381.97223989217</v>
      </c>
      <c r="DA180" s="402">
        <f>IF(ISBLANK(Actuals!DB93),-1179.5*Escalation!$B$102,Actuals!DB93)</f>
        <v>-1381.97223989217</v>
      </c>
      <c r="DB180" s="402">
        <f>IF(ISBLANK(Actuals!DC93),-1179.5*Escalation!$B$103,Actuals!DC93)</f>
        <v>-1381.97223989217</v>
      </c>
      <c r="DC180" s="402">
        <f>IF(ISBLANK(Actuals!DD93),-1179.5*Escalation!$B$104,Actuals!DD93)</f>
        <v>-1381.97223989217</v>
      </c>
      <c r="DD180" s="402">
        <f>IF(ISBLANK(Actuals!DE93),-1179.5*Escalation!$B$105,Actuals!DE93)</f>
        <v>-1381.97223989217</v>
      </c>
      <c r="DE180" s="402">
        <f>IF(ISBLANK(Actuals!DF93),-1179.5*Escalation!$B$106,Actuals!DF93)</f>
        <v>-1381.97223989217</v>
      </c>
    </row>
    <row r="181" ht="15" customFormat="1" customHeight="1" s="381">
      <c r="A181" s="415" t="inlineStr">
        <is>
          <t>5300-1001 Public Transportation</t>
        </is>
      </c>
      <c r="B181" s="402">
        <f>IF(ISBLANK(Actuals!C94),0,Actuals!C94)</f>
        <v>-588.66</v>
      </c>
      <c r="C181" s="402">
        <f>IF(ISBLANK(Actuals!D94),0,Actuals!D94)</f>
        <v>-22.94</v>
      </c>
      <c r="D181" s="402">
        <f>IF(ISBLANK(Actuals!E94),0,Actuals!E94)</f>
        <v>-487.3</v>
      </c>
      <c r="E181" s="402">
        <f>IF(ISBLANK(Actuals!F94),-366.3*Escalation!$B$2,Actuals!F94)</f>
        <v>-399.98</v>
      </c>
      <c r="F181" s="402">
        <f>IF(ISBLANK(Actuals!G94),-366.3*Escalation!$B$3,Actuals!G94)</f>
        <v>-216.15</v>
      </c>
      <c r="G181" s="402">
        <f>IF(ISBLANK(Actuals!H94),-366.3*Escalation!$B$4,Actuals!H94)</f>
        <v>-936.05</v>
      </c>
      <c r="H181" s="402">
        <f>IF(ISBLANK(Actuals!I94),-366.3*Escalation!$B$5,Actuals!I94)</f>
        <v>-366.3</v>
      </c>
      <c r="I181" s="402">
        <f>IF(ISBLANK(Actuals!J94),-366.3*Escalation!$B$6,Actuals!J94)</f>
        <v>-366.3</v>
      </c>
      <c r="J181" s="402">
        <f>IF(ISBLANK(Actuals!K94),-366.3*Escalation!$B$7,Actuals!K94)</f>
        <v>-366.3</v>
      </c>
      <c r="K181" s="402">
        <f>IF(ISBLANK(Actuals!L94),-366.3*Escalation!$B$8,Actuals!L94)</f>
        <v>-366.3</v>
      </c>
      <c r="L181" s="402">
        <f>IF(ISBLANK(Actuals!M94),-366.3*Escalation!$B$9,Actuals!M94)</f>
        <v>-366.3</v>
      </c>
      <c r="M181" s="402">
        <f>IF(ISBLANK(Actuals!N94),-366.3*Escalation!$B$10,Actuals!N94)</f>
        <v>-366.3</v>
      </c>
      <c r="N181" s="402">
        <f>IF(ISBLANK(Actuals!O94),-366.3*Escalation!$B$11,Actuals!O94)</f>
        <v>-366.3</v>
      </c>
      <c r="O181" s="402">
        <f>IF(ISBLANK(Actuals!P94),-366.3*Escalation!$B$12,Actuals!P94)</f>
        <v>-366.3</v>
      </c>
      <c r="P181" s="402">
        <f>IF(ISBLANK(Actuals!Q94),-366.3*Escalation!$B$13,Actuals!Q94)</f>
        <v>-366.3</v>
      </c>
      <c r="Q181" s="402">
        <f>IF(ISBLANK(Actuals!R94),-366.3*Escalation!$B$14,Actuals!R94)</f>
        <v>-373.626</v>
      </c>
      <c r="R181" s="402">
        <f>IF(ISBLANK(Actuals!S94),-366.3*Escalation!$B$15,Actuals!S94)</f>
        <v>-373.626</v>
      </c>
      <c r="S181" s="402">
        <f>IF(ISBLANK(Actuals!T94),-366.3*Escalation!$B$16,Actuals!T94)</f>
        <v>-373.626</v>
      </c>
      <c r="T181" s="402">
        <f>IF(ISBLANK(Actuals!U94),-366.3*Escalation!$B$17,Actuals!U94)</f>
        <v>-373.626</v>
      </c>
      <c r="U181" s="402">
        <f>IF(ISBLANK(Actuals!V94),-366.3*Escalation!$B$18,Actuals!V94)</f>
        <v>-373.626</v>
      </c>
      <c r="V181" s="402">
        <f>IF(ISBLANK(Actuals!W94),-366.3*Escalation!$B$19,Actuals!W94)</f>
        <v>-373.626</v>
      </c>
      <c r="W181" s="402">
        <f>IF(ISBLANK(Actuals!X94),-366.3*Escalation!$B$20,Actuals!X94)</f>
        <v>-373.626</v>
      </c>
      <c r="X181" s="402">
        <f>IF(ISBLANK(Actuals!Y94),-366.3*Escalation!$B$21,Actuals!Y94)</f>
        <v>-373.626</v>
      </c>
      <c r="Y181" s="402">
        <f>IF(ISBLANK(Actuals!Z94),-366.3*Escalation!$B$22,Actuals!Z94)</f>
        <v>-373.626</v>
      </c>
      <c r="Z181" s="402">
        <f>IF(ISBLANK(Actuals!AA94),-366.3*Escalation!$B$23,Actuals!AA94)</f>
        <v>-373.626</v>
      </c>
      <c r="AA181" s="402">
        <f>IF(ISBLANK(Actuals!AB94),-366.3*Escalation!$B$24,Actuals!AB94)</f>
        <v>-373.626</v>
      </c>
      <c r="AB181" s="402">
        <f>IF(ISBLANK(Actuals!AC94),-366.3*Escalation!$B$25,Actuals!AC94)</f>
        <v>-373.626</v>
      </c>
      <c r="AC181" s="402">
        <f>IF(ISBLANK(Actuals!AD94),-366.3*Escalation!$B$26,Actuals!AD94)</f>
        <v>-381.09852</v>
      </c>
      <c r="AD181" s="402">
        <f>IF(ISBLANK(Actuals!AE94),-366.3*Escalation!$B$27,Actuals!AE94)</f>
        <v>-381.09852</v>
      </c>
      <c r="AE181" s="402">
        <f>IF(ISBLANK(Actuals!AF94),-366.3*Escalation!$B$28,Actuals!AF94)</f>
        <v>-381.09852</v>
      </c>
      <c r="AF181" s="402">
        <f>IF(ISBLANK(Actuals!AG94),-366.3*Escalation!$B$29,Actuals!AG94)</f>
        <v>-381.09852</v>
      </c>
      <c r="AG181" s="402">
        <f>IF(ISBLANK(Actuals!AH94),-366.3*Escalation!$B$30,Actuals!AH94)</f>
        <v>-381.09852</v>
      </c>
      <c r="AH181" s="402">
        <f>IF(ISBLANK(Actuals!AI94),-366.3*Escalation!$B$31,Actuals!AI94)</f>
        <v>-381.09852</v>
      </c>
      <c r="AI181" s="402">
        <f>IF(ISBLANK(Actuals!AJ94),-366.3*Escalation!$B$32,Actuals!AJ94)</f>
        <v>-381.09852</v>
      </c>
      <c r="AJ181" s="402">
        <f>IF(ISBLANK(Actuals!AK94),-366.3*Escalation!$B$33,Actuals!AK94)</f>
        <v>-381.09852</v>
      </c>
      <c r="AK181" s="402">
        <f>IF(ISBLANK(Actuals!AL94),-366.3*Escalation!$B$34,Actuals!AL94)</f>
        <v>-381.09852</v>
      </c>
      <c r="AL181" s="402">
        <f>IF(ISBLANK(Actuals!AM94),-366.3*Escalation!$B$35,Actuals!AM94)</f>
        <v>-381.09852</v>
      </c>
      <c r="AM181" s="402">
        <f>IF(ISBLANK(Actuals!AN94),-366.3*Escalation!$B$36,Actuals!AN94)</f>
        <v>-381.09852</v>
      </c>
      <c r="AN181" s="402">
        <f>IF(ISBLANK(Actuals!AO94),-366.3*Escalation!$B$37,Actuals!AO94)</f>
        <v>-381.09852</v>
      </c>
      <c r="AO181" s="402">
        <f>IF(ISBLANK(Actuals!AP94),-366.3*Escalation!$B$38,Actuals!AP94)</f>
        <v>-388.7204904</v>
      </c>
      <c r="AP181" s="402">
        <f>IF(ISBLANK(Actuals!AQ94),-366.3*Escalation!$B$39,Actuals!AQ94)</f>
        <v>-388.7204904</v>
      </c>
      <c r="AQ181" s="402">
        <f>IF(ISBLANK(Actuals!AR94),-366.3*Escalation!$B$40,Actuals!AR94)</f>
        <v>-388.7204904</v>
      </c>
      <c r="AR181" s="402">
        <f>IF(ISBLANK(Actuals!AS94),-366.3*Escalation!$B$41,Actuals!AS94)</f>
        <v>-388.7204904</v>
      </c>
      <c r="AS181" s="402">
        <f>IF(ISBLANK(Actuals!AT94),-366.3*Escalation!$B$42,Actuals!AT94)</f>
        <v>-388.7204904</v>
      </c>
      <c r="AT181" s="402">
        <f>IF(ISBLANK(Actuals!AU94),-366.3*Escalation!$B$43,Actuals!AU94)</f>
        <v>-388.7204904</v>
      </c>
      <c r="AU181" s="402">
        <f>IF(ISBLANK(Actuals!AV94),-366.3*Escalation!$B$44,Actuals!AV94)</f>
        <v>-388.7204904</v>
      </c>
      <c r="AV181" s="402">
        <f>IF(ISBLANK(Actuals!AW94),-366.3*Escalation!$B$45,Actuals!AW94)</f>
        <v>-388.7204904</v>
      </c>
      <c r="AW181" s="402">
        <f>IF(ISBLANK(Actuals!AX94),-366.3*Escalation!$B$46,Actuals!AX94)</f>
        <v>-388.7204904</v>
      </c>
      <c r="AX181" s="402">
        <f>IF(ISBLANK(Actuals!AY94),-366.3*Escalation!$B$47,Actuals!AY94)</f>
        <v>-388.7204904</v>
      </c>
      <c r="AY181" s="402">
        <f>IF(ISBLANK(Actuals!AZ94),-366.3*Escalation!$B$48,Actuals!AZ94)</f>
        <v>-388.7204904</v>
      </c>
      <c r="AZ181" s="402">
        <f>IF(ISBLANK(Actuals!BA94),-366.3*Escalation!$B$49,Actuals!BA94)</f>
        <v>-388.7204904</v>
      </c>
      <c r="BA181" s="402">
        <f>IF(ISBLANK(Actuals!BB94),-366.3*Escalation!$B$50,Actuals!BB94)</f>
        <v>-396.494900208</v>
      </c>
      <c r="BB181" s="402">
        <f>IF(ISBLANK(Actuals!BC94),-366.3*Escalation!$B$51,Actuals!BC94)</f>
        <v>-396.494900208</v>
      </c>
      <c r="BC181" s="402">
        <f>IF(ISBLANK(Actuals!BD94),-366.3*Escalation!$B$52,Actuals!BD94)</f>
        <v>-396.494900208</v>
      </c>
      <c r="BD181" s="402">
        <f>IF(ISBLANK(Actuals!BE94),-366.3*Escalation!$B$53,Actuals!BE94)</f>
        <v>-396.494900208</v>
      </c>
      <c r="BE181" s="402">
        <f>IF(ISBLANK(Actuals!BF94),-366.3*Escalation!$B$54,Actuals!BF94)</f>
        <v>-396.494900208</v>
      </c>
      <c r="BF181" s="402">
        <f>IF(ISBLANK(Actuals!BG94),-366.3*Escalation!$B$55,Actuals!BG94)</f>
        <v>-396.494900208</v>
      </c>
      <c r="BG181" s="402">
        <f>IF(ISBLANK(Actuals!BH94),-366.3*Escalation!$B$56,Actuals!BH94)</f>
        <v>-396.494900208</v>
      </c>
      <c r="BH181" s="402">
        <f>IF(ISBLANK(Actuals!BI94),-366.3*Escalation!$B$57,Actuals!BI94)</f>
        <v>-396.494900208</v>
      </c>
      <c r="BI181" s="402">
        <f>IF(ISBLANK(Actuals!BJ94),-366.3*Escalation!$B$58,Actuals!BJ94)</f>
        <v>-396.494900208</v>
      </c>
      <c r="BJ181" s="402">
        <f>IF(ISBLANK(Actuals!BK94),-366.3*Escalation!$B$59,Actuals!BK94)</f>
        <v>-396.494900208</v>
      </c>
      <c r="BK181" s="402">
        <f>IF(ISBLANK(Actuals!BL94),-366.3*Escalation!$B$60,Actuals!BL94)</f>
        <v>-396.494900208</v>
      </c>
      <c r="BL181" s="402">
        <f>IF(ISBLANK(Actuals!BM94),-366.3*Escalation!$B$61,Actuals!BM94)</f>
        <v>-396.494900208</v>
      </c>
      <c r="BM181" s="402">
        <f>IF(ISBLANK(Actuals!BN94),-366.3*Escalation!$B$62,Actuals!BN94)</f>
        <v>-404.42479821216</v>
      </c>
      <c r="BN181" s="402">
        <f>IF(ISBLANK(Actuals!BO94),-366.3*Escalation!$B$63,Actuals!BO94)</f>
        <v>-404.42479821216</v>
      </c>
      <c r="BO181" s="402">
        <f>IF(ISBLANK(Actuals!BP94),-366.3*Escalation!$B$64,Actuals!BP94)</f>
        <v>-404.42479821216</v>
      </c>
      <c r="BP181" s="402">
        <f>IF(ISBLANK(Actuals!BQ94),-366.3*Escalation!$B$65,Actuals!BQ94)</f>
        <v>-404.42479821216</v>
      </c>
      <c r="BQ181" s="402">
        <f>IF(ISBLANK(Actuals!BR94),-366.3*Escalation!$B$66,Actuals!BR94)</f>
        <v>-404.42479821216</v>
      </c>
      <c r="BR181" s="402">
        <f>IF(ISBLANK(Actuals!BS94),-366.3*Escalation!$B$67,Actuals!BS94)</f>
        <v>-404.42479821216</v>
      </c>
      <c r="BS181" s="402">
        <f>IF(ISBLANK(Actuals!BT94),-366.3*Escalation!$B$68,Actuals!BT94)</f>
        <v>-404.42479821216</v>
      </c>
      <c r="BT181" s="402">
        <f>IF(ISBLANK(Actuals!BU94),-366.3*Escalation!$B$69,Actuals!BU94)</f>
        <v>-404.42479821216</v>
      </c>
      <c r="BU181" s="402">
        <f>IF(ISBLANK(Actuals!BV94),-366.3*Escalation!$B$70,Actuals!BV94)</f>
        <v>-404.42479821216</v>
      </c>
      <c r="BV181" s="402">
        <f>IF(ISBLANK(Actuals!BW94),-366.3*Escalation!$B$71,Actuals!BW94)</f>
        <v>-404.42479821216</v>
      </c>
      <c r="BW181" s="402">
        <f>IF(ISBLANK(Actuals!BX94),-366.3*Escalation!$B$72,Actuals!BX94)</f>
        <v>-404.42479821216</v>
      </c>
      <c r="BX181" s="402">
        <f>IF(ISBLANK(Actuals!BY94),-366.3*Escalation!$B$73,Actuals!BY94)</f>
        <v>-404.42479821216</v>
      </c>
      <c r="BY181" s="402">
        <f>IF(ISBLANK(Actuals!BZ94),-366.3*Escalation!$B$74,Actuals!BZ94)</f>
        <v>-412.513294176403</v>
      </c>
      <c r="BZ181" s="402">
        <f>IF(ISBLANK(Actuals!CA94),-366.3*Escalation!$B$75,Actuals!CA94)</f>
        <v>-412.513294176403</v>
      </c>
      <c r="CA181" s="402">
        <f>IF(ISBLANK(Actuals!CB94),-366.3*Escalation!$B$76,Actuals!CB94)</f>
        <v>-412.513294176403</v>
      </c>
      <c r="CB181" s="402">
        <f>IF(ISBLANK(Actuals!CC94),-366.3*Escalation!$B$77,Actuals!CC94)</f>
        <v>-412.513294176403</v>
      </c>
      <c r="CC181" s="402">
        <f>IF(ISBLANK(Actuals!CD94),-366.3*Escalation!$B$78,Actuals!CD94)</f>
        <v>-412.513294176403</v>
      </c>
      <c r="CD181" s="402">
        <f>IF(ISBLANK(Actuals!CE94),-366.3*Escalation!$B$79,Actuals!CE94)</f>
        <v>-412.513294176403</v>
      </c>
      <c r="CE181" s="402">
        <f>IF(ISBLANK(Actuals!CF94),-366.3*Escalation!$B$80,Actuals!CF94)</f>
        <v>-412.513294176403</v>
      </c>
      <c r="CF181" s="402">
        <f>IF(ISBLANK(Actuals!CG94),-366.3*Escalation!$B$81,Actuals!CG94)</f>
        <v>-412.513294176403</v>
      </c>
      <c r="CG181" s="402">
        <f>IF(ISBLANK(Actuals!CH94),-366.3*Escalation!$B$82,Actuals!CH94)</f>
        <v>-412.513294176403</v>
      </c>
      <c r="CH181" s="402">
        <f>IF(ISBLANK(Actuals!CI94),-366.3*Escalation!$B$83,Actuals!CI94)</f>
        <v>-412.513294176403</v>
      </c>
      <c r="CI181" s="402">
        <f>IF(ISBLANK(Actuals!CJ94),-366.3*Escalation!$B$84,Actuals!CJ94)</f>
        <v>-412.513294176403</v>
      </c>
      <c r="CJ181" s="402">
        <f>IF(ISBLANK(Actuals!CK94),-366.3*Escalation!$B$85,Actuals!CK94)</f>
        <v>-412.513294176403</v>
      </c>
      <c r="CK181" s="402">
        <f>IF(ISBLANK(Actuals!CL94),-366.3*Escalation!$B$86,Actuals!CL94)</f>
        <v>-420.763560059931</v>
      </c>
      <c r="CL181" s="402">
        <f>IF(ISBLANK(Actuals!CM94),-366.3*Escalation!$B$87,Actuals!CM94)</f>
        <v>-420.763560059931</v>
      </c>
      <c r="CM181" s="402">
        <f>IF(ISBLANK(Actuals!CN94),-366.3*Escalation!$B$88,Actuals!CN94)</f>
        <v>-420.763560059931</v>
      </c>
      <c r="CN181" s="402">
        <f>IF(ISBLANK(Actuals!CO94),-366.3*Escalation!$B$89,Actuals!CO94)</f>
        <v>-420.763560059931</v>
      </c>
      <c r="CO181" s="402">
        <f>IF(ISBLANK(Actuals!CP94),-366.3*Escalation!$B$90,Actuals!CP94)</f>
        <v>-420.763560059931</v>
      </c>
      <c r="CP181" s="402">
        <f>IF(ISBLANK(Actuals!CQ94),-366.3*Escalation!$B$91,Actuals!CQ94)</f>
        <v>-420.763560059931</v>
      </c>
      <c r="CQ181" s="402">
        <f>IF(ISBLANK(Actuals!CR94),-366.3*Escalation!$B$92,Actuals!CR94)</f>
        <v>-420.763560059931</v>
      </c>
      <c r="CR181" s="402">
        <f>IF(ISBLANK(Actuals!CS94),-366.3*Escalation!$B$93,Actuals!CS94)</f>
        <v>-420.763560059931</v>
      </c>
      <c r="CS181" s="402">
        <f>IF(ISBLANK(Actuals!CT94),-366.3*Escalation!$B$94,Actuals!CT94)</f>
        <v>-420.763560059931</v>
      </c>
      <c r="CT181" s="402">
        <f>IF(ISBLANK(Actuals!CU94),-366.3*Escalation!$B$95,Actuals!CU94)</f>
        <v>-420.763560059931</v>
      </c>
      <c r="CU181" s="402">
        <f>IF(ISBLANK(Actuals!CV94),-366.3*Escalation!$B$96,Actuals!CV94)</f>
        <v>-420.763560059931</v>
      </c>
      <c r="CV181" s="402">
        <f>IF(ISBLANK(Actuals!CW94),-366.3*Escalation!$B$97,Actuals!CW94)</f>
        <v>-420.763560059931</v>
      </c>
      <c r="CW181" s="402">
        <f>IF(ISBLANK(Actuals!CX94),-366.3*Escalation!$B$98,Actuals!CX94)</f>
        <v>-429.17883126113</v>
      </c>
      <c r="CX181" s="402">
        <f>IF(ISBLANK(Actuals!CY94),-366.3*Escalation!$B$99,Actuals!CY94)</f>
        <v>-429.17883126113</v>
      </c>
      <c r="CY181" s="402">
        <f>IF(ISBLANK(Actuals!CZ94),-366.3*Escalation!$B$100,Actuals!CZ94)</f>
        <v>-429.17883126113</v>
      </c>
      <c r="CZ181" s="402">
        <f>IF(ISBLANK(Actuals!DA94),-366.3*Escalation!$B$101,Actuals!DA94)</f>
        <v>-429.17883126113</v>
      </c>
      <c r="DA181" s="402">
        <f>IF(ISBLANK(Actuals!DB94),-366.3*Escalation!$B$102,Actuals!DB94)</f>
        <v>-429.17883126113</v>
      </c>
      <c r="DB181" s="402">
        <f>IF(ISBLANK(Actuals!DC94),-366.3*Escalation!$B$103,Actuals!DC94)</f>
        <v>-429.17883126113</v>
      </c>
      <c r="DC181" s="402">
        <f>IF(ISBLANK(Actuals!DD94),-366.3*Escalation!$B$104,Actuals!DD94)</f>
        <v>-429.17883126113</v>
      </c>
      <c r="DD181" s="402">
        <f>IF(ISBLANK(Actuals!DE94),-366.3*Escalation!$B$105,Actuals!DE94)</f>
        <v>-429.17883126113</v>
      </c>
      <c r="DE181" s="402">
        <f>IF(ISBLANK(Actuals!DF94),-366.3*Escalation!$B$106,Actuals!DF94)</f>
        <v>-429.17883126113</v>
      </c>
    </row>
    <row r="182" ht="15" customFormat="1" customHeight="1" s="381">
      <c r="A182" s="415" t="inlineStr">
        <is>
          <t>5300-1002 Parking</t>
        </is>
      </c>
      <c r="B182" s="402">
        <f>IF(ISBLANK(Actuals!C95),0,Actuals!C95)</f>
        <v>0</v>
      </c>
      <c r="C182" s="402">
        <f>IF(ISBLANK(Actuals!D95),0,Actuals!D95)</f>
        <v>-92.75</v>
      </c>
      <c r="D182" s="402">
        <f>IF(ISBLANK(Actuals!E95),0,Actuals!E95)</f>
        <v>-57.46</v>
      </c>
      <c r="E182" s="402">
        <f>IF(ISBLANK(Actuals!F95),-50.07*Escalation!$B$2,Actuals!F95)</f>
        <v>0</v>
      </c>
      <c r="F182" s="402">
        <f>IF(ISBLANK(Actuals!G95),-50.07*Escalation!$B$3,Actuals!G95)</f>
        <v>-24.3</v>
      </c>
      <c r="G182" s="402">
        <f>IF(ISBLANK(Actuals!H95),-50.07*Escalation!$B$4,Actuals!H95)</f>
        <v>-917.7</v>
      </c>
      <c r="H182" s="402">
        <f>IF(ISBLANK(Actuals!I95),-50.07*Escalation!$B$5,Actuals!I95)</f>
        <v>-50.07</v>
      </c>
      <c r="I182" s="402">
        <f>IF(ISBLANK(Actuals!J95),-50.07*Escalation!$B$6,Actuals!J95)</f>
        <v>-50.07</v>
      </c>
      <c r="J182" s="402">
        <f>IF(ISBLANK(Actuals!K95),-50.07*Escalation!$B$7,Actuals!K95)</f>
        <v>-50.07</v>
      </c>
      <c r="K182" s="402">
        <f>IF(ISBLANK(Actuals!L95),-50.07*Escalation!$B$8,Actuals!L95)</f>
        <v>-50.07</v>
      </c>
      <c r="L182" s="402">
        <f>IF(ISBLANK(Actuals!M95),-50.07*Escalation!$B$9,Actuals!M95)</f>
        <v>-50.07</v>
      </c>
      <c r="M182" s="402">
        <f>IF(ISBLANK(Actuals!N95),-50.07*Escalation!$B$10,Actuals!N95)</f>
        <v>-50.07</v>
      </c>
      <c r="N182" s="402">
        <f>IF(ISBLANK(Actuals!O95),-50.07*Escalation!$B$11,Actuals!O95)</f>
        <v>-50.07</v>
      </c>
      <c r="O182" s="402">
        <f>IF(ISBLANK(Actuals!P95),-50.07*Escalation!$B$12,Actuals!P95)</f>
        <v>-50.07</v>
      </c>
      <c r="P182" s="402">
        <f>IF(ISBLANK(Actuals!Q95),-50.07*Escalation!$B$13,Actuals!Q95)</f>
        <v>-50.07</v>
      </c>
      <c r="Q182" s="402">
        <f>IF(ISBLANK(Actuals!R95),-50.07*Escalation!$B$14,Actuals!R95)</f>
        <v>-51.0714</v>
      </c>
      <c r="R182" s="402">
        <f>IF(ISBLANK(Actuals!S95),-50.07*Escalation!$B$15,Actuals!S95)</f>
        <v>-51.0714</v>
      </c>
      <c r="S182" s="402">
        <f>IF(ISBLANK(Actuals!T95),-50.07*Escalation!$B$16,Actuals!T95)</f>
        <v>-51.0714</v>
      </c>
      <c r="T182" s="402">
        <f>IF(ISBLANK(Actuals!U95),-50.07*Escalation!$B$17,Actuals!U95)</f>
        <v>-51.0714</v>
      </c>
      <c r="U182" s="402">
        <f>IF(ISBLANK(Actuals!V95),-50.07*Escalation!$B$18,Actuals!V95)</f>
        <v>-51.0714</v>
      </c>
      <c r="V182" s="402">
        <f>IF(ISBLANK(Actuals!W95),-50.07*Escalation!$B$19,Actuals!W95)</f>
        <v>-51.0714</v>
      </c>
      <c r="W182" s="402">
        <f>IF(ISBLANK(Actuals!X95),-50.07*Escalation!$B$20,Actuals!X95)</f>
        <v>-51.0714</v>
      </c>
      <c r="X182" s="402">
        <f>IF(ISBLANK(Actuals!Y95),-50.07*Escalation!$B$21,Actuals!Y95)</f>
        <v>-51.0714</v>
      </c>
      <c r="Y182" s="402">
        <f>IF(ISBLANK(Actuals!Z95),-50.07*Escalation!$B$22,Actuals!Z95)</f>
        <v>-51.0714</v>
      </c>
      <c r="Z182" s="402">
        <f>IF(ISBLANK(Actuals!AA95),-50.07*Escalation!$B$23,Actuals!AA95)</f>
        <v>-51.0714</v>
      </c>
      <c r="AA182" s="402">
        <f>IF(ISBLANK(Actuals!AB95),-50.07*Escalation!$B$24,Actuals!AB95)</f>
        <v>-51.0714</v>
      </c>
      <c r="AB182" s="402">
        <f>IF(ISBLANK(Actuals!AC95),-50.07*Escalation!$B$25,Actuals!AC95)</f>
        <v>-51.0714</v>
      </c>
      <c r="AC182" s="402">
        <f>IF(ISBLANK(Actuals!AD95),-50.07*Escalation!$B$26,Actuals!AD95)</f>
        <v>-52.092828</v>
      </c>
      <c r="AD182" s="402">
        <f>IF(ISBLANK(Actuals!AE95),-50.07*Escalation!$B$27,Actuals!AE95)</f>
        <v>-52.092828</v>
      </c>
      <c r="AE182" s="402">
        <f>IF(ISBLANK(Actuals!AF95),-50.07*Escalation!$B$28,Actuals!AF95)</f>
        <v>-52.092828</v>
      </c>
      <c r="AF182" s="402">
        <f>IF(ISBLANK(Actuals!AG95),-50.07*Escalation!$B$29,Actuals!AG95)</f>
        <v>-52.092828</v>
      </c>
      <c r="AG182" s="402">
        <f>IF(ISBLANK(Actuals!AH95),-50.07*Escalation!$B$30,Actuals!AH95)</f>
        <v>-52.092828</v>
      </c>
      <c r="AH182" s="402">
        <f>IF(ISBLANK(Actuals!AI95),-50.07*Escalation!$B$31,Actuals!AI95)</f>
        <v>-52.092828</v>
      </c>
      <c r="AI182" s="402">
        <f>IF(ISBLANK(Actuals!AJ95),-50.07*Escalation!$B$32,Actuals!AJ95)</f>
        <v>-52.092828</v>
      </c>
      <c r="AJ182" s="402">
        <f>IF(ISBLANK(Actuals!AK95),-50.07*Escalation!$B$33,Actuals!AK95)</f>
        <v>-52.092828</v>
      </c>
      <c r="AK182" s="402">
        <f>IF(ISBLANK(Actuals!AL95),-50.07*Escalation!$B$34,Actuals!AL95)</f>
        <v>-52.092828</v>
      </c>
      <c r="AL182" s="402">
        <f>IF(ISBLANK(Actuals!AM95),-50.07*Escalation!$B$35,Actuals!AM95)</f>
        <v>-52.092828</v>
      </c>
      <c r="AM182" s="402">
        <f>IF(ISBLANK(Actuals!AN95),-50.07*Escalation!$B$36,Actuals!AN95)</f>
        <v>-52.092828</v>
      </c>
      <c r="AN182" s="402">
        <f>IF(ISBLANK(Actuals!AO95),-50.07*Escalation!$B$37,Actuals!AO95)</f>
        <v>-52.092828</v>
      </c>
      <c r="AO182" s="402">
        <f>IF(ISBLANK(Actuals!AP95),-50.07*Escalation!$B$38,Actuals!AP95)</f>
        <v>-53.13468456</v>
      </c>
      <c r="AP182" s="402">
        <f>IF(ISBLANK(Actuals!AQ95),-50.07*Escalation!$B$39,Actuals!AQ95)</f>
        <v>-53.13468456</v>
      </c>
      <c r="AQ182" s="402">
        <f>IF(ISBLANK(Actuals!AR95),-50.07*Escalation!$B$40,Actuals!AR95)</f>
        <v>-53.13468456</v>
      </c>
      <c r="AR182" s="402">
        <f>IF(ISBLANK(Actuals!AS95),-50.07*Escalation!$B$41,Actuals!AS95)</f>
        <v>-53.13468456</v>
      </c>
      <c r="AS182" s="402">
        <f>IF(ISBLANK(Actuals!AT95),-50.07*Escalation!$B$42,Actuals!AT95)</f>
        <v>-53.13468456</v>
      </c>
      <c r="AT182" s="402">
        <f>IF(ISBLANK(Actuals!AU95),-50.07*Escalation!$B$43,Actuals!AU95)</f>
        <v>-53.13468456</v>
      </c>
      <c r="AU182" s="402">
        <f>IF(ISBLANK(Actuals!AV95),-50.07*Escalation!$B$44,Actuals!AV95)</f>
        <v>-53.13468456</v>
      </c>
      <c r="AV182" s="402">
        <f>IF(ISBLANK(Actuals!AW95),-50.07*Escalation!$B$45,Actuals!AW95)</f>
        <v>-53.13468456</v>
      </c>
      <c r="AW182" s="402">
        <f>IF(ISBLANK(Actuals!AX95),-50.07*Escalation!$B$46,Actuals!AX95)</f>
        <v>-53.13468456</v>
      </c>
      <c r="AX182" s="402">
        <f>IF(ISBLANK(Actuals!AY95),-50.07*Escalation!$B$47,Actuals!AY95)</f>
        <v>-53.13468456</v>
      </c>
      <c r="AY182" s="402">
        <f>IF(ISBLANK(Actuals!AZ95),-50.07*Escalation!$B$48,Actuals!AZ95)</f>
        <v>-53.13468456</v>
      </c>
      <c r="AZ182" s="402">
        <f>IF(ISBLANK(Actuals!BA95),-50.07*Escalation!$B$49,Actuals!BA95)</f>
        <v>-53.13468456</v>
      </c>
      <c r="BA182" s="402">
        <f>IF(ISBLANK(Actuals!BB95),-50.07*Escalation!$B$50,Actuals!BB95)</f>
        <v>-54.1973782512</v>
      </c>
      <c r="BB182" s="402">
        <f>IF(ISBLANK(Actuals!BC95),-50.07*Escalation!$B$51,Actuals!BC95)</f>
        <v>-54.1973782512</v>
      </c>
      <c r="BC182" s="402">
        <f>IF(ISBLANK(Actuals!BD95),-50.07*Escalation!$B$52,Actuals!BD95)</f>
        <v>-54.1973782512</v>
      </c>
      <c r="BD182" s="402">
        <f>IF(ISBLANK(Actuals!BE95),-50.07*Escalation!$B$53,Actuals!BE95)</f>
        <v>-54.1973782512</v>
      </c>
      <c r="BE182" s="402">
        <f>IF(ISBLANK(Actuals!BF95),-50.07*Escalation!$B$54,Actuals!BF95)</f>
        <v>-54.1973782512</v>
      </c>
      <c r="BF182" s="402">
        <f>IF(ISBLANK(Actuals!BG95),-50.07*Escalation!$B$55,Actuals!BG95)</f>
        <v>-54.1973782512</v>
      </c>
      <c r="BG182" s="402">
        <f>IF(ISBLANK(Actuals!BH95),-50.07*Escalation!$B$56,Actuals!BH95)</f>
        <v>-54.1973782512</v>
      </c>
      <c r="BH182" s="402">
        <f>IF(ISBLANK(Actuals!BI95),-50.07*Escalation!$B$57,Actuals!BI95)</f>
        <v>-54.1973782512</v>
      </c>
      <c r="BI182" s="402">
        <f>IF(ISBLANK(Actuals!BJ95),-50.07*Escalation!$B$58,Actuals!BJ95)</f>
        <v>-54.1973782512</v>
      </c>
      <c r="BJ182" s="402">
        <f>IF(ISBLANK(Actuals!BK95),-50.07*Escalation!$B$59,Actuals!BK95)</f>
        <v>-54.1973782512</v>
      </c>
      <c r="BK182" s="402">
        <f>IF(ISBLANK(Actuals!BL95),-50.07*Escalation!$B$60,Actuals!BL95)</f>
        <v>-54.1973782512</v>
      </c>
      <c r="BL182" s="402">
        <f>IF(ISBLANK(Actuals!BM95),-50.07*Escalation!$B$61,Actuals!BM95)</f>
        <v>-54.1973782512</v>
      </c>
      <c r="BM182" s="402">
        <f>IF(ISBLANK(Actuals!BN95),-50.07*Escalation!$B$62,Actuals!BN95)</f>
        <v>-55.281325816224</v>
      </c>
      <c r="BN182" s="402">
        <f>IF(ISBLANK(Actuals!BO95),-50.07*Escalation!$B$63,Actuals!BO95)</f>
        <v>-55.281325816224</v>
      </c>
      <c r="BO182" s="402">
        <f>IF(ISBLANK(Actuals!BP95),-50.07*Escalation!$B$64,Actuals!BP95)</f>
        <v>-55.281325816224</v>
      </c>
      <c r="BP182" s="402">
        <f>IF(ISBLANK(Actuals!BQ95),-50.07*Escalation!$B$65,Actuals!BQ95)</f>
        <v>-55.281325816224</v>
      </c>
      <c r="BQ182" s="402">
        <f>IF(ISBLANK(Actuals!BR95),-50.07*Escalation!$B$66,Actuals!BR95)</f>
        <v>-55.281325816224</v>
      </c>
      <c r="BR182" s="402">
        <f>IF(ISBLANK(Actuals!BS95),-50.07*Escalation!$B$67,Actuals!BS95)</f>
        <v>-55.281325816224</v>
      </c>
      <c r="BS182" s="402">
        <f>IF(ISBLANK(Actuals!BT95),-50.07*Escalation!$B$68,Actuals!BT95)</f>
        <v>-55.281325816224</v>
      </c>
      <c r="BT182" s="402">
        <f>IF(ISBLANK(Actuals!BU95),-50.07*Escalation!$B$69,Actuals!BU95)</f>
        <v>-55.281325816224</v>
      </c>
      <c r="BU182" s="402">
        <f>IF(ISBLANK(Actuals!BV95),-50.07*Escalation!$B$70,Actuals!BV95)</f>
        <v>-55.281325816224</v>
      </c>
      <c r="BV182" s="402">
        <f>IF(ISBLANK(Actuals!BW95),-50.07*Escalation!$B$71,Actuals!BW95)</f>
        <v>-55.281325816224</v>
      </c>
      <c r="BW182" s="402">
        <f>IF(ISBLANK(Actuals!BX95),-50.07*Escalation!$B$72,Actuals!BX95)</f>
        <v>-55.281325816224</v>
      </c>
      <c r="BX182" s="402">
        <f>IF(ISBLANK(Actuals!BY95),-50.07*Escalation!$B$73,Actuals!BY95)</f>
        <v>-55.281325816224</v>
      </c>
      <c r="BY182" s="402">
        <f>IF(ISBLANK(Actuals!BZ95),-50.07*Escalation!$B$74,Actuals!BZ95)</f>
        <v>-56.3869523325485</v>
      </c>
      <c r="BZ182" s="402">
        <f>IF(ISBLANK(Actuals!CA95),-50.07*Escalation!$B$75,Actuals!CA95)</f>
        <v>-56.3869523325485</v>
      </c>
      <c r="CA182" s="402">
        <f>IF(ISBLANK(Actuals!CB95),-50.07*Escalation!$B$76,Actuals!CB95)</f>
        <v>-56.3869523325485</v>
      </c>
      <c r="CB182" s="402">
        <f>IF(ISBLANK(Actuals!CC95),-50.07*Escalation!$B$77,Actuals!CC95)</f>
        <v>-56.3869523325485</v>
      </c>
      <c r="CC182" s="402">
        <f>IF(ISBLANK(Actuals!CD95),-50.07*Escalation!$B$78,Actuals!CD95)</f>
        <v>-56.3869523325485</v>
      </c>
      <c r="CD182" s="402">
        <f>IF(ISBLANK(Actuals!CE95),-50.07*Escalation!$B$79,Actuals!CE95)</f>
        <v>-56.3869523325485</v>
      </c>
      <c r="CE182" s="402">
        <f>IF(ISBLANK(Actuals!CF95),-50.07*Escalation!$B$80,Actuals!CF95)</f>
        <v>-56.3869523325485</v>
      </c>
      <c r="CF182" s="402">
        <f>IF(ISBLANK(Actuals!CG95),-50.07*Escalation!$B$81,Actuals!CG95)</f>
        <v>-56.3869523325485</v>
      </c>
      <c r="CG182" s="402">
        <f>IF(ISBLANK(Actuals!CH95),-50.07*Escalation!$B$82,Actuals!CH95)</f>
        <v>-56.3869523325485</v>
      </c>
      <c r="CH182" s="402">
        <f>IF(ISBLANK(Actuals!CI95),-50.07*Escalation!$B$83,Actuals!CI95)</f>
        <v>-56.3869523325485</v>
      </c>
      <c r="CI182" s="402">
        <f>IF(ISBLANK(Actuals!CJ95),-50.07*Escalation!$B$84,Actuals!CJ95)</f>
        <v>-56.3869523325485</v>
      </c>
      <c r="CJ182" s="402">
        <f>IF(ISBLANK(Actuals!CK95),-50.07*Escalation!$B$85,Actuals!CK95)</f>
        <v>-56.3869523325485</v>
      </c>
      <c r="CK182" s="402">
        <f>IF(ISBLANK(Actuals!CL95),-50.07*Escalation!$B$86,Actuals!CL95)</f>
        <v>-57.5146913791995</v>
      </c>
      <c r="CL182" s="402">
        <f>IF(ISBLANK(Actuals!CM95),-50.07*Escalation!$B$87,Actuals!CM95)</f>
        <v>-57.5146913791995</v>
      </c>
      <c r="CM182" s="402">
        <f>IF(ISBLANK(Actuals!CN95),-50.07*Escalation!$B$88,Actuals!CN95)</f>
        <v>-57.5146913791995</v>
      </c>
      <c r="CN182" s="402">
        <f>IF(ISBLANK(Actuals!CO95),-50.07*Escalation!$B$89,Actuals!CO95)</f>
        <v>-57.5146913791995</v>
      </c>
      <c r="CO182" s="402">
        <f>IF(ISBLANK(Actuals!CP95),-50.07*Escalation!$B$90,Actuals!CP95)</f>
        <v>-57.5146913791995</v>
      </c>
      <c r="CP182" s="402">
        <f>IF(ISBLANK(Actuals!CQ95),-50.07*Escalation!$B$91,Actuals!CQ95)</f>
        <v>-57.5146913791995</v>
      </c>
      <c r="CQ182" s="402">
        <f>IF(ISBLANK(Actuals!CR95),-50.07*Escalation!$B$92,Actuals!CR95)</f>
        <v>-57.5146913791995</v>
      </c>
      <c r="CR182" s="402">
        <f>IF(ISBLANK(Actuals!CS95),-50.07*Escalation!$B$93,Actuals!CS95)</f>
        <v>-57.5146913791995</v>
      </c>
      <c r="CS182" s="402">
        <f>IF(ISBLANK(Actuals!CT95),-50.07*Escalation!$B$94,Actuals!CT95)</f>
        <v>-57.5146913791995</v>
      </c>
      <c r="CT182" s="402">
        <f>IF(ISBLANK(Actuals!CU95),-50.07*Escalation!$B$95,Actuals!CU95)</f>
        <v>-57.5146913791995</v>
      </c>
      <c r="CU182" s="402">
        <f>IF(ISBLANK(Actuals!CV95),-50.07*Escalation!$B$96,Actuals!CV95)</f>
        <v>-57.5146913791995</v>
      </c>
      <c r="CV182" s="402">
        <f>IF(ISBLANK(Actuals!CW95),-50.07*Escalation!$B$97,Actuals!CW95)</f>
        <v>-57.5146913791995</v>
      </c>
      <c r="CW182" s="402">
        <f>IF(ISBLANK(Actuals!CX95),-50.07*Escalation!$B$98,Actuals!CX95)</f>
        <v>-58.6649852067835</v>
      </c>
      <c r="CX182" s="402">
        <f>IF(ISBLANK(Actuals!CY95),-50.07*Escalation!$B$99,Actuals!CY95)</f>
        <v>-58.6649852067835</v>
      </c>
      <c r="CY182" s="402">
        <f>IF(ISBLANK(Actuals!CZ95),-50.07*Escalation!$B$100,Actuals!CZ95)</f>
        <v>-58.6649852067835</v>
      </c>
      <c r="CZ182" s="402">
        <f>IF(ISBLANK(Actuals!DA95),-50.07*Escalation!$B$101,Actuals!DA95)</f>
        <v>-58.6649852067835</v>
      </c>
      <c r="DA182" s="402">
        <f>IF(ISBLANK(Actuals!DB95),-50.07*Escalation!$B$102,Actuals!DB95)</f>
        <v>-58.6649852067835</v>
      </c>
      <c r="DB182" s="402">
        <f>IF(ISBLANK(Actuals!DC95),-50.07*Escalation!$B$103,Actuals!DC95)</f>
        <v>-58.6649852067835</v>
      </c>
      <c r="DC182" s="402">
        <f>IF(ISBLANK(Actuals!DD95),-50.07*Escalation!$B$104,Actuals!DD95)</f>
        <v>-58.6649852067835</v>
      </c>
      <c r="DD182" s="402">
        <f>IF(ISBLANK(Actuals!DE95),-50.07*Escalation!$B$105,Actuals!DE95)</f>
        <v>-58.6649852067835</v>
      </c>
      <c r="DE182" s="402">
        <f>IF(ISBLANK(Actuals!DF95),-50.07*Escalation!$B$106,Actuals!DF95)</f>
        <v>-58.6649852067835</v>
      </c>
    </row>
    <row r="183" ht="15" customFormat="1" customHeight="1" s="381">
      <c r="A183" s="415" t="inlineStr">
        <is>
          <t>5300-1050 Meals and Entertainment</t>
        </is>
      </c>
      <c r="B183" s="402">
        <f>IF(ISBLANK(Actuals!C96),0,Actuals!C96)</f>
        <v>-640.88</v>
      </c>
      <c r="C183" s="402">
        <f>IF(ISBLANK(Actuals!D96),0,Actuals!D96)</f>
        <v>-872.64</v>
      </c>
      <c r="D183" s="402">
        <f>IF(ISBLANK(Actuals!E96),0,Actuals!E96)</f>
        <v>-1175.78</v>
      </c>
      <c r="E183" s="402">
        <f>IF(ISBLANK(Actuals!F96),-896.43*Escalation!$B$2,Actuals!F96)</f>
        <v>-471.38</v>
      </c>
      <c r="F183" s="402">
        <f>IF(ISBLANK(Actuals!G96),-896.43*Escalation!$B$3,Actuals!G96)</f>
        <v>-1307.57</v>
      </c>
      <c r="G183" s="402">
        <f>IF(ISBLANK(Actuals!H96),-896.43*Escalation!$B$4,Actuals!H96)</f>
        <v>-3067.11</v>
      </c>
      <c r="H183" s="402">
        <f>IF(ISBLANK(Actuals!I96),-896.43*Escalation!$B$5,Actuals!I96)</f>
        <v>-896.43</v>
      </c>
      <c r="I183" s="402">
        <f>IF(ISBLANK(Actuals!J96),-896.43*Escalation!$B$6,Actuals!J96)</f>
        <v>-896.43</v>
      </c>
      <c r="J183" s="402">
        <f>IF(ISBLANK(Actuals!K96),-896.43*Escalation!$B$7,Actuals!K96)</f>
        <v>-896.43</v>
      </c>
      <c r="K183" s="402">
        <f>IF(ISBLANK(Actuals!L96),-896.43*Escalation!$B$8,Actuals!L96)</f>
        <v>-896.43</v>
      </c>
      <c r="L183" s="402">
        <f>IF(ISBLANK(Actuals!M96),-896.43*Escalation!$B$9,Actuals!M96)</f>
        <v>-896.43</v>
      </c>
      <c r="M183" s="402">
        <f>IF(ISBLANK(Actuals!N96),-896.43*Escalation!$B$10,Actuals!N96)</f>
        <v>-896.43</v>
      </c>
      <c r="N183" s="402">
        <f>IF(ISBLANK(Actuals!O96),-896.43*Escalation!$B$11,Actuals!O96)</f>
        <v>-896.43</v>
      </c>
      <c r="O183" s="402">
        <f>IF(ISBLANK(Actuals!P96),-896.43*Escalation!$B$12,Actuals!P96)</f>
        <v>-896.43</v>
      </c>
      <c r="P183" s="402">
        <f>IF(ISBLANK(Actuals!Q96),-896.43*Escalation!$B$13,Actuals!Q96)</f>
        <v>-896.43</v>
      </c>
      <c r="Q183" s="402">
        <f>IF(ISBLANK(Actuals!R96),-896.43*Escalation!$B$14,Actuals!R96)</f>
        <v>-914.3586</v>
      </c>
      <c r="R183" s="402">
        <f>IF(ISBLANK(Actuals!S96),-896.43*Escalation!$B$15,Actuals!S96)</f>
        <v>-914.3586</v>
      </c>
      <c r="S183" s="402">
        <f>IF(ISBLANK(Actuals!T96),-896.43*Escalation!$B$16,Actuals!T96)</f>
        <v>-914.3586</v>
      </c>
      <c r="T183" s="402">
        <f>IF(ISBLANK(Actuals!U96),-896.43*Escalation!$B$17,Actuals!U96)</f>
        <v>-914.3586</v>
      </c>
      <c r="U183" s="402">
        <f>IF(ISBLANK(Actuals!V96),-896.43*Escalation!$B$18,Actuals!V96)</f>
        <v>-914.3586</v>
      </c>
      <c r="V183" s="402">
        <f>IF(ISBLANK(Actuals!W96),-896.43*Escalation!$B$19,Actuals!W96)</f>
        <v>-914.3586</v>
      </c>
      <c r="W183" s="402">
        <f>IF(ISBLANK(Actuals!X96),-896.43*Escalation!$B$20,Actuals!X96)</f>
        <v>-914.3586</v>
      </c>
      <c r="X183" s="402">
        <f>IF(ISBLANK(Actuals!Y96),-896.43*Escalation!$B$21,Actuals!Y96)</f>
        <v>-914.3586</v>
      </c>
      <c r="Y183" s="402">
        <f>IF(ISBLANK(Actuals!Z96),-896.43*Escalation!$B$22,Actuals!Z96)</f>
        <v>-914.3586</v>
      </c>
      <c r="Z183" s="402">
        <f>IF(ISBLANK(Actuals!AA96),-896.43*Escalation!$B$23,Actuals!AA96)</f>
        <v>-914.3586</v>
      </c>
      <c r="AA183" s="402">
        <f>IF(ISBLANK(Actuals!AB96),-896.43*Escalation!$B$24,Actuals!AB96)</f>
        <v>-914.3586</v>
      </c>
      <c r="AB183" s="402">
        <f>IF(ISBLANK(Actuals!AC96),-896.43*Escalation!$B$25,Actuals!AC96)</f>
        <v>-914.3586</v>
      </c>
      <c r="AC183" s="402">
        <f>IF(ISBLANK(Actuals!AD96),-896.43*Escalation!$B$26,Actuals!AD96)</f>
        <v>-932.645772</v>
      </c>
      <c r="AD183" s="402">
        <f>IF(ISBLANK(Actuals!AE96),-896.43*Escalation!$B$27,Actuals!AE96)</f>
        <v>-932.645772</v>
      </c>
      <c r="AE183" s="402">
        <f>IF(ISBLANK(Actuals!AF96),-896.43*Escalation!$B$28,Actuals!AF96)</f>
        <v>-932.645772</v>
      </c>
      <c r="AF183" s="402">
        <f>IF(ISBLANK(Actuals!AG96),-896.43*Escalation!$B$29,Actuals!AG96)</f>
        <v>-932.645772</v>
      </c>
      <c r="AG183" s="402">
        <f>IF(ISBLANK(Actuals!AH96),-896.43*Escalation!$B$30,Actuals!AH96)</f>
        <v>-932.645772</v>
      </c>
      <c r="AH183" s="402">
        <f>IF(ISBLANK(Actuals!AI96),-896.43*Escalation!$B$31,Actuals!AI96)</f>
        <v>-932.645772</v>
      </c>
      <c r="AI183" s="402">
        <f>IF(ISBLANK(Actuals!AJ96),-896.43*Escalation!$B$32,Actuals!AJ96)</f>
        <v>-932.645772</v>
      </c>
      <c r="AJ183" s="402">
        <f>IF(ISBLANK(Actuals!AK96),-896.43*Escalation!$B$33,Actuals!AK96)</f>
        <v>-932.645772</v>
      </c>
      <c r="AK183" s="402">
        <f>IF(ISBLANK(Actuals!AL96),-896.43*Escalation!$B$34,Actuals!AL96)</f>
        <v>-932.645772</v>
      </c>
      <c r="AL183" s="402">
        <f>IF(ISBLANK(Actuals!AM96),-896.43*Escalation!$B$35,Actuals!AM96)</f>
        <v>-932.645772</v>
      </c>
      <c r="AM183" s="402">
        <f>IF(ISBLANK(Actuals!AN96),-896.43*Escalation!$B$36,Actuals!AN96)</f>
        <v>-932.645772</v>
      </c>
      <c r="AN183" s="402">
        <f>IF(ISBLANK(Actuals!AO96),-896.43*Escalation!$B$37,Actuals!AO96)</f>
        <v>-932.645772</v>
      </c>
      <c r="AO183" s="402">
        <f>IF(ISBLANK(Actuals!AP96),-896.43*Escalation!$B$38,Actuals!AP96)</f>
        <v>-951.29868744</v>
      </c>
      <c r="AP183" s="402">
        <f>IF(ISBLANK(Actuals!AQ96),-896.43*Escalation!$B$39,Actuals!AQ96)</f>
        <v>-951.29868744</v>
      </c>
      <c r="AQ183" s="402">
        <f>IF(ISBLANK(Actuals!AR96),-896.43*Escalation!$B$40,Actuals!AR96)</f>
        <v>-951.29868744</v>
      </c>
      <c r="AR183" s="402">
        <f>IF(ISBLANK(Actuals!AS96),-896.43*Escalation!$B$41,Actuals!AS96)</f>
        <v>-951.29868744</v>
      </c>
      <c r="AS183" s="402">
        <f>IF(ISBLANK(Actuals!AT96),-896.43*Escalation!$B$42,Actuals!AT96)</f>
        <v>-951.29868744</v>
      </c>
      <c r="AT183" s="402">
        <f>IF(ISBLANK(Actuals!AU96),-896.43*Escalation!$B$43,Actuals!AU96)</f>
        <v>-951.29868744</v>
      </c>
      <c r="AU183" s="402">
        <f>IF(ISBLANK(Actuals!AV96),-896.43*Escalation!$B$44,Actuals!AV96)</f>
        <v>-951.29868744</v>
      </c>
      <c r="AV183" s="402">
        <f>IF(ISBLANK(Actuals!AW96),-896.43*Escalation!$B$45,Actuals!AW96)</f>
        <v>-951.29868744</v>
      </c>
      <c r="AW183" s="402">
        <f>IF(ISBLANK(Actuals!AX96),-896.43*Escalation!$B$46,Actuals!AX96)</f>
        <v>-951.29868744</v>
      </c>
      <c r="AX183" s="402">
        <f>IF(ISBLANK(Actuals!AY96),-896.43*Escalation!$B$47,Actuals!AY96)</f>
        <v>-951.29868744</v>
      </c>
      <c r="AY183" s="402">
        <f>IF(ISBLANK(Actuals!AZ96),-896.43*Escalation!$B$48,Actuals!AZ96)</f>
        <v>-951.29868744</v>
      </c>
      <c r="AZ183" s="402">
        <f>IF(ISBLANK(Actuals!BA96),-896.43*Escalation!$B$49,Actuals!BA96)</f>
        <v>-951.29868744</v>
      </c>
      <c r="BA183" s="402">
        <f>IF(ISBLANK(Actuals!BB96),-896.43*Escalation!$B$50,Actuals!BB96)</f>
        <v>-970.3246611888</v>
      </c>
      <c r="BB183" s="402">
        <f>IF(ISBLANK(Actuals!BC96),-896.43*Escalation!$B$51,Actuals!BC96)</f>
        <v>-970.3246611888</v>
      </c>
      <c r="BC183" s="402">
        <f>IF(ISBLANK(Actuals!BD96),-896.43*Escalation!$B$52,Actuals!BD96)</f>
        <v>-970.3246611888</v>
      </c>
      <c r="BD183" s="402">
        <f>IF(ISBLANK(Actuals!BE96),-896.43*Escalation!$B$53,Actuals!BE96)</f>
        <v>-970.3246611888</v>
      </c>
      <c r="BE183" s="402">
        <f>IF(ISBLANK(Actuals!BF96),-896.43*Escalation!$B$54,Actuals!BF96)</f>
        <v>-970.3246611888</v>
      </c>
      <c r="BF183" s="402">
        <f>IF(ISBLANK(Actuals!BG96),-896.43*Escalation!$B$55,Actuals!BG96)</f>
        <v>-970.3246611888</v>
      </c>
      <c r="BG183" s="402">
        <f>IF(ISBLANK(Actuals!BH96),-896.43*Escalation!$B$56,Actuals!BH96)</f>
        <v>-970.3246611888</v>
      </c>
      <c r="BH183" s="402">
        <f>IF(ISBLANK(Actuals!BI96),-896.43*Escalation!$B$57,Actuals!BI96)</f>
        <v>-970.3246611888</v>
      </c>
      <c r="BI183" s="402">
        <f>IF(ISBLANK(Actuals!BJ96),-896.43*Escalation!$B$58,Actuals!BJ96)</f>
        <v>-970.3246611888</v>
      </c>
      <c r="BJ183" s="402">
        <f>IF(ISBLANK(Actuals!BK96),-896.43*Escalation!$B$59,Actuals!BK96)</f>
        <v>-970.3246611888</v>
      </c>
      <c r="BK183" s="402">
        <f>IF(ISBLANK(Actuals!BL96),-896.43*Escalation!$B$60,Actuals!BL96)</f>
        <v>-970.3246611888</v>
      </c>
      <c r="BL183" s="402">
        <f>IF(ISBLANK(Actuals!BM96),-896.43*Escalation!$B$61,Actuals!BM96)</f>
        <v>-970.3246611888</v>
      </c>
      <c r="BM183" s="402">
        <f>IF(ISBLANK(Actuals!BN96),-896.43*Escalation!$B$62,Actuals!BN96)</f>
        <v>-989.731154412576</v>
      </c>
      <c r="BN183" s="402">
        <f>IF(ISBLANK(Actuals!BO96),-896.43*Escalation!$B$63,Actuals!BO96)</f>
        <v>-989.731154412576</v>
      </c>
      <c r="BO183" s="402">
        <f>IF(ISBLANK(Actuals!BP96),-896.43*Escalation!$B$64,Actuals!BP96)</f>
        <v>-989.731154412576</v>
      </c>
      <c r="BP183" s="402">
        <f>IF(ISBLANK(Actuals!BQ96),-896.43*Escalation!$B$65,Actuals!BQ96)</f>
        <v>-989.731154412576</v>
      </c>
      <c r="BQ183" s="402">
        <f>IF(ISBLANK(Actuals!BR96),-896.43*Escalation!$B$66,Actuals!BR96)</f>
        <v>-989.731154412576</v>
      </c>
      <c r="BR183" s="402">
        <f>IF(ISBLANK(Actuals!BS96),-896.43*Escalation!$B$67,Actuals!BS96)</f>
        <v>-989.731154412576</v>
      </c>
      <c r="BS183" s="402">
        <f>IF(ISBLANK(Actuals!BT96),-896.43*Escalation!$B$68,Actuals!BT96)</f>
        <v>-989.731154412576</v>
      </c>
      <c r="BT183" s="402">
        <f>IF(ISBLANK(Actuals!BU96),-896.43*Escalation!$B$69,Actuals!BU96)</f>
        <v>-989.731154412576</v>
      </c>
      <c r="BU183" s="402">
        <f>IF(ISBLANK(Actuals!BV96),-896.43*Escalation!$B$70,Actuals!BV96)</f>
        <v>-989.731154412576</v>
      </c>
      <c r="BV183" s="402">
        <f>IF(ISBLANK(Actuals!BW96),-896.43*Escalation!$B$71,Actuals!BW96)</f>
        <v>-989.731154412576</v>
      </c>
      <c r="BW183" s="402">
        <f>IF(ISBLANK(Actuals!BX96),-896.43*Escalation!$B$72,Actuals!BX96)</f>
        <v>-989.731154412576</v>
      </c>
      <c r="BX183" s="402">
        <f>IF(ISBLANK(Actuals!BY96),-896.43*Escalation!$B$73,Actuals!BY96)</f>
        <v>-989.731154412576</v>
      </c>
      <c r="BY183" s="402">
        <f>IF(ISBLANK(Actuals!BZ96),-896.43*Escalation!$B$74,Actuals!BZ96)</f>
        <v>-1009.52577750083</v>
      </c>
      <c r="BZ183" s="402">
        <f>IF(ISBLANK(Actuals!CA96),-896.43*Escalation!$B$75,Actuals!CA96)</f>
        <v>-1009.52577750083</v>
      </c>
      <c r="CA183" s="402">
        <f>IF(ISBLANK(Actuals!CB96),-896.43*Escalation!$B$76,Actuals!CB96)</f>
        <v>-1009.52577750083</v>
      </c>
      <c r="CB183" s="402">
        <f>IF(ISBLANK(Actuals!CC96),-896.43*Escalation!$B$77,Actuals!CC96)</f>
        <v>-1009.52577750083</v>
      </c>
      <c r="CC183" s="402">
        <f>IF(ISBLANK(Actuals!CD96),-896.43*Escalation!$B$78,Actuals!CD96)</f>
        <v>-1009.52577750083</v>
      </c>
      <c r="CD183" s="402">
        <f>IF(ISBLANK(Actuals!CE96),-896.43*Escalation!$B$79,Actuals!CE96)</f>
        <v>-1009.52577750083</v>
      </c>
      <c r="CE183" s="402">
        <f>IF(ISBLANK(Actuals!CF96),-896.43*Escalation!$B$80,Actuals!CF96)</f>
        <v>-1009.52577750083</v>
      </c>
      <c r="CF183" s="402">
        <f>IF(ISBLANK(Actuals!CG96),-896.43*Escalation!$B$81,Actuals!CG96)</f>
        <v>-1009.52577750083</v>
      </c>
      <c r="CG183" s="402">
        <f>IF(ISBLANK(Actuals!CH96),-896.43*Escalation!$B$82,Actuals!CH96)</f>
        <v>-1009.52577750083</v>
      </c>
      <c r="CH183" s="402">
        <f>IF(ISBLANK(Actuals!CI96),-896.43*Escalation!$B$83,Actuals!CI96)</f>
        <v>-1009.52577750083</v>
      </c>
      <c r="CI183" s="402">
        <f>IF(ISBLANK(Actuals!CJ96),-896.43*Escalation!$B$84,Actuals!CJ96)</f>
        <v>-1009.52577750083</v>
      </c>
      <c r="CJ183" s="402">
        <f>IF(ISBLANK(Actuals!CK96),-896.43*Escalation!$B$85,Actuals!CK96)</f>
        <v>-1009.52577750083</v>
      </c>
      <c r="CK183" s="402">
        <f>IF(ISBLANK(Actuals!CL96),-896.43*Escalation!$B$86,Actuals!CL96)</f>
        <v>-1029.71629305084</v>
      </c>
      <c r="CL183" s="402">
        <f>IF(ISBLANK(Actuals!CM96),-896.43*Escalation!$B$87,Actuals!CM96)</f>
        <v>-1029.71629305084</v>
      </c>
      <c r="CM183" s="402">
        <f>IF(ISBLANK(Actuals!CN96),-896.43*Escalation!$B$88,Actuals!CN96)</f>
        <v>-1029.71629305084</v>
      </c>
      <c r="CN183" s="402">
        <f>IF(ISBLANK(Actuals!CO96),-896.43*Escalation!$B$89,Actuals!CO96)</f>
        <v>-1029.71629305084</v>
      </c>
      <c r="CO183" s="402">
        <f>IF(ISBLANK(Actuals!CP96),-896.43*Escalation!$B$90,Actuals!CP96)</f>
        <v>-1029.71629305084</v>
      </c>
      <c r="CP183" s="402">
        <f>IF(ISBLANK(Actuals!CQ96),-896.43*Escalation!$B$91,Actuals!CQ96)</f>
        <v>-1029.71629305084</v>
      </c>
      <c r="CQ183" s="402">
        <f>IF(ISBLANK(Actuals!CR96),-896.43*Escalation!$B$92,Actuals!CR96)</f>
        <v>-1029.71629305084</v>
      </c>
      <c r="CR183" s="402">
        <f>IF(ISBLANK(Actuals!CS96),-896.43*Escalation!$B$93,Actuals!CS96)</f>
        <v>-1029.71629305084</v>
      </c>
      <c r="CS183" s="402">
        <f>IF(ISBLANK(Actuals!CT96),-896.43*Escalation!$B$94,Actuals!CT96)</f>
        <v>-1029.71629305084</v>
      </c>
      <c r="CT183" s="402">
        <f>IF(ISBLANK(Actuals!CU96),-896.43*Escalation!$B$95,Actuals!CU96)</f>
        <v>-1029.71629305084</v>
      </c>
      <c r="CU183" s="402">
        <f>IF(ISBLANK(Actuals!CV96),-896.43*Escalation!$B$96,Actuals!CV96)</f>
        <v>-1029.71629305084</v>
      </c>
      <c r="CV183" s="402">
        <f>IF(ISBLANK(Actuals!CW96),-896.43*Escalation!$B$97,Actuals!CW96)</f>
        <v>-1029.71629305084</v>
      </c>
      <c r="CW183" s="402">
        <f>IF(ISBLANK(Actuals!CX96),-896.43*Escalation!$B$98,Actuals!CX96)</f>
        <v>-1050.31061891186</v>
      </c>
      <c r="CX183" s="402">
        <f>IF(ISBLANK(Actuals!CY96),-896.43*Escalation!$B$99,Actuals!CY96)</f>
        <v>-1050.31061891186</v>
      </c>
      <c r="CY183" s="402">
        <f>IF(ISBLANK(Actuals!CZ96),-896.43*Escalation!$B$100,Actuals!CZ96)</f>
        <v>-1050.31061891186</v>
      </c>
      <c r="CZ183" s="402">
        <f>IF(ISBLANK(Actuals!DA96),-896.43*Escalation!$B$101,Actuals!DA96)</f>
        <v>-1050.31061891186</v>
      </c>
      <c r="DA183" s="402">
        <f>IF(ISBLANK(Actuals!DB96),-896.43*Escalation!$B$102,Actuals!DB96)</f>
        <v>-1050.31061891186</v>
      </c>
      <c r="DB183" s="402">
        <f>IF(ISBLANK(Actuals!DC96),-896.43*Escalation!$B$103,Actuals!DC96)</f>
        <v>-1050.31061891186</v>
      </c>
      <c r="DC183" s="402">
        <f>IF(ISBLANK(Actuals!DD96),-896.43*Escalation!$B$104,Actuals!DD96)</f>
        <v>-1050.31061891186</v>
      </c>
      <c r="DD183" s="402">
        <f>IF(ISBLANK(Actuals!DE96),-896.43*Escalation!$B$105,Actuals!DE96)</f>
        <v>-1050.31061891186</v>
      </c>
      <c r="DE183" s="402">
        <f>IF(ISBLANK(Actuals!DF96),-896.43*Escalation!$B$106,Actuals!DF96)</f>
        <v>-1050.31061891186</v>
      </c>
    </row>
    <row r="184" ht="15" customFormat="1" customHeight="1" s="381">
      <c r="A184" s="415" t="inlineStr">
        <is>
          <t>5500-1000 Legal and Professional Fees</t>
        </is>
      </c>
      <c r="B184" s="402">
        <f>IF(ISBLANK(Actuals!C97),0,Actuals!C97)</f>
        <v>0</v>
      </c>
      <c r="C184" s="402">
        <f>IF(ISBLANK(Actuals!D97),0,Actuals!D97)</f>
        <v>0</v>
      </c>
      <c r="D184" s="402">
        <f>IF(ISBLANK(Actuals!E97),0,Actuals!E97)</f>
        <v>-38050.5</v>
      </c>
      <c r="E184" s="402">
        <f>IF(ISBLANK(Actuals!F97),-2000*Escalation!$B$2,Actuals!F97)</f>
        <v>0</v>
      </c>
      <c r="F184" s="402">
        <f>IF(ISBLANK(Actuals!G97),-2000*Escalation!$B$3,Actuals!G97)</f>
        <v>-986.5</v>
      </c>
      <c r="G184" s="402">
        <f>IF(ISBLANK(Actuals!H97),-2000*Escalation!$B$4,Actuals!H97)</f>
        <v>-4830</v>
      </c>
      <c r="H184" s="402">
        <f>IF(ISBLANK(Actuals!I97),-2000*Escalation!$B$5,Actuals!I97)</f>
        <v>-2000</v>
      </c>
      <c r="I184" s="402">
        <f>IF(ISBLANK(Actuals!J97),-2000*Escalation!$B$6,Actuals!J97)</f>
        <v>-2000</v>
      </c>
      <c r="J184" s="402">
        <f>IF(ISBLANK(Actuals!K97),-2000*Escalation!$B$7,Actuals!K97)</f>
        <v>-2000</v>
      </c>
      <c r="K184" s="402">
        <f>IF(ISBLANK(Actuals!L97),-2000*Escalation!$B$8,Actuals!L97)</f>
        <v>-2000</v>
      </c>
      <c r="L184" s="402">
        <f>IF(ISBLANK(Actuals!M97),-2000*Escalation!$B$9,Actuals!M97)</f>
        <v>-2000</v>
      </c>
      <c r="M184" s="402">
        <f>IF(ISBLANK(Actuals!N97),-2000*Escalation!$B$10,Actuals!N97)</f>
        <v>-2000</v>
      </c>
      <c r="N184" s="402">
        <f>IF(ISBLANK(Actuals!O97),-2000*Escalation!$B$11,Actuals!O97)</f>
        <v>-2000</v>
      </c>
      <c r="O184" s="402">
        <f>IF(ISBLANK(Actuals!P97),-2000*Escalation!$B$12,Actuals!P97)</f>
        <v>-2000</v>
      </c>
      <c r="P184" s="402">
        <f>IF(ISBLANK(Actuals!Q97),-2000*Escalation!$B$13,Actuals!Q97)</f>
        <v>-2000</v>
      </c>
      <c r="Q184" s="402">
        <f>IF(ISBLANK(Actuals!R97),-2000*Escalation!$B$14,Actuals!R97)</f>
        <v>-2040</v>
      </c>
      <c r="R184" s="402">
        <f>IF(ISBLANK(Actuals!S97),-2000*Escalation!$B$15,Actuals!S97)</f>
        <v>-2040</v>
      </c>
      <c r="S184" s="402">
        <f>IF(ISBLANK(Actuals!T97),-2000*Escalation!$B$16,Actuals!T97)</f>
        <v>-2040</v>
      </c>
      <c r="T184" s="402">
        <f>IF(ISBLANK(Actuals!U97),-2000*Escalation!$B$17,Actuals!U97)</f>
        <v>-2040</v>
      </c>
      <c r="U184" s="402">
        <f>IF(ISBLANK(Actuals!V97),-2000*Escalation!$B$18,Actuals!V97)</f>
        <v>-2040</v>
      </c>
      <c r="V184" s="402">
        <f>IF(ISBLANK(Actuals!W97),-2000*Escalation!$B$19,Actuals!W97)</f>
        <v>-2040</v>
      </c>
      <c r="W184" s="402">
        <f>IF(ISBLANK(Actuals!X97),-2000*Escalation!$B$20,Actuals!X97)</f>
        <v>-2040</v>
      </c>
      <c r="X184" s="402">
        <f>IF(ISBLANK(Actuals!Y97),-2000*Escalation!$B$21,Actuals!Y97)</f>
        <v>-2040</v>
      </c>
      <c r="Y184" s="402">
        <f>IF(ISBLANK(Actuals!Z97),-2000*Escalation!$B$22,Actuals!Z97)</f>
        <v>-2040</v>
      </c>
      <c r="Z184" s="402">
        <f>IF(ISBLANK(Actuals!AA97),-2000*Escalation!$B$23,Actuals!AA97)</f>
        <v>-2040</v>
      </c>
      <c r="AA184" s="402">
        <f>IF(ISBLANK(Actuals!AB97),-2000*Escalation!$B$24,Actuals!AB97)</f>
        <v>-2040</v>
      </c>
      <c r="AB184" s="402">
        <f>IF(ISBLANK(Actuals!AC97),-2000*Escalation!$B$25,Actuals!AC97)</f>
        <v>-2040</v>
      </c>
      <c r="AC184" s="402">
        <f>IF(ISBLANK(Actuals!AD97),-2000*Escalation!$B$26,Actuals!AD97)</f>
        <v>-2080.8</v>
      </c>
      <c r="AD184" s="402">
        <f>IF(ISBLANK(Actuals!AE97),-2000*Escalation!$B$27,Actuals!AE97)</f>
        <v>-2080.8</v>
      </c>
      <c r="AE184" s="402">
        <f>IF(ISBLANK(Actuals!AF97),-2000*Escalation!$B$28,Actuals!AF97)</f>
        <v>-2080.8</v>
      </c>
      <c r="AF184" s="402">
        <f>IF(ISBLANK(Actuals!AG97),-2000*Escalation!$B$29,Actuals!AG97)</f>
        <v>-2080.8</v>
      </c>
      <c r="AG184" s="402">
        <f>IF(ISBLANK(Actuals!AH97),-2000*Escalation!$B$30,Actuals!AH97)</f>
        <v>-2080.8</v>
      </c>
      <c r="AH184" s="402">
        <f>IF(ISBLANK(Actuals!AI97),-2000*Escalation!$B$31,Actuals!AI97)</f>
        <v>-2080.8</v>
      </c>
      <c r="AI184" s="402">
        <f>IF(ISBLANK(Actuals!AJ97),-2000*Escalation!$B$32,Actuals!AJ97)</f>
        <v>-2080.8</v>
      </c>
      <c r="AJ184" s="402">
        <f>IF(ISBLANK(Actuals!AK97),-2000*Escalation!$B$33,Actuals!AK97)</f>
        <v>-2080.8</v>
      </c>
      <c r="AK184" s="402">
        <f>IF(ISBLANK(Actuals!AL97),-2000*Escalation!$B$34,Actuals!AL97)</f>
        <v>-2080.8</v>
      </c>
      <c r="AL184" s="402">
        <f>IF(ISBLANK(Actuals!AM97),-2000*Escalation!$B$35,Actuals!AM97)</f>
        <v>-2080.8</v>
      </c>
      <c r="AM184" s="402">
        <f>IF(ISBLANK(Actuals!AN97),-2000*Escalation!$B$36,Actuals!AN97)</f>
        <v>-2080.8</v>
      </c>
      <c r="AN184" s="402">
        <f>IF(ISBLANK(Actuals!AO97),-2000*Escalation!$B$37,Actuals!AO97)</f>
        <v>-2080.8</v>
      </c>
      <c r="AO184" s="402">
        <f>IF(ISBLANK(Actuals!AP97),-2000*Escalation!$B$38,Actuals!AP97)</f>
        <v>-2122.416</v>
      </c>
      <c r="AP184" s="402">
        <f>IF(ISBLANK(Actuals!AQ97),-2000*Escalation!$B$39,Actuals!AQ97)</f>
        <v>-2122.416</v>
      </c>
      <c r="AQ184" s="402">
        <f>IF(ISBLANK(Actuals!AR97),-2000*Escalation!$B$40,Actuals!AR97)</f>
        <v>-2122.416</v>
      </c>
      <c r="AR184" s="402">
        <f>IF(ISBLANK(Actuals!AS97),-2000*Escalation!$B$41,Actuals!AS97)</f>
        <v>-2122.416</v>
      </c>
      <c r="AS184" s="402">
        <f>IF(ISBLANK(Actuals!AT97),-2000*Escalation!$B$42,Actuals!AT97)</f>
        <v>-2122.416</v>
      </c>
      <c r="AT184" s="402">
        <f>IF(ISBLANK(Actuals!AU97),-2000*Escalation!$B$43,Actuals!AU97)</f>
        <v>-2122.416</v>
      </c>
      <c r="AU184" s="402">
        <f>IF(ISBLANK(Actuals!AV97),-2000*Escalation!$B$44,Actuals!AV97)</f>
        <v>-2122.416</v>
      </c>
      <c r="AV184" s="402">
        <f>IF(ISBLANK(Actuals!AW97),-2000*Escalation!$B$45,Actuals!AW97)</f>
        <v>-2122.416</v>
      </c>
      <c r="AW184" s="402">
        <f>IF(ISBLANK(Actuals!AX97),-2000*Escalation!$B$46,Actuals!AX97)</f>
        <v>-2122.416</v>
      </c>
      <c r="AX184" s="402">
        <f>IF(ISBLANK(Actuals!AY97),-2000*Escalation!$B$47,Actuals!AY97)</f>
        <v>-2122.416</v>
      </c>
      <c r="AY184" s="402">
        <f>IF(ISBLANK(Actuals!AZ97),-2000*Escalation!$B$48,Actuals!AZ97)</f>
        <v>-2122.416</v>
      </c>
      <c r="AZ184" s="402">
        <f>IF(ISBLANK(Actuals!BA97),-2000*Escalation!$B$49,Actuals!BA97)</f>
        <v>-2122.416</v>
      </c>
      <c r="BA184" s="402">
        <f>IF(ISBLANK(Actuals!BB97),-2000*Escalation!$B$50,Actuals!BB97)</f>
        <v>-2164.86432</v>
      </c>
      <c r="BB184" s="402">
        <f>IF(ISBLANK(Actuals!BC97),-2000*Escalation!$B$51,Actuals!BC97)</f>
        <v>-2164.86432</v>
      </c>
      <c r="BC184" s="402">
        <f>IF(ISBLANK(Actuals!BD97),-2000*Escalation!$B$52,Actuals!BD97)</f>
        <v>-2164.86432</v>
      </c>
      <c r="BD184" s="402">
        <f>IF(ISBLANK(Actuals!BE97),-2000*Escalation!$B$53,Actuals!BE97)</f>
        <v>-2164.86432</v>
      </c>
      <c r="BE184" s="402">
        <f>IF(ISBLANK(Actuals!BF97),-2000*Escalation!$B$54,Actuals!BF97)</f>
        <v>-2164.86432</v>
      </c>
      <c r="BF184" s="402">
        <f>IF(ISBLANK(Actuals!BG97),-2000*Escalation!$B$55,Actuals!BG97)</f>
        <v>-2164.86432</v>
      </c>
      <c r="BG184" s="402">
        <f>IF(ISBLANK(Actuals!BH97),-2000*Escalation!$B$56,Actuals!BH97)</f>
        <v>-2164.86432</v>
      </c>
      <c r="BH184" s="402">
        <f>IF(ISBLANK(Actuals!BI97),-2000*Escalation!$B$57,Actuals!BI97)</f>
        <v>-2164.86432</v>
      </c>
      <c r="BI184" s="402">
        <f>IF(ISBLANK(Actuals!BJ97),-2000*Escalation!$B$58,Actuals!BJ97)</f>
        <v>-2164.86432</v>
      </c>
      <c r="BJ184" s="402">
        <f>IF(ISBLANK(Actuals!BK97),-2000*Escalation!$B$59,Actuals!BK97)</f>
        <v>-2164.86432</v>
      </c>
      <c r="BK184" s="402">
        <f>IF(ISBLANK(Actuals!BL97),-2000*Escalation!$B$60,Actuals!BL97)</f>
        <v>-2164.86432</v>
      </c>
      <c r="BL184" s="402">
        <f>IF(ISBLANK(Actuals!BM97),-2000*Escalation!$B$61,Actuals!BM97)</f>
        <v>-2164.86432</v>
      </c>
      <c r="BM184" s="402">
        <f>IF(ISBLANK(Actuals!BN97),-2000*Escalation!$B$62,Actuals!BN97)</f>
        <v>-2208.1616064</v>
      </c>
      <c r="BN184" s="402">
        <f>IF(ISBLANK(Actuals!BO97),-2000*Escalation!$B$63,Actuals!BO97)</f>
        <v>-2208.1616064</v>
      </c>
      <c r="BO184" s="402">
        <f>IF(ISBLANK(Actuals!BP97),-2000*Escalation!$B$64,Actuals!BP97)</f>
        <v>-2208.1616064</v>
      </c>
      <c r="BP184" s="402">
        <f>IF(ISBLANK(Actuals!BQ97),-2000*Escalation!$B$65,Actuals!BQ97)</f>
        <v>-2208.1616064</v>
      </c>
      <c r="BQ184" s="402">
        <f>IF(ISBLANK(Actuals!BR97),-2000*Escalation!$B$66,Actuals!BR97)</f>
        <v>-2208.1616064</v>
      </c>
      <c r="BR184" s="402">
        <f>IF(ISBLANK(Actuals!BS97),-2000*Escalation!$B$67,Actuals!BS97)</f>
        <v>-2208.1616064</v>
      </c>
      <c r="BS184" s="402">
        <f>IF(ISBLANK(Actuals!BT97),-2000*Escalation!$B$68,Actuals!BT97)</f>
        <v>-2208.1616064</v>
      </c>
      <c r="BT184" s="402">
        <f>IF(ISBLANK(Actuals!BU97),-2000*Escalation!$B$69,Actuals!BU97)</f>
        <v>-2208.1616064</v>
      </c>
      <c r="BU184" s="402">
        <f>IF(ISBLANK(Actuals!BV97),-2000*Escalation!$B$70,Actuals!BV97)</f>
        <v>-2208.1616064</v>
      </c>
      <c r="BV184" s="402">
        <f>IF(ISBLANK(Actuals!BW97),-2000*Escalation!$B$71,Actuals!BW97)</f>
        <v>-2208.1616064</v>
      </c>
      <c r="BW184" s="402">
        <f>IF(ISBLANK(Actuals!BX97),-2000*Escalation!$B$72,Actuals!BX97)</f>
        <v>-2208.1616064</v>
      </c>
      <c r="BX184" s="402">
        <f>IF(ISBLANK(Actuals!BY97),-2000*Escalation!$B$73,Actuals!BY97)</f>
        <v>-2208.1616064</v>
      </c>
      <c r="BY184" s="402">
        <f>IF(ISBLANK(Actuals!BZ97),-2000*Escalation!$B$74,Actuals!BZ97)</f>
        <v>-2252.324838528</v>
      </c>
      <c r="BZ184" s="402">
        <f>IF(ISBLANK(Actuals!CA97),-2000*Escalation!$B$75,Actuals!CA97)</f>
        <v>-2252.324838528</v>
      </c>
      <c r="CA184" s="402">
        <f>IF(ISBLANK(Actuals!CB97),-2000*Escalation!$B$76,Actuals!CB97)</f>
        <v>-2252.324838528</v>
      </c>
      <c r="CB184" s="402">
        <f>IF(ISBLANK(Actuals!CC97),-2000*Escalation!$B$77,Actuals!CC97)</f>
        <v>-2252.324838528</v>
      </c>
      <c r="CC184" s="402">
        <f>IF(ISBLANK(Actuals!CD97),-2000*Escalation!$B$78,Actuals!CD97)</f>
        <v>-2252.324838528</v>
      </c>
      <c r="CD184" s="402">
        <f>IF(ISBLANK(Actuals!CE97),-2000*Escalation!$B$79,Actuals!CE97)</f>
        <v>-2252.324838528</v>
      </c>
      <c r="CE184" s="402">
        <f>IF(ISBLANK(Actuals!CF97),-2000*Escalation!$B$80,Actuals!CF97)</f>
        <v>-2252.324838528</v>
      </c>
      <c r="CF184" s="402">
        <f>IF(ISBLANK(Actuals!CG97),-2000*Escalation!$B$81,Actuals!CG97)</f>
        <v>-2252.324838528</v>
      </c>
      <c r="CG184" s="402">
        <f>IF(ISBLANK(Actuals!CH97),-2000*Escalation!$B$82,Actuals!CH97)</f>
        <v>-2252.324838528</v>
      </c>
      <c r="CH184" s="402">
        <f>IF(ISBLANK(Actuals!CI97),-2000*Escalation!$B$83,Actuals!CI97)</f>
        <v>-2252.324838528</v>
      </c>
      <c r="CI184" s="402">
        <f>IF(ISBLANK(Actuals!CJ97),-2000*Escalation!$B$84,Actuals!CJ97)</f>
        <v>-2252.324838528</v>
      </c>
      <c r="CJ184" s="402">
        <f>IF(ISBLANK(Actuals!CK97),-2000*Escalation!$B$85,Actuals!CK97)</f>
        <v>-2252.324838528</v>
      </c>
      <c r="CK184" s="402">
        <f>IF(ISBLANK(Actuals!CL97),-2000*Escalation!$B$86,Actuals!CL97)</f>
        <v>-2297.37133529856</v>
      </c>
      <c r="CL184" s="402">
        <f>IF(ISBLANK(Actuals!CM97),-2000*Escalation!$B$87,Actuals!CM97)</f>
        <v>-2297.37133529856</v>
      </c>
      <c r="CM184" s="402">
        <f>IF(ISBLANK(Actuals!CN97),-2000*Escalation!$B$88,Actuals!CN97)</f>
        <v>-2297.37133529856</v>
      </c>
      <c r="CN184" s="402">
        <f>IF(ISBLANK(Actuals!CO97),-2000*Escalation!$B$89,Actuals!CO97)</f>
        <v>-2297.37133529856</v>
      </c>
      <c r="CO184" s="402">
        <f>IF(ISBLANK(Actuals!CP97),-2000*Escalation!$B$90,Actuals!CP97)</f>
        <v>-2297.37133529856</v>
      </c>
      <c r="CP184" s="402">
        <f>IF(ISBLANK(Actuals!CQ97),-2000*Escalation!$B$91,Actuals!CQ97)</f>
        <v>-2297.37133529856</v>
      </c>
      <c r="CQ184" s="402">
        <f>IF(ISBLANK(Actuals!CR97),-2000*Escalation!$B$92,Actuals!CR97)</f>
        <v>-2297.37133529856</v>
      </c>
      <c r="CR184" s="402">
        <f>IF(ISBLANK(Actuals!CS97),-2000*Escalation!$B$93,Actuals!CS97)</f>
        <v>-2297.37133529856</v>
      </c>
      <c r="CS184" s="402">
        <f>IF(ISBLANK(Actuals!CT97),-2000*Escalation!$B$94,Actuals!CT97)</f>
        <v>-2297.37133529856</v>
      </c>
      <c r="CT184" s="402">
        <f>IF(ISBLANK(Actuals!CU97),-2000*Escalation!$B$95,Actuals!CU97)</f>
        <v>-2297.37133529856</v>
      </c>
      <c r="CU184" s="402">
        <f>IF(ISBLANK(Actuals!CV97),-2000*Escalation!$B$96,Actuals!CV97)</f>
        <v>-2297.37133529856</v>
      </c>
      <c r="CV184" s="402">
        <f>IF(ISBLANK(Actuals!CW97),-2000*Escalation!$B$97,Actuals!CW97)</f>
        <v>-2297.37133529856</v>
      </c>
      <c r="CW184" s="402">
        <f>IF(ISBLANK(Actuals!CX97),-2000*Escalation!$B$98,Actuals!CX97)</f>
        <v>-2343.31876200453</v>
      </c>
      <c r="CX184" s="402">
        <f>IF(ISBLANK(Actuals!CY97),-2000*Escalation!$B$99,Actuals!CY97)</f>
        <v>-2343.31876200453</v>
      </c>
      <c r="CY184" s="402">
        <f>IF(ISBLANK(Actuals!CZ97),-2000*Escalation!$B$100,Actuals!CZ97)</f>
        <v>-2343.31876200453</v>
      </c>
      <c r="CZ184" s="402">
        <f>IF(ISBLANK(Actuals!DA97),-2000*Escalation!$B$101,Actuals!DA97)</f>
        <v>-2343.31876200453</v>
      </c>
      <c r="DA184" s="402">
        <f>IF(ISBLANK(Actuals!DB97),-2000*Escalation!$B$102,Actuals!DB97)</f>
        <v>-2343.31876200453</v>
      </c>
      <c r="DB184" s="402">
        <f>IF(ISBLANK(Actuals!DC97),-2000*Escalation!$B$103,Actuals!DC97)</f>
        <v>-2343.31876200453</v>
      </c>
      <c r="DC184" s="402">
        <f>IF(ISBLANK(Actuals!DD97),-2000*Escalation!$B$104,Actuals!DD97)</f>
        <v>-2343.31876200453</v>
      </c>
      <c r="DD184" s="402">
        <f>IF(ISBLANK(Actuals!DE97),-2000*Escalation!$B$105,Actuals!DE97)</f>
        <v>-2343.31876200453</v>
      </c>
      <c r="DE184" s="402">
        <f>IF(ISBLANK(Actuals!DF97),-2000*Escalation!$B$106,Actuals!DF97)</f>
        <v>-2343.31876200453</v>
      </c>
    </row>
    <row r="185" ht="15" customFormat="1" customHeight="1" s="381">
      <c r="A185" s="415" t="inlineStr">
        <is>
          <t>5500-1002 Accounting Consulting and Overhead</t>
        </is>
      </c>
      <c r="B185" s="402">
        <f>IF(ISBLANK(Actuals!C98),0,Actuals!C98)</f>
        <v>-4097.78</v>
      </c>
      <c r="C185" s="402">
        <f>IF(ISBLANK(Actuals!D98),0,Actuals!D98)</f>
        <v>-1950.2</v>
      </c>
      <c r="D185" s="402">
        <f>IF(ISBLANK(Actuals!E98),0,Actuals!E98)</f>
        <v>-1978.2</v>
      </c>
      <c r="E185" s="402">
        <f>IF(ISBLANK(Actuals!F98),-2675.39*Escalation!$B$2,Actuals!F98)</f>
        <v>-1970.2</v>
      </c>
      <c r="F185" s="402">
        <f>IF(ISBLANK(Actuals!G98),-2675.39*Escalation!$B$3,Actuals!G98)</f>
        <v>-6126.2</v>
      </c>
      <c r="G185" s="402">
        <f>IF(ISBLANK(Actuals!H98),-2675.39*Escalation!$B$4,Actuals!H98)</f>
        <v>-1993.2</v>
      </c>
      <c r="H185" s="402">
        <f>IF(ISBLANK(Actuals!I98),-2675.39*Escalation!$B$5,Actuals!I98)</f>
        <v>-2675.39</v>
      </c>
      <c r="I185" s="402">
        <f>IF(ISBLANK(Actuals!J98),-2675.39*Escalation!$B$6,Actuals!J98)</f>
        <v>-2675.39</v>
      </c>
      <c r="J185" s="402">
        <f>IF(ISBLANK(Actuals!K98),-2675.39*Escalation!$B$7,Actuals!K98)</f>
        <v>-2675.39</v>
      </c>
      <c r="K185" s="402">
        <f>IF(ISBLANK(Actuals!L98),-2675.39*Escalation!$B$8,Actuals!L98)</f>
        <v>-2675.39</v>
      </c>
      <c r="L185" s="402">
        <f>IF(ISBLANK(Actuals!M98),-2675.39*Escalation!$B$9,Actuals!M98)</f>
        <v>-2675.39</v>
      </c>
      <c r="M185" s="402">
        <f>IF(ISBLANK(Actuals!N98),-2675.39*Escalation!$B$10,Actuals!N98)</f>
        <v>-2675.39</v>
      </c>
      <c r="N185" s="402">
        <f>IF(ISBLANK(Actuals!O98),-2675.39*Escalation!$B$11,Actuals!O98)</f>
        <v>-2675.39</v>
      </c>
      <c r="O185" s="402">
        <f>IF(ISBLANK(Actuals!P98),-2675.39*Escalation!$B$12,Actuals!P98)</f>
        <v>-2675.39</v>
      </c>
      <c r="P185" s="402">
        <f>IF(ISBLANK(Actuals!Q98),-2675.39*Escalation!$B$13,Actuals!Q98)</f>
        <v>-2675.39</v>
      </c>
      <c r="Q185" s="402">
        <f>IF(ISBLANK(Actuals!R98),-2675.39*Escalation!$B$14,Actuals!R98)</f>
        <v>-2728.8978</v>
      </c>
      <c r="R185" s="402">
        <f>IF(ISBLANK(Actuals!S98),-2675.39*Escalation!$B$15,Actuals!S98)</f>
        <v>-2728.8978</v>
      </c>
      <c r="S185" s="402">
        <f>IF(ISBLANK(Actuals!T98),-2675.39*Escalation!$B$16,Actuals!T98)</f>
        <v>-2728.8978</v>
      </c>
      <c r="T185" s="402">
        <f>IF(ISBLANK(Actuals!U98),-2675.39*Escalation!$B$17,Actuals!U98)</f>
        <v>-2728.8978</v>
      </c>
      <c r="U185" s="402">
        <f>IF(ISBLANK(Actuals!V98),-2675.39*Escalation!$B$18,Actuals!V98)</f>
        <v>-2728.8978</v>
      </c>
      <c r="V185" s="402">
        <f>IF(ISBLANK(Actuals!W98),-2675.39*Escalation!$B$19,Actuals!W98)</f>
        <v>-2728.8978</v>
      </c>
      <c r="W185" s="402">
        <f>IF(ISBLANK(Actuals!X98),-2675.39*Escalation!$B$20,Actuals!X98)</f>
        <v>-2728.8978</v>
      </c>
      <c r="X185" s="402">
        <f>IF(ISBLANK(Actuals!Y98),-2675.39*Escalation!$B$21,Actuals!Y98)</f>
        <v>-2728.8978</v>
      </c>
      <c r="Y185" s="402">
        <f>IF(ISBLANK(Actuals!Z98),-2675.39*Escalation!$B$22,Actuals!Z98)</f>
        <v>-2728.8978</v>
      </c>
      <c r="Z185" s="402">
        <f>IF(ISBLANK(Actuals!AA98),-2675.39*Escalation!$B$23,Actuals!AA98)</f>
        <v>-2728.8978</v>
      </c>
      <c r="AA185" s="402">
        <f>IF(ISBLANK(Actuals!AB98),-2675.39*Escalation!$B$24,Actuals!AB98)</f>
        <v>-2728.8978</v>
      </c>
      <c r="AB185" s="402">
        <f>IF(ISBLANK(Actuals!AC98),-2675.39*Escalation!$B$25,Actuals!AC98)</f>
        <v>-2728.8978</v>
      </c>
      <c r="AC185" s="402">
        <f>IF(ISBLANK(Actuals!AD98),-2675.39*Escalation!$B$26,Actuals!AD98)</f>
        <v>-2783.475756</v>
      </c>
      <c r="AD185" s="402">
        <f>IF(ISBLANK(Actuals!AE98),-2675.39*Escalation!$B$27,Actuals!AE98)</f>
        <v>-2783.475756</v>
      </c>
      <c r="AE185" s="402">
        <f>IF(ISBLANK(Actuals!AF98),-2675.39*Escalation!$B$28,Actuals!AF98)</f>
        <v>-2783.475756</v>
      </c>
      <c r="AF185" s="402">
        <f>IF(ISBLANK(Actuals!AG98),-2675.39*Escalation!$B$29,Actuals!AG98)</f>
        <v>-2783.475756</v>
      </c>
      <c r="AG185" s="402">
        <f>IF(ISBLANK(Actuals!AH98),-2675.39*Escalation!$B$30,Actuals!AH98)</f>
        <v>-2783.475756</v>
      </c>
      <c r="AH185" s="402">
        <f>IF(ISBLANK(Actuals!AI98),-2675.39*Escalation!$B$31,Actuals!AI98)</f>
        <v>-2783.475756</v>
      </c>
      <c r="AI185" s="402">
        <f>IF(ISBLANK(Actuals!AJ98),-2675.39*Escalation!$B$32,Actuals!AJ98)</f>
        <v>-2783.475756</v>
      </c>
      <c r="AJ185" s="402">
        <f>IF(ISBLANK(Actuals!AK98),-2675.39*Escalation!$B$33,Actuals!AK98)</f>
        <v>-2783.475756</v>
      </c>
      <c r="AK185" s="402">
        <f>IF(ISBLANK(Actuals!AL98),-2675.39*Escalation!$B$34,Actuals!AL98)</f>
        <v>-2783.475756</v>
      </c>
      <c r="AL185" s="402">
        <f>IF(ISBLANK(Actuals!AM98),-2675.39*Escalation!$B$35,Actuals!AM98)</f>
        <v>-2783.475756</v>
      </c>
      <c r="AM185" s="402">
        <f>IF(ISBLANK(Actuals!AN98),-2675.39*Escalation!$B$36,Actuals!AN98)</f>
        <v>-2783.475756</v>
      </c>
      <c r="AN185" s="402">
        <f>IF(ISBLANK(Actuals!AO98),-2675.39*Escalation!$B$37,Actuals!AO98)</f>
        <v>-2783.475756</v>
      </c>
      <c r="AO185" s="402">
        <f>IF(ISBLANK(Actuals!AP98),-2675.39*Escalation!$B$38,Actuals!AP98)</f>
        <v>-2839.14527112</v>
      </c>
      <c r="AP185" s="402">
        <f>IF(ISBLANK(Actuals!AQ98),-2675.39*Escalation!$B$39,Actuals!AQ98)</f>
        <v>-2839.14527112</v>
      </c>
      <c r="AQ185" s="402">
        <f>IF(ISBLANK(Actuals!AR98),-2675.39*Escalation!$B$40,Actuals!AR98)</f>
        <v>-2839.14527112</v>
      </c>
      <c r="AR185" s="402">
        <f>IF(ISBLANK(Actuals!AS98),-2675.39*Escalation!$B$41,Actuals!AS98)</f>
        <v>-2839.14527112</v>
      </c>
      <c r="AS185" s="402">
        <f>IF(ISBLANK(Actuals!AT98),-2675.39*Escalation!$B$42,Actuals!AT98)</f>
        <v>-2839.14527112</v>
      </c>
      <c r="AT185" s="402">
        <f>IF(ISBLANK(Actuals!AU98),-2675.39*Escalation!$B$43,Actuals!AU98)</f>
        <v>-2839.14527112</v>
      </c>
      <c r="AU185" s="402">
        <f>IF(ISBLANK(Actuals!AV98),-2675.39*Escalation!$B$44,Actuals!AV98)</f>
        <v>-2839.14527112</v>
      </c>
      <c r="AV185" s="402">
        <f>IF(ISBLANK(Actuals!AW98),-2675.39*Escalation!$B$45,Actuals!AW98)</f>
        <v>-2839.14527112</v>
      </c>
      <c r="AW185" s="402">
        <f>IF(ISBLANK(Actuals!AX98),-2675.39*Escalation!$B$46,Actuals!AX98)</f>
        <v>-2839.14527112</v>
      </c>
      <c r="AX185" s="402">
        <f>IF(ISBLANK(Actuals!AY98),-2675.39*Escalation!$B$47,Actuals!AY98)</f>
        <v>-2839.14527112</v>
      </c>
      <c r="AY185" s="402">
        <f>IF(ISBLANK(Actuals!AZ98),-2675.39*Escalation!$B$48,Actuals!AZ98)</f>
        <v>-2839.14527112</v>
      </c>
      <c r="AZ185" s="402">
        <f>IF(ISBLANK(Actuals!BA98),-2675.39*Escalation!$B$49,Actuals!BA98)</f>
        <v>-2839.14527112</v>
      </c>
      <c r="BA185" s="402">
        <f>IF(ISBLANK(Actuals!BB98),-2675.39*Escalation!$B$50,Actuals!BB98)</f>
        <v>-2895.9281765424</v>
      </c>
      <c r="BB185" s="402">
        <f>IF(ISBLANK(Actuals!BC98),-2675.39*Escalation!$B$51,Actuals!BC98)</f>
        <v>-2895.9281765424</v>
      </c>
      <c r="BC185" s="402">
        <f>IF(ISBLANK(Actuals!BD98),-2675.39*Escalation!$B$52,Actuals!BD98)</f>
        <v>-2895.9281765424</v>
      </c>
      <c r="BD185" s="402">
        <f>IF(ISBLANK(Actuals!BE98),-2675.39*Escalation!$B$53,Actuals!BE98)</f>
        <v>-2895.9281765424</v>
      </c>
      <c r="BE185" s="402">
        <f>IF(ISBLANK(Actuals!BF98),-2675.39*Escalation!$B$54,Actuals!BF98)</f>
        <v>-2895.9281765424</v>
      </c>
      <c r="BF185" s="402">
        <f>IF(ISBLANK(Actuals!BG98),-2675.39*Escalation!$B$55,Actuals!BG98)</f>
        <v>-2895.9281765424</v>
      </c>
      <c r="BG185" s="402">
        <f>IF(ISBLANK(Actuals!BH98),-2675.39*Escalation!$B$56,Actuals!BH98)</f>
        <v>-2895.9281765424</v>
      </c>
      <c r="BH185" s="402">
        <f>IF(ISBLANK(Actuals!BI98),-2675.39*Escalation!$B$57,Actuals!BI98)</f>
        <v>-2895.9281765424</v>
      </c>
      <c r="BI185" s="402">
        <f>IF(ISBLANK(Actuals!BJ98),-2675.39*Escalation!$B$58,Actuals!BJ98)</f>
        <v>-2895.9281765424</v>
      </c>
      <c r="BJ185" s="402">
        <f>IF(ISBLANK(Actuals!BK98),-2675.39*Escalation!$B$59,Actuals!BK98)</f>
        <v>-2895.9281765424</v>
      </c>
      <c r="BK185" s="402">
        <f>IF(ISBLANK(Actuals!BL98),-2675.39*Escalation!$B$60,Actuals!BL98)</f>
        <v>-2895.9281765424</v>
      </c>
      <c r="BL185" s="402">
        <f>IF(ISBLANK(Actuals!BM98),-2675.39*Escalation!$B$61,Actuals!BM98)</f>
        <v>-2895.9281765424</v>
      </c>
      <c r="BM185" s="402">
        <f>IF(ISBLANK(Actuals!BN98),-2675.39*Escalation!$B$62,Actuals!BN98)</f>
        <v>-2953.84674007325</v>
      </c>
      <c r="BN185" s="402">
        <f>IF(ISBLANK(Actuals!BO98),-2675.39*Escalation!$B$63,Actuals!BO98)</f>
        <v>-2953.84674007325</v>
      </c>
      <c r="BO185" s="402">
        <f>IF(ISBLANK(Actuals!BP98),-2675.39*Escalation!$B$64,Actuals!BP98)</f>
        <v>-2953.84674007325</v>
      </c>
      <c r="BP185" s="402">
        <f>IF(ISBLANK(Actuals!BQ98),-2675.39*Escalation!$B$65,Actuals!BQ98)</f>
        <v>-2953.84674007325</v>
      </c>
      <c r="BQ185" s="402">
        <f>IF(ISBLANK(Actuals!BR98),-2675.39*Escalation!$B$66,Actuals!BR98)</f>
        <v>-2953.84674007325</v>
      </c>
      <c r="BR185" s="402">
        <f>IF(ISBLANK(Actuals!BS98),-2675.39*Escalation!$B$67,Actuals!BS98)</f>
        <v>-2953.84674007325</v>
      </c>
      <c r="BS185" s="402">
        <f>IF(ISBLANK(Actuals!BT98),-2675.39*Escalation!$B$68,Actuals!BT98)</f>
        <v>-2953.84674007325</v>
      </c>
      <c r="BT185" s="402">
        <f>IF(ISBLANK(Actuals!BU98),-2675.39*Escalation!$B$69,Actuals!BU98)</f>
        <v>-2953.84674007325</v>
      </c>
      <c r="BU185" s="402">
        <f>IF(ISBLANK(Actuals!BV98),-2675.39*Escalation!$B$70,Actuals!BV98)</f>
        <v>-2953.84674007325</v>
      </c>
      <c r="BV185" s="402">
        <f>IF(ISBLANK(Actuals!BW98),-2675.39*Escalation!$B$71,Actuals!BW98)</f>
        <v>-2953.84674007325</v>
      </c>
      <c r="BW185" s="402">
        <f>IF(ISBLANK(Actuals!BX98),-2675.39*Escalation!$B$72,Actuals!BX98)</f>
        <v>-2953.84674007325</v>
      </c>
      <c r="BX185" s="402">
        <f>IF(ISBLANK(Actuals!BY98),-2675.39*Escalation!$B$73,Actuals!BY98)</f>
        <v>-2953.84674007325</v>
      </c>
      <c r="BY185" s="402">
        <f>IF(ISBLANK(Actuals!BZ98),-2675.39*Escalation!$B$74,Actuals!BZ98)</f>
        <v>-3012.92367487471</v>
      </c>
      <c r="BZ185" s="402">
        <f>IF(ISBLANK(Actuals!CA98),-2675.39*Escalation!$B$75,Actuals!CA98)</f>
        <v>-3012.92367487471</v>
      </c>
      <c r="CA185" s="402">
        <f>IF(ISBLANK(Actuals!CB98),-2675.39*Escalation!$B$76,Actuals!CB98)</f>
        <v>-3012.92367487471</v>
      </c>
      <c r="CB185" s="402">
        <f>IF(ISBLANK(Actuals!CC98),-2675.39*Escalation!$B$77,Actuals!CC98)</f>
        <v>-3012.92367487471</v>
      </c>
      <c r="CC185" s="402">
        <f>IF(ISBLANK(Actuals!CD98),-2675.39*Escalation!$B$78,Actuals!CD98)</f>
        <v>-3012.92367487471</v>
      </c>
      <c r="CD185" s="402">
        <f>IF(ISBLANK(Actuals!CE98),-2675.39*Escalation!$B$79,Actuals!CE98)</f>
        <v>-3012.92367487471</v>
      </c>
      <c r="CE185" s="402">
        <f>IF(ISBLANK(Actuals!CF98),-2675.39*Escalation!$B$80,Actuals!CF98)</f>
        <v>-3012.92367487471</v>
      </c>
      <c r="CF185" s="402">
        <f>IF(ISBLANK(Actuals!CG98),-2675.39*Escalation!$B$81,Actuals!CG98)</f>
        <v>-3012.92367487471</v>
      </c>
      <c r="CG185" s="402">
        <f>IF(ISBLANK(Actuals!CH98),-2675.39*Escalation!$B$82,Actuals!CH98)</f>
        <v>-3012.92367487471</v>
      </c>
      <c r="CH185" s="402">
        <f>IF(ISBLANK(Actuals!CI98),-2675.39*Escalation!$B$83,Actuals!CI98)</f>
        <v>-3012.92367487471</v>
      </c>
      <c r="CI185" s="402">
        <f>IF(ISBLANK(Actuals!CJ98),-2675.39*Escalation!$B$84,Actuals!CJ98)</f>
        <v>-3012.92367487471</v>
      </c>
      <c r="CJ185" s="402">
        <f>IF(ISBLANK(Actuals!CK98),-2675.39*Escalation!$B$85,Actuals!CK98)</f>
        <v>-3012.92367487471</v>
      </c>
      <c r="CK185" s="402">
        <f>IF(ISBLANK(Actuals!CL98),-2675.39*Escalation!$B$86,Actuals!CL98)</f>
        <v>-3073.18214837221</v>
      </c>
      <c r="CL185" s="402">
        <f>IF(ISBLANK(Actuals!CM98),-2675.39*Escalation!$B$87,Actuals!CM98)</f>
        <v>-3073.18214837221</v>
      </c>
      <c r="CM185" s="402">
        <f>IF(ISBLANK(Actuals!CN98),-2675.39*Escalation!$B$88,Actuals!CN98)</f>
        <v>-3073.18214837221</v>
      </c>
      <c r="CN185" s="402">
        <f>IF(ISBLANK(Actuals!CO98),-2675.39*Escalation!$B$89,Actuals!CO98)</f>
        <v>-3073.18214837221</v>
      </c>
      <c r="CO185" s="402">
        <f>IF(ISBLANK(Actuals!CP98),-2675.39*Escalation!$B$90,Actuals!CP98)</f>
        <v>-3073.18214837221</v>
      </c>
      <c r="CP185" s="402">
        <f>IF(ISBLANK(Actuals!CQ98),-2675.39*Escalation!$B$91,Actuals!CQ98)</f>
        <v>-3073.18214837221</v>
      </c>
      <c r="CQ185" s="402">
        <f>IF(ISBLANK(Actuals!CR98),-2675.39*Escalation!$B$92,Actuals!CR98)</f>
        <v>-3073.18214837221</v>
      </c>
      <c r="CR185" s="402">
        <f>IF(ISBLANK(Actuals!CS98),-2675.39*Escalation!$B$93,Actuals!CS98)</f>
        <v>-3073.18214837221</v>
      </c>
      <c r="CS185" s="402">
        <f>IF(ISBLANK(Actuals!CT98),-2675.39*Escalation!$B$94,Actuals!CT98)</f>
        <v>-3073.18214837221</v>
      </c>
      <c r="CT185" s="402">
        <f>IF(ISBLANK(Actuals!CU98),-2675.39*Escalation!$B$95,Actuals!CU98)</f>
        <v>-3073.18214837221</v>
      </c>
      <c r="CU185" s="402">
        <f>IF(ISBLANK(Actuals!CV98),-2675.39*Escalation!$B$96,Actuals!CV98)</f>
        <v>-3073.18214837221</v>
      </c>
      <c r="CV185" s="402">
        <f>IF(ISBLANK(Actuals!CW98),-2675.39*Escalation!$B$97,Actuals!CW98)</f>
        <v>-3073.18214837221</v>
      </c>
      <c r="CW185" s="402">
        <f>IF(ISBLANK(Actuals!CX98),-2675.39*Escalation!$B$98,Actuals!CX98)</f>
        <v>-3134.64579133965</v>
      </c>
      <c r="CX185" s="402">
        <f>IF(ISBLANK(Actuals!CY98),-2675.39*Escalation!$B$99,Actuals!CY98)</f>
        <v>-3134.64579133965</v>
      </c>
      <c r="CY185" s="402">
        <f>IF(ISBLANK(Actuals!CZ98),-2675.39*Escalation!$B$100,Actuals!CZ98)</f>
        <v>-3134.64579133965</v>
      </c>
      <c r="CZ185" s="402">
        <f>IF(ISBLANK(Actuals!DA98),-2675.39*Escalation!$B$101,Actuals!DA98)</f>
        <v>-3134.64579133965</v>
      </c>
      <c r="DA185" s="402">
        <f>IF(ISBLANK(Actuals!DB98),-2675.39*Escalation!$B$102,Actuals!DB98)</f>
        <v>-3134.64579133965</v>
      </c>
      <c r="DB185" s="402">
        <f>IF(ISBLANK(Actuals!DC98),-2675.39*Escalation!$B$103,Actuals!DC98)</f>
        <v>-3134.64579133965</v>
      </c>
      <c r="DC185" s="402">
        <f>IF(ISBLANK(Actuals!DD98),-2675.39*Escalation!$B$104,Actuals!DD98)</f>
        <v>-3134.64579133965</v>
      </c>
      <c r="DD185" s="402">
        <f>IF(ISBLANK(Actuals!DE98),-2675.39*Escalation!$B$105,Actuals!DE98)</f>
        <v>-3134.64579133965</v>
      </c>
      <c r="DE185" s="402">
        <f>IF(ISBLANK(Actuals!DF98),-2675.39*Escalation!$B$106,Actuals!DF98)</f>
        <v>-3134.64579133965</v>
      </c>
    </row>
    <row r="186" ht="15" customFormat="1" customHeight="1" s="381">
      <c r="A186" s="415" t="inlineStr">
        <is>
          <t>5500-1004 Consultants and Other Professional Expenses</t>
        </is>
      </c>
      <c r="B186" s="402">
        <f>IF(ISBLANK(Actuals!C99),0,Actuals!C99)</f>
        <v>-28038</v>
      </c>
      <c r="C186" s="402">
        <f>IF(ISBLANK(Actuals!D99),0,Actuals!D99)</f>
        <v>-29387.5</v>
      </c>
      <c r="D186" s="402">
        <f>IF(ISBLANK(Actuals!E99),0,Actuals!E99)</f>
        <v>-28083</v>
      </c>
      <c r="E186" s="402">
        <f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402">
        <f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402">
        <f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402">
        <f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6" s="402">
        <f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6" s="402">
        <f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6" s="402">
        <f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6" s="402">
        <f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6" s="402">
        <f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6" s="402">
        <f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6" s="402">
        <f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6" s="402">
        <f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6" s="402">
        <f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6" s="402">
        <f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6" s="402">
        <f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6" s="402">
        <f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6" s="402">
        <f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6" s="402">
        <f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6" s="402">
        <f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6" s="402">
        <f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6" s="402">
        <f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6" s="402">
        <f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6" s="402">
        <f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6" s="402">
        <f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6" s="402">
        <f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6" s="402">
        <f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6" s="402">
        <f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6" s="402">
        <f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6" s="402">
        <f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6" s="402">
        <f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6" s="402">
        <f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6" s="402">
        <f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6" s="402">
        <f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6" s="402">
        <f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6" s="402">
        <f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6" s="402">
        <f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6" s="402">
        <f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6" s="402">
        <f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6" s="402">
        <f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6" s="402">
        <f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6" s="402">
        <f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6" s="402">
        <f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6" s="402">
        <f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6" s="402">
        <f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6" s="402">
        <f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6" s="402">
        <f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6" s="402">
        <f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6" s="402">
        <f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6" s="402">
        <f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6" s="402">
        <f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6" s="402">
        <f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6" s="402">
        <f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6" s="402">
        <f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6" s="402">
        <f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6" s="402">
        <f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6" s="402">
        <f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6" s="402">
        <f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6" s="402">
        <f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6" s="402">
        <f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6" s="402">
        <f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6" s="402">
        <f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6" s="402">
        <f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6" s="402">
        <f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6" s="402">
        <f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6" s="402">
        <f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6" s="402">
        <f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6" s="402">
        <f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6" s="402">
        <f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6" s="402">
        <f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6" s="402">
        <f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6" s="402">
        <f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6" s="402">
        <f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6" s="402">
        <f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6" s="402">
        <f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6" s="402">
        <f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6" s="402">
        <f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6" s="402">
        <f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6" s="402">
        <f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6" s="402">
        <f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6" s="402">
        <f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6" s="402">
        <f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6" s="402">
        <f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6" s="402">
        <f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6" s="402">
        <f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6" s="402">
        <f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6" s="402">
        <f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6" s="402">
        <f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6" s="402">
        <f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6" s="402">
        <f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6" s="402">
        <f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6" s="402">
        <f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6" s="402">
        <f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6" s="402">
        <f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6" s="402">
        <f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6" s="402">
        <f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6" s="402">
        <f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6" s="402">
        <f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6" s="402">
        <f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6" s="402">
        <f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6" s="402">
        <f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6" s="402">
        <f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6" s="402">
        <f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6" s="402">
        <f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6" s="402">
        <f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6" s="402">
        <f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7" ht="15" customFormat="1" customHeight="1" s="381">
      <c r="A187" s="415" t="inlineStr">
        <is>
          <t>5500-1007 Dues and Subscriptions</t>
        </is>
      </c>
      <c r="B187" s="402">
        <f>IF(ISBLANK(Actuals!C100),0,Actuals!C100)</f>
        <v>-268</v>
      </c>
      <c r="C187" s="402">
        <f>IF(ISBLANK(Actuals!D100),0,Actuals!D100)</f>
        <v>-2088.75</v>
      </c>
      <c r="D187" s="402">
        <f>IF(ISBLANK(Actuals!E100),0,Actuals!E100)</f>
        <v>-2401.75</v>
      </c>
      <c r="E187" s="402">
        <f>IF(ISBLANK(Actuals!F100),-1586.17*Escalation!$B$2,Actuals!F100)</f>
        <v>-4209.5</v>
      </c>
      <c r="F187" s="402">
        <f>IF(ISBLANK(Actuals!G100),-1586.17*Escalation!$B$3,Actuals!G100)</f>
        <v>-2377.59</v>
      </c>
      <c r="G187" s="402">
        <f>IF(ISBLANK(Actuals!H100),-1586.17*Escalation!$B$4,Actuals!H100)</f>
        <v>-16</v>
      </c>
      <c r="H187" s="402">
        <f>IF(ISBLANK(Actuals!I100),-1586.17*Escalation!$B$5,Actuals!I100)</f>
        <v>-1586.17</v>
      </c>
      <c r="I187" s="402">
        <f>IF(ISBLANK(Actuals!J100),-1586.17*Escalation!$B$6,Actuals!J100)</f>
        <v>-1586.17</v>
      </c>
      <c r="J187" s="402">
        <f>IF(ISBLANK(Actuals!K100),-1586.17*Escalation!$B$7,Actuals!K100)</f>
        <v>-1586.17</v>
      </c>
      <c r="K187" s="402">
        <f>IF(ISBLANK(Actuals!L100),-1586.17*Escalation!$B$8,Actuals!L100)</f>
        <v>-1586.17</v>
      </c>
      <c r="L187" s="402">
        <f>IF(ISBLANK(Actuals!M100),-1586.17*Escalation!$B$9,Actuals!M100)</f>
        <v>-1586.17</v>
      </c>
      <c r="M187" s="402">
        <f>IF(ISBLANK(Actuals!N100),-1586.17*Escalation!$B$10,Actuals!N100)</f>
        <v>-1586.17</v>
      </c>
      <c r="N187" s="402">
        <f>IF(ISBLANK(Actuals!O100),-1586.17*Escalation!$B$11,Actuals!O100)</f>
        <v>-1586.17</v>
      </c>
      <c r="O187" s="402">
        <f>IF(ISBLANK(Actuals!P100),-1586.17*Escalation!$B$12,Actuals!P100)</f>
        <v>-1586.17</v>
      </c>
      <c r="P187" s="402">
        <f>IF(ISBLANK(Actuals!Q100),-1586.17*Escalation!$B$13,Actuals!Q100)</f>
        <v>-1586.17</v>
      </c>
      <c r="Q187" s="402">
        <f>IF(ISBLANK(Actuals!R100),-1586.17*Escalation!$B$14,Actuals!R100)</f>
        <v>-1617.8934</v>
      </c>
      <c r="R187" s="402">
        <f>IF(ISBLANK(Actuals!S100),-1586.17*Escalation!$B$15,Actuals!S100)</f>
        <v>-1617.8934</v>
      </c>
      <c r="S187" s="402">
        <f>IF(ISBLANK(Actuals!T100),-1586.17*Escalation!$B$16,Actuals!T100)</f>
        <v>-1617.8934</v>
      </c>
      <c r="T187" s="402">
        <f>IF(ISBLANK(Actuals!U100),-1586.17*Escalation!$B$17,Actuals!U100)</f>
        <v>-1617.8934</v>
      </c>
      <c r="U187" s="402">
        <f>IF(ISBLANK(Actuals!V100),-1586.17*Escalation!$B$18,Actuals!V100)</f>
        <v>-1617.8934</v>
      </c>
      <c r="V187" s="402">
        <f>IF(ISBLANK(Actuals!W100),-1586.17*Escalation!$B$19,Actuals!W100)</f>
        <v>-1617.8934</v>
      </c>
      <c r="W187" s="402">
        <f>IF(ISBLANK(Actuals!X100),-1586.17*Escalation!$B$20,Actuals!X100)</f>
        <v>-1617.8934</v>
      </c>
      <c r="X187" s="402">
        <f>IF(ISBLANK(Actuals!Y100),-1586.17*Escalation!$B$21,Actuals!Y100)</f>
        <v>-1617.8934</v>
      </c>
      <c r="Y187" s="402">
        <f>IF(ISBLANK(Actuals!Z100),-1586.17*Escalation!$B$22,Actuals!Z100)</f>
        <v>-1617.8934</v>
      </c>
      <c r="Z187" s="402">
        <f>IF(ISBLANK(Actuals!AA100),-1586.17*Escalation!$B$23,Actuals!AA100)</f>
        <v>-1617.8934</v>
      </c>
      <c r="AA187" s="402">
        <f>IF(ISBLANK(Actuals!AB100),-1586.17*Escalation!$B$24,Actuals!AB100)</f>
        <v>-1617.8934</v>
      </c>
      <c r="AB187" s="402">
        <f>IF(ISBLANK(Actuals!AC100),-1586.17*Escalation!$B$25,Actuals!AC100)</f>
        <v>-1617.8934</v>
      </c>
      <c r="AC187" s="402">
        <f>IF(ISBLANK(Actuals!AD100),-1586.17*Escalation!$B$26,Actuals!AD100)</f>
        <v>-1650.251268</v>
      </c>
      <c r="AD187" s="402">
        <f>IF(ISBLANK(Actuals!AE100),-1586.17*Escalation!$B$27,Actuals!AE100)</f>
        <v>-1650.251268</v>
      </c>
      <c r="AE187" s="402">
        <f>IF(ISBLANK(Actuals!AF100),-1586.17*Escalation!$B$28,Actuals!AF100)</f>
        <v>-1650.251268</v>
      </c>
      <c r="AF187" s="402">
        <f>IF(ISBLANK(Actuals!AG100),-1586.17*Escalation!$B$29,Actuals!AG100)</f>
        <v>-1650.251268</v>
      </c>
      <c r="AG187" s="402">
        <f>IF(ISBLANK(Actuals!AH100),-1586.17*Escalation!$B$30,Actuals!AH100)</f>
        <v>-1650.251268</v>
      </c>
      <c r="AH187" s="402">
        <f>IF(ISBLANK(Actuals!AI100),-1586.17*Escalation!$B$31,Actuals!AI100)</f>
        <v>-1650.251268</v>
      </c>
      <c r="AI187" s="402">
        <f>IF(ISBLANK(Actuals!AJ100),-1586.17*Escalation!$B$32,Actuals!AJ100)</f>
        <v>-1650.251268</v>
      </c>
      <c r="AJ187" s="402">
        <f>IF(ISBLANK(Actuals!AK100),-1586.17*Escalation!$B$33,Actuals!AK100)</f>
        <v>-1650.251268</v>
      </c>
      <c r="AK187" s="402">
        <f>IF(ISBLANK(Actuals!AL100),-1586.17*Escalation!$B$34,Actuals!AL100)</f>
        <v>-1650.251268</v>
      </c>
      <c r="AL187" s="402">
        <f>IF(ISBLANK(Actuals!AM100),-1586.17*Escalation!$B$35,Actuals!AM100)</f>
        <v>-1650.251268</v>
      </c>
      <c r="AM187" s="402">
        <f>IF(ISBLANK(Actuals!AN100),-1586.17*Escalation!$B$36,Actuals!AN100)</f>
        <v>-1650.251268</v>
      </c>
      <c r="AN187" s="402">
        <f>IF(ISBLANK(Actuals!AO100),-1586.17*Escalation!$B$37,Actuals!AO100)</f>
        <v>-1650.251268</v>
      </c>
      <c r="AO187" s="402">
        <f>IF(ISBLANK(Actuals!AP100),-1586.17*Escalation!$B$38,Actuals!AP100)</f>
        <v>-1683.25629336</v>
      </c>
      <c r="AP187" s="402">
        <f>IF(ISBLANK(Actuals!AQ100),-1586.17*Escalation!$B$39,Actuals!AQ100)</f>
        <v>-1683.25629336</v>
      </c>
      <c r="AQ187" s="402">
        <f>IF(ISBLANK(Actuals!AR100),-1586.17*Escalation!$B$40,Actuals!AR100)</f>
        <v>-1683.25629336</v>
      </c>
      <c r="AR187" s="402">
        <f>IF(ISBLANK(Actuals!AS100),-1586.17*Escalation!$B$41,Actuals!AS100)</f>
        <v>-1683.25629336</v>
      </c>
      <c r="AS187" s="402">
        <f>IF(ISBLANK(Actuals!AT100),-1586.17*Escalation!$B$42,Actuals!AT100)</f>
        <v>-1683.25629336</v>
      </c>
      <c r="AT187" s="402">
        <f>IF(ISBLANK(Actuals!AU100),-1586.17*Escalation!$B$43,Actuals!AU100)</f>
        <v>-1683.25629336</v>
      </c>
      <c r="AU187" s="402">
        <f>IF(ISBLANK(Actuals!AV100),-1586.17*Escalation!$B$44,Actuals!AV100)</f>
        <v>-1683.25629336</v>
      </c>
      <c r="AV187" s="402">
        <f>IF(ISBLANK(Actuals!AW100),-1586.17*Escalation!$B$45,Actuals!AW100)</f>
        <v>-1683.25629336</v>
      </c>
      <c r="AW187" s="402">
        <f>IF(ISBLANK(Actuals!AX100),-1586.17*Escalation!$B$46,Actuals!AX100)</f>
        <v>-1683.25629336</v>
      </c>
      <c r="AX187" s="402">
        <f>IF(ISBLANK(Actuals!AY100),-1586.17*Escalation!$B$47,Actuals!AY100)</f>
        <v>-1683.25629336</v>
      </c>
      <c r="AY187" s="402">
        <f>IF(ISBLANK(Actuals!AZ100),-1586.17*Escalation!$B$48,Actuals!AZ100)</f>
        <v>-1683.25629336</v>
      </c>
      <c r="AZ187" s="402">
        <f>IF(ISBLANK(Actuals!BA100),-1586.17*Escalation!$B$49,Actuals!BA100)</f>
        <v>-1683.25629336</v>
      </c>
      <c r="BA187" s="402">
        <f>IF(ISBLANK(Actuals!BB100),-1586.17*Escalation!$B$50,Actuals!BB100)</f>
        <v>-1716.9214192272</v>
      </c>
      <c r="BB187" s="402">
        <f>IF(ISBLANK(Actuals!BC100),-1586.17*Escalation!$B$51,Actuals!BC100)</f>
        <v>-1716.9214192272</v>
      </c>
      <c r="BC187" s="402">
        <f>IF(ISBLANK(Actuals!BD100),-1586.17*Escalation!$B$52,Actuals!BD100)</f>
        <v>-1716.9214192272</v>
      </c>
      <c r="BD187" s="402">
        <f>IF(ISBLANK(Actuals!BE100),-1586.17*Escalation!$B$53,Actuals!BE100)</f>
        <v>-1716.9214192272</v>
      </c>
      <c r="BE187" s="402">
        <f>IF(ISBLANK(Actuals!BF100),-1586.17*Escalation!$B$54,Actuals!BF100)</f>
        <v>-1716.9214192272</v>
      </c>
      <c r="BF187" s="402">
        <f>IF(ISBLANK(Actuals!BG100),-1586.17*Escalation!$B$55,Actuals!BG100)</f>
        <v>-1716.9214192272</v>
      </c>
      <c r="BG187" s="402">
        <f>IF(ISBLANK(Actuals!BH100),-1586.17*Escalation!$B$56,Actuals!BH100)</f>
        <v>-1716.9214192272</v>
      </c>
      <c r="BH187" s="402">
        <f>IF(ISBLANK(Actuals!BI100),-1586.17*Escalation!$B$57,Actuals!BI100)</f>
        <v>-1716.9214192272</v>
      </c>
      <c r="BI187" s="402">
        <f>IF(ISBLANK(Actuals!BJ100),-1586.17*Escalation!$B$58,Actuals!BJ100)</f>
        <v>-1716.9214192272</v>
      </c>
      <c r="BJ187" s="402">
        <f>IF(ISBLANK(Actuals!BK100),-1586.17*Escalation!$B$59,Actuals!BK100)</f>
        <v>-1716.9214192272</v>
      </c>
      <c r="BK187" s="402">
        <f>IF(ISBLANK(Actuals!BL100),-1586.17*Escalation!$B$60,Actuals!BL100)</f>
        <v>-1716.9214192272</v>
      </c>
      <c r="BL187" s="402">
        <f>IF(ISBLANK(Actuals!BM100),-1586.17*Escalation!$B$61,Actuals!BM100)</f>
        <v>-1716.9214192272</v>
      </c>
      <c r="BM187" s="402">
        <f>IF(ISBLANK(Actuals!BN100),-1586.17*Escalation!$B$62,Actuals!BN100)</f>
        <v>-1751.25984761174</v>
      </c>
      <c r="BN187" s="402">
        <f>IF(ISBLANK(Actuals!BO100),-1586.17*Escalation!$B$63,Actuals!BO100)</f>
        <v>-1751.25984761174</v>
      </c>
      <c r="BO187" s="402">
        <f>IF(ISBLANK(Actuals!BP100),-1586.17*Escalation!$B$64,Actuals!BP100)</f>
        <v>-1751.25984761174</v>
      </c>
      <c r="BP187" s="402">
        <f>IF(ISBLANK(Actuals!BQ100),-1586.17*Escalation!$B$65,Actuals!BQ100)</f>
        <v>-1751.25984761174</v>
      </c>
      <c r="BQ187" s="402">
        <f>IF(ISBLANK(Actuals!BR100),-1586.17*Escalation!$B$66,Actuals!BR100)</f>
        <v>-1751.25984761174</v>
      </c>
      <c r="BR187" s="402">
        <f>IF(ISBLANK(Actuals!BS100),-1586.17*Escalation!$B$67,Actuals!BS100)</f>
        <v>-1751.25984761174</v>
      </c>
      <c r="BS187" s="402">
        <f>IF(ISBLANK(Actuals!BT100),-1586.17*Escalation!$B$68,Actuals!BT100)</f>
        <v>-1751.25984761174</v>
      </c>
      <c r="BT187" s="402">
        <f>IF(ISBLANK(Actuals!BU100),-1586.17*Escalation!$B$69,Actuals!BU100)</f>
        <v>-1751.25984761174</v>
      </c>
      <c r="BU187" s="402">
        <f>IF(ISBLANK(Actuals!BV100),-1586.17*Escalation!$B$70,Actuals!BV100)</f>
        <v>-1751.25984761174</v>
      </c>
      <c r="BV187" s="402">
        <f>IF(ISBLANK(Actuals!BW100),-1586.17*Escalation!$B$71,Actuals!BW100)</f>
        <v>-1751.25984761174</v>
      </c>
      <c r="BW187" s="402">
        <f>IF(ISBLANK(Actuals!BX100),-1586.17*Escalation!$B$72,Actuals!BX100)</f>
        <v>-1751.25984761174</v>
      </c>
      <c r="BX187" s="402">
        <f>IF(ISBLANK(Actuals!BY100),-1586.17*Escalation!$B$73,Actuals!BY100)</f>
        <v>-1751.25984761174</v>
      </c>
      <c r="BY187" s="402">
        <f>IF(ISBLANK(Actuals!BZ100),-1586.17*Escalation!$B$74,Actuals!BZ100)</f>
        <v>-1786.28504456398</v>
      </c>
      <c r="BZ187" s="402">
        <f>IF(ISBLANK(Actuals!CA100),-1586.17*Escalation!$B$75,Actuals!CA100)</f>
        <v>-1786.28504456398</v>
      </c>
      <c r="CA187" s="402">
        <f>IF(ISBLANK(Actuals!CB100),-1586.17*Escalation!$B$76,Actuals!CB100)</f>
        <v>-1786.28504456398</v>
      </c>
      <c r="CB187" s="402">
        <f>IF(ISBLANK(Actuals!CC100),-1586.17*Escalation!$B$77,Actuals!CC100)</f>
        <v>-1786.28504456398</v>
      </c>
      <c r="CC187" s="402">
        <f>IF(ISBLANK(Actuals!CD100),-1586.17*Escalation!$B$78,Actuals!CD100)</f>
        <v>-1786.28504456398</v>
      </c>
      <c r="CD187" s="402">
        <f>IF(ISBLANK(Actuals!CE100),-1586.17*Escalation!$B$79,Actuals!CE100)</f>
        <v>-1786.28504456398</v>
      </c>
      <c r="CE187" s="402">
        <f>IF(ISBLANK(Actuals!CF100),-1586.17*Escalation!$B$80,Actuals!CF100)</f>
        <v>-1786.28504456398</v>
      </c>
      <c r="CF187" s="402">
        <f>IF(ISBLANK(Actuals!CG100),-1586.17*Escalation!$B$81,Actuals!CG100)</f>
        <v>-1786.28504456398</v>
      </c>
      <c r="CG187" s="402">
        <f>IF(ISBLANK(Actuals!CH100),-1586.17*Escalation!$B$82,Actuals!CH100)</f>
        <v>-1786.28504456398</v>
      </c>
      <c r="CH187" s="402">
        <f>IF(ISBLANK(Actuals!CI100),-1586.17*Escalation!$B$83,Actuals!CI100)</f>
        <v>-1786.28504456398</v>
      </c>
      <c r="CI187" s="402">
        <f>IF(ISBLANK(Actuals!CJ100),-1586.17*Escalation!$B$84,Actuals!CJ100)</f>
        <v>-1786.28504456398</v>
      </c>
      <c r="CJ187" s="402">
        <f>IF(ISBLANK(Actuals!CK100),-1586.17*Escalation!$B$85,Actuals!CK100)</f>
        <v>-1786.28504456398</v>
      </c>
      <c r="CK187" s="402">
        <f>IF(ISBLANK(Actuals!CL100),-1586.17*Escalation!$B$86,Actuals!CL100)</f>
        <v>-1822.01074545526</v>
      </c>
      <c r="CL187" s="402">
        <f>IF(ISBLANK(Actuals!CM100),-1586.17*Escalation!$B$87,Actuals!CM100)</f>
        <v>-1822.01074545526</v>
      </c>
      <c r="CM187" s="402">
        <f>IF(ISBLANK(Actuals!CN100),-1586.17*Escalation!$B$88,Actuals!CN100)</f>
        <v>-1822.01074545526</v>
      </c>
      <c r="CN187" s="402">
        <f>IF(ISBLANK(Actuals!CO100),-1586.17*Escalation!$B$89,Actuals!CO100)</f>
        <v>-1822.01074545526</v>
      </c>
      <c r="CO187" s="402">
        <f>IF(ISBLANK(Actuals!CP100),-1586.17*Escalation!$B$90,Actuals!CP100)</f>
        <v>-1822.01074545526</v>
      </c>
      <c r="CP187" s="402">
        <f>IF(ISBLANK(Actuals!CQ100),-1586.17*Escalation!$B$91,Actuals!CQ100)</f>
        <v>-1822.01074545526</v>
      </c>
      <c r="CQ187" s="402">
        <f>IF(ISBLANK(Actuals!CR100),-1586.17*Escalation!$B$92,Actuals!CR100)</f>
        <v>-1822.01074545526</v>
      </c>
      <c r="CR187" s="402">
        <f>IF(ISBLANK(Actuals!CS100),-1586.17*Escalation!$B$93,Actuals!CS100)</f>
        <v>-1822.01074545526</v>
      </c>
      <c r="CS187" s="402">
        <f>IF(ISBLANK(Actuals!CT100),-1586.17*Escalation!$B$94,Actuals!CT100)</f>
        <v>-1822.01074545526</v>
      </c>
      <c r="CT187" s="402">
        <f>IF(ISBLANK(Actuals!CU100),-1586.17*Escalation!$B$95,Actuals!CU100)</f>
        <v>-1822.01074545526</v>
      </c>
      <c r="CU187" s="402">
        <f>IF(ISBLANK(Actuals!CV100),-1586.17*Escalation!$B$96,Actuals!CV100)</f>
        <v>-1822.01074545526</v>
      </c>
      <c r="CV187" s="402">
        <f>IF(ISBLANK(Actuals!CW100),-1586.17*Escalation!$B$97,Actuals!CW100)</f>
        <v>-1822.01074545526</v>
      </c>
      <c r="CW187" s="402">
        <f>IF(ISBLANK(Actuals!CX100),-1586.17*Escalation!$B$98,Actuals!CX100)</f>
        <v>-1858.45096036436</v>
      </c>
      <c r="CX187" s="402">
        <f>IF(ISBLANK(Actuals!CY100),-1586.17*Escalation!$B$99,Actuals!CY100)</f>
        <v>-1858.45096036436</v>
      </c>
      <c r="CY187" s="402">
        <f>IF(ISBLANK(Actuals!CZ100),-1586.17*Escalation!$B$100,Actuals!CZ100)</f>
        <v>-1858.45096036436</v>
      </c>
      <c r="CZ187" s="402">
        <f>IF(ISBLANK(Actuals!DA100),-1586.17*Escalation!$B$101,Actuals!DA100)</f>
        <v>-1858.45096036436</v>
      </c>
      <c r="DA187" s="402">
        <f>IF(ISBLANK(Actuals!DB100),-1586.17*Escalation!$B$102,Actuals!DB100)</f>
        <v>-1858.45096036436</v>
      </c>
      <c r="DB187" s="402">
        <f>IF(ISBLANK(Actuals!DC100),-1586.17*Escalation!$B$103,Actuals!DC100)</f>
        <v>-1858.45096036436</v>
      </c>
      <c r="DC187" s="402">
        <f>IF(ISBLANK(Actuals!DD100),-1586.17*Escalation!$B$104,Actuals!DD100)</f>
        <v>-1858.45096036436</v>
      </c>
      <c r="DD187" s="402">
        <f>IF(ISBLANK(Actuals!DE100),-1586.17*Escalation!$B$105,Actuals!DE100)</f>
        <v>-1858.45096036436</v>
      </c>
      <c r="DE187" s="402">
        <f>IF(ISBLANK(Actuals!DF100),-1586.17*Escalation!$B$106,Actuals!DF100)</f>
        <v>-1858.45096036436</v>
      </c>
    </row>
    <row r="188" ht="15" customFormat="1" customHeight="1" s="381">
      <c r="A188" s="415" t="inlineStr">
        <is>
          <t>5500-1009 Entity Filing and Formation Fees</t>
        </is>
      </c>
      <c r="B188" s="402">
        <f>IF(ISBLANK(Actuals!C101),0,Actuals!C101)</f>
        <v>-341.83</v>
      </c>
      <c r="C188" s="402">
        <f>IF(ISBLANK(Actuals!D101),0,Actuals!D101)</f>
        <v>-728</v>
      </c>
      <c r="D188" s="402">
        <f>IF(ISBLANK(Actuals!E101),0,Actuals!E101)</f>
        <v>-15256.75</v>
      </c>
      <c r="E188" s="402">
        <f>IF(ISBLANK(Actuals!F101),-5442.19*Escalation!$B$2,Actuals!F101)</f>
        <v>-1033.41</v>
      </c>
      <c r="F188" s="402">
        <f>IF(ISBLANK(Actuals!G101),-5442.19*Escalation!$B$3,Actuals!G101)</f>
        <v>-3499</v>
      </c>
      <c r="G188" s="402">
        <f>IF(ISBLANK(Actuals!H101),-5442.19*Escalation!$B$4,Actuals!H101)</f>
        <v>-1033.41</v>
      </c>
      <c r="H188" s="402">
        <f>IF(ISBLANK(Actuals!I101),-5442.19*Escalation!$B$5,Actuals!I101)</f>
        <v>-5442.19</v>
      </c>
      <c r="I188" s="402">
        <f>IF(ISBLANK(Actuals!J101),-5442.19*Escalation!$B$6,Actuals!J101)</f>
        <v>-5442.19</v>
      </c>
      <c r="J188" s="402">
        <f>IF(ISBLANK(Actuals!K101),-5442.19*Escalation!$B$7,Actuals!K101)</f>
        <v>-5442.19</v>
      </c>
      <c r="K188" s="402">
        <f>IF(ISBLANK(Actuals!L101),-5442.19*Escalation!$B$8,Actuals!L101)</f>
        <v>-5442.19</v>
      </c>
      <c r="L188" s="402">
        <f>IF(ISBLANK(Actuals!M101),-5442.19*Escalation!$B$9,Actuals!M101)</f>
        <v>-5442.19</v>
      </c>
      <c r="M188" s="402">
        <f>IF(ISBLANK(Actuals!N101),-5442.19*Escalation!$B$10,Actuals!N101)</f>
        <v>-5442.19</v>
      </c>
      <c r="N188" s="402">
        <f>IF(ISBLANK(Actuals!O101),-5442.19*Escalation!$B$11,Actuals!O101)</f>
        <v>-5442.19</v>
      </c>
      <c r="O188" s="402">
        <f>IF(ISBLANK(Actuals!P101),-5442.19*Escalation!$B$12,Actuals!P101)</f>
        <v>-5442.19</v>
      </c>
      <c r="P188" s="402">
        <f>IF(ISBLANK(Actuals!Q101),-5442.19*Escalation!$B$13,Actuals!Q101)</f>
        <v>-5442.19</v>
      </c>
      <c r="Q188" s="402">
        <f>IF(ISBLANK(Actuals!R101),-5442.19*Escalation!$B$14,Actuals!R101)</f>
        <v>-5551.0338</v>
      </c>
      <c r="R188" s="402">
        <f>IF(ISBLANK(Actuals!S101),-5442.19*Escalation!$B$15,Actuals!S101)</f>
        <v>-5551.0338</v>
      </c>
      <c r="S188" s="402">
        <f>IF(ISBLANK(Actuals!T101),-5442.19*Escalation!$B$16,Actuals!T101)</f>
        <v>-5551.0338</v>
      </c>
      <c r="T188" s="402">
        <f>IF(ISBLANK(Actuals!U101),-5442.19*Escalation!$B$17,Actuals!U101)</f>
        <v>-5551.0338</v>
      </c>
      <c r="U188" s="402">
        <f>IF(ISBLANK(Actuals!V101),-5442.19*Escalation!$B$18,Actuals!V101)</f>
        <v>-5551.0338</v>
      </c>
      <c r="V188" s="402">
        <f>IF(ISBLANK(Actuals!W101),-5442.19*Escalation!$B$19,Actuals!W101)</f>
        <v>-5551.0338</v>
      </c>
      <c r="W188" s="402">
        <f>IF(ISBLANK(Actuals!X101),-5442.19*Escalation!$B$20,Actuals!X101)</f>
        <v>-5551.0338</v>
      </c>
      <c r="X188" s="402">
        <f>IF(ISBLANK(Actuals!Y101),-5442.19*Escalation!$B$21,Actuals!Y101)</f>
        <v>-5551.0338</v>
      </c>
      <c r="Y188" s="402">
        <f>IF(ISBLANK(Actuals!Z101),-5442.19*Escalation!$B$22,Actuals!Z101)</f>
        <v>-5551.0338</v>
      </c>
      <c r="Z188" s="402">
        <f>IF(ISBLANK(Actuals!AA101),-5442.19*Escalation!$B$23,Actuals!AA101)</f>
        <v>-5551.0338</v>
      </c>
      <c r="AA188" s="402">
        <f>IF(ISBLANK(Actuals!AB101),-5442.19*Escalation!$B$24,Actuals!AB101)</f>
        <v>-5551.0338</v>
      </c>
      <c r="AB188" s="402">
        <f>IF(ISBLANK(Actuals!AC101),-5442.19*Escalation!$B$25,Actuals!AC101)</f>
        <v>-5551.0338</v>
      </c>
      <c r="AC188" s="402">
        <f>IF(ISBLANK(Actuals!AD101),-5442.19*Escalation!$B$26,Actuals!AD101)</f>
        <v>-5662.054476</v>
      </c>
      <c r="AD188" s="402">
        <f>IF(ISBLANK(Actuals!AE101),-5442.19*Escalation!$B$27,Actuals!AE101)</f>
        <v>-5662.054476</v>
      </c>
      <c r="AE188" s="402">
        <f>IF(ISBLANK(Actuals!AF101),-5442.19*Escalation!$B$28,Actuals!AF101)</f>
        <v>-5662.054476</v>
      </c>
      <c r="AF188" s="402">
        <f>IF(ISBLANK(Actuals!AG101),-5442.19*Escalation!$B$29,Actuals!AG101)</f>
        <v>-5662.054476</v>
      </c>
      <c r="AG188" s="402">
        <f>IF(ISBLANK(Actuals!AH101),-5442.19*Escalation!$B$30,Actuals!AH101)</f>
        <v>-5662.054476</v>
      </c>
      <c r="AH188" s="402">
        <f>IF(ISBLANK(Actuals!AI101),-5442.19*Escalation!$B$31,Actuals!AI101)</f>
        <v>-5662.054476</v>
      </c>
      <c r="AI188" s="402">
        <f>IF(ISBLANK(Actuals!AJ101),-5442.19*Escalation!$B$32,Actuals!AJ101)</f>
        <v>-5662.054476</v>
      </c>
      <c r="AJ188" s="402">
        <f>IF(ISBLANK(Actuals!AK101),-5442.19*Escalation!$B$33,Actuals!AK101)</f>
        <v>-5662.054476</v>
      </c>
      <c r="AK188" s="402">
        <f>IF(ISBLANK(Actuals!AL101),-5442.19*Escalation!$B$34,Actuals!AL101)</f>
        <v>-5662.054476</v>
      </c>
      <c r="AL188" s="402">
        <f>IF(ISBLANK(Actuals!AM101),-5442.19*Escalation!$B$35,Actuals!AM101)</f>
        <v>-5662.054476</v>
      </c>
      <c r="AM188" s="402">
        <f>IF(ISBLANK(Actuals!AN101),-5442.19*Escalation!$B$36,Actuals!AN101)</f>
        <v>-5662.054476</v>
      </c>
      <c r="AN188" s="402">
        <f>IF(ISBLANK(Actuals!AO101),-5442.19*Escalation!$B$37,Actuals!AO101)</f>
        <v>-5662.054476</v>
      </c>
      <c r="AO188" s="402">
        <f>IF(ISBLANK(Actuals!AP101),-5442.19*Escalation!$B$38,Actuals!AP101)</f>
        <v>-5775.29556552</v>
      </c>
      <c r="AP188" s="402">
        <f>IF(ISBLANK(Actuals!AQ101),-5442.19*Escalation!$B$39,Actuals!AQ101)</f>
        <v>-5775.29556552</v>
      </c>
      <c r="AQ188" s="402">
        <f>IF(ISBLANK(Actuals!AR101),-5442.19*Escalation!$B$40,Actuals!AR101)</f>
        <v>-5775.29556552</v>
      </c>
      <c r="AR188" s="402">
        <f>IF(ISBLANK(Actuals!AS101),-5442.19*Escalation!$B$41,Actuals!AS101)</f>
        <v>-5775.29556552</v>
      </c>
      <c r="AS188" s="402">
        <f>IF(ISBLANK(Actuals!AT101),-5442.19*Escalation!$B$42,Actuals!AT101)</f>
        <v>-5775.29556552</v>
      </c>
      <c r="AT188" s="402">
        <f>IF(ISBLANK(Actuals!AU101),-5442.19*Escalation!$B$43,Actuals!AU101)</f>
        <v>-5775.29556552</v>
      </c>
      <c r="AU188" s="402">
        <f>IF(ISBLANK(Actuals!AV101),-5442.19*Escalation!$B$44,Actuals!AV101)</f>
        <v>-5775.29556552</v>
      </c>
      <c r="AV188" s="402">
        <f>IF(ISBLANK(Actuals!AW101),-5442.19*Escalation!$B$45,Actuals!AW101)</f>
        <v>-5775.29556552</v>
      </c>
      <c r="AW188" s="402">
        <f>IF(ISBLANK(Actuals!AX101),-5442.19*Escalation!$B$46,Actuals!AX101)</f>
        <v>-5775.29556552</v>
      </c>
      <c r="AX188" s="402">
        <f>IF(ISBLANK(Actuals!AY101),-5442.19*Escalation!$B$47,Actuals!AY101)</f>
        <v>-5775.29556552</v>
      </c>
      <c r="AY188" s="402">
        <f>IF(ISBLANK(Actuals!AZ101),-5442.19*Escalation!$B$48,Actuals!AZ101)</f>
        <v>-5775.29556552</v>
      </c>
      <c r="AZ188" s="402">
        <f>IF(ISBLANK(Actuals!BA101),-5442.19*Escalation!$B$49,Actuals!BA101)</f>
        <v>-5775.29556552</v>
      </c>
      <c r="BA188" s="402">
        <f>IF(ISBLANK(Actuals!BB101),-5442.19*Escalation!$B$50,Actuals!BB101)</f>
        <v>-5890.8014768304</v>
      </c>
      <c r="BB188" s="402">
        <f>IF(ISBLANK(Actuals!BC101),-5442.19*Escalation!$B$51,Actuals!BC101)</f>
        <v>-5890.8014768304</v>
      </c>
      <c r="BC188" s="402">
        <f>IF(ISBLANK(Actuals!BD101),-5442.19*Escalation!$B$52,Actuals!BD101)</f>
        <v>-5890.8014768304</v>
      </c>
      <c r="BD188" s="402">
        <f>IF(ISBLANK(Actuals!BE101),-5442.19*Escalation!$B$53,Actuals!BE101)</f>
        <v>-5890.8014768304</v>
      </c>
      <c r="BE188" s="402">
        <f>IF(ISBLANK(Actuals!BF101),-5442.19*Escalation!$B$54,Actuals!BF101)</f>
        <v>-5890.8014768304</v>
      </c>
      <c r="BF188" s="402">
        <f>IF(ISBLANK(Actuals!BG101),-5442.19*Escalation!$B$55,Actuals!BG101)</f>
        <v>-5890.8014768304</v>
      </c>
      <c r="BG188" s="402">
        <f>IF(ISBLANK(Actuals!BH101),-5442.19*Escalation!$B$56,Actuals!BH101)</f>
        <v>-5890.8014768304</v>
      </c>
      <c r="BH188" s="402">
        <f>IF(ISBLANK(Actuals!BI101),-5442.19*Escalation!$B$57,Actuals!BI101)</f>
        <v>-5890.8014768304</v>
      </c>
      <c r="BI188" s="402">
        <f>IF(ISBLANK(Actuals!BJ101),-5442.19*Escalation!$B$58,Actuals!BJ101)</f>
        <v>-5890.8014768304</v>
      </c>
      <c r="BJ188" s="402">
        <f>IF(ISBLANK(Actuals!BK101),-5442.19*Escalation!$B$59,Actuals!BK101)</f>
        <v>-5890.8014768304</v>
      </c>
      <c r="BK188" s="402">
        <f>IF(ISBLANK(Actuals!BL101),-5442.19*Escalation!$B$60,Actuals!BL101)</f>
        <v>-5890.8014768304</v>
      </c>
      <c r="BL188" s="402">
        <f>IF(ISBLANK(Actuals!BM101),-5442.19*Escalation!$B$61,Actuals!BM101)</f>
        <v>-5890.8014768304</v>
      </c>
      <c r="BM188" s="402">
        <f>IF(ISBLANK(Actuals!BN101),-5442.19*Escalation!$B$62,Actuals!BN101)</f>
        <v>-6008.61750636701</v>
      </c>
      <c r="BN188" s="402">
        <f>IF(ISBLANK(Actuals!BO101),-5442.19*Escalation!$B$63,Actuals!BO101)</f>
        <v>-6008.61750636701</v>
      </c>
      <c r="BO188" s="402">
        <f>IF(ISBLANK(Actuals!BP101),-5442.19*Escalation!$B$64,Actuals!BP101)</f>
        <v>-6008.61750636701</v>
      </c>
      <c r="BP188" s="402">
        <f>IF(ISBLANK(Actuals!BQ101),-5442.19*Escalation!$B$65,Actuals!BQ101)</f>
        <v>-6008.61750636701</v>
      </c>
      <c r="BQ188" s="402">
        <f>IF(ISBLANK(Actuals!BR101),-5442.19*Escalation!$B$66,Actuals!BR101)</f>
        <v>-6008.61750636701</v>
      </c>
      <c r="BR188" s="402">
        <f>IF(ISBLANK(Actuals!BS101),-5442.19*Escalation!$B$67,Actuals!BS101)</f>
        <v>-6008.61750636701</v>
      </c>
      <c r="BS188" s="402">
        <f>IF(ISBLANK(Actuals!BT101),-5442.19*Escalation!$B$68,Actuals!BT101)</f>
        <v>-6008.61750636701</v>
      </c>
      <c r="BT188" s="402">
        <f>IF(ISBLANK(Actuals!BU101),-5442.19*Escalation!$B$69,Actuals!BU101)</f>
        <v>-6008.61750636701</v>
      </c>
      <c r="BU188" s="402">
        <f>IF(ISBLANK(Actuals!BV101),-5442.19*Escalation!$B$70,Actuals!BV101)</f>
        <v>-6008.61750636701</v>
      </c>
      <c r="BV188" s="402">
        <f>IF(ISBLANK(Actuals!BW101),-5442.19*Escalation!$B$71,Actuals!BW101)</f>
        <v>-6008.61750636701</v>
      </c>
      <c r="BW188" s="402">
        <f>IF(ISBLANK(Actuals!BX101),-5442.19*Escalation!$B$72,Actuals!BX101)</f>
        <v>-6008.61750636701</v>
      </c>
      <c r="BX188" s="402">
        <f>IF(ISBLANK(Actuals!BY101),-5442.19*Escalation!$B$73,Actuals!BY101)</f>
        <v>-6008.61750636701</v>
      </c>
      <c r="BY188" s="402">
        <f>IF(ISBLANK(Actuals!BZ101),-5442.19*Escalation!$B$74,Actuals!BZ101)</f>
        <v>-6128.78985649435</v>
      </c>
      <c r="BZ188" s="402">
        <f>IF(ISBLANK(Actuals!CA101),-5442.19*Escalation!$B$75,Actuals!CA101)</f>
        <v>-6128.78985649435</v>
      </c>
      <c r="CA188" s="402">
        <f>IF(ISBLANK(Actuals!CB101),-5442.19*Escalation!$B$76,Actuals!CB101)</f>
        <v>-6128.78985649435</v>
      </c>
      <c r="CB188" s="402">
        <f>IF(ISBLANK(Actuals!CC101),-5442.19*Escalation!$B$77,Actuals!CC101)</f>
        <v>-6128.78985649435</v>
      </c>
      <c r="CC188" s="402">
        <f>IF(ISBLANK(Actuals!CD101),-5442.19*Escalation!$B$78,Actuals!CD101)</f>
        <v>-6128.78985649435</v>
      </c>
      <c r="CD188" s="402">
        <f>IF(ISBLANK(Actuals!CE101),-5442.19*Escalation!$B$79,Actuals!CE101)</f>
        <v>-6128.78985649435</v>
      </c>
      <c r="CE188" s="402">
        <f>IF(ISBLANK(Actuals!CF101),-5442.19*Escalation!$B$80,Actuals!CF101)</f>
        <v>-6128.78985649435</v>
      </c>
      <c r="CF188" s="402">
        <f>IF(ISBLANK(Actuals!CG101),-5442.19*Escalation!$B$81,Actuals!CG101)</f>
        <v>-6128.78985649435</v>
      </c>
      <c r="CG188" s="402">
        <f>IF(ISBLANK(Actuals!CH101),-5442.19*Escalation!$B$82,Actuals!CH101)</f>
        <v>-6128.78985649435</v>
      </c>
      <c r="CH188" s="402">
        <f>IF(ISBLANK(Actuals!CI101),-5442.19*Escalation!$B$83,Actuals!CI101)</f>
        <v>-6128.78985649435</v>
      </c>
      <c r="CI188" s="402">
        <f>IF(ISBLANK(Actuals!CJ101),-5442.19*Escalation!$B$84,Actuals!CJ101)</f>
        <v>-6128.78985649435</v>
      </c>
      <c r="CJ188" s="402">
        <f>IF(ISBLANK(Actuals!CK101),-5442.19*Escalation!$B$85,Actuals!CK101)</f>
        <v>-6128.78985649435</v>
      </c>
      <c r="CK188" s="402">
        <f>IF(ISBLANK(Actuals!CL101),-5442.19*Escalation!$B$86,Actuals!CL101)</f>
        <v>-6251.36565362424</v>
      </c>
      <c r="CL188" s="402">
        <f>IF(ISBLANK(Actuals!CM101),-5442.19*Escalation!$B$87,Actuals!CM101)</f>
        <v>-6251.36565362424</v>
      </c>
      <c r="CM188" s="402">
        <f>IF(ISBLANK(Actuals!CN101),-5442.19*Escalation!$B$88,Actuals!CN101)</f>
        <v>-6251.36565362424</v>
      </c>
      <c r="CN188" s="402">
        <f>IF(ISBLANK(Actuals!CO101),-5442.19*Escalation!$B$89,Actuals!CO101)</f>
        <v>-6251.36565362424</v>
      </c>
      <c r="CO188" s="402">
        <f>IF(ISBLANK(Actuals!CP101),-5442.19*Escalation!$B$90,Actuals!CP101)</f>
        <v>-6251.36565362424</v>
      </c>
      <c r="CP188" s="402">
        <f>IF(ISBLANK(Actuals!CQ101),-5442.19*Escalation!$B$91,Actuals!CQ101)</f>
        <v>-6251.36565362424</v>
      </c>
      <c r="CQ188" s="402">
        <f>IF(ISBLANK(Actuals!CR101),-5442.19*Escalation!$B$92,Actuals!CR101)</f>
        <v>-6251.36565362424</v>
      </c>
      <c r="CR188" s="402">
        <f>IF(ISBLANK(Actuals!CS101),-5442.19*Escalation!$B$93,Actuals!CS101)</f>
        <v>-6251.36565362424</v>
      </c>
      <c r="CS188" s="402">
        <f>IF(ISBLANK(Actuals!CT101),-5442.19*Escalation!$B$94,Actuals!CT101)</f>
        <v>-6251.36565362424</v>
      </c>
      <c r="CT188" s="402">
        <f>IF(ISBLANK(Actuals!CU101),-5442.19*Escalation!$B$95,Actuals!CU101)</f>
        <v>-6251.36565362424</v>
      </c>
      <c r="CU188" s="402">
        <f>IF(ISBLANK(Actuals!CV101),-5442.19*Escalation!$B$96,Actuals!CV101)</f>
        <v>-6251.36565362424</v>
      </c>
      <c r="CV188" s="402">
        <f>IF(ISBLANK(Actuals!CW101),-5442.19*Escalation!$B$97,Actuals!CW101)</f>
        <v>-6251.36565362424</v>
      </c>
      <c r="CW188" s="402">
        <f>IF(ISBLANK(Actuals!CX101),-5442.19*Escalation!$B$98,Actuals!CX101)</f>
        <v>-6376.39296669672</v>
      </c>
      <c r="CX188" s="402">
        <f>IF(ISBLANK(Actuals!CY101),-5442.19*Escalation!$B$99,Actuals!CY101)</f>
        <v>-6376.39296669672</v>
      </c>
      <c r="CY188" s="402">
        <f>IF(ISBLANK(Actuals!CZ101),-5442.19*Escalation!$B$100,Actuals!CZ101)</f>
        <v>-6376.39296669672</v>
      </c>
      <c r="CZ188" s="402">
        <f>IF(ISBLANK(Actuals!DA101),-5442.19*Escalation!$B$101,Actuals!DA101)</f>
        <v>-6376.39296669672</v>
      </c>
      <c r="DA188" s="402">
        <f>IF(ISBLANK(Actuals!DB101),-5442.19*Escalation!$B$102,Actuals!DB101)</f>
        <v>-6376.39296669672</v>
      </c>
      <c r="DB188" s="402">
        <f>IF(ISBLANK(Actuals!DC101),-5442.19*Escalation!$B$103,Actuals!DC101)</f>
        <v>-6376.39296669672</v>
      </c>
      <c r="DC188" s="402">
        <f>IF(ISBLANK(Actuals!DD101),-5442.19*Escalation!$B$104,Actuals!DD101)</f>
        <v>-6376.39296669672</v>
      </c>
      <c r="DD188" s="402">
        <f>IF(ISBLANK(Actuals!DE101),-5442.19*Escalation!$B$105,Actuals!DE101)</f>
        <v>-6376.39296669672</v>
      </c>
      <c r="DE188" s="402">
        <f>IF(ISBLANK(Actuals!DF101),-5442.19*Escalation!$B$106,Actuals!DF101)</f>
        <v>-6376.39296669672</v>
      </c>
    </row>
    <row r="189" ht="15" customFormat="1" customHeight="1" s="381">
      <c r="A189" s="415" t="inlineStr">
        <is>
          <t>5500-1010 Investment Management Software</t>
        </is>
      </c>
      <c r="B189" s="402">
        <f>IF(ISBLANK(Actuals!C102),0,Actuals!C102)</f>
        <v>-1905.31</v>
      </c>
      <c r="C189" s="402">
        <f>IF(ISBLANK(Actuals!D102),0,Actuals!D102)</f>
        <v>-1905.31</v>
      </c>
      <c r="D189" s="402">
        <f>IF(ISBLANK(Actuals!E102),0,Actuals!E102)</f>
        <v>-1905.31</v>
      </c>
      <c r="E189" s="402">
        <f>IF(ISBLANK(Actuals!F102),-1905.31*Escalation!$B$2,Actuals!F102)</f>
        <v>-1905.31</v>
      </c>
      <c r="F189" s="402">
        <f>IF(ISBLANK(Actuals!G102),-1905.31*Escalation!$B$3,Actuals!G102)</f>
        <v>-1905.31</v>
      </c>
      <c r="G189" s="402">
        <f>IF(ISBLANK(Actuals!H102),-1905.31*Escalation!$B$4,Actuals!H102)</f>
        <v>-1905.31</v>
      </c>
      <c r="H189" s="402">
        <f>IF(ISBLANK(Actuals!I102),-1905.31*Escalation!$B$5,Actuals!I102)</f>
        <v>-1905.31</v>
      </c>
      <c r="I189" s="402">
        <f>IF(ISBLANK(Actuals!J102),-1905.31*Escalation!$B$6,Actuals!J102)</f>
        <v>-1905.31</v>
      </c>
      <c r="J189" s="402">
        <f>IF(ISBLANK(Actuals!K102),-1905.31*Escalation!$B$7,Actuals!K102)</f>
        <v>-1905.31</v>
      </c>
      <c r="K189" s="402">
        <f>IF(ISBLANK(Actuals!L102),-1905.31*Escalation!$B$8,Actuals!L102)</f>
        <v>-1905.31</v>
      </c>
      <c r="L189" s="402">
        <f>IF(ISBLANK(Actuals!M102),-1905.31*Escalation!$B$9,Actuals!M102)</f>
        <v>-1905.31</v>
      </c>
      <c r="M189" s="402">
        <f>IF(ISBLANK(Actuals!N102),-1905.31*Escalation!$B$10,Actuals!N102)</f>
        <v>-1905.31</v>
      </c>
      <c r="N189" s="402">
        <f>IF(ISBLANK(Actuals!O102),-1905.31*Escalation!$B$11,Actuals!O102)</f>
        <v>-1905.31</v>
      </c>
      <c r="O189" s="402">
        <f>IF(ISBLANK(Actuals!P102),-1905.31*Escalation!$B$12,Actuals!P102)</f>
        <v>-1905.31</v>
      </c>
      <c r="P189" s="402">
        <f>IF(ISBLANK(Actuals!Q102),-1905.31*Escalation!$B$13,Actuals!Q102)</f>
        <v>-1905.31</v>
      </c>
      <c r="Q189" s="402">
        <f>IF(ISBLANK(Actuals!R102),-1905.31*Escalation!$B$14,Actuals!R102)</f>
        <v>-1943.4162</v>
      </c>
      <c r="R189" s="402">
        <f>IF(ISBLANK(Actuals!S102),-1905.31*Escalation!$B$15,Actuals!S102)</f>
        <v>-1943.4162</v>
      </c>
      <c r="S189" s="402">
        <f>IF(ISBLANK(Actuals!T102),-1905.31*Escalation!$B$16,Actuals!T102)</f>
        <v>-1943.4162</v>
      </c>
      <c r="T189" s="402">
        <f>IF(ISBLANK(Actuals!U102),-1905.31*Escalation!$B$17,Actuals!U102)</f>
        <v>-1943.4162</v>
      </c>
      <c r="U189" s="402">
        <f>IF(ISBLANK(Actuals!V102),-1905.31*Escalation!$B$18,Actuals!V102)</f>
        <v>-1943.4162</v>
      </c>
      <c r="V189" s="402">
        <f>IF(ISBLANK(Actuals!W102),-1905.31*Escalation!$B$19,Actuals!W102)</f>
        <v>-1943.4162</v>
      </c>
      <c r="W189" s="402">
        <f>IF(ISBLANK(Actuals!X102),-1905.31*Escalation!$B$20,Actuals!X102)</f>
        <v>-1943.4162</v>
      </c>
      <c r="X189" s="402">
        <f>IF(ISBLANK(Actuals!Y102),-1905.31*Escalation!$B$21,Actuals!Y102)</f>
        <v>-1943.4162</v>
      </c>
      <c r="Y189" s="402">
        <f>IF(ISBLANK(Actuals!Z102),-1905.31*Escalation!$B$22,Actuals!Z102)</f>
        <v>-1943.4162</v>
      </c>
      <c r="Z189" s="402">
        <f>IF(ISBLANK(Actuals!AA102),-1905.31*Escalation!$B$23,Actuals!AA102)</f>
        <v>-1943.4162</v>
      </c>
      <c r="AA189" s="402">
        <f>IF(ISBLANK(Actuals!AB102),-1905.31*Escalation!$B$24,Actuals!AB102)</f>
        <v>-1943.4162</v>
      </c>
      <c r="AB189" s="402">
        <f>IF(ISBLANK(Actuals!AC102),-1905.31*Escalation!$B$25,Actuals!AC102)</f>
        <v>-1943.4162</v>
      </c>
      <c r="AC189" s="402">
        <f>IF(ISBLANK(Actuals!AD102),-1905.31*Escalation!$B$26,Actuals!AD102)</f>
        <v>-1982.284524</v>
      </c>
      <c r="AD189" s="402">
        <f>IF(ISBLANK(Actuals!AE102),-1905.31*Escalation!$B$27,Actuals!AE102)</f>
        <v>-1982.284524</v>
      </c>
      <c r="AE189" s="402">
        <f>IF(ISBLANK(Actuals!AF102),-1905.31*Escalation!$B$28,Actuals!AF102)</f>
        <v>-1982.284524</v>
      </c>
      <c r="AF189" s="402">
        <f>IF(ISBLANK(Actuals!AG102),-1905.31*Escalation!$B$29,Actuals!AG102)</f>
        <v>-1982.284524</v>
      </c>
      <c r="AG189" s="402">
        <f>IF(ISBLANK(Actuals!AH102),-1905.31*Escalation!$B$30,Actuals!AH102)</f>
        <v>-1982.284524</v>
      </c>
      <c r="AH189" s="402">
        <f>IF(ISBLANK(Actuals!AI102),-1905.31*Escalation!$B$31,Actuals!AI102)</f>
        <v>-1982.284524</v>
      </c>
      <c r="AI189" s="402">
        <f>IF(ISBLANK(Actuals!AJ102),-1905.31*Escalation!$B$32,Actuals!AJ102)</f>
        <v>-1982.284524</v>
      </c>
      <c r="AJ189" s="402">
        <f>IF(ISBLANK(Actuals!AK102),-1905.31*Escalation!$B$33,Actuals!AK102)</f>
        <v>-1982.284524</v>
      </c>
      <c r="AK189" s="402">
        <f>IF(ISBLANK(Actuals!AL102),-1905.31*Escalation!$B$34,Actuals!AL102)</f>
        <v>-1982.284524</v>
      </c>
      <c r="AL189" s="402">
        <f>IF(ISBLANK(Actuals!AM102),-1905.31*Escalation!$B$35,Actuals!AM102)</f>
        <v>-1982.284524</v>
      </c>
      <c r="AM189" s="402">
        <f>IF(ISBLANK(Actuals!AN102),-1905.31*Escalation!$B$36,Actuals!AN102)</f>
        <v>-1982.284524</v>
      </c>
      <c r="AN189" s="402">
        <f>IF(ISBLANK(Actuals!AO102),-1905.31*Escalation!$B$37,Actuals!AO102)</f>
        <v>-1982.284524</v>
      </c>
      <c r="AO189" s="402">
        <f>IF(ISBLANK(Actuals!AP102),-1905.31*Escalation!$B$38,Actuals!AP102)</f>
        <v>-2021.93021448</v>
      </c>
      <c r="AP189" s="402">
        <f>IF(ISBLANK(Actuals!AQ102),-1905.31*Escalation!$B$39,Actuals!AQ102)</f>
        <v>-2021.93021448</v>
      </c>
      <c r="AQ189" s="402">
        <f>IF(ISBLANK(Actuals!AR102),-1905.31*Escalation!$B$40,Actuals!AR102)</f>
        <v>-2021.93021448</v>
      </c>
      <c r="AR189" s="402">
        <f>IF(ISBLANK(Actuals!AS102),-1905.31*Escalation!$B$41,Actuals!AS102)</f>
        <v>-2021.93021448</v>
      </c>
      <c r="AS189" s="402">
        <f>IF(ISBLANK(Actuals!AT102),-1905.31*Escalation!$B$42,Actuals!AT102)</f>
        <v>-2021.93021448</v>
      </c>
      <c r="AT189" s="402">
        <f>IF(ISBLANK(Actuals!AU102),-1905.31*Escalation!$B$43,Actuals!AU102)</f>
        <v>-2021.93021448</v>
      </c>
      <c r="AU189" s="402">
        <f>IF(ISBLANK(Actuals!AV102),-1905.31*Escalation!$B$44,Actuals!AV102)</f>
        <v>-2021.93021448</v>
      </c>
      <c r="AV189" s="402">
        <f>IF(ISBLANK(Actuals!AW102),-1905.31*Escalation!$B$45,Actuals!AW102)</f>
        <v>-2021.93021448</v>
      </c>
      <c r="AW189" s="402">
        <f>IF(ISBLANK(Actuals!AX102),-1905.31*Escalation!$B$46,Actuals!AX102)</f>
        <v>-2021.93021448</v>
      </c>
      <c r="AX189" s="402">
        <f>IF(ISBLANK(Actuals!AY102),-1905.31*Escalation!$B$47,Actuals!AY102)</f>
        <v>-2021.93021448</v>
      </c>
      <c r="AY189" s="402">
        <f>IF(ISBLANK(Actuals!AZ102),-1905.31*Escalation!$B$48,Actuals!AZ102)</f>
        <v>-2021.93021448</v>
      </c>
      <c r="AZ189" s="402">
        <f>IF(ISBLANK(Actuals!BA102),-1905.31*Escalation!$B$49,Actuals!BA102)</f>
        <v>-2021.93021448</v>
      </c>
      <c r="BA189" s="402">
        <f>IF(ISBLANK(Actuals!BB102),-1905.31*Escalation!$B$50,Actuals!BB102)</f>
        <v>-2062.3688187696</v>
      </c>
      <c r="BB189" s="402">
        <f>IF(ISBLANK(Actuals!BC102),-1905.31*Escalation!$B$51,Actuals!BC102)</f>
        <v>-2062.3688187696</v>
      </c>
      <c r="BC189" s="402">
        <f>IF(ISBLANK(Actuals!BD102),-1905.31*Escalation!$B$52,Actuals!BD102)</f>
        <v>-2062.3688187696</v>
      </c>
      <c r="BD189" s="402">
        <f>IF(ISBLANK(Actuals!BE102),-1905.31*Escalation!$B$53,Actuals!BE102)</f>
        <v>-2062.3688187696</v>
      </c>
      <c r="BE189" s="402">
        <f>IF(ISBLANK(Actuals!BF102),-1905.31*Escalation!$B$54,Actuals!BF102)</f>
        <v>-2062.3688187696</v>
      </c>
      <c r="BF189" s="402">
        <f>IF(ISBLANK(Actuals!BG102),-1905.31*Escalation!$B$55,Actuals!BG102)</f>
        <v>-2062.3688187696</v>
      </c>
      <c r="BG189" s="402">
        <f>IF(ISBLANK(Actuals!BH102),-1905.31*Escalation!$B$56,Actuals!BH102)</f>
        <v>-2062.3688187696</v>
      </c>
      <c r="BH189" s="402">
        <f>IF(ISBLANK(Actuals!BI102),-1905.31*Escalation!$B$57,Actuals!BI102)</f>
        <v>-2062.3688187696</v>
      </c>
      <c r="BI189" s="402">
        <f>IF(ISBLANK(Actuals!BJ102),-1905.31*Escalation!$B$58,Actuals!BJ102)</f>
        <v>-2062.3688187696</v>
      </c>
      <c r="BJ189" s="402">
        <f>IF(ISBLANK(Actuals!BK102),-1905.31*Escalation!$B$59,Actuals!BK102)</f>
        <v>-2062.3688187696</v>
      </c>
      <c r="BK189" s="402">
        <f>IF(ISBLANK(Actuals!BL102),-1905.31*Escalation!$B$60,Actuals!BL102)</f>
        <v>-2062.3688187696</v>
      </c>
      <c r="BL189" s="402">
        <f>IF(ISBLANK(Actuals!BM102),-1905.31*Escalation!$B$61,Actuals!BM102)</f>
        <v>-2062.3688187696</v>
      </c>
      <c r="BM189" s="402">
        <f>IF(ISBLANK(Actuals!BN102),-1905.31*Escalation!$B$62,Actuals!BN102)</f>
        <v>-2103.61619514499</v>
      </c>
      <c r="BN189" s="402">
        <f>IF(ISBLANK(Actuals!BO102),-1905.31*Escalation!$B$63,Actuals!BO102)</f>
        <v>-2103.61619514499</v>
      </c>
      <c r="BO189" s="402">
        <f>IF(ISBLANK(Actuals!BP102),-1905.31*Escalation!$B$64,Actuals!BP102)</f>
        <v>-2103.61619514499</v>
      </c>
      <c r="BP189" s="402">
        <f>IF(ISBLANK(Actuals!BQ102),-1905.31*Escalation!$B$65,Actuals!BQ102)</f>
        <v>-2103.61619514499</v>
      </c>
      <c r="BQ189" s="402">
        <f>IF(ISBLANK(Actuals!BR102),-1905.31*Escalation!$B$66,Actuals!BR102)</f>
        <v>-2103.61619514499</v>
      </c>
      <c r="BR189" s="402">
        <f>IF(ISBLANK(Actuals!BS102),-1905.31*Escalation!$B$67,Actuals!BS102)</f>
        <v>-2103.61619514499</v>
      </c>
      <c r="BS189" s="402">
        <f>IF(ISBLANK(Actuals!BT102),-1905.31*Escalation!$B$68,Actuals!BT102)</f>
        <v>-2103.61619514499</v>
      </c>
      <c r="BT189" s="402">
        <f>IF(ISBLANK(Actuals!BU102),-1905.31*Escalation!$B$69,Actuals!BU102)</f>
        <v>-2103.61619514499</v>
      </c>
      <c r="BU189" s="402">
        <f>IF(ISBLANK(Actuals!BV102),-1905.31*Escalation!$B$70,Actuals!BV102)</f>
        <v>-2103.61619514499</v>
      </c>
      <c r="BV189" s="402">
        <f>IF(ISBLANK(Actuals!BW102),-1905.31*Escalation!$B$71,Actuals!BW102)</f>
        <v>-2103.61619514499</v>
      </c>
      <c r="BW189" s="402">
        <f>IF(ISBLANK(Actuals!BX102),-1905.31*Escalation!$B$72,Actuals!BX102)</f>
        <v>-2103.61619514499</v>
      </c>
      <c r="BX189" s="402">
        <f>IF(ISBLANK(Actuals!BY102),-1905.31*Escalation!$B$73,Actuals!BY102)</f>
        <v>-2103.61619514499</v>
      </c>
      <c r="BY189" s="402">
        <f>IF(ISBLANK(Actuals!BZ102),-1905.31*Escalation!$B$74,Actuals!BZ102)</f>
        <v>-2145.68851904789</v>
      </c>
      <c r="BZ189" s="402">
        <f>IF(ISBLANK(Actuals!CA102),-1905.31*Escalation!$B$75,Actuals!CA102)</f>
        <v>-2145.68851904789</v>
      </c>
      <c r="CA189" s="402">
        <f>IF(ISBLANK(Actuals!CB102),-1905.31*Escalation!$B$76,Actuals!CB102)</f>
        <v>-2145.68851904789</v>
      </c>
      <c r="CB189" s="402">
        <f>IF(ISBLANK(Actuals!CC102),-1905.31*Escalation!$B$77,Actuals!CC102)</f>
        <v>-2145.68851904789</v>
      </c>
      <c r="CC189" s="402">
        <f>IF(ISBLANK(Actuals!CD102),-1905.31*Escalation!$B$78,Actuals!CD102)</f>
        <v>-2145.68851904789</v>
      </c>
      <c r="CD189" s="402">
        <f>IF(ISBLANK(Actuals!CE102),-1905.31*Escalation!$B$79,Actuals!CE102)</f>
        <v>-2145.68851904789</v>
      </c>
      <c r="CE189" s="402">
        <f>IF(ISBLANK(Actuals!CF102),-1905.31*Escalation!$B$80,Actuals!CF102)</f>
        <v>-2145.68851904789</v>
      </c>
      <c r="CF189" s="402">
        <f>IF(ISBLANK(Actuals!CG102),-1905.31*Escalation!$B$81,Actuals!CG102)</f>
        <v>-2145.68851904789</v>
      </c>
      <c r="CG189" s="402">
        <f>IF(ISBLANK(Actuals!CH102),-1905.31*Escalation!$B$82,Actuals!CH102)</f>
        <v>-2145.68851904789</v>
      </c>
      <c r="CH189" s="402">
        <f>IF(ISBLANK(Actuals!CI102),-1905.31*Escalation!$B$83,Actuals!CI102)</f>
        <v>-2145.68851904789</v>
      </c>
      <c r="CI189" s="402">
        <f>IF(ISBLANK(Actuals!CJ102),-1905.31*Escalation!$B$84,Actuals!CJ102)</f>
        <v>-2145.68851904789</v>
      </c>
      <c r="CJ189" s="402">
        <f>IF(ISBLANK(Actuals!CK102),-1905.31*Escalation!$B$85,Actuals!CK102)</f>
        <v>-2145.68851904789</v>
      </c>
      <c r="CK189" s="402">
        <f>IF(ISBLANK(Actuals!CL102),-1905.31*Escalation!$B$86,Actuals!CL102)</f>
        <v>-2188.60228942885</v>
      </c>
      <c r="CL189" s="402">
        <f>IF(ISBLANK(Actuals!CM102),-1905.31*Escalation!$B$87,Actuals!CM102)</f>
        <v>-2188.60228942885</v>
      </c>
      <c r="CM189" s="402">
        <f>IF(ISBLANK(Actuals!CN102),-1905.31*Escalation!$B$88,Actuals!CN102)</f>
        <v>-2188.60228942885</v>
      </c>
      <c r="CN189" s="402">
        <f>IF(ISBLANK(Actuals!CO102),-1905.31*Escalation!$B$89,Actuals!CO102)</f>
        <v>-2188.60228942885</v>
      </c>
      <c r="CO189" s="402">
        <f>IF(ISBLANK(Actuals!CP102),-1905.31*Escalation!$B$90,Actuals!CP102)</f>
        <v>-2188.60228942885</v>
      </c>
      <c r="CP189" s="402">
        <f>IF(ISBLANK(Actuals!CQ102),-1905.31*Escalation!$B$91,Actuals!CQ102)</f>
        <v>-2188.60228942885</v>
      </c>
      <c r="CQ189" s="402">
        <f>IF(ISBLANK(Actuals!CR102),-1905.31*Escalation!$B$92,Actuals!CR102)</f>
        <v>-2188.60228942885</v>
      </c>
      <c r="CR189" s="402">
        <f>IF(ISBLANK(Actuals!CS102),-1905.31*Escalation!$B$93,Actuals!CS102)</f>
        <v>-2188.60228942885</v>
      </c>
      <c r="CS189" s="402">
        <f>IF(ISBLANK(Actuals!CT102),-1905.31*Escalation!$B$94,Actuals!CT102)</f>
        <v>-2188.60228942885</v>
      </c>
      <c r="CT189" s="402">
        <f>IF(ISBLANK(Actuals!CU102),-1905.31*Escalation!$B$95,Actuals!CU102)</f>
        <v>-2188.60228942885</v>
      </c>
      <c r="CU189" s="402">
        <f>IF(ISBLANK(Actuals!CV102),-1905.31*Escalation!$B$96,Actuals!CV102)</f>
        <v>-2188.60228942885</v>
      </c>
      <c r="CV189" s="402">
        <f>IF(ISBLANK(Actuals!CW102),-1905.31*Escalation!$B$97,Actuals!CW102)</f>
        <v>-2188.60228942885</v>
      </c>
      <c r="CW189" s="402">
        <f>IF(ISBLANK(Actuals!CX102),-1905.31*Escalation!$B$98,Actuals!CX102)</f>
        <v>-2232.37433521743</v>
      </c>
      <c r="CX189" s="402">
        <f>IF(ISBLANK(Actuals!CY102),-1905.31*Escalation!$B$99,Actuals!CY102)</f>
        <v>-2232.37433521743</v>
      </c>
      <c r="CY189" s="402">
        <f>IF(ISBLANK(Actuals!CZ102),-1905.31*Escalation!$B$100,Actuals!CZ102)</f>
        <v>-2232.37433521743</v>
      </c>
      <c r="CZ189" s="402">
        <f>IF(ISBLANK(Actuals!DA102),-1905.31*Escalation!$B$101,Actuals!DA102)</f>
        <v>-2232.37433521743</v>
      </c>
      <c r="DA189" s="402">
        <f>IF(ISBLANK(Actuals!DB102),-1905.31*Escalation!$B$102,Actuals!DB102)</f>
        <v>-2232.37433521743</v>
      </c>
      <c r="DB189" s="402">
        <f>IF(ISBLANK(Actuals!DC102),-1905.31*Escalation!$B$103,Actuals!DC102)</f>
        <v>-2232.37433521743</v>
      </c>
      <c r="DC189" s="402">
        <f>IF(ISBLANK(Actuals!DD102),-1905.31*Escalation!$B$104,Actuals!DD102)</f>
        <v>-2232.37433521743</v>
      </c>
      <c r="DD189" s="402">
        <f>IF(ISBLANK(Actuals!DE102),-1905.31*Escalation!$B$105,Actuals!DE102)</f>
        <v>-2232.37433521743</v>
      </c>
      <c r="DE189" s="402">
        <f>IF(ISBLANK(Actuals!DF102),-1905.31*Escalation!$B$106,Actuals!DF102)</f>
        <v>-2232.37433521743</v>
      </c>
    </row>
    <row r="190" ht="15" customFormat="1" customHeight="1" s="381">
      <c r="A190" s="415" t="inlineStr">
        <is>
          <t>5500-1053 E&amp;O/D&amp;O Insurance</t>
        </is>
      </c>
      <c r="B190" s="402">
        <f>IF(ISBLANK(Actuals!C103),0,Actuals!C103)</f>
        <v>-2100</v>
      </c>
      <c r="C190" s="402">
        <f>IF(ISBLANK(Actuals!D103),0,Actuals!D103)</f>
        <v>-2100</v>
      </c>
      <c r="D190" s="402">
        <f>IF(ISBLANK(Actuals!E103),0,Actuals!E103)</f>
        <v>-2100</v>
      </c>
      <c r="E190" s="402">
        <f>IF(ISBLANK(Actuals!F103),-2100*Escalation!$B$2,Actuals!F103)</f>
        <v>-2100</v>
      </c>
      <c r="F190" s="402">
        <f>IF(ISBLANK(Actuals!G103),-2100*Escalation!$B$3,Actuals!G103)</f>
        <v>-2100</v>
      </c>
      <c r="G190" s="402">
        <f>IF(ISBLANK(Actuals!H103),-2100*Escalation!$B$4,Actuals!H103)</f>
        <v>-2100</v>
      </c>
      <c r="H190" s="402">
        <f>IF(ISBLANK(Actuals!I103),-2100*Escalation!$B$5,Actuals!I103)</f>
        <v>-2100</v>
      </c>
      <c r="I190" s="402">
        <f>IF(ISBLANK(Actuals!J103),-2100*Escalation!$B$6,Actuals!J103)</f>
        <v>-2100</v>
      </c>
      <c r="J190" s="402">
        <f>IF(ISBLANK(Actuals!K103),-2100*Escalation!$B$7,Actuals!K103)</f>
        <v>-2100</v>
      </c>
      <c r="K190" s="402">
        <f>IF(ISBLANK(Actuals!L103),-2100*Escalation!$B$8,Actuals!L103)</f>
        <v>-2100</v>
      </c>
      <c r="L190" s="402">
        <f>IF(ISBLANK(Actuals!M103),-2100*Escalation!$B$9,Actuals!M103)</f>
        <v>-2100</v>
      </c>
      <c r="M190" s="402">
        <f>IF(ISBLANK(Actuals!N103),-2100*Escalation!$B$10,Actuals!N103)</f>
        <v>-2100</v>
      </c>
      <c r="N190" s="402">
        <f>IF(ISBLANK(Actuals!O103),-2100*Escalation!$B$11,Actuals!O103)</f>
        <v>-2100</v>
      </c>
      <c r="O190" s="402">
        <f>IF(ISBLANK(Actuals!P103),-2100*Escalation!$B$12,Actuals!P103)</f>
        <v>-2100</v>
      </c>
      <c r="P190" s="402">
        <f>IF(ISBLANK(Actuals!Q103),-2100*Escalation!$B$13,Actuals!Q103)</f>
        <v>-2100</v>
      </c>
      <c r="Q190" s="402">
        <f>IF(ISBLANK(Actuals!R103),-2100*Escalation!$B$14,Actuals!R103)</f>
        <v>-2142</v>
      </c>
      <c r="R190" s="402">
        <f>IF(ISBLANK(Actuals!S103),-2100*Escalation!$B$15,Actuals!S103)</f>
        <v>-2142</v>
      </c>
      <c r="S190" s="402">
        <f>IF(ISBLANK(Actuals!T103),-2100*Escalation!$B$16,Actuals!T103)</f>
        <v>-2142</v>
      </c>
      <c r="T190" s="402">
        <f>IF(ISBLANK(Actuals!U103),-2100*Escalation!$B$17,Actuals!U103)</f>
        <v>-2142</v>
      </c>
      <c r="U190" s="402">
        <f>IF(ISBLANK(Actuals!V103),-2100*Escalation!$B$18,Actuals!V103)</f>
        <v>-2142</v>
      </c>
      <c r="V190" s="402">
        <f>IF(ISBLANK(Actuals!W103),-2100*Escalation!$B$19,Actuals!W103)</f>
        <v>-2142</v>
      </c>
      <c r="W190" s="402">
        <f>IF(ISBLANK(Actuals!X103),-2100*Escalation!$B$20,Actuals!X103)</f>
        <v>-2142</v>
      </c>
      <c r="X190" s="402">
        <f>IF(ISBLANK(Actuals!Y103),-2100*Escalation!$B$21,Actuals!Y103)</f>
        <v>-2142</v>
      </c>
      <c r="Y190" s="402">
        <f>IF(ISBLANK(Actuals!Z103),-2100*Escalation!$B$22,Actuals!Z103)</f>
        <v>-2142</v>
      </c>
      <c r="Z190" s="402">
        <f>IF(ISBLANK(Actuals!AA103),-2100*Escalation!$B$23,Actuals!AA103)</f>
        <v>-2142</v>
      </c>
      <c r="AA190" s="402">
        <f>IF(ISBLANK(Actuals!AB103),-2100*Escalation!$B$24,Actuals!AB103)</f>
        <v>-2142</v>
      </c>
      <c r="AB190" s="402">
        <f>IF(ISBLANK(Actuals!AC103),-2100*Escalation!$B$25,Actuals!AC103)</f>
        <v>-2142</v>
      </c>
      <c r="AC190" s="402">
        <f>IF(ISBLANK(Actuals!AD103),-2100*Escalation!$B$26,Actuals!AD103)</f>
        <v>-2184.84</v>
      </c>
      <c r="AD190" s="402">
        <f>IF(ISBLANK(Actuals!AE103),-2100*Escalation!$B$27,Actuals!AE103)</f>
        <v>-2184.84</v>
      </c>
      <c r="AE190" s="402">
        <f>IF(ISBLANK(Actuals!AF103),-2100*Escalation!$B$28,Actuals!AF103)</f>
        <v>-2184.84</v>
      </c>
      <c r="AF190" s="402">
        <f>IF(ISBLANK(Actuals!AG103),-2100*Escalation!$B$29,Actuals!AG103)</f>
        <v>-2184.84</v>
      </c>
      <c r="AG190" s="402">
        <f>IF(ISBLANK(Actuals!AH103),-2100*Escalation!$B$30,Actuals!AH103)</f>
        <v>-2184.84</v>
      </c>
      <c r="AH190" s="402">
        <f>IF(ISBLANK(Actuals!AI103),-2100*Escalation!$B$31,Actuals!AI103)</f>
        <v>-2184.84</v>
      </c>
      <c r="AI190" s="402">
        <f>IF(ISBLANK(Actuals!AJ103),-2100*Escalation!$B$32,Actuals!AJ103)</f>
        <v>-2184.84</v>
      </c>
      <c r="AJ190" s="402">
        <f>IF(ISBLANK(Actuals!AK103),-2100*Escalation!$B$33,Actuals!AK103)</f>
        <v>-2184.84</v>
      </c>
      <c r="AK190" s="402">
        <f>IF(ISBLANK(Actuals!AL103),-2100*Escalation!$B$34,Actuals!AL103)</f>
        <v>-2184.84</v>
      </c>
      <c r="AL190" s="402">
        <f>IF(ISBLANK(Actuals!AM103),-2100*Escalation!$B$35,Actuals!AM103)</f>
        <v>-2184.84</v>
      </c>
      <c r="AM190" s="402">
        <f>IF(ISBLANK(Actuals!AN103),-2100*Escalation!$B$36,Actuals!AN103)</f>
        <v>-2184.84</v>
      </c>
      <c r="AN190" s="402">
        <f>IF(ISBLANK(Actuals!AO103),-2100*Escalation!$B$37,Actuals!AO103)</f>
        <v>-2184.84</v>
      </c>
      <c r="AO190" s="402">
        <f>IF(ISBLANK(Actuals!AP103),-2100*Escalation!$B$38,Actuals!AP103)</f>
        <v>-2228.5368</v>
      </c>
      <c r="AP190" s="402">
        <f>IF(ISBLANK(Actuals!AQ103),-2100*Escalation!$B$39,Actuals!AQ103)</f>
        <v>-2228.5368</v>
      </c>
      <c r="AQ190" s="402">
        <f>IF(ISBLANK(Actuals!AR103),-2100*Escalation!$B$40,Actuals!AR103)</f>
        <v>-2228.5368</v>
      </c>
      <c r="AR190" s="402">
        <f>IF(ISBLANK(Actuals!AS103),-2100*Escalation!$B$41,Actuals!AS103)</f>
        <v>-2228.5368</v>
      </c>
      <c r="AS190" s="402">
        <f>IF(ISBLANK(Actuals!AT103),-2100*Escalation!$B$42,Actuals!AT103)</f>
        <v>-2228.5368</v>
      </c>
      <c r="AT190" s="402">
        <f>IF(ISBLANK(Actuals!AU103),-2100*Escalation!$B$43,Actuals!AU103)</f>
        <v>-2228.5368</v>
      </c>
      <c r="AU190" s="402">
        <f>IF(ISBLANK(Actuals!AV103),-2100*Escalation!$B$44,Actuals!AV103)</f>
        <v>-2228.5368</v>
      </c>
      <c r="AV190" s="402">
        <f>IF(ISBLANK(Actuals!AW103),-2100*Escalation!$B$45,Actuals!AW103)</f>
        <v>-2228.5368</v>
      </c>
      <c r="AW190" s="402">
        <f>IF(ISBLANK(Actuals!AX103),-2100*Escalation!$B$46,Actuals!AX103)</f>
        <v>-2228.5368</v>
      </c>
      <c r="AX190" s="402">
        <f>IF(ISBLANK(Actuals!AY103),-2100*Escalation!$B$47,Actuals!AY103)</f>
        <v>-2228.5368</v>
      </c>
      <c r="AY190" s="402">
        <f>IF(ISBLANK(Actuals!AZ103),-2100*Escalation!$B$48,Actuals!AZ103)</f>
        <v>-2228.5368</v>
      </c>
      <c r="AZ190" s="402">
        <f>IF(ISBLANK(Actuals!BA103),-2100*Escalation!$B$49,Actuals!BA103)</f>
        <v>-2228.5368</v>
      </c>
      <c r="BA190" s="402">
        <f>IF(ISBLANK(Actuals!BB103),-2100*Escalation!$B$50,Actuals!BB103)</f>
        <v>-2273.107536</v>
      </c>
      <c r="BB190" s="402">
        <f>IF(ISBLANK(Actuals!BC103),-2100*Escalation!$B$51,Actuals!BC103)</f>
        <v>-2273.107536</v>
      </c>
      <c r="BC190" s="402">
        <f>IF(ISBLANK(Actuals!BD103),-2100*Escalation!$B$52,Actuals!BD103)</f>
        <v>-2273.107536</v>
      </c>
      <c r="BD190" s="402">
        <f>IF(ISBLANK(Actuals!BE103),-2100*Escalation!$B$53,Actuals!BE103)</f>
        <v>-2273.107536</v>
      </c>
      <c r="BE190" s="402">
        <f>IF(ISBLANK(Actuals!BF103),-2100*Escalation!$B$54,Actuals!BF103)</f>
        <v>-2273.107536</v>
      </c>
      <c r="BF190" s="402">
        <f>IF(ISBLANK(Actuals!BG103),-2100*Escalation!$B$55,Actuals!BG103)</f>
        <v>-2273.107536</v>
      </c>
      <c r="BG190" s="402">
        <f>IF(ISBLANK(Actuals!BH103),-2100*Escalation!$B$56,Actuals!BH103)</f>
        <v>-2273.107536</v>
      </c>
      <c r="BH190" s="402">
        <f>IF(ISBLANK(Actuals!BI103),-2100*Escalation!$B$57,Actuals!BI103)</f>
        <v>-2273.107536</v>
      </c>
      <c r="BI190" s="402">
        <f>IF(ISBLANK(Actuals!BJ103),-2100*Escalation!$B$58,Actuals!BJ103)</f>
        <v>-2273.107536</v>
      </c>
      <c r="BJ190" s="402">
        <f>IF(ISBLANK(Actuals!BK103),-2100*Escalation!$B$59,Actuals!BK103)</f>
        <v>-2273.107536</v>
      </c>
      <c r="BK190" s="402">
        <f>IF(ISBLANK(Actuals!BL103),-2100*Escalation!$B$60,Actuals!BL103)</f>
        <v>-2273.107536</v>
      </c>
      <c r="BL190" s="402">
        <f>IF(ISBLANK(Actuals!BM103),-2100*Escalation!$B$61,Actuals!BM103)</f>
        <v>-2273.107536</v>
      </c>
      <c r="BM190" s="402">
        <f>IF(ISBLANK(Actuals!BN103),-2100*Escalation!$B$62,Actuals!BN103)</f>
        <v>-2318.56968672</v>
      </c>
      <c r="BN190" s="402">
        <f>IF(ISBLANK(Actuals!BO103),-2100*Escalation!$B$63,Actuals!BO103)</f>
        <v>-2318.56968672</v>
      </c>
      <c r="BO190" s="402">
        <f>IF(ISBLANK(Actuals!BP103),-2100*Escalation!$B$64,Actuals!BP103)</f>
        <v>-2318.56968672</v>
      </c>
      <c r="BP190" s="402">
        <f>IF(ISBLANK(Actuals!BQ103),-2100*Escalation!$B$65,Actuals!BQ103)</f>
        <v>-2318.56968672</v>
      </c>
      <c r="BQ190" s="402">
        <f>IF(ISBLANK(Actuals!BR103),-2100*Escalation!$B$66,Actuals!BR103)</f>
        <v>-2318.56968672</v>
      </c>
      <c r="BR190" s="402">
        <f>IF(ISBLANK(Actuals!BS103),-2100*Escalation!$B$67,Actuals!BS103)</f>
        <v>-2318.56968672</v>
      </c>
      <c r="BS190" s="402">
        <f>IF(ISBLANK(Actuals!BT103),-2100*Escalation!$B$68,Actuals!BT103)</f>
        <v>-2318.56968672</v>
      </c>
      <c r="BT190" s="402">
        <f>IF(ISBLANK(Actuals!BU103),-2100*Escalation!$B$69,Actuals!BU103)</f>
        <v>-2318.56968672</v>
      </c>
      <c r="BU190" s="402">
        <f>IF(ISBLANK(Actuals!BV103),-2100*Escalation!$B$70,Actuals!BV103)</f>
        <v>-2318.56968672</v>
      </c>
      <c r="BV190" s="402">
        <f>IF(ISBLANK(Actuals!BW103),-2100*Escalation!$B$71,Actuals!BW103)</f>
        <v>-2318.56968672</v>
      </c>
      <c r="BW190" s="402">
        <f>IF(ISBLANK(Actuals!BX103),-2100*Escalation!$B$72,Actuals!BX103)</f>
        <v>-2318.56968672</v>
      </c>
      <c r="BX190" s="402">
        <f>IF(ISBLANK(Actuals!BY103),-2100*Escalation!$B$73,Actuals!BY103)</f>
        <v>-2318.56968672</v>
      </c>
      <c r="BY190" s="402">
        <f>IF(ISBLANK(Actuals!BZ103),-2100*Escalation!$B$74,Actuals!BZ103)</f>
        <v>-2364.9410804544</v>
      </c>
      <c r="BZ190" s="402">
        <f>IF(ISBLANK(Actuals!CA103),-2100*Escalation!$B$75,Actuals!CA103)</f>
        <v>-2364.9410804544</v>
      </c>
      <c r="CA190" s="402">
        <f>IF(ISBLANK(Actuals!CB103),-2100*Escalation!$B$76,Actuals!CB103)</f>
        <v>-2364.9410804544</v>
      </c>
      <c r="CB190" s="402">
        <f>IF(ISBLANK(Actuals!CC103),-2100*Escalation!$B$77,Actuals!CC103)</f>
        <v>-2364.9410804544</v>
      </c>
      <c r="CC190" s="402">
        <f>IF(ISBLANK(Actuals!CD103),-2100*Escalation!$B$78,Actuals!CD103)</f>
        <v>-2364.9410804544</v>
      </c>
      <c r="CD190" s="402">
        <f>IF(ISBLANK(Actuals!CE103),-2100*Escalation!$B$79,Actuals!CE103)</f>
        <v>-2364.9410804544</v>
      </c>
      <c r="CE190" s="402">
        <f>IF(ISBLANK(Actuals!CF103),-2100*Escalation!$B$80,Actuals!CF103)</f>
        <v>-2364.9410804544</v>
      </c>
      <c r="CF190" s="402">
        <f>IF(ISBLANK(Actuals!CG103),-2100*Escalation!$B$81,Actuals!CG103)</f>
        <v>-2364.9410804544</v>
      </c>
      <c r="CG190" s="402">
        <f>IF(ISBLANK(Actuals!CH103),-2100*Escalation!$B$82,Actuals!CH103)</f>
        <v>-2364.9410804544</v>
      </c>
      <c r="CH190" s="402">
        <f>IF(ISBLANK(Actuals!CI103),-2100*Escalation!$B$83,Actuals!CI103)</f>
        <v>-2364.9410804544</v>
      </c>
      <c r="CI190" s="402">
        <f>IF(ISBLANK(Actuals!CJ103),-2100*Escalation!$B$84,Actuals!CJ103)</f>
        <v>-2364.9410804544</v>
      </c>
      <c r="CJ190" s="402">
        <f>IF(ISBLANK(Actuals!CK103),-2100*Escalation!$B$85,Actuals!CK103)</f>
        <v>-2364.9410804544</v>
      </c>
      <c r="CK190" s="402">
        <f>IF(ISBLANK(Actuals!CL103),-2100*Escalation!$B$86,Actuals!CL103)</f>
        <v>-2412.23990206349</v>
      </c>
      <c r="CL190" s="402">
        <f>IF(ISBLANK(Actuals!CM103),-2100*Escalation!$B$87,Actuals!CM103)</f>
        <v>-2412.23990206349</v>
      </c>
      <c r="CM190" s="402">
        <f>IF(ISBLANK(Actuals!CN103),-2100*Escalation!$B$88,Actuals!CN103)</f>
        <v>-2412.23990206349</v>
      </c>
      <c r="CN190" s="402">
        <f>IF(ISBLANK(Actuals!CO103),-2100*Escalation!$B$89,Actuals!CO103)</f>
        <v>-2412.23990206349</v>
      </c>
      <c r="CO190" s="402">
        <f>IF(ISBLANK(Actuals!CP103),-2100*Escalation!$B$90,Actuals!CP103)</f>
        <v>-2412.23990206349</v>
      </c>
      <c r="CP190" s="402">
        <f>IF(ISBLANK(Actuals!CQ103),-2100*Escalation!$B$91,Actuals!CQ103)</f>
        <v>-2412.23990206349</v>
      </c>
      <c r="CQ190" s="402">
        <f>IF(ISBLANK(Actuals!CR103),-2100*Escalation!$B$92,Actuals!CR103)</f>
        <v>-2412.23990206349</v>
      </c>
      <c r="CR190" s="402">
        <f>IF(ISBLANK(Actuals!CS103),-2100*Escalation!$B$93,Actuals!CS103)</f>
        <v>-2412.23990206349</v>
      </c>
      <c r="CS190" s="402">
        <f>IF(ISBLANK(Actuals!CT103),-2100*Escalation!$B$94,Actuals!CT103)</f>
        <v>-2412.23990206349</v>
      </c>
      <c r="CT190" s="402">
        <f>IF(ISBLANK(Actuals!CU103),-2100*Escalation!$B$95,Actuals!CU103)</f>
        <v>-2412.23990206349</v>
      </c>
      <c r="CU190" s="402">
        <f>IF(ISBLANK(Actuals!CV103),-2100*Escalation!$B$96,Actuals!CV103)</f>
        <v>-2412.23990206349</v>
      </c>
      <c r="CV190" s="402">
        <f>IF(ISBLANK(Actuals!CW103),-2100*Escalation!$B$97,Actuals!CW103)</f>
        <v>-2412.23990206349</v>
      </c>
      <c r="CW190" s="402">
        <f>IF(ISBLANK(Actuals!CX103),-2100*Escalation!$B$98,Actuals!CX103)</f>
        <v>-2460.48470010476</v>
      </c>
      <c r="CX190" s="402">
        <f>IF(ISBLANK(Actuals!CY103),-2100*Escalation!$B$99,Actuals!CY103)</f>
        <v>-2460.48470010476</v>
      </c>
      <c r="CY190" s="402">
        <f>IF(ISBLANK(Actuals!CZ103),-2100*Escalation!$B$100,Actuals!CZ103)</f>
        <v>-2460.48470010476</v>
      </c>
      <c r="CZ190" s="402">
        <f>IF(ISBLANK(Actuals!DA103),-2100*Escalation!$B$101,Actuals!DA103)</f>
        <v>-2460.48470010476</v>
      </c>
      <c r="DA190" s="402">
        <f>IF(ISBLANK(Actuals!DB103),-2100*Escalation!$B$102,Actuals!DB103)</f>
        <v>-2460.48470010476</v>
      </c>
      <c r="DB190" s="402">
        <f>IF(ISBLANK(Actuals!DC103),-2100*Escalation!$B$103,Actuals!DC103)</f>
        <v>-2460.48470010476</v>
      </c>
      <c r="DC190" s="402">
        <f>IF(ISBLANK(Actuals!DD103),-2100*Escalation!$B$104,Actuals!DD103)</f>
        <v>-2460.48470010476</v>
      </c>
      <c r="DD190" s="402">
        <f>IF(ISBLANK(Actuals!DE103),-2100*Escalation!$B$105,Actuals!DE103)</f>
        <v>-2460.48470010476</v>
      </c>
      <c r="DE190" s="402">
        <f>IF(ISBLANK(Actuals!DF103),-2100*Escalation!$B$106,Actuals!DF103)</f>
        <v>-2460.48470010476</v>
      </c>
    </row>
    <row r="191" ht="15" customFormat="1" customHeight="1" s="381">
      <c r="A191" s="415" t="inlineStr">
        <is>
          <t>5800-1003 Consulting Fee</t>
        </is>
      </c>
      <c r="B191" s="402">
        <f>IF(ISBLANK(Actuals!C104),0,Actuals!C104)</f>
        <v>-66666.66</v>
      </c>
      <c r="C191" s="402">
        <f>IF(ISBLANK(Actuals!D104),0,Actuals!D104)</f>
        <v>-66666.66</v>
      </c>
      <c r="D191" s="402">
        <f>IF(ISBLANK(Actuals!E104),0,Actuals!E104)</f>
        <v>-66666.66</v>
      </c>
      <c r="E191" s="402">
        <f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402">
        <f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402">
        <f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402">
        <f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1" s="402">
        <f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1" s="402">
        <f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1" s="402">
        <f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1" s="402">
        <f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1" s="402">
        <f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1" s="402">
        <f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1" s="402">
        <f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1" s="402">
        <f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1" s="402">
        <f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1" s="402">
        <f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1" s="402">
        <f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1" s="402">
        <f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1" s="402">
        <f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1" s="402">
        <f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1" s="402">
        <f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1" s="402">
        <f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1" s="402">
        <f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1" s="402">
        <f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1" s="402">
        <f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1" s="402">
        <f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1" s="402">
        <f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1" s="402">
        <f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1" s="402">
        <f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1" s="402">
        <f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1" s="402">
        <f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1" s="402">
        <f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1" s="402">
        <f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1" s="402">
        <f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1" s="402">
        <f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1" s="402">
        <f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1" s="402">
        <f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1" s="402">
        <f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1" s="402">
        <f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1" s="402">
        <f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1" s="402">
        <f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1" s="402">
        <f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1" s="402">
        <f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1" s="402">
        <f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1" s="402">
        <f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1" s="402">
        <f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1" s="402">
        <f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1" s="402">
        <f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1" s="402">
        <f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1" s="402">
        <f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1" s="402">
        <f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1" s="402">
        <f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1" s="402">
        <f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1" s="402">
        <f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1" s="402">
        <f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1" s="402">
        <f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1" s="402">
        <f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1" s="402">
        <f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1" s="402">
        <f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1" s="402">
        <f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1" s="402">
        <f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1" s="402">
        <f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1" s="402">
        <f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1" s="402">
        <f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1" s="402">
        <f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1" s="402">
        <f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1" s="402">
        <f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1" s="402">
        <f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1" s="402">
        <f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1" s="402">
        <f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1" s="402">
        <f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1" s="402">
        <f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1" s="402">
        <f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1" s="402">
        <f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1" s="402">
        <f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1" s="402">
        <f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1" s="402">
        <f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1" s="402">
        <f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1" s="402">
        <f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1" s="402">
        <f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1" s="402">
        <f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1" s="402">
        <f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1" s="402">
        <f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1" s="402">
        <f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1" s="402">
        <f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1" s="402">
        <f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1" s="402">
        <f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1" s="402">
        <f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1" s="402">
        <f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1" s="402">
        <f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1" s="402">
        <f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1" s="402">
        <f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1" s="402">
        <f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1" s="402">
        <f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1" s="402">
        <f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1" s="402">
        <f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1" s="402">
        <f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1" s="402">
        <f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1" s="402">
        <f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1" s="402">
        <f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1" s="402">
        <f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1" s="402">
        <f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1" s="402">
        <f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1" s="402">
        <f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1" s="402">
        <f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1" s="402">
        <f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1" s="402">
        <f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2" ht="15" customFormat="1" customHeight="1" s="381">
      <c r="A192" s="398" t="inlineStr">
        <is>
          <t>5900-1075 Miscellaneous Expense</t>
        </is>
      </c>
      <c r="B192" s="393">
        <f>IF(ISBLANK(Actuals!C105),0,Actuals!C105)</f>
        <v>-6935.84</v>
      </c>
      <c r="C192" s="393">
        <f>IF(ISBLANK(Actuals!D105),0,Actuals!D105)</f>
        <v>-2799.88</v>
      </c>
      <c r="D192" s="393">
        <f>IF(ISBLANK(Actuals!E105),0,Actuals!E105)</f>
        <v>-12899.88</v>
      </c>
      <c r="E192" s="393">
        <f>IF(ISBLANK(Actuals!F105),-1580.65*Escalation!$B$2,Actuals!F105)</f>
        <v>-2932.88</v>
      </c>
      <c r="F192" s="393">
        <f>IF(ISBLANK(Actuals!G105),-1580.65*Escalation!$B$3,Actuals!G105)</f>
        <v>-5474.88</v>
      </c>
      <c r="G192" s="393">
        <f>IF(ISBLANK(Actuals!H105),-1580.65*Escalation!$B$4,Actuals!H105)</f>
        <v>-5</v>
      </c>
      <c r="H192" s="393">
        <f>IF(ISBLANK(Actuals!I105),-1580.65*Escalation!$B$5,Actuals!I105)</f>
        <v>-1580.65</v>
      </c>
      <c r="I192" s="393">
        <f>IF(ISBLANK(Actuals!J105),-1580.65*Escalation!$B$6,Actuals!J105)</f>
        <v>-1580.65</v>
      </c>
      <c r="J192" s="393">
        <f>IF(ISBLANK(Actuals!K105),-1580.65*Escalation!$B$7,Actuals!K105)</f>
        <v>-1580.65</v>
      </c>
      <c r="K192" s="393">
        <f>IF(ISBLANK(Actuals!L105),-1580.65*Escalation!$B$8,Actuals!L105)</f>
        <v>-1580.65</v>
      </c>
      <c r="L192" s="393">
        <f>IF(ISBLANK(Actuals!M105),-1580.65*Escalation!$B$9,Actuals!M105)</f>
        <v>-1580.65</v>
      </c>
      <c r="M192" s="393">
        <f>IF(ISBLANK(Actuals!N105),-1580.65*Escalation!$B$10,Actuals!N105)</f>
        <v>-1580.65</v>
      </c>
      <c r="N192" s="393">
        <f>IF(ISBLANK(Actuals!O105),-1580.65*Escalation!$B$11,Actuals!O105)</f>
        <v>-1580.65</v>
      </c>
      <c r="O192" s="393">
        <f>IF(ISBLANK(Actuals!P105),-1580.65*Escalation!$B$12,Actuals!P105)</f>
        <v>-1580.65</v>
      </c>
      <c r="P192" s="393">
        <f>IF(ISBLANK(Actuals!Q105),-1580.65*Escalation!$B$13,Actuals!Q105)</f>
        <v>-1580.65</v>
      </c>
      <c r="Q192" s="393">
        <f>IF(ISBLANK(Actuals!R105),-1580.65*Escalation!$B$14,Actuals!R105)</f>
        <v>-1612.263</v>
      </c>
      <c r="R192" s="393">
        <f>IF(ISBLANK(Actuals!S105),-1580.65*Escalation!$B$15,Actuals!S105)</f>
        <v>-1612.263</v>
      </c>
      <c r="S192" s="393">
        <f>IF(ISBLANK(Actuals!T105),-1580.65*Escalation!$B$16,Actuals!T105)</f>
        <v>-1612.263</v>
      </c>
      <c r="T192" s="393">
        <f>IF(ISBLANK(Actuals!U105),-1580.65*Escalation!$B$17,Actuals!U105)</f>
        <v>-1612.263</v>
      </c>
      <c r="U192" s="393">
        <f>IF(ISBLANK(Actuals!V105),-1580.65*Escalation!$B$18,Actuals!V105)</f>
        <v>-1612.263</v>
      </c>
      <c r="V192" s="393">
        <f>IF(ISBLANK(Actuals!W105),-1580.65*Escalation!$B$19,Actuals!W105)</f>
        <v>-1612.263</v>
      </c>
      <c r="W192" s="393">
        <f>IF(ISBLANK(Actuals!X105),-1580.65*Escalation!$B$20,Actuals!X105)</f>
        <v>-1612.263</v>
      </c>
      <c r="X192" s="393">
        <f>IF(ISBLANK(Actuals!Y105),-1580.65*Escalation!$B$21,Actuals!Y105)</f>
        <v>-1612.263</v>
      </c>
      <c r="Y192" s="393">
        <f>IF(ISBLANK(Actuals!Z105),-1580.65*Escalation!$B$22,Actuals!Z105)</f>
        <v>-1612.263</v>
      </c>
      <c r="Z192" s="393">
        <f>IF(ISBLANK(Actuals!AA105),-1580.65*Escalation!$B$23,Actuals!AA105)</f>
        <v>-1612.263</v>
      </c>
      <c r="AA192" s="393">
        <f>IF(ISBLANK(Actuals!AB105),-1580.65*Escalation!$B$24,Actuals!AB105)</f>
        <v>-1612.263</v>
      </c>
      <c r="AB192" s="393">
        <f>IF(ISBLANK(Actuals!AC105),-1580.65*Escalation!$B$25,Actuals!AC105)</f>
        <v>-1612.263</v>
      </c>
      <c r="AC192" s="393">
        <f>IF(ISBLANK(Actuals!AD105),-1580.65*Escalation!$B$26,Actuals!AD105)</f>
        <v>-1644.50826</v>
      </c>
      <c r="AD192" s="393">
        <f>IF(ISBLANK(Actuals!AE105),-1580.65*Escalation!$B$27,Actuals!AE105)</f>
        <v>-1644.50826</v>
      </c>
      <c r="AE192" s="393">
        <f>IF(ISBLANK(Actuals!AF105),-1580.65*Escalation!$B$28,Actuals!AF105)</f>
        <v>-1644.50826</v>
      </c>
      <c r="AF192" s="393">
        <f>IF(ISBLANK(Actuals!AG105),-1580.65*Escalation!$B$29,Actuals!AG105)</f>
        <v>-1644.50826</v>
      </c>
      <c r="AG192" s="393">
        <f>IF(ISBLANK(Actuals!AH105),-1580.65*Escalation!$B$30,Actuals!AH105)</f>
        <v>-1644.50826</v>
      </c>
      <c r="AH192" s="393">
        <f>IF(ISBLANK(Actuals!AI105),-1580.65*Escalation!$B$31,Actuals!AI105)</f>
        <v>-1644.50826</v>
      </c>
      <c r="AI192" s="393">
        <f>IF(ISBLANK(Actuals!AJ105),-1580.65*Escalation!$B$32,Actuals!AJ105)</f>
        <v>-1644.50826</v>
      </c>
      <c r="AJ192" s="393">
        <f>IF(ISBLANK(Actuals!AK105),-1580.65*Escalation!$B$33,Actuals!AK105)</f>
        <v>-1644.50826</v>
      </c>
      <c r="AK192" s="393">
        <f>IF(ISBLANK(Actuals!AL105),-1580.65*Escalation!$B$34,Actuals!AL105)</f>
        <v>-1644.50826</v>
      </c>
      <c r="AL192" s="393">
        <f>IF(ISBLANK(Actuals!AM105),-1580.65*Escalation!$B$35,Actuals!AM105)</f>
        <v>-1644.50826</v>
      </c>
      <c r="AM192" s="393">
        <f>IF(ISBLANK(Actuals!AN105),-1580.65*Escalation!$B$36,Actuals!AN105)</f>
        <v>-1644.50826</v>
      </c>
      <c r="AN192" s="393">
        <f>IF(ISBLANK(Actuals!AO105),-1580.65*Escalation!$B$37,Actuals!AO105)</f>
        <v>-1644.50826</v>
      </c>
      <c r="AO192" s="393">
        <f>IF(ISBLANK(Actuals!AP105),-1580.65*Escalation!$B$38,Actuals!AP105)</f>
        <v>-1677.3984252</v>
      </c>
      <c r="AP192" s="393">
        <f>IF(ISBLANK(Actuals!AQ105),-1580.65*Escalation!$B$39,Actuals!AQ105)</f>
        <v>-1677.3984252</v>
      </c>
      <c r="AQ192" s="393">
        <f>IF(ISBLANK(Actuals!AR105),-1580.65*Escalation!$B$40,Actuals!AR105)</f>
        <v>-1677.3984252</v>
      </c>
      <c r="AR192" s="393">
        <f>IF(ISBLANK(Actuals!AS105),-1580.65*Escalation!$B$41,Actuals!AS105)</f>
        <v>-1677.3984252</v>
      </c>
      <c r="AS192" s="393">
        <f>IF(ISBLANK(Actuals!AT105),-1580.65*Escalation!$B$42,Actuals!AT105)</f>
        <v>-1677.3984252</v>
      </c>
      <c r="AT192" s="393">
        <f>IF(ISBLANK(Actuals!AU105),-1580.65*Escalation!$B$43,Actuals!AU105)</f>
        <v>-1677.3984252</v>
      </c>
      <c r="AU192" s="393">
        <f>IF(ISBLANK(Actuals!AV105),-1580.65*Escalation!$B$44,Actuals!AV105)</f>
        <v>-1677.3984252</v>
      </c>
      <c r="AV192" s="393">
        <f>IF(ISBLANK(Actuals!AW105),-1580.65*Escalation!$B$45,Actuals!AW105)</f>
        <v>-1677.3984252</v>
      </c>
      <c r="AW192" s="393">
        <f>IF(ISBLANK(Actuals!AX105),-1580.65*Escalation!$B$46,Actuals!AX105)</f>
        <v>-1677.3984252</v>
      </c>
      <c r="AX192" s="393">
        <f>IF(ISBLANK(Actuals!AY105),-1580.65*Escalation!$B$47,Actuals!AY105)</f>
        <v>-1677.3984252</v>
      </c>
      <c r="AY192" s="393">
        <f>IF(ISBLANK(Actuals!AZ105),-1580.65*Escalation!$B$48,Actuals!AZ105)</f>
        <v>-1677.3984252</v>
      </c>
      <c r="AZ192" s="393">
        <f>IF(ISBLANK(Actuals!BA105),-1580.65*Escalation!$B$49,Actuals!BA105)</f>
        <v>-1677.3984252</v>
      </c>
      <c r="BA192" s="393">
        <f>IF(ISBLANK(Actuals!BB105),-1580.65*Escalation!$B$50,Actuals!BB105)</f>
        <v>-1710.946393704</v>
      </c>
      <c r="BB192" s="393">
        <f>IF(ISBLANK(Actuals!BC105),-1580.65*Escalation!$B$51,Actuals!BC105)</f>
        <v>-1710.946393704</v>
      </c>
      <c r="BC192" s="393">
        <f>IF(ISBLANK(Actuals!BD105),-1580.65*Escalation!$B$52,Actuals!BD105)</f>
        <v>-1710.946393704</v>
      </c>
      <c r="BD192" s="393">
        <f>IF(ISBLANK(Actuals!BE105),-1580.65*Escalation!$B$53,Actuals!BE105)</f>
        <v>-1710.946393704</v>
      </c>
      <c r="BE192" s="393">
        <f>IF(ISBLANK(Actuals!BF105),-1580.65*Escalation!$B$54,Actuals!BF105)</f>
        <v>-1710.946393704</v>
      </c>
      <c r="BF192" s="393">
        <f>IF(ISBLANK(Actuals!BG105),-1580.65*Escalation!$B$55,Actuals!BG105)</f>
        <v>-1710.946393704</v>
      </c>
      <c r="BG192" s="393">
        <f>IF(ISBLANK(Actuals!BH105),-1580.65*Escalation!$B$56,Actuals!BH105)</f>
        <v>-1710.946393704</v>
      </c>
      <c r="BH192" s="393">
        <f>IF(ISBLANK(Actuals!BI105),-1580.65*Escalation!$B$57,Actuals!BI105)</f>
        <v>-1710.946393704</v>
      </c>
      <c r="BI192" s="393">
        <f>IF(ISBLANK(Actuals!BJ105),-1580.65*Escalation!$B$58,Actuals!BJ105)</f>
        <v>-1710.946393704</v>
      </c>
      <c r="BJ192" s="393">
        <f>IF(ISBLANK(Actuals!BK105),-1580.65*Escalation!$B$59,Actuals!BK105)</f>
        <v>-1710.946393704</v>
      </c>
      <c r="BK192" s="393">
        <f>IF(ISBLANK(Actuals!BL105),-1580.65*Escalation!$B$60,Actuals!BL105)</f>
        <v>-1710.946393704</v>
      </c>
      <c r="BL192" s="393">
        <f>IF(ISBLANK(Actuals!BM105),-1580.65*Escalation!$B$61,Actuals!BM105)</f>
        <v>-1710.946393704</v>
      </c>
      <c r="BM192" s="393">
        <f>IF(ISBLANK(Actuals!BN105),-1580.65*Escalation!$B$62,Actuals!BN105)</f>
        <v>-1745.16532157808</v>
      </c>
      <c r="BN192" s="393">
        <f>IF(ISBLANK(Actuals!BO105),-1580.65*Escalation!$B$63,Actuals!BO105)</f>
        <v>-1745.16532157808</v>
      </c>
      <c r="BO192" s="393">
        <f>IF(ISBLANK(Actuals!BP105),-1580.65*Escalation!$B$64,Actuals!BP105)</f>
        <v>-1745.16532157808</v>
      </c>
      <c r="BP192" s="393">
        <f>IF(ISBLANK(Actuals!BQ105),-1580.65*Escalation!$B$65,Actuals!BQ105)</f>
        <v>-1745.16532157808</v>
      </c>
      <c r="BQ192" s="393">
        <f>IF(ISBLANK(Actuals!BR105),-1580.65*Escalation!$B$66,Actuals!BR105)</f>
        <v>-1745.16532157808</v>
      </c>
      <c r="BR192" s="393">
        <f>IF(ISBLANK(Actuals!BS105),-1580.65*Escalation!$B$67,Actuals!BS105)</f>
        <v>-1745.16532157808</v>
      </c>
      <c r="BS192" s="393">
        <f>IF(ISBLANK(Actuals!BT105),-1580.65*Escalation!$B$68,Actuals!BT105)</f>
        <v>-1745.16532157808</v>
      </c>
      <c r="BT192" s="393">
        <f>IF(ISBLANK(Actuals!BU105),-1580.65*Escalation!$B$69,Actuals!BU105)</f>
        <v>-1745.16532157808</v>
      </c>
      <c r="BU192" s="393">
        <f>IF(ISBLANK(Actuals!BV105),-1580.65*Escalation!$B$70,Actuals!BV105)</f>
        <v>-1745.16532157808</v>
      </c>
      <c r="BV192" s="393">
        <f>IF(ISBLANK(Actuals!BW105),-1580.65*Escalation!$B$71,Actuals!BW105)</f>
        <v>-1745.16532157808</v>
      </c>
      <c r="BW192" s="393">
        <f>IF(ISBLANK(Actuals!BX105),-1580.65*Escalation!$B$72,Actuals!BX105)</f>
        <v>-1745.16532157808</v>
      </c>
      <c r="BX192" s="393">
        <f>IF(ISBLANK(Actuals!BY105),-1580.65*Escalation!$B$73,Actuals!BY105)</f>
        <v>-1745.16532157808</v>
      </c>
      <c r="BY192" s="393">
        <f>IF(ISBLANK(Actuals!BZ105),-1580.65*Escalation!$B$74,Actuals!BZ105)</f>
        <v>-1780.06862800964</v>
      </c>
      <c r="BZ192" s="393">
        <f>IF(ISBLANK(Actuals!CA105),-1580.65*Escalation!$B$75,Actuals!CA105)</f>
        <v>-1780.06862800964</v>
      </c>
      <c r="CA192" s="393">
        <f>IF(ISBLANK(Actuals!CB105),-1580.65*Escalation!$B$76,Actuals!CB105)</f>
        <v>-1780.06862800964</v>
      </c>
      <c r="CB192" s="393">
        <f>IF(ISBLANK(Actuals!CC105),-1580.65*Escalation!$B$77,Actuals!CC105)</f>
        <v>-1780.06862800964</v>
      </c>
      <c r="CC192" s="393">
        <f>IF(ISBLANK(Actuals!CD105),-1580.65*Escalation!$B$78,Actuals!CD105)</f>
        <v>-1780.06862800964</v>
      </c>
      <c r="CD192" s="393">
        <f>IF(ISBLANK(Actuals!CE105),-1580.65*Escalation!$B$79,Actuals!CE105)</f>
        <v>-1780.06862800964</v>
      </c>
      <c r="CE192" s="393">
        <f>IF(ISBLANK(Actuals!CF105),-1580.65*Escalation!$B$80,Actuals!CF105)</f>
        <v>-1780.06862800964</v>
      </c>
      <c r="CF192" s="393">
        <f>IF(ISBLANK(Actuals!CG105),-1580.65*Escalation!$B$81,Actuals!CG105)</f>
        <v>-1780.06862800964</v>
      </c>
      <c r="CG192" s="393">
        <f>IF(ISBLANK(Actuals!CH105),-1580.65*Escalation!$B$82,Actuals!CH105)</f>
        <v>-1780.06862800964</v>
      </c>
      <c r="CH192" s="393">
        <f>IF(ISBLANK(Actuals!CI105),-1580.65*Escalation!$B$83,Actuals!CI105)</f>
        <v>-1780.06862800964</v>
      </c>
      <c r="CI192" s="393">
        <f>IF(ISBLANK(Actuals!CJ105),-1580.65*Escalation!$B$84,Actuals!CJ105)</f>
        <v>-1780.06862800964</v>
      </c>
      <c r="CJ192" s="393">
        <f>IF(ISBLANK(Actuals!CK105),-1580.65*Escalation!$B$85,Actuals!CK105)</f>
        <v>-1780.06862800964</v>
      </c>
      <c r="CK192" s="393">
        <f>IF(ISBLANK(Actuals!CL105),-1580.65*Escalation!$B$86,Actuals!CL105)</f>
        <v>-1815.67000056983</v>
      </c>
      <c r="CL192" s="393">
        <f>IF(ISBLANK(Actuals!CM105),-1580.65*Escalation!$B$87,Actuals!CM105)</f>
        <v>-1815.67000056983</v>
      </c>
      <c r="CM192" s="393">
        <f>IF(ISBLANK(Actuals!CN105),-1580.65*Escalation!$B$88,Actuals!CN105)</f>
        <v>-1815.67000056983</v>
      </c>
      <c r="CN192" s="393">
        <f>IF(ISBLANK(Actuals!CO105),-1580.65*Escalation!$B$89,Actuals!CO105)</f>
        <v>-1815.67000056983</v>
      </c>
      <c r="CO192" s="393">
        <f>IF(ISBLANK(Actuals!CP105),-1580.65*Escalation!$B$90,Actuals!CP105)</f>
        <v>-1815.67000056983</v>
      </c>
      <c r="CP192" s="393">
        <f>IF(ISBLANK(Actuals!CQ105),-1580.65*Escalation!$B$91,Actuals!CQ105)</f>
        <v>-1815.67000056983</v>
      </c>
      <c r="CQ192" s="393">
        <f>IF(ISBLANK(Actuals!CR105),-1580.65*Escalation!$B$92,Actuals!CR105)</f>
        <v>-1815.67000056983</v>
      </c>
      <c r="CR192" s="393">
        <f>IF(ISBLANK(Actuals!CS105),-1580.65*Escalation!$B$93,Actuals!CS105)</f>
        <v>-1815.67000056983</v>
      </c>
      <c r="CS192" s="393">
        <f>IF(ISBLANK(Actuals!CT105),-1580.65*Escalation!$B$94,Actuals!CT105)</f>
        <v>-1815.67000056983</v>
      </c>
      <c r="CT192" s="393">
        <f>IF(ISBLANK(Actuals!CU105),-1580.65*Escalation!$B$95,Actuals!CU105)</f>
        <v>-1815.67000056983</v>
      </c>
      <c r="CU192" s="393">
        <f>IF(ISBLANK(Actuals!CV105),-1580.65*Escalation!$B$96,Actuals!CV105)</f>
        <v>-1815.67000056983</v>
      </c>
      <c r="CV192" s="393">
        <f>IF(ISBLANK(Actuals!CW105),-1580.65*Escalation!$B$97,Actuals!CW105)</f>
        <v>-1815.67000056983</v>
      </c>
      <c r="CW192" s="393">
        <f>IF(ISBLANK(Actuals!CX105),-1580.65*Escalation!$B$98,Actuals!CX105)</f>
        <v>-1851.98340058123</v>
      </c>
      <c r="CX192" s="393">
        <f>IF(ISBLANK(Actuals!CY105),-1580.65*Escalation!$B$99,Actuals!CY105)</f>
        <v>-1851.98340058123</v>
      </c>
      <c r="CY192" s="393">
        <f>IF(ISBLANK(Actuals!CZ105),-1580.65*Escalation!$B$100,Actuals!CZ105)</f>
        <v>-1851.98340058123</v>
      </c>
      <c r="CZ192" s="393">
        <f>IF(ISBLANK(Actuals!DA105),-1580.65*Escalation!$B$101,Actuals!DA105)</f>
        <v>-1851.98340058123</v>
      </c>
      <c r="DA192" s="393">
        <f>IF(ISBLANK(Actuals!DB105),-1580.65*Escalation!$B$102,Actuals!DB105)</f>
        <v>-1851.98340058123</v>
      </c>
      <c r="DB192" s="393">
        <f>IF(ISBLANK(Actuals!DC105),-1580.65*Escalation!$B$103,Actuals!DC105)</f>
        <v>-1851.98340058123</v>
      </c>
      <c r="DC192" s="393">
        <f>IF(ISBLANK(Actuals!DD105),-1580.65*Escalation!$B$104,Actuals!DD105)</f>
        <v>-1851.98340058123</v>
      </c>
      <c r="DD192" s="393">
        <f>IF(ISBLANK(Actuals!DE105),-1580.65*Escalation!$B$105,Actuals!DE105)</f>
        <v>-1851.98340058123</v>
      </c>
      <c r="DE192" s="393">
        <f>IF(ISBLANK(Actuals!DF105),-1580.65*Escalation!$B$106,Actuals!DF105)</f>
        <v>-1851.98340058123</v>
      </c>
    </row>
    <row r="193" ht="15" customFormat="1" customHeight="1" s="381">
      <c r="A193" s="398" t="inlineStr">
        <is>
          <t>5900-1080 Bank Service Charges</t>
        </is>
      </c>
      <c r="B193" s="393">
        <f>IF(ISBLANK(Actuals!C106),0,Actuals!C106)</f>
        <v>-658.14</v>
      </c>
      <c r="C193" s="393">
        <f>IF(ISBLANK(Actuals!D106),0,Actuals!D106)</f>
        <v>-310</v>
      </c>
      <c r="D193" s="393">
        <f>IF(ISBLANK(Actuals!E106),0,Actuals!E106)</f>
        <v>-371.74</v>
      </c>
      <c r="E193" s="393">
        <f>IF(ISBLANK(Actuals!F106),-446.63*Escalation!$B$2,Actuals!F106)</f>
        <v>-857.33</v>
      </c>
      <c r="F193" s="393">
        <f>IF(ISBLANK(Actuals!G106),-446.63*Escalation!$B$3,Actuals!G106)</f>
        <v>-305</v>
      </c>
      <c r="G193" s="393">
        <f>IF(ISBLANK(Actuals!H106),-446.63*Escalation!$B$4,Actuals!H106)</f>
        <v>-352.5</v>
      </c>
      <c r="H193" s="393">
        <f>IF(ISBLANK(Actuals!I106),-446.63*Escalation!$B$5,Actuals!I106)</f>
        <v>-446.63</v>
      </c>
      <c r="I193" s="393">
        <f>IF(ISBLANK(Actuals!J106),-446.63*Escalation!$B$6,Actuals!J106)</f>
        <v>-446.63</v>
      </c>
      <c r="J193" s="393">
        <f>IF(ISBLANK(Actuals!K106),-446.63*Escalation!$B$7,Actuals!K106)</f>
        <v>-446.63</v>
      </c>
      <c r="K193" s="393">
        <f>IF(ISBLANK(Actuals!L106),-446.63*Escalation!$B$8,Actuals!L106)</f>
        <v>-446.63</v>
      </c>
      <c r="L193" s="393">
        <f>IF(ISBLANK(Actuals!M106),-446.63*Escalation!$B$9,Actuals!M106)</f>
        <v>-446.63</v>
      </c>
      <c r="M193" s="393">
        <f>IF(ISBLANK(Actuals!N106),-446.63*Escalation!$B$10,Actuals!N106)</f>
        <v>-446.63</v>
      </c>
      <c r="N193" s="393">
        <f>IF(ISBLANK(Actuals!O106),-446.63*Escalation!$B$11,Actuals!O106)</f>
        <v>-446.63</v>
      </c>
      <c r="O193" s="393">
        <f>IF(ISBLANK(Actuals!P106),-446.63*Escalation!$B$12,Actuals!P106)</f>
        <v>-446.63</v>
      </c>
      <c r="P193" s="393">
        <f>IF(ISBLANK(Actuals!Q106),-446.63*Escalation!$B$13,Actuals!Q106)</f>
        <v>-446.63</v>
      </c>
      <c r="Q193" s="393">
        <f>IF(ISBLANK(Actuals!R106),-446.63*Escalation!$B$14,Actuals!R106)</f>
        <v>-455.5626</v>
      </c>
      <c r="R193" s="393">
        <f>IF(ISBLANK(Actuals!S106),-446.63*Escalation!$B$15,Actuals!S106)</f>
        <v>-455.5626</v>
      </c>
      <c r="S193" s="393">
        <f>IF(ISBLANK(Actuals!T106),-446.63*Escalation!$B$16,Actuals!T106)</f>
        <v>-455.5626</v>
      </c>
      <c r="T193" s="393">
        <f>IF(ISBLANK(Actuals!U106),-446.63*Escalation!$B$17,Actuals!U106)</f>
        <v>-455.5626</v>
      </c>
      <c r="U193" s="393">
        <f>IF(ISBLANK(Actuals!V106),-446.63*Escalation!$B$18,Actuals!V106)</f>
        <v>-455.5626</v>
      </c>
      <c r="V193" s="393">
        <f>IF(ISBLANK(Actuals!W106),-446.63*Escalation!$B$19,Actuals!W106)</f>
        <v>-455.5626</v>
      </c>
      <c r="W193" s="393">
        <f>IF(ISBLANK(Actuals!X106),-446.63*Escalation!$B$20,Actuals!X106)</f>
        <v>-455.5626</v>
      </c>
      <c r="X193" s="393">
        <f>IF(ISBLANK(Actuals!Y106),-446.63*Escalation!$B$21,Actuals!Y106)</f>
        <v>-455.5626</v>
      </c>
      <c r="Y193" s="393">
        <f>IF(ISBLANK(Actuals!Z106),-446.63*Escalation!$B$22,Actuals!Z106)</f>
        <v>-455.5626</v>
      </c>
      <c r="Z193" s="393">
        <f>IF(ISBLANK(Actuals!AA106),-446.63*Escalation!$B$23,Actuals!AA106)</f>
        <v>-455.5626</v>
      </c>
      <c r="AA193" s="393">
        <f>IF(ISBLANK(Actuals!AB106),-446.63*Escalation!$B$24,Actuals!AB106)</f>
        <v>-455.5626</v>
      </c>
      <c r="AB193" s="393">
        <f>IF(ISBLANK(Actuals!AC106),-446.63*Escalation!$B$25,Actuals!AC106)</f>
        <v>-455.5626</v>
      </c>
      <c r="AC193" s="393">
        <f>IF(ISBLANK(Actuals!AD106),-446.63*Escalation!$B$26,Actuals!AD106)</f>
        <v>-464.673852</v>
      </c>
      <c r="AD193" s="393">
        <f>IF(ISBLANK(Actuals!AE106),-446.63*Escalation!$B$27,Actuals!AE106)</f>
        <v>-464.673852</v>
      </c>
      <c r="AE193" s="393">
        <f>IF(ISBLANK(Actuals!AF106),-446.63*Escalation!$B$28,Actuals!AF106)</f>
        <v>-464.673852</v>
      </c>
      <c r="AF193" s="393">
        <f>IF(ISBLANK(Actuals!AG106),-446.63*Escalation!$B$29,Actuals!AG106)</f>
        <v>-464.673852</v>
      </c>
      <c r="AG193" s="393">
        <f>IF(ISBLANK(Actuals!AH106),-446.63*Escalation!$B$30,Actuals!AH106)</f>
        <v>-464.673852</v>
      </c>
      <c r="AH193" s="393">
        <f>IF(ISBLANK(Actuals!AI106),-446.63*Escalation!$B$31,Actuals!AI106)</f>
        <v>-464.673852</v>
      </c>
      <c r="AI193" s="393">
        <f>IF(ISBLANK(Actuals!AJ106),-446.63*Escalation!$B$32,Actuals!AJ106)</f>
        <v>-464.673852</v>
      </c>
      <c r="AJ193" s="393">
        <f>IF(ISBLANK(Actuals!AK106),-446.63*Escalation!$B$33,Actuals!AK106)</f>
        <v>-464.673852</v>
      </c>
      <c r="AK193" s="393">
        <f>IF(ISBLANK(Actuals!AL106),-446.63*Escalation!$B$34,Actuals!AL106)</f>
        <v>-464.673852</v>
      </c>
      <c r="AL193" s="393">
        <f>IF(ISBLANK(Actuals!AM106),-446.63*Escalation!$B$35,Actuals!AM106)</f>
        <v>-464.673852</v>
      </c>
      <c r="AM193" s="393">
        <f>IF(ISBLANK(Actuals!AN106),-446.63*Escalation!$B$36,Actuals!AN106)</f>
        <v>-464.673852</v>
      </c>
      <c r="AN193" s="393">
        <f>IF(ISBLANK(Actuals!AO106),-446.63*Escalation!$B$37,Actuals!AO106)</f>
        <v>-464.673852</v>
      </c>
      <c r="AO193" s="393">
        <f>IF(ISBLANK(Actuals!AP106),-446.63*Escalation!$B$38,Actuals!AP106)</f>
        <v>-473.96732904</v>
      </c>
      <c r="AP193" s="393">
        <f>IF(ISBLANK(Actuals!AQ106),-446.63*Escalation!$B$39,Actuals!AQ106)</f>
        <v>-473.96732904</v>
      </c>
      <c r="AQ193" s="393">
        <f>IF(ISBLANK(Actuals!AR106),-446.63*Escalation!$B$40,Actuals!AR106)</f>
        <v>-473.96732904</v>
      </c>
      <c r="AR193" s="393">
        <f>IF(ISBLANK(Actuals!AS106),-446.63*Escalation!$B$41,Actuals!AS106)</f>
        <v>-473.96732904</v>
      </c>
      <c r="AS193" s="393">
        <f>IF(ISBLANK(Actuals!AT106),-446.63*Escalation!$B$42,Actuals!AT106)</f>
        <v>-473.96732904</v>
      </c>
      <c r="AT193" s="393">
        <f>IF(ISBLANK(Actuals!AU106),-446.63*Escalation!$B$43,Actuals!AU106)</f>
        <v>-473.96732904</v>
      </c>
      <c r="AU193" s="393">
        <f>IF(ISBLANK(Actuals!AV106),-446.63*Escalation!$B$44,Actuals!AV106)</f>
        <v>-473.96732904</v>
      </c>
      <c r="AV193" s="393">
        <f>IF(ISBLANK(Actuals!AW106),-446.63*Escalation!$B$45,Actuals!AW106)</f>
        <v>-473.96732904</v>
      </c>
      <c r="AW193" s="393">
        <f>IF(ISBLANK(Actuals!AX106),-446.63*Escalation!$B$46,Actuals!AX106)</f>
        <v>-473.96732904</v>
      </c>
      <c r="AX193" s="393">
        <f>IF(ISBLANK(Actuals!AY106),-446.63*Escalation!$B$47,Actuals!AY106)</f>
        <v>-473.96732904</v>
      </c>
      <c r="AY193" s="393">
        <f>IF(ISBLANK(Actuals!AZ106),-446.63*Escalation!$B$48,Actuals!AZ106)</f>
        <v>-473.96732904</v>
      </c>
      <c r="AZ193" s="393">
        <f>IF(ISBLANK(Actuals!BA106),-446.63*Escalation!$B$49,Actuals!BA106)</f>
        <v>-473.96732904</v>
      </c>
      <c r="BA193" s="393">
        <f>IF(ISBLANK(Actuals!BB106),-446.63*Escalation!$B$50,Actuals!BB106)</f>
        <v>-483.4466756208</v>
      </c>
      <c r="BB193" s="393">
        <f>IF(ISBLANK(Actuals!BC106),-446.63*Escalation!$B$51,Actuals!BC106)</f>
        <v>-483.4466756208</v>
      </c>
      <c r="BC193" s="393">
        <f>IF(ISBLANK(Actuals!BD106),-446.63*Escalation!$B$52,Actuals!BD106)</f>
        <v>-483.4466756208</v>
      </c>
      <c r="BD193" s="393">
        <f>IF(ISBLANK(Actuals!BE106),-446.63*Escalation!$B$53,Actuals!BE106)</f>
        <v>-483.4466756208</v>
      </c>
      <c r="BE193" s="393">
        <f>IF(ISBLANK(Actuals!BF106),-446.63*Escalation!$B$54,Actuals!BF106)</f>
        <v>-483.4466756208</v>
      </c>
      <c r="BF193" s="393">
        <f>IF(ISBLANK(Actuals!BG106),-446.63*Escalation!$B$55,Actuals!BG106)</f>
        <v>-483.4466756208</v>
      </c>
      <c r="BG193" s="393">
        <f>IF(ISBLANK(Actuals!BH106),-446.63*Escalation!$B$56,Actuals!BH106)</f>
        <v>-483.4466756208</v>
      </c>
      <c r="BH193" s="393">
        <f>IF(ISBLANK(Actuals!BI106),-446.63*Escalation!$B$57,Actuals!BI106)</f>
        <v>-483.4466756208</v>
      </c>
      <c r="BI193" s="393">
        <f>IF(ISBLANK(Actuals!BJ106),-446.63*Escalation!$B$58,Actuals!BJ106)</f>
        <v>-483.4466756208</v>
      </c>
      <c r="BJ193" s="393">
        <f>IF(ISBLANK(Actuals!BK106),-446.63*Escalation!$B$59,Actuals!BK106)</f>
        <v>-483.4466756208</v>
      </c>
      <c r="BK193" s="393">
        <f>IF(ISBLANK(Actuals!BL106),-446.63*Escalation!$B$60,Actuals!BL106)</f>
        <v>-483.4466756208</v>
      </c>
      <c r="BL193" s="393">
        <f>IF(ISBLANK(Actuals!BM106),-446.63*Escalation!$B$61,Actuals!BM106)</f>
        <v>-483.4466756208</v>
      </c>
      <c r="BM193" s="393">
        <f>IF(ISBLANK(Actuals!BN106),-446.63*Escalation!$B$62,Actuals!BN106)</f>
        <v>-493.115609133216</v>
      </c>
      <c r="BN193" s="393">
        <f>IF(ISBLANK(Actuals!BO106),-446.63*Escalation!$B$63,Actuals!BO106)</f>
        <v>-493.115609133216</v>
      </c>
      <c r="BO193" s="393">
        <f>IF(ISBLANK(Actuals!BP106),-446.63*Escalation!$B$64,Actuals!BP106)</f>
        <v>-493.115609133216</v>
      </c>
      <c r="BP193" s="393">
        <f>IF(ISBLANK(Actuals!BQ106),-446.63*Escalation!$B$65,Actuals!BQ106)</f>
        <v>-493.115609133216</v>
      </c>
      <c r="BQ193" s="393">
        <f>IF(ISBLANK(Actuals!BR106),-446.63*Escalation!$B$66,Actuals!BR106)</f>
        <v>-493.115609133216</v>
      </c>
      <c r="BR193" s="393">
        <f>IF(ISBLANK(Actuals!BS106),-446.63*Escalation!$B$67,Actuals!BS106)</f>
        <v>-493.115609133216</v>
      </c>
      <c r="BS193" s="393">
        <f>IF(ISBLANK(Actuals!BT106),-446.63*Escalation!$B$68,Actuals!BT106)</f>
        <v>-493.115609133216</v>
      </c>
      <c r="BT193" s="393">
        <f>IF(ISBLANK(Actuals!BU106),-446.63*Escalation!$B$69,Actuals!BU106)</f>
        <v>-493.115609133216</v>
      </c>
      <c r="BU193" s="393">
        <f>IF(ISBLANK(Actuals!BV106),-446.63*Escalation!$B$70,Actuals!BV106)</f>
        <v>-493.115609133216</v>
      </c>
      <c r="BV193" s="393">
        <f>IF(ISBLANK(Actuals!BW106),-446.63*Escalation!$B$71,Actuals!BW106)</f>
        <v>-493.115609133216</v>
      </c>
      <c r="BW193" s="393">
        <f>IF(ISBLANK(Actuals!BX106),-446.63*Escalation!$B$72,Actuals!BX106)</f>
        <v>-493.115609133216</v>
      </c>
      <c r="BX193" s="393">
        <f>IF(ISBLANK(Actuals!BY106),-446.63*Escalation!$B$73,Actuals!BY106)</f>
        <v>-493.115609133216</v>
      </c>
      <c r="BY193" s="393">
        <f>IF(ISBLANK(Actuals!BZ106),-446.63*Escalation!$B$74,Actuals!BZ106)</f>
        <v>-502.97792131588</v>
      </c>
      <c r="BZ193" s="393">
        <f>IF(ISBLANK(Actuals!CA106),-446.63*Escalation!$B$75,Actuals!CA106)</f>
        <v>-502.97792131588</v>
      </c>
      <c r="CA193" s="393">
        <f>IF(ISBLANK(Actuals!CB106),-446.63*Escalation!$B$76,Actuals!CB106)</f>
        <v>-502.97792131588</v>
      </c>
      <c r="CB193" s="393">
        <f>IF(ISBLANK(Actuals!CC106),-446.63*Escalation!$B$77,Actuals!CC106)</f>
        <v>-502.97792131588</v>
      </c>
      <c r="CC193" s="393">
        <f>IF(ISBLANK(Actuals!CD106),-446.63*Escalation!$B$78,Actuals!CD106)</f>
        <v>-502.97792131588</v>
      </c>
      <c r="CD193" s="393">
        <f>IF(ISBLANK(Actuals!CE106),-446.63*Escalation!$B$79,Actuals!CE106)</f>
        <v>-502.97792131588</v>
      </c>
      <c r="CE193" s="393">
        <f>IF(ISBLANK(Actuals!CF106),-446.63*Escalation!$B$80,Actuals!CF106)</f>
        <v>-502.97792131588</v>
      </c>
      <c r="CF193" s="393">
        <f>IF(ISBLANK(Actuals!CG106),-446.63*Escalation!$B$81,Actuals!CG106)</f>
        <v>-502.97792131588</v>
      </c>
      <c r="CG193" s="393">
        <f>IF(ISBLANK(Actuals!CH106),-446.63*Escalation!$B$82,Actuals!CH106)</f>
        <v>-502.97792131588</v>
      </c>
      <c r="CH193" s="393">
        <f>IF(ISBLANK(Actuals!CI106),-446.63*Escalation!$B$83,Actuals!CI106)</f>
        <v>-502.97792131588</v>
      </c>
      <c r="CI193" s="393">
        <f>IF(ISBLANK(Actuals!CJ106),-446.63*Escalation!$B$84,Actuals!CJ106)</f>
        <v>-502.97792131588</v>
      </c>
      <c r="CJ193" s="393">
        <f>IF(ISBLANK(Actuals!CK106),-446.63*Escalation!$B$85,Actuals!CK106)</f>
        <v>-502.97792131588</v>
      </c>
      <c r="CK193" s="393">
        <f>IF(ISBLANK(Actuals!CL106),-446.63*Escalation!$B$86,Actuals!CL106)</f>
        <v>-513.037479742198</v>
      </c>
      <c r="CL193" s="393">
        <f>IF(ISBLANK(Actuals!CM106),-446.63*Escalation!$B$87,Actuals!CM106)</f>
        <v>-513.037479742198</v>
      </c>
      <c r="CM193" s="393">
        <f>IF(ISBLANK(Actuals!CN106),-446.63*Escalation!$B$88,Actuals!CN106)</f>
        <v>-513.037479742198</v>
      </c>
      <c r="CN193" s="393">
        <f>IF(ISBLANK(Actuals!CO106),-446.63*Escalation!$B$89,Actuals!CO106)</f>
        <v>-513.037479742198</v>
      </c>
      <c r="CO193" s="393">
        <f>IF(ISBLANK(Actuals!CP106),-446.63*Escalation!$B$90,Actuals!CP106)</f>
        <v>-513.037479742198</v>
      </c>
      <c r="CP193" s="393">
        <f>IF(ISBLANK(Actuals!CQ106),-446.63*Escalation!$B$91,Actuals!CQ106)</f>
        <v>-513.037479742198</v>
      </c>
      <c r="CQ193" s="393">
        <f>IF(ISBLANK(Actuals!CR106),-446.63*Escalation!$B$92,Actuals!CR106)</f>
        <v>-513.037479742198</v>
      </c>
      <c r="CR193" s="393">
        <f>IF(ISBLANK(Actuals!CS106),-446.63*Escalation!$B$93,Actuals!CS106)</f>
        <v>-513.037479742198</v>
      </c>
      <c r="CS193" s="393">
        <f>IF(ISBLANK(Actuals!CT106),-446.63*Escalation!$B$94,Actuals!CT106)</f>
        <v>-513.037479742198</v>
      </c>
      <c r="CT193" s="393">
        <f>IF(ISBLANK(Actuals!CU106),-446.63*Escalation!$B$95,Actuals!CU106)</f>
        <v>-513.037479742198</v>
      </c>
      <c r="CU193" s="393">
        <f>IF(ISBLANK(Actuals!CV106),-446.63*Escalation!$B$96,Actuals!CV106)</f>
        <v>-513.037479742198</v>
      </c>
      <c r="CV193" s="393">
        <f>IF(ISBLANK(Actuals!CW106),-446.63*Escalation!$B$97,Actuals!CW106)</f>
        <v>-513.037479742198</v>
      </c>
      <c r="CW193" s="393">
        <f>IF(ISBLANK(Actuals!CX106),-446.63*Escalation!$B$98,Actuals!CX106)</f>
        <v>-523.298229337042</v>
      </c>
      <c r="CX193" s="393">
        <f>IF(ISBLANK(Actuals!CY106),-446.63*Escalation!$B$99,Actuals!CY106)</f>
        <v>-523.298229337042</v>
      </c>
      <c r="CY193" s="393">
        <f>IF(ISBLANK(Actuals!CZ106),-446.63*Escalation!$B$100,Actuals!CZ106)</f>
        <v>-523.298229337042</v>
      </c>
      <c r="CZ193" s="393">
        <f>IF(ISBLANK(Actuals!DA106),-446.63*Escalation!$B$101,Actuals!DA106)</f>
        <v>-523.298229337042</v>
      </c>
      <c r="DA193" s="393">
        <f>IF(ISBLANK(Actuals!DB106),-446.63*Escalation!$B$102,Actuals!DB106)</f>
        <v>-523.298229337042</v>
      </c>
      <c r="DB193" s="393">
        <f>IF(ISBLANK(Actuals!DC106),-446.63*Escalation!$B$103,Actuals!DC106)</f>
        <v>-523.298229337042</v>
      </c>
      <c r="DC193" s="393">
        <f>IF(ISBLANK(Actuals!DD106),-446.63*Escalation!$B$104,Actuals!DD106)</f>
        <v>-523.298229337042</v>
      </c>
      <c r="DD193" s="393">
        <f>IF(ISBLANK(Actuals!DE106),-446.63*Escalation!$B$105,Actuals!DE106)</f>
        <v>-523.298229337042</v>
      </c>
      <c r="DE193" s="393">
        <f>IF(ISBLANK(Actuals!DF106),-446.63*Escalation!$B$106,Actuals!DF106)</f>
        <v>-523.298229337042</v>
      </c>
    </row>
    <row r="194" ht="15" customFormat="1" customHeight="1" s="381">
      <c r="A194" s="398" t="inlineStr">
        <is>
          <t>Steyn Group Guaranty Fee</t>
        </is>
      </c>
      <c r="B194" s="393">
        <f>IF(ISBLANK(Actuals!C107),0,Actuals!C107)</f>
        <v>0</v>
      </c>
      <c r="C194" s="393">
        <f>IF(ISBLANK(Actuals!D107),0,Actuals!D107)</f>
        <v>0</v>
      </c>
      <c r="D194" s="393">
        <f>IF(ISBLANK(Actuals!E107),0,Actuals!E107)</f>
        <v>0</v>
      </c>
      <c r="E194" s="393">
        <f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0</v>
      </c>
      <c r="F194" s="393">
        <f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0</v>
      </c>
      <c r="G194" s="393">
        <f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0</v>
      </c>
      <c r="H194" s="393">
        <f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0</v>
      </c>
      <c r="I194" s="393">
        <f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0</v>
      </c>
      <c r="J194" s="393">
        <f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0</v>
      </c>
      <c r="K194" s="393">
        <f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0</v>
      </c>
      <c r="L194" s="393">
        <f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0</v>
      </c>
      <c r="M194" s="393">
        <f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0</v>
      </c>
      <c r="N194" s="393">
        <f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4" s="393">
        <f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0</v>
      </c>
      <c r="P194" s="393">
        <f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0</v>
      </c>
      <c r="Q194" s="393">
        <f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0</v>
      </c>
      <c r="R194" s="393">
        <f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0</v>
      </c>
      <c r="S194" s="393">
        <f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0</v>
      </c>
      <c r="T194" s="393">
        <f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0</v>
      </c>
      <c r="U194" s="393">
        <f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0</v>
      </c>
      <c r="V194" s="393">
        <f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0</v>
      </c>
      <c r="W194" s="393">
        <f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0</v>
      </c>
      <c r="X194" s="393">
        <f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0</v>
      </c>
      <c r="Y194" s="393">
        <f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0</v>
      </c>
      <c r="Z194" s="393">
        <f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0</v>
      </c>
      <c r="AA194" s="393">
        <f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0</v>
      </c>
      <c r="AB194" s="393">
        <f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0</v>
      </c>
      <c r="AC194" s="393">
        <f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0</v>
      </c>
      <c r="AD194" s="393">
        <f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0</v>
      </c>
      <c r="AE194" s="393">
        <f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0</v>
      </c>
      <c r="AF194" s="393">
        <f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0</v>
      </c>
      <c r="AG194" s="393">
        <f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0</v>
      </c>
      <c r="AH194" s="393">
        <f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0</v>
      </c>
      <c r="AI194" s="393">
        <f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0</v>
      </c>
      <c r="AJ194" s="393">
        <f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0</v>
      </c>
      <c r="AK194" s="393">
        <f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0</v>
      </c>
      <c r="AL194" s="393">
        <f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0</v>
      </c>
      <c r="AM194" s="393">
        <f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0</v>
      </c>
      <c r="AN194" s="393">
        <f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0</v>
      </c>
      <c r="AO194" s="393">
        <f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0</v>
      </c>
      <c r="AP194" s="393">
        <f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0</v>
      </c>
      <c r="AQ194" s="393">
        <f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0</v>
      </c>
      <c r="AR194" s="393">
        <f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0</v>
      </c>
      <c r="AS194" s="393">
        <f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0</v>
      </c>
      <c r="AT194" s="393">
        <f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0</v>
      </c>
      <c r="AU194" s="393">
        <f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0</v>
      </c>
      <c r="AV194" s="393">
        <f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0</v>
      </c>
      <c r="AW194" s="393">
        <f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0</v>
      </c>
      <c r="AX194" s="393">
        <f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0</v>
      </c>
      <c r="AY194" s="393">
        <f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0</v>
      </c>
      <c r="AZ194" s="393">
        <f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0</v>
      </c>
      <c r="BA194" s="393">
        <f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0</v>
      </c>
      <c r="BB194" s="393">
        <f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0</v>
      </c>
      <c r="BC194" s="393">
        <f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0</v>
      </c>
      <c r="BD194" s="393">
        <f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0</v>
      </c>
      <c r="BE194" s="393">
        <f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0</v>
      </c>
      <c r="BF194" s="393">
        <f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0</v>
      </c>
      <c r="BG194" s="393">
        <f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0</v>
      </c>
      <c r="BH194" s="393">
        <f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0</v>
      </c>
      <c r="BI194" s="393">
        <f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0</v>
      </c>
      <c r="BJ194" s="393">
        <f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0</v>
      </c>
      <c r="BK194" s="393">
        <f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0</v>
      </c>
      <c r="BL194" s="393">
        <f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0</v>
      </c>
      <c r="BM194" s="393">
        <f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0</v>
      </c>
      <c r="BN194" s="393">
        <f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0</v>
      </c>
      <c r="BO194" s="393">
        <f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0</v>
      </c>
      <c r="BP194" s="393">
        <f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0</v>
      </c>
      <c r="BQ194" s="393">
        <f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0</v>
      </c>
      <c r="BR194" s="393">
        <f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0</v>
      </c>
      <c r="BS194" s="393">
        <f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0</v>
      </c>
      <c r="BT194" s="393">
        <f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0</v>
      </c>
      <c r="BU194" s="393">
        <f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0</v>
      </c>
      <c r="BV194" s="393">
        <f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0</v>
      </c>
      <c r="BW194" s="393">
        <f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0</v>
      </c>
      <c r="BX194" s="393">
        <f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0</v>
      </c>
      <c r="BY194" s="393">
        <f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0</v>
      </c>
      <c r="BZ194" s="393">
        <f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0</v>
      </c>
      <c r="CA194" s="393">
        <f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0</v>
      </c>
      <c r="CB194" s="393">
        <f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0</v>
      </c>
      <c r="CC194" s="393">
        <f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0</v>
      </c>
      <c r="CD194" s="393">
        <f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0</v>
      </c>
      <c r="CE194" s="393">
        <f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0</v>
      </c>
      <c r="CF194" s="393">
        <f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0</v>
      </c>
      <c r="CG194" s="393">
        <f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0</v>
      </c>
      <c r="CH194" s="393">
        <f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0</v>
      </c>
      <c r="CI194" s="393">
        <f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0</v>
      </c>
      <c r="CJ194" s="393">
        <f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0</v>
      </c>
      <c r="CK194" s="393">
        <f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0</v>
      </c>
      <c r="CL194" s="393">
        <f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0</v>
      </c>
      <c r="CM194" s="393">
        <f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0</v>
      </c>
      <c r="CN194" s="393">
        <f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0</v>
      </c>
      <c r="CO194" s="393">
        <f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0</v>
      </c>
      <c r="CP194" s="393">
        <f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0</v>
      </c>
      <c r="CQ194" s="393">
        <f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0</v>
      </c>
      <c r="CR194" s="393">
        <f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0</v>
      </c>
      <c r="CS194" s="393">
        <f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0</v>
      </c>
      <c r="CT194" s="393">
        <f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0</v>
      </c>
      <c r="CU194" s="393">
        <f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0</v>
      </c>
      <c r="CV194" s="393">
        <f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0</v>
      </c>
      <c r="CW194" s="393">
        <f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0</v>
      </c>
      <c r="CX194" s="393">
        <f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0</v>
      </c>
      <c r="CY194" s="393">
        <f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0</v>
      </c>
      <c r="CZ194" s="393">
        <f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0</v>
      </c>
      <c r="DA194" s="393">
        <f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0</v>
      </c>
      <c r="DB194" s="393">
        <f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0</v>
      </c>
      <c r="DC194" s="393">
        <f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0</v>
      </c>
      <c r="DD194" s="393">
        <f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0</v>
      </c>
      <c r="DE194" s="393">
        <f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0</v>
      </c>
    </row>
    <row r="195" ht="15" customFormat="1" customHeight="1" s="381">
      <c r="A195" s="398" t="inlineStr">
        <is>
          <t>Steyn Liquidity Guarantee Fee</t>
        </is>
      </c>
      <c r="B195" s="393">
        <f>IF(ISBLANK(Actuals!C108),0,Actuals!C108)</f>
        <v>0</v>
      </c>
      <c r="C195" s="393">
        <f>IF(ISBLANK(Actuals!D108),0,Actuals!D108)</f>
        <v>0</v>
      </c>
      <c r="D195" s="393">
        <f>IF(ISBLANK(Actuals!E108),0,Actuals!E108)</f>
        <v>0</v>
      </c>
      <c r="E195" s="393">
        <f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0</v>
      </c>
      <c r="F195" s="393">
        <f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0</v>
      </c>
      <c r="G195" s="393">
        <f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0</v>
      </c>
      <c r="H195" s="393">
        <f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0</v>
      </c>
      <c r="I195" s="393">
        <f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0</v>
      </c>
      <c r="J195" s="393">
        <f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0</v>
      </c>
      <c r="K195" s="393">
        <f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0</v>
      </c>
      <c r="L195" s="393">
        <f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0</v>
      </c>
      <c r="M195" s="393">
        <f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0</v>
      </c>
      <c r="N195" s="393">
        <f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5" s="393">
        <f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0</v>
      </c>
      <c r="P195" s="393">
        <f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0</v>
      </c>
      <c r="Q195" s="393">
        <f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0</v>
      </c>
      <c r="R195" s="393">
        <f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0</v>
      </c>
      <c r="S195" s="393">
        <f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0</v>
      </c>
      <c r="T195" s="393">
        <f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0</v>
      </c>
      <c r="U195" s="393">
        <f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0</v>
      </c>
      <c r="V195" s="393">
        <f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0</v>
      </c>
      <c r="W195" s="393">
        <f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0</v>
      </c>
      <c r="X195" s="393">
        <f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0</v>
      </c>
      <c r="Y195" s="393">
        <f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0</v>
      </c>
      <c r="Z195" s="393">
        <f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0</v>
      </c>
      <c r="AA195" s="393">
        <f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0</v>
      </c>
      <c r="AB195" s="393">
        <f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0</v>
      </c>
      <c r="AC195" s="393">
        <f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0</v>
      </c>
      <c r="AD195" s="393">
        <f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0</v>
      </c>
      <c r="AE195" s="393">
        <f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0</v>
      </c>
      <c r="AF195" s="393">
        <f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0</v>
      </c>
      <c r="AG195" s="393">
        <f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0</v>
      </c>
      <c r="AH195" s="393">
        <f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0</v>
      </c>
      <c r="AI195" s="393">
        <f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0</v>
      </c>
      <c r="AJ195" s="393">
        <f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0</v>
      </c>
      <c r="AK195" s="393">
        <f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0</v>
      </c>
      <c r="AL195" s="393">
        <f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0</v>
      </c>
      <c r="AM195" s="393">
        <f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0</v>
      </c>
      <c r="AN195" s="393">
        <f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0</v>
      </c>
      <c r="AO195" s="393">
        <f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0</v>
      </c>
      <c r="AP195" s="393">
        <f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0</v>
      </c>
      <c r="AQ195" s="393">
        <f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0</v>
      </c>
      <c r="AR195" s="393">
        <f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0</v>
      </c>
      <c r="AS195" s="393">
        <f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0</v>
      </c>
      <c r="AT195" s="393">
        <f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0</v>
      </c>
      <c r="AU195" s="393">
        <f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0</v>
      </c>
      <c r="AV195" s="393">
        <f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0</v>
      </c>
      <c r="AW195" s="393">
        <f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0</v>
      </c>
      <c r="AX195" s="393">
        <f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0</v>
      </c>
      <c r="AY195" s="393">
        <f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0</v>
      </c>
      <c r="AZ195" s="393">
        <f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0</v>
      </c>
      <c r="BA195" s="393">
        <f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0</v>
      </c>
      <c r="BB195" s="393">
        <f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0</v>
      </c>
      <c r="BC195" s="393">
        <f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0</v>
      </c>
      <c r="BD195" s="393">
        <f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0</v>
      </c>
      <c r="BE195" s="393">
        <f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0</v>
      </c>
      <c r="BF195" s="393">
        <f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0</v>
      </c>
      <c r="BG195" s="393">
        <f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0</v>
      </c>
      <c r="BH195" s="393">
        <f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0</v>
      </c>
      <c r="BI195" s="393">
        <f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0</v>
      </c>
      <c r="BJ195" s="393">
        <f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0</v>
      </c>
      <c r="BK195" s="393">
        <f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0</v>
      </c>
      <c r="BL195" s="393">
        <f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0</v>
      </c>
      <c r="BM195" s="393">
        <f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0</v>
      </c>
      <c r="BN195" s="393">
        <f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0</v>
      </c>
      <c r="BO195" s="393">
        <f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0</v>
      </c>
      <c r="BP195" s="393">
        <f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0</v>
      </c>
      <c r="BQ195" s="393">
        <f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0</v>
      </c>
      <c r="BR195" s="393">
        <f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0</v>
      </c>
      <c r="BS195" s="393">
        <f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0</v>
      </c>
      <c r="BT195" s="393">
        <f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0</v>
      </c>
      <c r="BU195" s="393">
        <f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0</v>
      </c>
      <c r="BV195" s="393">
        <f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0</v>
      </c>
      <c r="BW195" s="393">
        <f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0</v>
      </c>
      <c r="BX195" s="393">
        <f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0</v>
      </c>
      <c r="BY195" s="393">
        <f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0</v>
      </c>
      <c r="BZ195" s="393">
        <f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0</v>
      </c>
      <c r="CA195" s="393">
        <f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0</v>
      </c>
      <c r="CB195" s="393">
        <f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0</v>
      </c>
      <c r="CC195" s="393">
        <f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0</v>
      </c>
      <c r="CD195" s="393">
        <f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0</v>
      </c>
      <c r="CE195" s="393">
        <f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0</v>
      </c>
      <c r="CF195" s="393">
        <f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0</v>
      </c>
      <c r="CG195" s="393">
        <f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0</v>
      </c>
      <c r="CH195" s="393">
        <f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0</v>
      </c>
      <c r="CI195" s="393">
        <f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0</v>
      </c>
      <c r="CJ195" s="393">
        <f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0</v>
      </c>
      <c r="CK195" s="393">
        <f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0</v>
      </c>
      <c r="CL195" s="393">
        <f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0</v>
      </c>
      <c r="CM195" s="393">
        <f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0</v>
      </c>
      <c r="CN195" s="393">
        <f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0</v>
      </c>
      <c r="CO195" s="393">
        <f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0</v>
      </c>
      <c r="CP195" s="393">
        <f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0</v>
      </c>
      <c r="CQ195" s="393">
        <f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0</v>
      </c>
      <c r="CR195" s="393">
        <f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0</v>
      </c>
      <c r="CS195" s="393">
        <f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0</v>
      </c>
      <c r="CT195" s="393">
        <f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0</v>
      </c>
      <c r="CU195" s="393">
        <f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0</v>
      </c>
      <c r="CV195" s="393">
        <f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0</v>
      </c>
      <c r="CW195" s="393">
        <f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0</v>
      </c>
      <c r="CX195" s="393">
        <f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0</v>
      </c>
      <c r="CY195" s="393">
        <f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0</v>
      </c>
      <c r="CZ195" s="393">
        <f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0</v>
      </c>
      <c r="DA195" s="393">
        <f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0</v>
      </c>
      <c r="DB195" s="393">
        <f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0</v>
      </c>
      <c r="DC195" s="393">
        <f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0</v>
      </c>
      <c r="DD195" s="393">
        <f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0</v>
      </c>
      <c r="DE195" s="393">
        <f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0</v>
      </c>
    </row>
    <row r="196" ht="15" customFormat="1" customHeight="1" s="381">
      <c r="A196" s="398" t="inlineStr">
        <is>
          <t>Francis Steyn Fee + PIK (from LIHTC Revenue)</t>
        </is>
      </c>
      <c r="B196" s="393">
        <f>IF(ISBLANK(Actuals!C109),0,Actuals!C109)</f>
        <v>0</v>
      </c>
      <c r="C196" s="393">
        <f>IF(ISBLANK(Actuals!D109),0,Actuals!D109)</f>
        <v>0</v>
      </c>
      <c r="D196" s="393">
        <f>IF(ISBLANK(Actuals!E109),0,Actuals!E109)</f>
        <v>0</v>
      </c>
      <c r="E196" s="393">
        <f>IF(ISBLANK(Actuals!F109),-Helpers!C20,Actuals!F109)</f>
        <v>0</v>
      </c>
      <c r="F196" s="393">
        <f>IF(ISBLANK(Actuals!G109),-Helpers!D20,Actuals!G109)</f>
        <v>0</v>
      </c>
      <c r="G196" s="393">
        <f>IF(ISBLANK(Actuals!H109),-Helpers!E20,Actuals!H109)</f>
        <v>0</v>
      </c>
      <c r="H196" s="393">
        <f>IF(ISBLANK(Actuals!I109),-Helpers!F20,Actuals!I109)</f>
        <v>0</v>
      </c>
      <c r="I196" s="393">
        <f>IF(ISBLANK(Actuals!J109),-Helpers!G20,Actuals!J109)</f>
        <v>0</v>
      </c>
      <c r="J196" s="393">
        <f>IF(ISBLANK(Actuals!K109),-Helpers!H20,Actuals!K109)</f>
        <v>0</v>
      </c>
      <c r="K196" s="393">
        <f>IF(ISBLANK(Actuals!L109),-Helpers!I20,Actuals!L109)</f>
        <v>0</v>
      </c>
      <c r="L196" s="393">
        <f>IF(ISBLANK(Actuals!M109),-Helpers!J20,Actuals!M109)</f>
        <v>0</v>
      </c>
      <c r="M196" s="393">
        <f>IF(ISBLANK(Actuals!N109),-Helpers!K20,Actuals!N109)</f>
        <v>0</v>
      </c>
      <c r="N196" s="393">
        <f>IF(ISBLANK(Actuals!O109),-Helpers!L20,Actuals!O109)</f>
        <v>0</v>
      </c>
      <c r="O196" s="393">
        <f>IF(ISBLANK(Actuals!P109),-Helpers!M20,Actuals!P109)</f>
        <v>0</v>
      </c>
      <c r="P196" s="393">
        <f>IF(ISBLANK(Actuals!Q109),-Helpers!N20,Actuals!Q109)</f>
        <v>0</v>
      </c>
      <c r="Q196" s="393">
        <f>IF(ISBLANK(Actuals!R109),-Helpers!O20,Actuals!R109)</f>
        <v>0</v>
      </c>
      <c r="R196" s="393">
        <f>IF(ISBLANK(Actuals!S109),-Helpers!P20,Actuals!S109)</f>
        <v>0</v>
      </c>
      <c r="S196" s="393">
        <f>IF(ISBLANK(Actuals!T109),-Helpers!Q20,Actuals!T109)</f>
        <v>0</v>
      </c>
      <c r="T196" s="393">
        <f>IF(ISBLANK(Actuals!U109),-Helpers!R20,Actuals!U109)</f>
        <v>0</v>
      </c>
      <c r="U196" s="393">
        <f>IF(ISBLANK(Actuals!V109),-Helpers!S20,Actuals!V109)</f>
        <v>0</v>
      </c>
      <c r="V196" s="393">
        <f>IF(ISBLANK(Actuals!W109),-Helpers!T20,Actuals!W109)</f>
        <v>0</v>
      </c>
      <c r="W196" s="393">
        <f>IF(ISBLANK(Actuals!X109),-Helpers!U20,Actuals!X109)</f>
        <v>0</v>
      </c>
      <c r="X196" s="393">
        <f>IF(ISBLANK(Actuals!Y109),-Helpers!V20,Actuals!Y109)</f>
        <v>0</v>
      </c>
      <c r="Y196" s="393">
        <f>IF(ISBLANK(Actuals!Z109),-Helpers!W20,Actuals!Z109)</f>
        <v>0</v>
      </c>
      <c r="Z196" s="393">
        <f>IF(ISBLANK(Actuals!AA109),-Helpers!X20,Actuals!AA109)</f>
        <v>0</v>
      </c>
      <c r="AA196" s="393">
        <f>IF(ISBLANK(Actuals!AB109),-Helpers!Y20,Actuals!AB109)</f>
        <v>0</v>
      </c>
      <c r="AB196" s="393">
        <f>IF(ISBLANK(Actuals!AC109),-Helpers!Z20,Actuals!AC109)</f>
        <v>0</v>
      </c>
      <c r="AC196" s="393">
        <f>IF(ISBLANK(Actuals!AD109),-Helpers!AA20,Actuals!AD109)</f>
        <v>0</v>
      </c>
      <c r="AD196" s="393">
        <f>IF(ISBLANK(Actuals!AE109),-Helpers!AB20,Actuals!AE109)</f>
        <v>0</v>
      </c>
      <c r="AE196" s="393">
        <f>IF(ISBLANK(Actuals!AF109),-Helpers!AC20,Actuals!AF109)</f>
        <v>0</v>
      </c>
      <c r="AF196" s="393">
        <f>IF(ISBLANK(Actuals!AG109),-Helpers!AD20,Actuals!AG109)</f>
        <v>0</v>
      </c>
      <c r="AG196" s="393">
        <f>IF(ISBLANK(Actuals!AH109),-Helpers!AE20,Actuals!AH109)</f>
        <v>0</v>
      </c>
      <c r="AH196" s="393">
        <f>IF(ISBLANK(Actuals!AI109),-Helpers!AF20,Actuals!AI109)</f>
        <v>0</v>
      </c>
      <c r="AI196" s="393">
        <f>IF(ISBLANK(Actuals!AJ109),-Helpers!AG20,Actuals!AJ109)</f>
        <v>0</v>
      </c>
      <c r="AJ196" s="393">
        <f>IF(ISBLANK(Actuals!AK109),-Helpers!AH20,Actuals!AK109)</f>
        <v>0</v>
      </c>
      <c r="AK196" s="393">
        <f>IF(ISBLANK(Actuals!AL109),-Helpers!AI20,Actuals!AL109)</f>
        <v>0</v>
      </c>
      <c r="AL196" s="393">
        <f>IF(ISBLANK(Actuals!AM109),-Helpers!AJ20,Actuals!AM109)</f>
        <v>0</v>
      </c>
      <c r="AM196" s="393">
        <f>IF(ISBLANK(Actuals!AN109),-Helpers!AK20,Actuals!AN109)</f>
        <v>0</v>
      </c>
      <c r="AN196" s="393">
        <f>IF(ISBLANK(Actuals!AO109),-Helpers!AL20,Actuals!AO109)</f>
        <v>0</v>
      </c>
      <c r="AO196" s="393">
        <f>IF(ISBLANK(Actuals!AP109),-Helpers!AM20,Actuals!AP109)</f>
        <v>0</v>
      </c>
      <c r="AP196" s="393">
        <f>IF(ISBLANK(Actuals!AQ109),-Helpers!AN20,Actuals!AQ109)</f>
        <v>0</v>
      </c>
      <c r="AQ196" s="393">
        <f>IF(ISBLANK(Actuals!AR109),-Helpers!AO20,Actuals!AR109)</f>
        <v>0</v>
      </c>
      <c r="AR196" s="393">
        <f>IF(ISBLANK(Actuals!AS109),-Helpers!AP20,Actuals!AS109)</f>
        <v>0</v>
      </c>
      <c r="AS196" s="393">
        <f>IF(ISBLANK(Actuals!AT109),-Helpers!AQ20,Actuals!AT109)</f>
        <v>0</v>
      </c>
      <c r="AT196" s="393">
        <f>IF(ISBLANK(Actuals!AU109),-Helpers!AR20,Actuals!AU109)</f>
        <v>-81683</v>
      </c>
      <c r="AU196" s="393">
        <f>IF(ISBLANK(Actuals!AV109),-Helpers!AS20,Actuals!AV109)</f>
        <v>0</v>
      </c>
      <c r="AV196" s="393">
        <f>IF(ISBLANK(Actuals!AW109),-Helpers!AT20,Actuals!AW109)</f>
        <v>0</v>
      </c>
      <c r="AW196" s="393">
        <f>IF(ISBLANK(Actuals!AX109),-Helpers!AU20,Actuals!AX109)</f>
        <v>-81682</v>
      </c>
      <c r="AX196" s="393">
        <f>IF(ISBLANK(Actuals!AY109),-Helpers!AV20,Actuals!AY109)</f>
        <v>0</v>
      </c>
      <c r="AY196" s="393">
        <f>IF(ISBLANK(Actuals!AZ109),-Helpers!AW20,Actuals!AZ109)</f>
        <v>0</v>
      </c>
      <c r="AZ196" s="393">
        <f>IF(ISBLANK(Actuals!BA109),-Helpers!AX20,Actuals!BA109)</f>
        <v>-81682</v>
      </c>
      <c r="BA196" s="393">
        <f>IF(ISBLANK(Actuals!BB109),-Helpers!AY20,Actuals!BB109)</f>
        <v>0</v>
      </c>
      <c r="BB196" s="393">
        <f>IF(ISBLANK(Actuals!BC109),-Helpers!AZ20,Actuals!BC109)</f>
        <v>0</v>
      </c>
      <c r="BC196" s="393">
        <f>IF(ISBLANK(Actuals!BD109),-Helpers!BA20,Actuals!BD109)</f>
        <v>-81682</v>
      </c>
      <c r="BD196" s="393">
        <f>IF(ISBLANK(Actuals!BE109),-Helpers!BB20,Actuals!BE109)</f>
        <v>0</v>
      </c>
      <c r="BE196" s="393">
        <f>IF(ISBLANK(Actuals!BF109),-Helpers!BC20,Actuals!BF109)</f>
        <v>0</v>
      </c>
      <c r="BF196" s="393">
        <f>IF(ISBLANK(Actuals!BG109),-Helpers!BD20,Actuals!BG109)</f>
        <v>-59178</v>
      </c>
      <c r="BG196" s="393">
        <f>IF(ISBLANK(Actuals!BH109),-Helpers!BE20,Actuals!BH109)</f>
        <v>0</v>
      </c>
      <c r="BH196" s="393">
        <f>IF(ISBLANK(Actuals!BI109),-Helpers!BF20,Actuals!BI109)</f>
        <v>0</v>
      </c>
      <c r="BI196" s="393">
        <f>IF(ISBLANK(Actuals!BJ109),-Helpers!BG20,Actuals!BJ109)</f>
        <v>-59176</v>
      </c>
      <c r="BJ196" s="393">
        <f>IF(ISBLANK(Actuals!BK109),-Helpers!BH20,Actuals!BK109)</f>
        <v>0</v>
      </c>
      <c r="BK196" s="393">
        <f>IF(ISBLANK(Actuals!BL109),-Helpers!BI20,Actuals!BL109)</f>
        <v>0</v>
      </c>
      <c r="BL196" s="393">
        <f>IF(ISBLANK(Actuals!BM109),-Helpers!BJ20,Actuals!BM109)</f>
        <v>-59176</v>
      </c>
      <c r="BM196" s="393">
        <f>IF(ISBLANK(Actuals!BN109),-Helpers!BK20,Actuals!BN109)</f>
        <v>0</v>
      </c>
      <c r="BN196" s="393">
        <f>IF(ISBLANK(Actuals!BO109),-Helpers!BL20,Actuals!BO109)</f>
        <v>0</v>
      </c>
      <c r="BO196" s="393">
        <f>IF(ISBLANK(Actuals!BP109),-Helpers!BM20,Actuals!BP109)</f>
        <v>-59176</v>
      </c>
      <c r="BP196" s="393">
        <f>IF(ISBLANK(Actuals!BQ109),-Helpers!BN20,Actuals!BQ109)</f>
        <v>0</v>
      </c>
      <c r="BQ196" s="393">
        <f>IF(ISBLANK(Actuals!BR109),-Helpers!BO20,Actuals!BR109)</f>
        <v>0</v>
      </c>
      <c r="BR196" s="393">
        <f>IF(ISBLANK(Actuals!BS109),-Helpers!BP20,Actuals!BS109)</f>
        <v>-14512.65</v>
      </c>
      <c r="BS196" s="393">
        <f>IF(ISBLANK(Actuals!BT109),-Helpers!BQ20,Actuals!BT109)</f>
        <v>0</v>
      </c>
      <c r="BT196" s="393">
        <f>IF(ISBLANK(Actuals!BU109),-Helpers!BR20,Actuals!BU109)</f>
        <v>0</v>
      </c>
      <c r="BU196" s="393">
        <f>IF(ISBLANK(Actuals!BV109),-Helpers!BS20,Actuals!BV109)</f>
        <v>0</v>
      </c>
      <c r="BV196" s="393">
        <f>IF(ISBLANK(Actuals!BW109),-Helpers!BT20,Actuals!BW109)</f>
        <v>0</v>
      </c>
      <c r="BW196" s="393">
        <f>IF(ISBLANK(Actuals!BX109),-Helpers!BU20,Actuals!BX109)</f>
        <v>0</v>
      </c>
      <c r="BX196" s="393">
        <f>IF(ISBLANK(Actuals!BY109),-Helpers!BV20,Actuals!BY109)</f>
        <v>0</v>
      </c>
      <c r="BY196" s="393">
        <f>IF(ISBLANK(Actuals!BZ109),-Helpers!BW20,Actuals!BZ109)</f>
        <v>0</v>
      </c>
      <c r="BZ196" s="393">
        <f>IF(ISBLANK(Actuals!CA109),-Helpers!BX20,Actuals!CA109)</f>
        <v>0</v>
      </c>
      <c r="CA196" s="393">
        <f>IF(ISBLANK(Actuals!CB109),-Helpers!BY20,Actuals!CB109)</f>
        <v>0</v>
      </c>
      <c r="CB196" s="393">
        <f>IF(ISBLANK(Actuals!CC109),-Helpers!BZ20,Actuals!CC109)</f>
        <v>0</v>
      </c>
      <c r="CC196" s="393">
        <f>IF(ISBLANK(Actuals!CD109),-Helpers!CA20,Actuals!CD109)</f>
        <v>0</v>
      </c>
      <c r="CD196" s="393">
        <f>IF(ISBLANK(Actuals!CE109),-Helpers!CB20,Actuals!CE109)</f>
        <v>0</v>
      </c>
      <c r="CE196" s="393">
        <f>IF(ISBLANK(Actuals!CF109),-Helpers!CC20,Actuals!CF109)</f>
        <v>0</v>
      </c>
      <c r="CF196" s="393">
        <f>IF(ISBLANK(Actuals!CG109),-Helpers!CD20,Actuals!CG109)</f>
        <v>0</v>
      </c>
      <c r="CG196" s="393">
        <f>IF(ISBLANK(Actuals!CH109),-Helpers!CE20,Actuals!CH109)</f>
        <v>0</v>
      </c>
      <c r="CH196" s="393">
        <f>IF(ISBLANK(Actuals!CI109),-Helpers!CF20,Actuals!CI109)</f>
        <v>0</v>
      </c>
      <c r="CI196" s="393">
        <f>IF(ISBLANK(Actuals!CJ109),-Helpers!CG20,Actuals!CJ109)</f>
        <v>0</v>
      </c>
      <c r="CJ196" s="393">
        <f>IF(ISBLANK(Actuals!CK109),-Helpers!CH20,Actuals!CK109)</f>
        <v>0</v>
      </c>
      <c r="CK196" s="393">
        <f>IF(ISBLANK(Actuals!CL109),-Helpers!CI20,Actuals!CL109)</f>
        <v>0</v>
      </c>
      <c r="CL196" s="393">
        <f>IF(ISBLANK(Actuals!CM109),-Helpers!CJ20,Actuals!CM109)</f>
        <v>0</v>
      </c>
      <c r="CM196" s="393">
        <f>IF(ISBLANK(Actuals!CN109),-Helpers!CK20,Actuals!CN109)</f>
        <v>0</v>
      </c>
      <c r="CN196" s="393">
        <f>IF(ISBLANK(Actuals!CO109),-Helpers!CL20,Actuals!CO109)</f>
        <v>0</v>
      </c>
      <c r="CO196" s="393">
        <f>IF(ISBLANK(Actuals!CP109),-Helpers!CM20,Actuals!CP109)</f>
        <v>0</v>
      </c>
      <c r="CP196" s="393">
        <f>IF(ISBLANK(Actuals!CQ109),-Helpers!CN20,Actuals!CQ109)</f>
        <v>0</v>
      </c>
      <c r="CQ196" s="393">
        <f>IF(ISBLANK(Actuals!CR109),-Helpers!CO20,Actuals!CR109)</f>
        <v>0</v>
      </c>
      <c r="CR196" s="393">
        <f>IF(ISBLANK(Actuals!CS109),-Helpers!CP20,Actuals!CS109)</f>
        <v>0</v>
      </c>
      <c r="CS196" s="393">
        <f>IF(ISBLANK(Actuals!CT109),-Helpers!CQ20,Actuals!CT109)</f>
        <v>0</v>
      </c>
      <c r="CT196" s="393">
        <f>IF(ISBLANK(Actuals!CU109),-Helpers!CR20,Actuals!CU109)</f>
        <v>0</v>
      </c>
      <c r="CU196" s="393">
        <f>IF(ISBLANK(Actuals!CV109),-Helpers!CS20,Actuals!CV109)</f>
        <v>0</v>
      </c>
      <c r="CV196" s="393">
        <f>IF(ISBLANK(Actuals!CW109),-Helpers!CT20,Actuals!CW109)</f>
        <v>0</v>
      </c>
      <c r="CW196" s="393">
        <f>IF(ISBLANK(Actuals!CX109),-Helpers!CU20,Actuals!CX109)</f>
        <v>0</v>
      </c>
      <c r="CX196" s="393">
        <f>IF(ISBLANK(Actuals!CY109),-Helpers!CV20,Actuals!CY109)</f>
        <v>0</v>
      </c>
      <c r="CY196" s="393">
        <f>IF(ISBLANK(Actuals!CZ109),-Helpers!CW20,Actuals!CZ109)</f>
        <v>0</v>
      </c>
      <c r="CZ196" s="393">
        <f>IF(ISBLANK(Actuals!DA109),-Helpers!CX20,Actuals!DA109)</f>
        <v>0</v>
      </c>
      <c r="DA196" s="393">
        <f>IF(ISBLANK(Actuals!DB109),-Helpers!CY20,Actuals!DB109)</f>
        <v>0</v>
      </c>
      <c r="DB196" s="393">
        <f>IF(ISBLANK(Actuals!DC109),-Helpers!CZ20,Actuals!DC109)</f>
        <v>0</v>
      </c>
      <c r="DC196" s="393">
        <f>IF(ISBLANK(Actuals!DD109),-Helpers!DA20,Actuals!DD109)</f>
        <v>0</v>
      </c>
      <c r="DD196" s="393">
        <f>IF(ISBLANK(Actuals!DE109),-Helpers!DB20,Actuals!DE109)</f>
        <v>0</v>
      </c>
      <c r="DE196" s="393">
        <f>IF(ISBLANK(Actuals!DF109),-Helpers!DC20,Actuals!DF109)</f>
        <v>0</v>
      </c>
    </row>
    <row r="197" ht="15" customFormat="1" customHeight="1" s="381">
      <c r="A197" s="398" t="inlineStr">
        <is>
          <t>Reseda Steyn Fee + PIK (from LIHTC Revenue)</t>
        </is>
      </c>
      <c r="B197" s="393">
        <f>IF(ISBLANK(Actuals!C110),0,Actuals!C110)</f>
        <v>0</v>
      </c>
      <c r="C197" s="393">
        <f>IF(ISBLANK(Actuals!D110),0,Actuals!D110)</f>
        <v>0</v>
      </c>
      <c r="D197" s="393">
        <f>IF(ISBLANK(Actuals!E110),0,Actuals!E110)</f>
        <v>0</v>
      </c>
      <c r="E197" s="393">
        <f>IF(ISBLANK(Actuals!F110),-Helpers!C23+E245,Actuals!F110)</f>
        <v>0</v>
      </c>
      <c r="F197" s="393">
        <f>IF(ISBLANK(Actuals!G110),-Helpers!D23+F245,Actuals!G110)</f>
        <v>0</v>
      </c>
      <c r="G197" s="393">
        <f>IF(ISBLANK(Actuals!H110),-Helpers!E23+G245,Actuals!H110)</f>
        <v>0</v>
      </c>
      <c r="H197" s="393">
        <f>IF(ISBLANK(Actuals!I110),-Helpers!F23+H245,Actuals!I110)</f>
        <v>0</v>
      </c>
      <c r="I197" s="393">
        <f>IF(ISBLANK(Actuals!J110),-Helpers!G23+I245,Actuals!J110)</f>
        <v>0</v>
      </c>
      <c r="J197" s="393">
        <f>IF(ISBLANK(Actuals!K110),-Helpers!H23+J245,Actuals!K110)</f>
        <v>0</v>
      </c>
      <c r="K197" s="393">
        <f>IF(ISBLANK(Actuals!L110),-Helpers!I23+K245,Actuals!L110)</f>
        <v>0</v>
      </c>
      <c r="L197" s="393">
        <f>IF(ISBLANK(Actuals!M110),-Helpers!J23+L245,Actuals!M110)</f>
        <v>0</v>
      </c>
      <c r="M197" s="393">
        <f>IF(ISBLANK(Actuals!N110),-Helpers!K23+M245,Actuals!N110)</f>
        <v>0</v>
      </c>
      <c r="N197" s="393">
        <f>IF(ISBLANK(Actuals!O110),-Helpers!L23+N245,Actuals!O110)</f>
        <v>0</v>
      </c>
      <c r="O197" s="393">
        <f>IF(ISBLANK(Actuals!P110),-Helpers!M23+O245,Actuals!P110)</f>
        <v>0</v>
      </c>
      <c r="P197" s="393">
        <f>IF(ISBLANK(Actuals!Q110),-Helpers!N23+P245,Actuals!Q110)</f>
        <v>0</v>
      </c>
      <c r="Q197" s="393">
        <f>IF(ISBLANK(Actuals!R110),-Helpers!O23+Q245,Actuals!R110)</f>
        <v>0</v>
      </c>
      <c r="R197" s="393">
        <f>IF(ISBLANK(Actuals!S110),-Helpers!P23+R245,Actuals!S110)</f>
        <v>0</v>
      </c>
      <c r="S197" s="393">
        <f>IF(ISBLANK(Actuals!T110),-Helpers!Q23+S245,Actuals!T110)</f>
        <v>0</v>
      </c>
      <c r="T197" s="393">
        <f>IF(ISBLANK(Actuals!U110),-Helpers!R23+T245,Actuals!U110)</f>
        <v>0</v>
      </c>
      <c r="U197" s="393">
        <f>IF(ISBLANK(Actuals!V110),-Helpers!S23+U245,Actuals!V110)</f>
        <v>0</v>
      </c>
      <c r="V197" s="393">
        <f>IF(ISBLANK(Actuals!W110),-Helpers!T23+V245,Actuals!W110)</f>
        <v>0</v>
      </c>
      <c r="W197" s="393">
        <f>IF(ISBLANK(Actuals!X110),-Helpers!U23+W245,Actuals!X110)</f>
        <v>0</v>
      </c>
      <c r="X197" s="393">
        <f>IF(ISBLANK(Actuals!Y110),-Helpers!V23+X245,Actuals!Y110)</f>
        <v>0</v>
      </c>
      <c r="Y197" s="393">
        <f>IF(ISBLANK(Actuals!Z110),-Helpers!W23+Y245,Actuals!Z110)</f>
        <v>0</v>
      </c>
      <c r="Z197" s="393">
        <f>IF(ISBLANK(Actuals!AA110),-Helpers!X23+Z245,Actuals!AA110)</f>
        <v>0</v>
      </c>
      <c r="AA197" s="393">
        <f>IF(ISBLANK(Actuals!AB110),-Helpers!Y23+AA245,Actuals!AB110)</f>
        <v>0</v>
      </c>
      <c r="AB197" s="393">
        <f>IF(ISBLANK(Actuals!AC110),-Helpers!Z23+AB245,Actuals!AC110)</f>
        <v>0</v>
      </c>
      <c r="AC197" s="393">
        <f>IF(ISBLANK(Actuals!AD110),-Helpers!AA23+AC245,Actuals!AD110)</f>
        <v>0</v>
      </c>
      <c r="AD197" s="393">
        <f>IF(ISBLANK(Actuals!AE110),-Helpers!AB23+AD245,Actuals!AE110)</f>
        <v>0</v>
      </c>
      <c r="AE197" s="393">
        <f>IF(ISBLANK(Actuals!AF110),-Helpers!AC23+AE245,Actuals!AF110)</f>
        <v>0</v>
      </c>
      <c r="AF197" s="393">
        <f>IF(ISBLANK(Actuals!AG110),-Helpers!AD23+AF245,Actuals!AG110)</f>
        <v>0</v>
      </c>
      <c r="AG197" s="393">
        <f>IF(ISBLANK(Actuals!AH110),-Helpers!AE23+AG245,Actuals!AH110)</f>
        <v>0</v>
      </c>
      <c r="AH197" s="393">
        <f>IF(ISBLANK(Actuals!AI110),-Helpers!AF23+AH245,Actuals!AI110)</f>
        <v>0</v>
      </c>
      <c r="AI197" s="393">
        <f>IF(ISBLANK(Actuals!AJ110),-Helpers!AG23+AI245,Actuals!AJ110)</f>
        <v>0</v>
      </c>
      <c r="AJ197" s="393">
        <f>IF(ISBLANK(Actuals!AK110),-Helpers!AH23+AJ245,Actuals!AK110)</f>
        <v>0</v>
      </c>
      <c r="AK197" s="393">
        <f>IF(ISBLANK(Actuals!AL110),-Helpers!AI23+AK245,Actuals!AL110)</f>
        <v>0</v>
      </c>
      <c r="AL197" s="393">
        <f>IF(ISBLANK(Actuals!AM110),-Helpers!AJ23+AL245,Actuals!AM110)</f>
        <v>0</v>
      </c>
      <c r="AM197" s="393">
        <f>IF(ISBLANK(Actuals!AN110),-Helpers!AK23+AM245,Actuals!AN110)</f>
        <v>0</v>
      </c>
      <c r="AN197" s="393">
        <f>IF(ISBLANK(Actuals!AO110),-Helpers!AL23+AN245,Actuals!AO110)</f>
        <v>0</v>
      </c>
      <c r="AO197" s="393">
        <f>IF(ISBLANK(Actuals!AP110),-Helpers!AM23+AO245,Actuals!AP110)</f>
        <v>0</v>
      </c>
      <c r="AP197" s="393">
        <f>IF(ISBLANK(Actuals!AQ110),-Helpers!AN23+AP245,Actuals!AQ110)</f>
        <v>0</v>
      </c>
      <c r="AQ197" s="393">
        <f>IF(ISBLANK(Actuals!AR110),-Helpers!AO23+AQ245,Actuals!AR110)</f>
        <v>0</v>
      </c>
      <c r="AR197" s="393">
        <f>IF(ISBLANK(Actuals!AS110),-Helpers!AP23+AR245,Actuals!AS110)</f>
        <v>0</v>
      </c>
      <c r="AS197" s="393">
        <f>IF(ISBLANK(Actuals!AT110),-Helpers!AQ23+AS245,Actuals!AT110)</f>
        <v>0</v>
      </c>
      <c r="AT197" s="393">
        <f>IF(ISBLANK(Actuals!AU110),-Helpers!AR23+AT245,Actuals!AU110)</f>
        <v>0</v>
      </c>
      <c r="AU197" s="393">
        <f>IF(ISBLANK(Actuals!AV110),-Helpers!AS23+AU245,Actuals!AV110)</f>
        <v>0</v>
      </c>
      <c r="AV197" s="393">
        <f>IF(ISBLANK(Actuals!AW110),-Helpers!AT23+AV245,Actuals!AW110)</f>
        <v>0</v>
      </c>
      <c r="AW197" s="393">
        <f>IF(ISBLANK(Actuals!AX110),-Helpers!AU23+AW245,Actuals!AX110)</f>
        <v>0</v>
      </c>
      <c r="AX197" s="393">
        <f>IF(ISBLANK(Actuals!AY110),-Helpers!AV23+AX245,Actuals!AY110)</f>
        <v>0</v>
      </c>
      <c r="AY197" s="393">
        <f>IF(ISBLANK(Actuals!AZ110),-Helpers!AW23+AY245,Actuals!AZ110)</f>
        <v>0</v>
      </c>
      <c r="AZ197" s="393">
        <f>IF(ISBLANK(Actuals!BA110),-Helpers!AX23+AZ245,Actuals!BA110)</f>
        <v>0</v>
      </c>
      <c r="BA197" s="393">
        <f>IF(ISBLANK(Actuals!BB110),-Helpers!AY23+BA245,Actuals!BB110)</f>
        <v>0</v>
      </c>
      <c r="BB197" s="393">
        <f>IF(ISBLANK(Actuals!BC110),-Helpers!AZ23+BB245,Actuals!BC110)</f>
        <v>0</v>
      </c>
      <c r="BC197" s="393">
        <f>IF(ISBLANK(Actuals!BD110),-Helpers!BA23+BC245,Actuals!BD110)</f>
        <v>-851839</v>
      </c>
      <c r="BD197" s="393">
        <f>IF(ISBLANK(Actuals!BE110),-Helpers!BB23+BD245,Actuals!BE110)</f>
        <v>0</v>
      </c>
      <c r="BE197" s="393">
        <f>IF(ISBLANK(Actuals!BF110),-Helpers!BC23+BE245,Actuals!BF110)</f>
        <v>0</v>
      </c>
      <c r="BF197" s="393">
        <f>IF(ISBLANK(Actuals!BG110),-Helpers!BD23+BF245,Actuals!BG110)</f>
        <v>-71700</v>
      </c>
      <c r="BG197" s="393">
        <f>IF(ISBLANK(Actuals!BH110),-Helpers!BE23+BG245,Actuals!BH110)</f>
        <v>0</v>
      </c>
      <c r="BH197" s="393">
        <f>IF(ISBLANK(Actuals!BI110),-Helpers!BF23+BH245,Actuals!BI110)</f>
        <v>0</v>
      </c>
      <c r="BI197" s="393">
        <f>IF(ISBLANK(Actuals!BJ110),-Helpers!BG23+BI245,Actuals!BJ110)</f>
        <v>-71700</v>
      </c>
      <c r="BJ197" s="393">
        <f>IF(ISBLANK(Actuals!BK110),-Helpers!BH23+BJ245,Actuals!BK110)</f>
        <v>0</v>
      </c>
      <c r="BK197" s="393">
        <f>IF(ISBLANK(Actuals!BL110),-Helpers!BI23+BK245,Actuals!BL110)</f>
        <v>0</v>
      </c>
      <c r="BL197" s="393">
        <f>IF(ISBLANK(Actuals!BM110),-Helpers!BJ23+BL245,Actuals!BM110)</f>
        <v>-71700</v>
      </c>
      <c r="BM197" s="393">
        <f>IF(ISBLANK(Actuals!BN110),-Helpers!BK23+BM245,Actuals!BN110)</f>
        <v>0</v>
      </c>
      <c r="BN197" s="393">
        <f>IF(ISBLANK(Actuals!BO110),-Helpers!BL23+BN245,Actuals!BO110)</f>
        <v>0</v>
      </c>
      <c r="BO197" s="393">
        <f>IF(ISBLANK(Actuals!BP110),-Helpers!BM23+BO245,Actuals!BP110)</f>
        <v>-71700</v>
      </c>
      <c r="BP197" s="393">
        <f>IF(ISBLANK(Actuals!BQ110),-Helpers!BN23+BP245,Actuals!BQ110)</f>
        <v>0</v>
      </c>
      <c r="BQ197" s="393">
        <f>IF(ISBLANK(Actuals!BR110),-Helpers!BO23+BQ245,Actuals!BR110)</f>
        <v>0</v>
      </c>
      <c r="BR197" s="393">
        <f>IF(ISBLANK(Actuals!BS110),-Helpers!BP23+BR245,Actuals!BS110)</f>
        <v>-74643</v>
      </c>
      <c r="BS197" s="393">
        <f>IF(ISBLANK(Actuals!BT110),-Helpers!BQ23+BS245,Actuals!BT110)</f>
        <v>0</v>
      </c>
      <c r="BT197" s="393">
        <f>IF(ISBLANK(Actuals!BU110),-Helpers!BR23+BT245,Actuals!BU110)</f>
        <v>0</v>
      </c>
      <c r="BU197" s="393">
        <f>IF(ISBLANK(Actuals!BV110),-Helpers!BS23+BU245,Actuals!BV110)</f>
        <v>-74640</v>
      </c>
      <c r="BV197" s="393">
        <f>IF(ISBLANK(Actuals!BW110),-Helpers!BT23+BV245,Actuals!BW110)</f>
        <v>0</v>
      </c>
      <c r="BW197" s="393">
        <f>IF(ISBLANK(Actuals!BX110),-Helpers!BU23+BW245,Actuals!BX110)</f>
        <v>0</v>
      </c>
      <c r="BX197" s="393">
        <f>IF(ISBLANK(Actuals!BY110),-Helpers!BV23+BX245,Actuals!BY110)</f>
        <v>-74640</v>
      </c>
      <c r="BY197" s="393">
        <f>IF(ISBLANK(Actuals!BZ110),-Helpers!BW23+BY245,Actuals!BZ110)</f>
        <v>0</v>
      </c>
      <c r="BZ197" s="393">
        <f>IF(ISBLANK(Actuals!CA110),-Helpers!BX23+BZ245,Actuals!CA110)</f>
        <v>0</v>
      </c>
      <c r="CA197" s="393">
        <f>IF(ISBLANK(Actuals!CB110),-Helpers!BY23+CA245,Actuals!CB110)</f>
        <v>-74640</v>
      </c>
      <c r="CB197" s="393">
        <f>IF(ISBLANK(Actuals!CC110),-Helpers!BZ23+CB245,Actuals!CC110)</f>
        <v>0</v>
      </c>
      <c r="CC197" s="393">
        <f>IF(ISBLANK(Actuals!CD110),-Helpers!CA23+CC245,Actuals!CD110)</f>
        <v>0</v>
      </c>
      <c r="CD197" s="393">
        <f>IF(ISBLANK(Actuals!CE110),-Helpers!CB23+CD245,Actuals!CE110)</f>
        <v>-81363</v>
      </c>
      <c r="CE197" s="393">
        <f>IF(ISBLANK(Actuals!CF110),-Helpers!CC23+CE245,Actuals!CF110)</f>
        <v>0</v>
      </c>
      <c r="CF197" s="393">
        <f>IF(ISBLANK(Actuals!CG110),-Helpers!CD23+CF245,Actuals!CG110)</f>
        <v>0</v>
      </c>
      <c r="CG197" s="393">
        <f>IF(ISBLANK(Actuals!CH110),-Helpers!CE23+CG245,Actuals!CH110)</f>
        <v>-81362</v>
      </c>
      <c r="CH197" s="393">
        <f>IF(ISBLANK(Actuals!CI110),-Helpers!CF23+CH245,Actuals!CI110)</f>
        <v>0</v>
      </c>
      <c r="CI197" s="393">
        <f>IF(ISBLANK(Actuals!CJ110),-Helpers!CG23+CI245,Actuals!CJ110)</f>
        <v>0</v>
      </c>
      <c r="CJ197" s="393">
        <f>IF(ISBLANK(Actuals!CK110),-Helpers!CH23+CJ245,Actuals!CK110)</f>
        <v>-74753.9733935208</v>
      </c>
      <c r="CK197" s="393">
        <f>IF(ISBLANK(Actuals!CL110),-Helpers!CI23+CK245,Actuals!CL110)</f>
        <v>0</v>
      </c>
      <c r="CL197" s="393">
        <f>IF(ISBLANK(Actuals!CM110),-Helpers!CJ23+CL245,Actuals!CM110)</f>
        <v>0</v>
      </c>
      <c r="CM197" s="393">
        <f>IF(ISBLANK(Actuals!CN110),-Helpers!CK23+CM245,Actuals!CN110)</f>
        <v>0</v>
      </c>
      <c r="CN197" s="393">
        <f>IF(ISBLANK(Actuals!CO110),-Helpers!CL23+CN245,Actuals!CO110)</f>
        <v>0</v>
      </c>
      <c r="CO197" s="393">
        <f>IF(ISBLANK(Actuals!CP110),-Helpers!CM23+CO245,Actuals!CP110)</f>
        <v>0</v>
      </c>
      <c r="CP197" s="393">
        <f>IF(ISBLANK(Actuals!CQ110),-Helpers!CN23+CP245,Actuals!CQ110)</f>
        <v>0</v>
      </c>
      <c r="CQ197" s="393">
        <f>IF(ISBLANK(Actuals!CR110),-Helpers!CO23+CQ245,Actuals!CR110)</f>
        <v>0</v>
      </c>
      <c r="CR197" s="393">
        <f>IF(ISBLANK(Actuals!CS110),-Helpers!CP23+CR245,Actuals!CS110)</f>
        <v>0</v>
      </c>
      <c r="CS197" s="393">
        <f>IF(ISBLANK(Actuals!CT110),-Helpers!CQ23+CS245,Actuals!CT110)</f>
        <v>0</v>
      </c>
      <c r="CT197" s="393">
        <f>IF(ISBLANK(Actuals!CU110),-Helpers!CR23+CT245,Actuals!CU110)</f>
        <v>0</v>
      </c>
      <c r="CU197" s="393">
        <f>IF(ISBLANK(Actuals!CV110),-Helpers!CS23+CU245,Actuals!CV110)</f>
        <v>0</v>
      </c>
      <c r="CV197" s="393">
        <f>IF(ISBLANK(Actuals!CW110),-Helpers!CT23+CV245,Actuals!CW110)</f>
        <v>0</v>
      </c>
      <c r="CW197" s="393">
        <f>IF(ISBLANK(Actuals!CX110),-Helpers!CU23+CW245,Actuals!CX110)</f>
        <v>0</v>
      </c>
      <c r="CX197" s="393">
        <f>IF(ISBLANK(Actuals!CY110),-Helpers!CV23+CX245,Actuals!CY110)</f>
        <v>0</v>
      </c>
      <c r="CY197" s="393">
        <f>IF(ISBLANK(Actuals!CZ110),-Helpers!CW23+CY245,Actuals!CZ110)</f>
        <v>0</v>
      </c>
      <c r="CZ197" s="393">
        <f>IF(ISBLANK(Actuals!DA110),-Helpers!CX23+CZ245,Actuals!DA110)</f>
        <v>0</v>
      </c>
      <c r="DA197" s="393">
        <f>IF(ISBLANK(Actuals!DB110),-Helpers!CY23+DA245,Actuals!DB110)</f>
        <v>0</v>
      </c>
      <c r="DB197" s="393">
        <f>IF(ISBLANK(Actuals!DC110),-Helpers!CZ23+DB245,Actuals!DC110)</f>
        <v>0</v>
      </c>
      <c r="DC197" s="393">
        <f>IF(ISBLANK(Actuals!DD110),-Helpers!DA23+DC245,Actuals!DD110)</f>
        <v>0</v>
      </c>
      <c r="DD197" s="393">
        <f>IF(ISBLANK(Actuals!DE110),-Helpers!DB23+DD245,Actuals!DE110)</f>
        <v>0</v>
      </c>
      <c r="DE197" s="393">
        <f>IF(ISBLANK(Actuals!DF110),-Helpers!DC23+DE245,Actuals!DF110)</f>
        <v>0</v>
      </c>
    </row>
    <row r="198" ht="15" customFormat="1" customHeight="1" s="381">
      <c r="A198" s="398" t="inlineStr">
        <is>
          <t>3rd St Steyn Fee + PIK (from LIHTC Revenue)</t>
        </is>
      </c>
      <c r="B198" s="393">
        <f>IF(ISBLANK(Actuals!C111),0,Actuals!C111)</f>
        <v>0</v>
      </c>
      <c r="C198" s="393">
        <f>IF(ISBLANK(Actuals!D111),0,Actuals!D111)</f>
        <v>0</v>
      </c>
      <c r="D198" s="393">
        <f>IF(ISBLANK(Actuals!E111),0,Actuals!E111)</f>
        <v>0</v>
      </c>
      <c r="E198" s="393">
        <f>IF(ISBLANK(Actuals!F111),-Helpers!C26+E240,Actuals!F111)</f>
        <v>0</v>
      </c>
      <c r="F198" s="393">
        <f>IF(ISBLANK(Actuals!G111),-Helpers!D26+F240,Actuals!G111)</f>
        <v>0</v>
      </c>
      <c r="G198" s="393">
        <f>IF(ISBLANK(Actuals!H111),-Helpers!E26+G240,Actuals!H111)</f>
        <v>0</v>
      </c>
      <c r="H198" s="393">
        <f>IF(ISBLANK(Actuals!I111),-Helpers!F26+H240,Actuals!I111)</f>
        <v>0</v>
      </c>
      <c r="I198" s="393">
        <f>IF(ISBLANK(Actuals!J111),-Helpers!G26+I240,Actuals!J111)</f>
        <v>0</v>
      </c>
      <c r="J198" s="393">
        <f>IF(ISBLANK(Actuals!K111),-Helpers!H26+J240,Actuals!K111)</f>
        <v>0</v>
      </c>
      <c r="K198" s="393">
        <f>IF(ISBLANK(Actuals!L111),-Helpers!I26+K240,Actuals!L111)</f>
        <v>0</v>
      </c>
      <c r="L198" s="393">
        <f>IF(ISBLANK(Actuals!M111),-Helpers!J26+L240,Actuals!M111)</f>
        <v>0</v>
      </c>
      <c r="M198" s="393">
        <f>IF(ISBLANK(Actuals!N111),-Helpers!K26+M240,Actuals!N111)</f>
        <v>0</v>
      </c>
      <c r="N198" s="393">
        <f>IF(ISBLANK(Actuals!O111),-Helpers!L26+N240,Actuals!O111)</f>
        <v>0</v>
      </c>
      <c r="O198" s="393">
        <f>IF(ISBLANK(Actuals!P111),-Helpers!M26+O240,Actuals!P111)</f>
        <v>0</v>
      </c>
      <c r="P198" s="393">
        <f>IF(ISBLANK(Actuals!Q111),-Helpers!N26+P240,Actuals!Q111)</f>
        <v>0</v>
      </c>
      <c r="Q198" s="393">
        <f>IF(ISBLANK(Actuals!R111),-Helpers!O26+Q240,Actuals!R111)</f>
        <v>0</v>
      </c>
      <c r="R198" s="393">
        <f>IF(ISBLANK(Actuals!S111),-Helpers!P26+R240,Actuals!S111)</f>
        <v>0</v>
      </c>
      <c r="S198" s="393">
        <f>IF(ISBLANK(Actuals!T111),-Helpers!Q26+S240,Actuals!T111)</f>
        <v>0</v>
      </c>
      <c r="T198" s="393">
        <f>IF(ISBLANK(Actuals!U111),-Helpers!R26+T240,Actuals!U111)</f>
        <v>0</v>
      </c>
      <c r="U198" s="393">
        <f>IF(ISBLANK(Actuals!V111),-Helpers!S26+U240,Actuals!V111)</f>
        <v>0</v>
      </c>
      <c r="V198" s="393">
        <f>IF(ISBLANK(Actuals!W111),-Helpers!T26+V240,Actuals!W111)</f>
        <v>0</v>
      </c>
      <c r="W198" s="393">
        <f>IF(ISBLANK(Actuals!X111),-Helpers!U26+W240,Actuals!X111)</f>
        <v>0</v>
      </c>
      <c r="X198" s="393">
        <f>IF(ISBLANK(Actuals!Y111),-Helpers!V26+X240,Actuals!Y111)</f>
        <v>0</v>
      </c>
      <c r="Y198" s="393">
        <f>IF(ISBLANK(Actuals!Z111),-Helpers!W26+Y240,Actuals!Z111)</f>
        <v>0</v>
      </c>
      <c r="Z198" s="393">
        <f>IF(ISBLANK(Actuals!AA111),-Helpers!X26+Z240,Actuals!AA111)</f>
        <v>0</v>
      </c>
      <c r="AA198" s="393">
        <f>IF(ISBLANK(Actuals!AB111),-Helpers!Y26+AA240,Actuals!AB111)</f>
        <v>0</v>
      </c>
      <c r="AB198" s="393">
        <f>IF(ISBLANK(Actuals!AC111),-Helpers!Z26+AB240,Actuals!AC111)</f>
        <v>0</v>
      </c>
      <c r="AC198" s="393">
        <f>IF(ISBLANK(Actuals!AD111),-Helpers!AA26+AC240,Actuals!AD111)</f>
        <v>0</v>
      </c>
      <c r="AD198" s="393">
        <f>IF(ISBLANK(Actuals!AE111),-Helpers!AB26+AD240,Actuals!AE111)</f>
        <v>0</v>
      </c>
      <c r="AE198" s="393">
        <f>IF(ISBLANK(Actuals!AF111),-Helpers!AC26+AE240,Actuals!AF111)</f>
        <v>0</v>
      </c>
      <c r="AF198" s="393">
        <f>IF(ISBLANK(Actuals!AG111),-Helpers!AD26+AF240,Actuals!AG111)</f>
        <v>0</v>
      </c>
      <c r="AG198" s="393">
        <f>IF(ISBLANK(Actuals!AH111),-Helpers!AE26+AG240,Actuals!AH111)</f>
        <v>0</v>
      </c>
      <c r="AH198" s="393">
        <f>IF(ISBLANK(Actuals!AI111),-Helpers!AF26+AH240,Actuals!AI111)</f>
        <v>0</v>
      </c>
      <c r="AI198" s="393">
        <f>IF(ISBLANK(Actuals!AJ111),-Helpers!AG26+AI240,Actuals!AJ111)</f>
        <v>0</v>
      </c>
      <c r="AJ198" s="393">
        <f>IF(ISBLANK(Actuals!AK111),-Helpers!AH26+AJ240,Actuals!AK111)</f>
        <v>0</v>
      </c>
      <c r="AK198" s="393">
        <f>IF(ISBLANK(Actuals!AL111),-Helpers!AI26+AK240,Actuals!AL111)</f>
        <v>0</v>
      </c>
      <c r="AL198" s="393">
        <f>IF(ISBLANK(Actuals!AM111),-Helpers!AJ26+AL240,Actuals!AM111)</f>
        <v>0</v>
      </c>
      <c r="AM198" s="393">
        <f>IF(ISBLANK(Actuals!AN111),-Helpers!AK26+AM240,Actuals!AN111)</f>
        <v>0</v>
      </c>
      <c r="AN198" s="393">
        <f>IF(ISBLANK(Actuals!AO111),-Helpers!AL26+AN240,Actuals!AO111)</f>
        <v>0</v>
      </c>
      <c r="AO198" s="393">
        <f>IF(ISBLANK(Actuals!AP111),-Helpers!AM26+AO240,Actuals!AP111)</f>
        <v>0</v>
      </c>
      <c r="AP198" s="393">
        <f>IF(ISBLANK(Actuals!AQ111),-Helpers!AN26+AP240,Actuals!AQ111)</f>
        <v>0</v>
      </c>
      <c r="AQ198" s="393">
        <f>IF(ISBLANK(Actuals!AR111),-Helpers!AO26+AQ240,Actuals!AR111)</f>
        <v>0</v>
      </c>
      <c r="AR198" s="393">
        <f>IF(ISBLANK(Actuals!AS111),-Helpers!AP26+AR240,Actuals!AS111)</f>
        <v>0</v>
      </c>
      <c r="AS198" s="393">
        <f>IF(ISBLANK(Actuals!AT111),-Helpers!AQ26+AS240,Actuals!AT111)</f>
        <v>0</v>
      </c>
      <c r="AT198" s="393">
        <f>IF(ISBLANK(Actuals!AU111),-Helpers!AR26+AT240,Actuals!AU111)</f>
        <v>0</v>
      </c>
      <c r="AU198" s="393">
        <f>IF(ISBLANK(Actuals!AV111),-Helpers!AS26+AU240,Actuals!AV111)</f>
        <v>0</v>
      </c>
      <c r="AV198" s="393">
        <f>IF(ISBLANK(Actuals!AW111),-Helpers!AT26+AV240,Actuals!AW111)</f>
        <v>0</v>
      </c>
      <c r="AW198" s="393">
        <f>IF(ISBLANK(Actuals!AX111),-Helpers!AU26+AW240,Actuals!AX111)</f>
        <v>0</v>
      </c>
      <c r="AX198" s="393">
        <f>IF(ISBLANK(Actuals!AY111),-Helpers!AV26+AX240,Actuals!AY111)</f>
        <v>0</v>
      </c>
      <c r="AY198" s="393">
        <f>IF(ISBLANK(Actuals!AZ111),-Helpers!AW26+AY240,Actuals!AZ111)</f>
        <v>0</v>
      </c>
      <c r="AZ198" s="393">
        <f>IF(ISBLANK(Actuals!BA111),-Helpers!AX26+AZ240,Actuals!BA111)</f>
        <v>0</v>
      </c>
      <c r="BA198" s="393">
        <f>IF(ISBLANK(Actuals!BB111),-Helpers!AY26+BA240,Actuals!BB111)</f>
        <v>0</v>
      </c>
      <c r="BB198" s="393">
        <f>IF(ISBLANK(Actuals!BC111),-Helpers!AZ26+BB240,Actuals!BC111)</f>
        <v>0</v>
      </c>
      <c r="BC198" s="393">
        <f>IF(ISBLANK(Actuals!BD111),-Helpers!BA26+BC240,Actuals!BD111)</f>
        <v>0</v>
      </c>
      <c r="BD198" s="393">
        <f>IF(ISBLANK(Actuals!BE111),-Helpers!BB26+BD240,Actuals!BE111)</f>
        <v>0</v>
      </c>
      <c r="BE198" s="393">
        <f>IF(ISBLANK(Actuals!BF111),-Helpers!BC26+BE240,Actuals!BF111)</f>
        <v>0</v>
      </c>
      <c r="BF198" s="393">
        <f>IF(ISBLANK(Actuals!BG111),-Helpers!BD26+BF240,Actuals!BG111)</f>
        <v>0</v>
      </c>
      <c r="BG198" s="393">
        <f>IF(ISBLANK(Actuals!BH111),-Helpers!BE26+BG240,Actuals!BH111)</f>
        <v>0</v>
      </c>
      <c r="BH198" s="393">
        <f>IF(ISBLANK(Actuals!BI111),-Helpers!BF26+BH240,Actuals!BI111)</f>
        <v>0</v>
      </c>
      <c r="BI198" s="393">
        <f>IF(ISBLANK(Actuals!BJ111),-Helpers!BG26+BI240,Actuals!BJ111)</f>
        <v>0</v>
      </c>
      <c r="BJ198" s="393">
        <f>IF(ISBLANK(Actuals!BK111),-Helpers!BH26+BJ240,Actuals!BK111)</f>
        <v>0</v>
      </c>
      <c r="BK198" s="393">
        <f>IF(ISBLANK(Actuals!BL111),-Helpers!BI26+BK240,Actuals!BL111)</f>
        <v>0</v>
      </c>
      <c r="BL198" s="393">
        <f>IF(ISBLANK(Actuals!BM111),-Helpers!BJ26+BL240,Actuals!BM111)</f>
        <v>0</v>
      </c>
      <c r="BM198" s="393">
        <f>IF(ISBLANK(Actuals!BN111),-Helpers!BK26+BM240,Actuals!BN111)</f>
        <v>0</v>
      </c>
      <c r="BN198" s="393">
        <f>IF(ISBLANK(Actuals!BO111),-Helpers!BL26+BN240,Actuals!BO111)</f>
        <v>0</v>
      </c>
      <c r="BO198" s="393">
        <f>IF(ISBLANK(Actuals!BP111),-Helpers!BM26+BO240,Actuals!BP111)</f>
        <v>0</v>
      </c>
      <c r="BP198" s="393">
        <f>IF(ISBLANK(Actuals!BQ111),-Helpers!BN26+BP240,Actuals!BQ111)</f>
        <v>0</v>
      </c>
      <c r="BQ198" s="393">
        <f>IF(ISBLANK(Actuals!BR111),-Helpers!BO26+BQ240,Actuals!BR111)</f>
        <v>0</v>
      </c>
      <c r="BR198" s="393">
        <f>IF(ISBLANK(Actuals!BS111),-Helpers!BP26+BR240,Actuals!BS111)</f>
        <v>0</v>
      </c>
      <c r="BS198" s="393">
        <f>IF(ISBLANK(Actuals!BT111),-Helpers!BQ26+BS240,Actuals!BT111)</f>
        <v>0</v>
      </c>
      <c r="BT198" s="393">
        <f>IF(ISBLANK(Actuals!BU111),-Helpers!BR26+BT240,Actuals!BU111)</f>
        <v>0</v>
      </c>
      <c r="BU198" s="393">
        <f>IF(ISBLANK(Actuals!BV111),-Helpers!BS26+BU240,Actuals!BV111)</f>
        <v>0</v>
      </c>
      <c r="BV198" s="393">
        <f>IF(ISBLANK(Actuals!BW111),-Helpers!BT26+BV240,Actuals!BW111)</f>
        <v>0</v>
      </c>
      <c r="BW198" s="393">
        <f>IF(ISBLANK(Actuals!BX111),-Helpers!BU26+BW240,Actuals!BX111)</f>
        <v>0</v>
      </c>
      <c r="BX198" s="393">
        <f>IF(ISBLANK(Actuals!BY111),-Helpers!BV26+BX240,Actuals!BY111)</f>
        <v>0</v>
      </c>
      <c r="BY198" s="393">
        <f>IF(ISBLANK(Actuals!BZ111),-Helpers!BW26+BY240,Actuals!BZ111)</f>
        <v>0</v>
      </c>
      <c r="BZ198" s="393">
        <f>IF(ISBLANK(Actuals!CA111),-Helpers!BX26+BZ240,Actuals!CA111)</f>
        <v>0</v>
      </c>
      <c r="CA198" s="393">
        <f>IF(ISBLANK(Actuals!CB111),-Helpers!BY26+CA240,Actuals!CB111)</f>
        <v>-73156</v>
      </c>
      <c r="CB198" s="393">
        <f>IF(ISBLANK(Actuals!CC111),-Helpers!BZ26+CB240,Actuals!CC111)</f>
        <v>0</v>
      </c>
      <c r="CC198" s="393">
        <f>IF(ISBLANK(Actuals!CD111),-Helpers!CA26+CC240,Actuals!CD111)</f>
        <v>0</v>
      </c>
      <c r="CD198" s="393">
        <f>IF(ISBLANK(Actuals!CE111),-Helpers!CB26+CD240,Actuals!CE111)</f>
        <v>-73155</v>
      </c>
      <c r="CE198" s="393">
        <f>IF(ISBLANK(Actuals!CF111),-Helpers!CC26+CE240,Actuals!CF111)</f>
        <v>0</v>
      </c>
      <c r="CF198" s="393">
        <f>IF(ISBLANK(Actuals!CG111),-Helpers!CD26+CF240,Actuals!CG111)</f>
        <v>0</v>
      </c>
      <c r="CG198" s="393">
        <f>IF(ISBLANK(Actuals!CH111),-Helpers!CE26+CG240,Actuals!CH111)</f>
        <v>-73155</v>
      </c>
      <c r="CH198" s="393">
        <f>IF(ISBLANK(Actuals!CI111),-Helpers!CF26+CH240,Actuals!CI111)</f>
        <v>0</v>
      </c>
      <c r="CI198" s="393">
        <f>IF(ISBLANK(Actuals!CJ111),-Helpers!CG26+CI240,Actuals!CJ111)</f>
        <v>0</v>
      </c>
      <c r="CJ198" s="393">
        <f>IF(ISBLANK(Actuals!CK111),-Helpers!CH26+CJ240,Actuals!CK111)</f>
        <v>-73155</v>
      </c>
      <c r="CK198" s="393">
        <f>IF(ISBLANK(Actuals!CL111),-Helpers!CI26+CK240,Actuals!CL111)</f>
        <v>-73155</v>
      </c>
      <c r="CL198" s="393">
        <f>IF(ISBLANK(Actuals!CM111),-Helpers!CJ26+CL240,Actuals!CM111)</f>
        <v>-73155</v>
      </c>
      <c r="CM198" s="393">
        <f>IF(ISBLANK(Actuals!CN111),-Helpers!CK26+CM240,Actuals!CN111)</f>
        <v>-73155</v>
      </c>
      <c r="CN198" s="393">
        <f>IF(ISBLANK(Actuals!CO111),-Helpers!CL26+CN240,Actuals!CO111)</f>
        <v>-73155</v>
      </c>
      <c r="CO198" s="393">
        <f>IF(ISBLANK(Actuals!CP111),-Helpers!CM26+CO240,Actuals!CP111)</f>
        <v>-73155</v>
      </c>
      <c r="CP198" s="393">
        <f>IF(ISBLANK(Actuals!CQ111),-Helpers!CN26+CP240,Actuals!CQ111)</f>
        <v>-73155</v>
      </c>
      <c r="CQ198" s="393">
        <f>IF(ISBLANK(Actuals!CR111),-Helpers!CO26+CQ240,Actuals!CR111)</f>
        <v>-73155</v>
      </c>
      <c r="CR198" s="393">
        <f>IF(ISBLANK(Actuals!CS111),-Helpers!CP26+CR240,Actuals!CS111)</f>
        <v>-73155</v>
      </c>
      <c r="CS198" s="393">
        <f>IF(ISBLANK(Actuals!CT111),-Helpers!CQ26+CS240,Actuals!CT111)</f>
        <v>-73155</v>
      </c>
      <c r="CT198" s="393">
        <f>IF(ISBLANK(Actuals!CU111),-Helpers!CR26+CT240,Actuals!CU111)</f>
        <v>-73155</v>
      </c>
      <c r="CU198" s="393">
        <f>IF(ISBLANK(Actuals!CV111),-Helpers!CS26+CU240,Actuals!CV111)</f>
        <v>-73155</v>
      </c>
      <c r="CV198" s="393">
        <f>IF(ISBLANK(Actuals!CW111),-Helpers!CT26+CV240,Actuals!CW111)</f>
        <v>-73155</v>
      </c>
      <c r="CW198" s="393">
        <f>IF(ISBLANK(Actuals!CX111),-Helpers!CU26+CW240,Actuals!CX111)</f>
        <v>-17446.8489364072</v>
      </c>
      <c r="CX198" s="393">
        <f>IF(ISBLANK(Actuals!CY111),-Helpers!CV26+CX240,Actuals!CY111)</f>
        <v>0</v>
      </c>
      <c r="CY198" s="393">
        <f>IF(ISBLANK(Actuals!CZ111),-Helpers!CW26+CY240,Actuals!CZ111)</f>
        <v>0</v>
      </c>
      <c r="CZ198" s="393">
        <f>IF(ISBLANK(Actuals!DA111),-Helpers!CX26+CZ240,Actuals!DA111)</f>
        <v>0</v>
      </c>
      <c r="DA198" s="393">
        <f>IF(ISBLANK(Actuals!DB111),-Helpers!CY26+DA240,Actuals!DB111)</f>
        <v>0</v>
      </c>
      <c r="DB198" s="393">
        <f>IF(ISBLANK(Actuals!DC111),-Helpers!CZ26+DB240,Actuals!DC111)</f>
        <v>0</v>
      </c>
      <c r="DC198" s="393">
        <f>IF(ISBLANK(Actuals!DD111),-Helpers!DA26+DC240,Actuals!DD111)</f>
        <v>0</v>
      </c>
      <c r="DD198" s="393">
        <f>IF(ISBLANK(Actuals!DE111),-Helpers!DB26+DD240,Actuals!DE111)</f>
        <v>0</v>
      </c>
      <c r="DE198" s="393">
        <f>IF(ISBLANK(Actuals!DF111),-Helpers!DC26+DE240,Actuals!DF111)</f>
        <v>0</v>
      </c>
    </row>
    <row r="199" ht="19.5" customFormat="1" customHeight="1" s="381">
      <c r="A199" s="409" t="inlineStr">
        <is>
          <t>Total Six Peak Expenses</t>
        </is>
      </c>
      <c r="B199" s="410">
        <f>SUM(B170:B198)</f>
        <v>-198827.72</v>
      </c>
      <c r="C199" s="410">
        <f>SUM(C170:C198)</f>
        <v>-192502</v>
      </c>
      <c r="D199" s="410">
        <f>SUM(D170:D198)</f>
        <v>-255024.1</v>
      </c>
      <c r="E199" s="410">
        <f>SUM(E170:E198)</f>
        <v>-195904.72</v>
      </c>
      <c r="F199" s="410">
        <f>SUM(F170:F198)</f>
        <v>-250029.52</v>
      </c>
      <c r="G199" s="410">
        <f>SUM(G170:G198)</f>
        <v>-201582.47</v>
      </c>
      <c r="H199" s="410">
        <f>SUM(H170:H198)</f>
        <v>-78090.0916666667</v>
      </c>
      <c r="I199" s="410">
        <f>SUM(I170:I198)</f>
        <v>-78090.0916666667</v>
      </c>
      <c r="J199" s="410">
        <f>SUM(J170:J198)</f>
        <v>-78090.0916666667</v>
      </c>
      <c r="K199" s="410">
        <f>SUM(K170:K198)</f>
        <v>-78090.0916666667</v>
      </c>
      <c r="L199" s="410">
        <f>SUM(L170:L198)</f>
        <v>-78090.0916666667</v>
      </c>
      <c r="M199" s="410">
        <f>SUM(M170:M198)</f>
        <v>-78090.0916666667</v>
      </c>
      <c r="N199" s="410">
        <f>SUM(N170:N198)</f>
        <v>-369313.211666667</v>
      </c>
      <c r="O199" s="410">
        <f>SUM(O170:O198)</f>
        <v>-78090.0916666667</v>
      </c>
      <c r="P199" s="410">
        <f>SUM(P170:P198)</f>
        <v>-78090.0916666667</v>
      </c>
      <c r="Q199" s="410">
        <f>SUM(Q170:Q198)</f>
        <v>-79651.8935</v>
      </c>
      <c r="R199" s="410">
        <f>SUM(R170:R198)</f>
        <v>-79651.8935</v>
      </c>
      <c r="S199" s="410">
        <f>SUM(S170:S198)</f>
        <v>-79651.8935</v>
      </c>
      <c r="T199" s="410">
        <f>SUM(T170:T198)</f>
        <v>-79651.8935</v>
      </c>
      <c r="U199" s="410">
        <f>SUM(U170:U198)</f>
        <v>-79651.8935</v>
      </c>
      <c r="V199" s="410">
        <f>SUM(V170:V198)</f>
        <v>-79651.8935</v>
      </c>
      <c r="W199" s="410">
        <f>SUM(W170:W198)</f>
        <v>-79651.8935</v>
      </c>
      <c r="X199" s="410">
        <f>SUM(X170:X198)</f>
        <v>-79651.8935</v>
      </c>
      <c r="Y199" s="410">
        <f>SUM(Y170:Y198)</f>
        <v>-79651.8935</v>
      </c>
      <c r="Z199" s="410">
        <f>SUM(Z170:Z198)</f>
        <v>-79651.8935</v>
      </c>
      <c r="AA199" s="410">
        <f>SUM(AA170:AA198)</f>
        <v>-79651.8935</v>
      </c>
      <c r="AB199" s="410">
        <f>SUM(AB170:AB198)</f>
        <v>-79651.8935</v>
      </c>
      <c r="AC199" s="410">
        <f>SUM(AC170:AC198)</f>
        <v>-81244.93137</v>
      </c>
      <c r="AD199" s="410">
        <f>SUM(AD170:AD198)</f>
        <v>-81244.93137</v>
      </c>
      <c r="AE199" s="410">
        <f>SUM(AE170:AE198)</f>
        <v>-81244.93137</v>
      </c>
      <c r="AF199" s="410">
        <f>SUM(AF170:AF198)</f>
        <v>-81244.93137</v>
      </c>
      <c r="AG199" s="410">
        <f>SUM(AG170:AG198)</f>
        <v>-81244.93137</v>
      </c>
      <c r="AH199" s="410">
        <f>SUM(AH170:AH198)</f>
        <v>-81244.93137</v>
      </c>
      <c r="AI199" s="410">
        <f>SUM(AI170:AI198)</f>
        <v>-81244.93137</v>
      </c>
      <c r="AJ199" s="410">
        <f>SUM(AJ170:AJ198)</f>
        <v>-81244.93137</v>
      </c>
      <c r="AK199" s="410">
        <f>SUM(AK170:AK198)</f>
        <v>-81244.93137</v>
      </c>
      <c r="AL199" s="410">
        <f>SUM(AL170:AL198)</f>
        <v>-81244.93137</v>
      </c>
      <c r="AM199" s="410">
        <f>SUM(AM170:AM198)</f>
        <v>-81244.93137</v>
      </c>
      <c r="AN199" s="410">
        <f>SUM(AN170:AN198)</f>
        <v>-81244.93137</v>
      </c>
      <c r="AO199" s="410">
        <f>SUM(AO170:AO198)</f>
        <v>-82869.8299974</v>
      </c>
      <c r="AP199" s="410">
        <f>SUM(AP170:AP198)</f>
        <v>-82869.8299974</v>
      </c>
      <c r="AQ199" s="410">
        <f>SUM(AQ170:AQ198)</f>
        <v>-82869.8299974</v>
      </c>
      <c r="AR199" s="410">
        <f>SUM(AR170:AR198)</f>
        <v>-82869.8299974</v>
      </c>
      <c r="AS199" s="410">
        <f>SUM(AS170:AS198)</f>
        <v>-82869.8299974</v>
      </c>
      <c r="AT199" s="410">
        <f>SUM(AT170:AT198)</f>
        <v>-164552.8299974</v>
      </c>
      <c r="AU199" s="410">
        <f>SUM(AU170:AU198)</f>
        <v>-82869.8299974</v>
      </c>
      <c r="AV199" s="410">
        <f>SUM(AV170:AV198)</f>
        <v>-82869.8299974</v>
      </c>
      <c r="AW199" s="410">
        <f>SUM(AW170:AW198)</f>
        <v>-164551.8299974</v>
      </c>
      <c r="AX199" s="410">
        <f>SUM(AX170:AX198)</f>
        <v>-82869.8299974</v>
      </c>
      <c r="AY199" s="410">
        <f>SUM(AY170:AY198)</f>
        <v>-82869.8299974</v>
      </c>
      <c r="AZ199" s="410">
        <f>SUM(AZ170:AZ198)</f>
        <v>-164551.8299974</v>
      </c>
      <c r="BA199" s="410">
        <f>SUM(BA170:BA198)</f>
        <v>-84527.226597348</v>
      </c>
      <c r="BB199" s="410">
        <f>SUM(BB170:BB198)</f>
        <v>-84527.226597348</v>
      </c>
      <c r="BC199" s="410">
        <f>SUM(BC170:BC198)</f>
        <v>-1018048.22659735</v>
      </c>
      <c r="BD199" s="410">
        <f>SUM(BD170:BD198)</f>
        <v>-84527.226597348</v>
      </c>
      <c r="BE199" s="410">
        <f>SUM(BE170:BE198)</f>
        <v>-84527.226597348</v>
      </c>
      <c r="BF199" s="410">
        <f>SUM(BF170:BF198)</f>
        <v>-215405.226597348</v>
      </c>
      <c r="BG199" s="410">
        <f>SUM(BG170:BG198)</f>
        <v>-84527.226597348</v>
      </c>
      <c r="BH199" s="410">
        <f>SUM(BH170:BH198)</f>
        <v>-84527.226597348</v>
      </c>
      <c r="BI199" s="410">
        <f>SUM(BI170:BI198)</f>
        <v>-215403.226597348</v>
      </c>
      <c r="BJ199" s="410">
        <f>SUM(BJ170:BJ198)</f>
        <v>-84527.226597348</v>
      </c>
      <c r="BK199" s="410">
        <f>SUM(BK170:BK198)</f>
        <v>-84527.226597348</v>
      </c>
      <c r="BL199" s="410">
        <f>SUM(BL170:BL198)</f>
        <v>-215403.226597348</v>
      </c>
      <c r="BM199" s="410">
        <f>SUM(BM170:BM198)</f>
        <v>-86217.771129295</v>
      </c>
      <c r="BN199" s="410">
        <f>SUM(BN170:BN198)</f>
        <v>-86217.771129295</v>
      </c>
      <c r="BO199" s="410">
        <f>SUM(BO170:BO198)</f>
        <v>-217093.771129295</v>
      </c>
      <c r="BP199" s="410">
        <f>SUM(BP170:BP198)</f>
        <v>-86217.771129295</v>
      </c>
      <c r="BQ199" s="410">
        <f>SUM(BQ170:BQ198)</f>
        <v>-86217.771129295</v>
      </c>
      <c r="BR199" s="410">
        <f>SUM(BR170:BR198)</f>
        <v>-175373.421129295</v>
      </c>
      <c r="BS199" s="410">
        <f>SUM(BS170:BS198)</f>
        <v>-86217.771129295</v>
      </c>
      <c r="BT199" s="410">
        <f>SUM(BT170:BT198)</f>
        <v>-86217.771129295</v>
      </c>
      <c r="BU199" s="410">
        <f>SUM(BU170:BU198)</f>
        <v>-160857.771129295</v>
      </c>
      <c r="BV199" s="410">
        <f>SUM(BV170:BV198)</f>
        <v>-86217.771129295</v>
      </c>
      <c r="BW199" s="410">
        <f>SUM(BW170:BW198)</f>
        <v>-86217.771129295</v>
      </c>
      <c r="BX199" s="410">
        <f>SUM(BX170:BX198)</f>
        <v>-160857.771129295</v>
      </c>
      <c r="BY199" s="410">
        <f>SUM(BY170:BY198)</f>
        <v>-87942.1265518809</v>
      </c>
      <c r="BZ199" s="410">
        <f>SUM(BZ170:BZ198)</f>
        <v>-87942.1265518809</v>
      </c>
      <c r="CA199" s="410">
        <f>SUM(CA170:CA198)</f>
        <v>-235738.126551881</v>
      </c>
      <c r="CB199" s="410">
        <f>SUM(CB170:CB198)</f>
        <v>-87942.1265518809</v>
      </c>
      <c r="CC199" s="410">
        <f>SUM(CC170:CC198)</f>
        <v>-87942.1265518809</v>
      </c>
      <c r="CD199" s="410">
        <f>SUM(CD170:CD198)</f>
        <v>-242460.126551881</v>
      </c>
      <c r="CE199" s="410">
        <f>SUM(CE170:CE198)</f>
        <v>-87942.1265518809</v>
      </c>
      <c r="CF199" s="410">
        <f>SUM(CF170:CF198)</f>
        <v>-87942.1265518809</v>
      </c>
      <c r="CG199" s="410">
        <f>SUM(CG170:CG198)</f>
        <v>-242459.126551881</v>
      </c>
      <c r="CH199" s="410">
        <f>SUM(CH170:CH198)</f>
        <v>-87942.1265518809</v>
      </c>
      <c r="CI199" s="410">
        <f>SUM(CI170:CI198)</f>
        <v>-87942.1265518809</v>
      </c>
      <c r="CJ199" s="410">
        <f>SUM(CJ170:CJ198)</f>
        <v>-235851.099945402</v>
      </c>
      <c r="CK199" s="410">
        <f>SUM(CK170:CK198)</f>
        <v>-162855.969082918</v>
      </c>
      <c r="CL199" s="410">
        <f>SUM(CL170:CL198)</f>
        <v>-162855.969082918</v>
      </c>
      <c r="CM199" s="410">
        <f>SUM(CM170:CM198)</f>
        <v>-162855.969082918</v>
      </c>
      <c r="CN199" s="410">
        <f>SUM(CN170:CN198)</f>
        <v>-162855.969082918</v>
      </c>
      <c r="CO199" s="410">
        <f>SUM(CO170:CO198)</f>
        <v>-162855.969082918</v>
      </c>
      <c r="CP199" s="410">
        <f>SUM(CP170:CP198)</f>
        <v>-162855.969082918</v>
      </c>
      <c r="CQ199" s="410">
        <f>SUM(CQ170:CQ198)</f>
        <v>-162855.969082918</v>
      </c>
      <c r="CR199" s="410">
        <f>SUM(CR170:CR198)</f>
        <v>-162855.969082918</v>
      </c>
      <c r="CS199" s="410">
        <f>SUM(CS170:CS198)</f>
        <v>-162855.969082918</v>
      </c>
      <c r="CT199" s="410">
        <f>SUM(CT170:CT198)</f>
        <v>-160947.475708022</v>
      </c>
      <c r="CU199" s="410">
        <f>SUM(CU170:CU198)</f>
        <v>-160947.475708022</v>
      </c>
      <c r="CV199" s="410">
        <f>SUM(CV170:CV198)</f>
        <v>-160947.475708022</v>
      </c>
      <c r="CW199" s="410">
        <f>SUM(CW170:CW198)</f>
        <v>-106995.17415859</v>
      </c>
      <c r="CX199" s="410">
        <f>SUM(CX170:CX198)</f>
        <v>-89548.3252221825</v>
      </c>
      <c r="CY199" s="410">
        <f>SUM(CY170:CY198)</f>
        <v>-89548.3252221825</v>
      </c>
      <c r="CZ199" s="410">
        <f>SUM(CZ170:CZ198)</f>
        <v>-89548.3252221825</v>
      </c>
      <c r="DA199" s="410">
        <f>SUM(DA170:DA198)</f>
        <v>-89548.3252221825</v>
      </c>
      <c r="DB199" s="410">
        <f>SUM(DB170:DB198)</f>
        <v>-89548.3252221825</v>
      </c>
      <c r="DC199" s="410">
        <f>SUM(DC170:DC198)</f>
        <v>-89548.3252221825</v>
      </c>
      <c r="DD199" s="410">
        <f>SUM(DD170:DD198)</f>
        <v>-89548.3252221825</v>
      </c>
      <c r="DE199" s="410">
        <f>SUM(DE170:DE198)</f>
        <v>-89548.3252221825</v>
      </c>
    </row>
    <row r="200" ht="19.5" customFormat="1" customHeight="1" s="381">
      <c r="A200" s="416" t="inlineStr">
        <is>
          <t>Six Peak Net Income</t>
        </is>
      </c>
      <c r="B200" s="417">
        <f>B168+B199</f>
        <v>-164713.14</v>
      </c>
      <c r="C200" s="417">
        <f>C168+C199</f>
        <v>-158387.42</v>
      </c>
      <c r="D200" s="417">
        <f>D168+D199</f>
        <v>-220909.52</v>
      </c>
      <c r="E200" s="417">
        <f>E168+E199</f>
        <v>-161790.14</v>
      </c>
      <c r="F200" s="417">
        <f>F168+F199</f>
        <v>-215914.94</v>
      </c>
      <c r="G200" s="417">
        <f>G168+G199</f>
        <v>131532.11</v>
      </c>
      <c r="H200" s="417">
        <f>H168+H199</f>
        <v>-32050.8688095238</v>
      </c>
      <c r="I200" s="417">
        <f>I168+I199</f>
        <v>-25453.8688095238</v>
      </c>
      <c r="J200" s="417">
        <f>J168+J199</f>
        <v>-22537.1988095238</v>
      </c>
      <c r="K200" s="417">
        <f>K168+K199</f>
        <v>-22537.1988095238</v>
      </c>
      <c r="L200" s="417">
        <f>L168+L199</f>
        <v>-31912.1988095238</v>
      </c>
      <c r="M200" s="417">
        <f>M168+M199</f>
        <v>-34662.1988095238</v>
      </c>
      <c r="N200" s="417">
        <f>N168+N199</f>
        <v>154398.891190476</v>
      </c>
      <c r="O200" s="417">
        <f>O168+O199</f>
        <v>-2960.13166666668</v>
      </c>
      <c r="P200" s="417">
        <f>P168+P199</f>
        <v>-1710.13166666668</v>
      </c>
      <c r="Q200" s="417">
        <f>Q168+Q199</f>
        <v>19860.2969</v>
      </c>
      <c r="R200" s="417">
        <f>R168+R199</f>
        <v>13610.0969</v>
      </c>
      <c r="S200" s="417">
        <f>S168+S199</f>
        <v>13610.0969</v>
      </c>
      <c r="T200" s="417">
        <f>T168+T199</f>
        <v>-14296.1531</v>
      </c>
      <c r="U200" s="417">
        <f>U168+U199</f>
        <v>-14796.1531</v>
      </c>
      <c r="V200" s="417">
        <f>V168+V199</f>
        <v>-14796.1531</v>
      </c>
      <c r="W200" s="417">
        <f>W168+W199</f>
        <v>1776.1093</v>
      </c>
      <c r="X200" s="417">
        <f>X168+X199</f>
        <v>17001.3717</v>
      </c>
      <c r="Y200" s="417">
        <f>Y168+Y199</f>
        <v>90948.6341</v>
      </c>
      <c r="Z200" s="417">
        <f>Z168+Z199</f>
        <v>25758.1105</v>
      </c>
      <c r="AA200" s="417">
        <f>AA168+AA199</f>
        <v>41294.6125</v>
      </c>
      <c r="AB200" s="417">
        <f>AB168+AB199</f>
        <v>114206.1025</v>
      </c>
      <c r="AC200" s="417">
        <f>AC168+AC199</f>
        <v>70774.55463</v>
      </c>
      <c r="AD200" s="417">
        <f>AD168+AD199</f>
        <v>86311.05063</v>
      </c>
      <c r="AE200" s="417">
        <f>AE168+AE199</f>
        <v>159222.55263</v>
      </c>
      <c r="AF200" s="417">
        <f>AF168+AF199</f>
        <v>104638.64563</v>
      </c>
      <c r="AG200" s="417">
        <f>AG168+AG199</f>
        <v>95196.22913</v>
      </c>
      <c r="AH200" s="417">
        <f>AH168+AH199</f>
        <v>128486.35413</v>
      </c>
      <c r="AI200" s="417">
        <f>AI168+AI199</f>
        <v>69861.12413</v>
      </c>
      <c r="AJ200" s="417">
        <f>AJ168+AJ199</f>
        <v>70291.29013</v>
      </c>
      <c r="AK200" s="417">
        <f>AK168+AK199</f>
        <v>70721.44513</v>
      </c>
      <c r="AL200" s="417">
        <f>AL168+AL199</f>
        <v>71151.60563</v>
      </c>
      <c r="AM200" s="417">
        <f>AM168+AM199</f>
        <v>71581.76063</v>
      </c>
      <c r="AN200" s="417">
        <f>AN168+AN199</f>
        <v>86253.70913</v>
      </c>
      <c r="AO200" s="417">
        <f>AO168+AO199</f>
        <v>70817.1885026</v>
      </c>
      <c r="AP200" s="417">
        <f>AP168+AP199</f>
        <v>57005.5610026</v>
      </c>
      <c r="AQ200" s="417">
        <f>AQ168+AQ199</f>
        <v>43193.9335026</v>
      </c>
      <c r="AR200" s="417">
        <f>AR168+AR199</f>
        <v>29382.3005026</v>
      </c>
      <c r="AS200" s="417">
        <f>AS168+AS199</f>
        <v>7757.90500259999</v>
      </c>
      <c r="AT200" s="417">
        <f>AT168+AT199</f>
        <v>-4798.11999739998</v>
      </c>
      <c r="AU200" s="417">
        <f>AU168+AU199</f>
        <v>-17354.1499974</v>
      </c>
      <c r="AV200" s="417">
        <f>AV168+AV199</f>
        <v>-29910.1699974</v>
      </c>
      <c r="AW200" s="417">
        <f>AW168+AW199</f>
        <v>-42950.7814974</v>
      </c>
      <c r="AX200" s="417">
        <f>AX168+AX199</f>
        <v>-2072.77999740001</v>
      </c>
      <c r="AY200" s="417">
        <f>AY168+AY199</f>
        <v>-15019.8549974</v>
      </c>
      <c r="AZ200" s="417">
        <f>AZ168+AZ199</f>
        <v>-40813.2174974</v>
      </c>
      <c r="BA200" s="417">
        <f>BA168+BA199</f>
        <v>-42900.774597348</v>
      </c>
      <c r="BB200" s="417">
        <f>BB168+BB199</f>
        <v>-43330.940597348</v>
      </c>
      <c r="BC200" s="417">
        <f>BC168+BC199</f>
        <v>-43761.0955973479</v>
      </c>
      <c r="BD200" s="417">
        <f>BD168+BD199</f>
        <v>-44191.256097348</v>
      </c>
      <c r="BE200" s="417">
        <f>BE168+BE199</f>
        <v>-44621.416597348</v>
      </c>
      <c r="BF200" s="417">
        <f>BF168+BF199</f>
        <v>-45051.577097348</v>
      </c>
      <c r="BG200" s="417">
        <f>BG168+BG199</f>
        <v>-45481.737597348</v>
      </c>
      <c r="BH200" s="417">
        <f>BH168+BH199</f>
        <v>-45911.898097348</v>
      </c>
      <c r="BI200" s="417">
        <f>BI168+BI199</f>
        <v>-46342.058597348</v>
      </c>
      <c r="BJ200" s="417">
        <f>BJ168+BJ199</f>
        <v>-46772.219097348</v>
      </c>
      <c r="BK200" s="417">
        <f>BK168+BK199</f>
        <v>-47202.379597348</v>
      </c>
      <c r="BL200" s="417">
        <f>BL168+BL199</f>
        <v>-47632.534597348</v>
      </c>
      <c r="BM200" s="417">
        <f>BM168+BM199</f>
        <v>-26252.745129295</v>
      </c>
      <c r="BN200" s="417">
        <f>BN168+BN199</f>
        <v>-26682.905629295</v>
      </c>
      <c r="BO200" s="417">
        <f>BO168+BO199</f>
        <v>26713.223870705</v>
      </c>
      <c r="BP200" s="417">
        <f>BP168+BP199</f>
        <v>-86217.771129295</v>
      </c>
      <c r="BQ200" s="417">
        <f>BQ168+BQ199</f>
        <v>-86217.771129295</v>
      </c>
      <c r="BR200" s="417">
        <f>BR168+BR199</f>
        <v>-32967.421129295</v>
      </c>
      <c r="BS200" s="417">
        <f>BS168+BS199</f>
        <v>-86217.771129295</v>
      </c>
      <c r="BT200" s="417">
        <f>BT168+BT199</f>
        <v>-86217.771129295</v>
      </c>
      <c r="BU200" s="417">
        <f>BU168+BU199</f>
        <v>-18455.771129295</v>
      </c>
      <c r="BV200" s="417">
        <f>BV168+BV199</f>
        <v>-86217.771129295</v>
      </c>
      <c r="BW200" s="417">
        <f>BW168+BW199</f>
        <v>-86217.771129295</v>
      </c>
      <c r="BX200" s="417">
        <f>BX168+BX199</f>
        <v>-18455.771129295</v>
      </c>
      <c r="BY200" s="417">
        <f>BY168+BY199</f>
        <v>-87942.1265518809</v>
      </c>
      <c r="BZ200" s="417">
        <f>BZ168+BZ199</f>
        <v>-87942.1265518809</v>
      </c>
      <c r="CA200" s="417">
        <f>CA168+CA199</f>
        <v>-20180.1265518809</v>
      </c>
      <c r="CB200" s="417">
        <f>CB168+CB199</f>
        <v>-87942.1265518809</v>
      </c>
      <c r="CC200" s="417">
        <f>CC168+CC199</f>
        <v>-87942.1265518809</v>
      </c>
      <c r="CD200" s="417">
        <f>CD168+CD199</f>
        <v>-11443.1265518809</v>
      </c>
      <c r="CE200" s="417">
        <f>CE168+CE199</f>
        <v>-87942.1265518809</v>
      </c>
      <c r="CF200" s="417">
        <f>CF168+CF199</f>
        <v>-87942.1265518809</v>
      </c>
      <c r="CG200" s="417">
        <f>CG168+CG199</f>
        <v>-11443.1265518809</v>
      </c>
      <c r="CH200" s="417">
        <f>CH168+CH199</f>
        <v>-87942.1265518809</v>
      </c>
      <c r="CI200" s="417">
        <f>CI168+CI199</f>
        <v>-87942.1265518809</v>
      </c>
      <c r="CJ200" s="417">
        <f>CJ168+CJ199</f>
        <v>-4835.09994540163</v>
      </c>
      <c r="CK200" s="417">
        <f>CK168+CK199</f>
        <v>68160.0309170815</v>
      </c>
      <c r="CL200" s="417">
        <f>CL168+CL199</f>
        <v>68160.0309170815</v>
      </c>
      <c r="CM200" s="417">
        <f>CM168+CM199</f>
        <v>68160.0309170815</v>
      </c>
      <c r="CN200" s="417">
        <f>CN168+CN199</f>
        <v>68160.0309170815</v>
      </c>
      <c r="CO200" s="417">
        <f>CO168+CO199</f>
        <v>68160.0309170815</v>
      </c>
      <c r="CP200" s="417">
        <f>CP168+CP199</f>
        <v>68160.0309170815</v>
      </c>
      <c r="CQ200" s="417">
        <f>CQ168+CQ199</f>
        <v>68160.0309170815</v>
      </c>
      <c r="CR200" s="417">
        <f>CR168+CR199</f>
        <v>68160.0309170815</v>
      </c>
      <c r="CS200" s="417">
        <f>CS168+CS199</f>
        <v>68160.0309170815</v>
      </c>
      <c r="CT200" s="417">
        <f>CT168+CT199</f>
        <v>70068.524291978</v>
      </c>
      <c r="CU200" s="417">
        <f>CU168+CU199</f>
        <v>70068.524291978</v>
      </c>
      <c r="CV200" s="417">
        <f>CV168+CV199</f>
        <v>70068.524291978</v>
      </c>
      <c r="CW200" s="417">
        <f>CW168+CW199</f>
        <v>124020.82584141</v>
      </c>
      <c r="CX200" s="417">
        <f>CX168+CX199</f>
        <v>141467.674777818</v>
      </c>
      <c r="CY200" s="417">
        <f>CY168+CY199</f>
        <v>141467.674777818</v>
      </c>
      <c r="CZ200" s="417">
        <f>CZ168+CZ199</f>
        <v>141467.674777818</v>
      </c>
      <c r="DA200" s="417">
        <f>DA168+DA199</f>
        <v>141467.674777818</v>
      </c>
      <c r="DB200" s="417">
        <f>DB168+DB199</f>
        <v>141467.674777818</v>
      </c>
      <c r="DC200" s="417">
        <f>DC168+DC199</f>
        <v>141467.674777818</v>
      </c>
      <c r="DD200" s="417">
        <f>DD168+DD199</f>
        <v>141467.674777818</v>
      </c>
      <c r="DE200" s="417">
        <f>DE168+DE199</f>
        <v>141467.674777818</v>
      </c>
    </row>
    <row r="201" ht="15" customFormat="1" customHeight="1" s="381">
      <c r="A201" s="407" t="n"/>
      <c r="B201" s="393" t="n"/>
      <c r="C201" s="393" t="n"/>
      <c r="D201" s="393" t="n"/>
      <c r="E201" s="393" t="n"/>
      <c r="F201" s="393" t="n"/>
      <c r="G201" s="393" t="n"/>
      <c r="H201" s="393" t="n"/>
      <c r="I201" s="393" t="n"/>
      <c r="J201" s="393" t="n"/>
      <c r="K201" s="393" t="n"/>
      <c r="L201" s="393" t="n"/>
      <c r="M201" s="393" t="n"/>
      <c r="N201" s="393" t="n"/>
      <c r="O201" s="393" t="n"/>
      <c r="P201" s="393" t="n"/>
      <c r="Q201" s="393" t="n"/>
      <c r="R201" s="393" t="n"/>
      <c r="S201" s="393" t="n"/>
      <c r="T201" s="393" t="n"/>
      <c r="U201" s="393" t="n"/>
      <c r="V201" s="393" t="n"/>
      <c r="W201" s="393" t="n"/>
      <c r="X201" s="393" t="n"/>
      <c r="Y201" s="393" t="n"/>
      <c r="Z201" s="393" t="n"/>
      <c r="AA201" s="393" t="n"/>
      <c r="AB201" s="393" t="n"/>
      <c r="AC201" s="393" t="n"/>
      <c r="AD201" s="393" t="n"/>
      <c r="AE201" s="393" t="n"/>
      <c r="AF201" s="393" t="n"/>
      <c r="AG201" s="393" t="n"/>
      <c r="AH201" s="393" t="n"/>
      <c r="AI201" s="393" t="n"/>
      <c r="AJ201" s="393" t="n"/>
      <c r="AK201" s="393" t="n"/>
      <c r="AL201" s="393" t="n"/>
      <c r="AM201" s="393" t="n"/>
      <c r="AN201" s="393" t="n"/>
      <c r="AO201" s="393" t="n"/>
      <c r="AP201" s="393" t="n"/>
      <c r="AQ201" s="393" t="n"/>
      <c r="AR201" s="393" t="n"/>
      <c r="AS201" s="393" t="n"/>
      <c r="AT201" s="393" t="n"/>
      <c r="AU201" s="393" t="n"/>
      <c r="AV201" s="393" t="n"/>
      <c r="AW201" s="393" t="n"/>
      <c r="AX201" s="393" t="n"/>
      <c r="AY201" s="393" t="n"/>
      <c r="AZ201" s="393" t="n"/>
      <c r="BA201" s="393" t="n"/>
      <c r="BB201" s="393" t="n"/>
      <c r="BC201" s="393" t="n"/>
      <c r="BD201" s="393" t="n"/>
      <c r="BE201" s="393" t="n"/>
      <c r="BF201" s="393" t="n"/>
      <c r="BG201" s="393" t="n"/>
      <c r="BH201" s="393" t="n"/>
      <c r="BI201" s="393" t="n"/>
      <c r="BJ201" s="393" t="n"/>
      <c r="BK201" s="393" t="n"/>
      <c r="BL201" s="393" t="n"/>
      <c r="BM201" s="393" t="n"/>
      <c r="BN201" s="393" t="n"/>
      <c r="BO201" s="393" t="n"/>
      <c r="BP201" s="393" t="n"/>
      <c r="BQ201" s="393" t="n"/>
      <c r="BR201" s="393" t="n"/>
      <c r="BS201" s="393" t="n"/>
      <c r="BT201" s="393" t="n"/>
      <c r="BU201" s="393" t="n"/>
      <c r="BV201" s="393" t="n"/>
      <c r="BW201" s="393" t="n"/>
      <c r="BX201" s="393" t="n"/>
      <c r="BY201" s="393" t="n"/>
      <c r="BZ201" s="393" t="n"/>
      <c r="CA201" s="393" t="n"/>
      <c r="CB201" s="393" t="n"/>
      <c r="CC201" s="393" t="n"/>
      <c r="CD201" s="393" t="n"/>
      <c r="CE201" s="393" t="n"/>
      <c r="CF201" s="393" t="n"/>
      <c r="CG201" s="393" t="n"/>
      <c r="CH201" s="393" t="n"/>
      <c r="CI201" s="393" t="n"/>
      <c r="CJ201" s="393" t="n"/>
      <c r="CK201" s="393" t="n"/>
      <c r="CL201" s="393" t="n"/>
      <c r="CM201" s="393" t="n"/>
      <c r="CN201" s="393" t="n"/>
      <c r="CO201" s="393" t="n"/>
      <c r="CP201" s="393" t="n"/>
      <c r="CQ201" s="393" t="n"/>
      <c r="CR201" s="393" t="n"/>
      <c r="CS201" s="393" t="n"/>
      <c r="CT201" s="393" t="n"/>
      <c r="CU201" s="393" t="n"/>
      <c r="CV201" s="393" t="n"/>
      <c r="CW201" s="393" t="n"/>
      <c r="CX201" s="393" t="n"/>
      <c r="CY201" s="393" t="n"/>
      <c r="CZ201" s="393" t="n"/>
      <c r="DA201" s="393" t="n"/>
      <c r="DB201" s="393" t="n"/>
      <c r="DC201" s="393" t="n"/>
      <c r="DD201" s="393" t="n"/>
      <c r="DE201" s="393" t="n"/>
    </row>
    <row r="202" ht="15" customFormat="1" customHeight="1" s="381">
      <c r="A202" s="418" t="inlineStr">
        <is>
          <t>CONSOLIDATED P&amp;L</t>
        </is>
      </c>
      <c r="B202" s="419" t="n"/>
      <c r="C202" s="419" t="n"/>
      <c r="D202" s="419" t="n"/>
      <c r="E202" s="419" t="n"/>
      <c r="F202" s="419" t="n"/>
      <c r="G202" s="419" t="n"/>
      <c r="H202" s="419" t="n"/>
      <c r="I202" s="419" t="n"/>
      <c r="J202" s="419" t="n"/>
      <c r="K202" s="419" t="n"/>
      <c r="L202" s="419" t="n"/>
      <c r="M202" s="419" t="n"/>
      <c r="N202" s="419" t="n"/>
      <c r="O202" s="419" t="n"/>
      <c r="P202" s="419" t="n"/>
      <c r="Q202" s="419" t="n"/>
      <c r="R202" s="419" t="n"/>
      <c r="S202" s="419" t="n"/>
      <c r="T202" s="419" t="n"/>
      <c r="U202" s="419" t="n"/>
      <c r="V202" s="419" t="n"/>
      <c r="W202" s="419" t="n"/>
      <c r="X202" s="419" t="n"/>
      <c r="Y202" s="419" t="n"/>
      <c r="Z202" s="419" t="n"/>
      <c r="AA202" s="419" t="n"/>
      <c r="AB202" s="419" t="n"/>
      <c r="AC202" s="419" t="n"/>
      <c r="AD202" s="419" t="n"/>
      <c r="AE202" s="419" t="n"/>
      <c r="AF202" s="419" t="n"/>
      <c r="AG202" s="419" t="n"/>
      <c r="AH202" s="419" t="n"/>
      <c r="AI202" s="419" t="n"/>
      <c r="AJ202" s="419" t="n"/>
      <c r="AK202" s="419" t="n"/>
      <c r="AL202" s="419" t="n"/>
      <c r="AM202" s="419" t="n"/>
      <c r="AN202" s="419" t="n"/>
      <c r="AO202" s="419" t="n"/>
      <c r="AP202" s="419" t="n"/>
      <c r="AQ202" s="419" t="n"/>
      <c r="AR202" s="419" t="n"/>
      <c r="AS202" s="419" t="n"/>
      <c r="AT202" s="419" t="n"/>
      <c r="AU202" s="419" t="n"/>
      <c r="AV202" s="419" t="n"/>
      <c r="AW202" s="419" t="n"/>
      <c r="AX202" s="419" t="n"/>
      <c r="AY202" s="419" t="n"/>
      <c r="AZ202" s="419" t="n"/>
      <c r="BA202" s="419" t="n"/>
      <c r="BB202" s="419" t="n"/>
      <c r="BC202" s="419" t="n"/>
      <c r="BD202" s="419" t="n"/>
      <c r="BE202" s="419" t="n"/>
      <c r="BF202" s="419" t="n"/>
      <c r="BG202" s="419" t="n"/>
      <c r="BH202" s="419" t="n"/>
      <c r="BI202" s="419" t="n"/>
      <c r="BJ202" s="419" t="n"/>
      <c r="BK202" s="419" t="n"/>
      <c r="BL202" s="419" t="n"/>
      <c r="BM202" s="419" t="n"/>
      <c r="BN202" s="419" t="n"/>
      <c r="BO202" s="419" t="n"/>
      <c r="BP202" s="419" t="n"/>
      <c r="BQ202" s="419" t="n"/>
      <c r="BR202" s="419" t="n"/>
      <c r="BS202" s="419" t="n"/>
      <c r="BT202" s="419" t="n"/>
      <c r="BU202" s="419" t="n"/>
      <c r="BV202" s="419" t="n"/>
      <c r="BW202" s="419" t="n"/>
      <c r="BX202" s="419" t="n"/>
      <c r="BY202" s="419" t="n"/>
      <c r="BZ202" s="419" t="n"/>
      <c r="CA202" s="419" t="n"/>
      <c r="CB202" s="419" t="n"/>
      <c r="CC202" s="419" t="n"/>
      <c r="CD202" s="419" t="n"/>
      <c r="CE202" s="419" t="n"/>
      <c r="CF202" s="419" t="n"/>
      <c r="CG202" s="419" t="n"/>
      <c r="CH202" s="419" t="n"/>
      <c r="CI202" s="419" t="n"/>
      <c r="CJ202" s="419" t="n"/>
      <c r="CK202" s="419" t="n"/>
      <c r="CL202" s="419" t="n"/>
      <c r="CM202" s="419" t="n"/>
      <c r="CN202" s="419" t="n"/>
      <c r="CO202" s="419" t="n"/>
      <c r="CP202" s="419" t="n"/>
      <c r="CQ202" s="419" t="n"/>
      <c r="CR202" s="419" t="n"/>
      <c r="CS202" s="419" t="n"/>
      <c r="CT202" s="419" t="n"/>
      <c r="CU202" s="419" t="n"/>
      <c r="CV202" s="419" t="n"/>
      <c r="CW202" s="419" t="n"/>
      <c r="CX202" s="419" t="n"/>
      <c r="CY202" s="419" t="n"/>
      <c r="CZ202" s="419" t="n"/>
      <c r="DA202" s="419" t="n"/>
      <c r="DB202" s="419" t="n"/>
      <c r="DC202" s="419" t="n"/>
      <c r="DD202" s="419" t="n"/>
      <c r="DE202" s="419" t="n"/>
    </row>
    <row r="203" ht="15" customFormat="1" customHeight="1" s="381">
      <c r="A203" s="420" t="inlineStr">
        <is>
          <t xml:space="preserve">GC Gross Profit</t>
        </is>
      </c>
      <c r="B203" s="393">
        <f>B107</f>
        <v>218756.86</v>
      </c>
      <c r="C203" s="393">
        <f>C107</f>
        <v>-51000.77</v>
      </c>
      <c r="D203" s="393">
        <f>D107</f>
        <v>594184.52</v>
      </c>
      <c r="E203" s="393">
        <f>E107</f>
        <v>447358.25</v>
      </c>
      <c r="F203" s="393">
        <f>F107</f>
        <v>473786.7</v>
      </c>
      <c r="G203" s="393">
        <f>G107</f>
        <v>651645.13</v>
      </c>
      <c r="H203" s="393">
        <f>H107</f>
        <v>453210.539583304</v>
      </c>
      <c r="I203" s="393">
        <f>I107</f>
        <v>780640.358165302</v>
      </c>
      <c r="J203" s="393">
        <f>J107</f>
        <v>730968.477978079</v>
      </c>
      <c r="K203" s="393">
        <f>K107</f>
        <v>712627.123752175</v>
      </c>
      <c r="L203" s="393">
        <f>L107</f>
        <v>417941.451693256</v>
      </c>
      <c r="M203" s="393">
        <f>M107</f>
        <v>701941.532727534</v>
      </c>
      <c r="N203" s="393">
        <f>N107</f>
        <v>874494.087548112</v>
      </c>
      <c r="O203" s="393">
        <f>O107</f>
        <v>848897.413030368</v>
      </c>
      <c r="P203" s="393">
        <f>P107</f>
        <v>820970.788388162</v>
      </c>
      <c r="Q203" s="393">
        <f>Q107</f>
        <v>792044.960196431</v>
      </c>
      <c r="R203" s="393">
        <f>R107</f>
        <v>-32092.5482680374</v>
      </c>
      <c r="S203" s="393">
        <f>S107</f>
        <v>870740.169089858</v>
      </c>
      <c r="T203" s="393">
        <f>T107</f>
        <v>781927.980723498</v>
      </c>
      <c r="U203" s="393">
        <f>U107</f>
        <v>1052118.10314294</v>
      </c>
      <c r="V203" s="393">
        <f>V107</f>
        <v>1049335.2024853</v>
      </c>
      <c r="W203" s="393">
        <f>W107</f>
        <v>1046749.8086888</v>
      </c>
      <c r="X203" s="393">
        <f>X107</f>
        <v>1155032.57112269</v>
      </c>
      <c r="Y203" s="393">
        <f>Y107</f>
        <v>1155032.57112269</v>
      </c>
      <c r="Z203" s="393">
        <f>Z107</f>
        <v>1155032.57112269</v>
      </c>
      <c r="AA203" s="393">
        <f>AA107</f>
        <v>1233249.25574446</v>
      </c>
      <c r="AB203" s="393">
        <f>AB107</f>
        <v>1185167.78650091</v>
      </c>
      <c r="AC203" s="393">
        <f>AC107</f>
        <v>1185167.78650091</v>
      </c>
      <c r="AD203" s="393">
        <f>AD107</f>
        <v>1185167.78650091</v>
      </c>
      <c r="AE203" s="393">
        <f>AE107</f>
        <v>619121.367369457</v>
      </c>
      <c r="AF203" s="393">
        <f>AF107</f>
        <v>1537330.04796512</v>
      </c>
      <c r="AG203" s="393">
        <f>AG107</f>
        <v>1256676.70677379</v>
      </c>
      <c r="AH203" s="393">
        <f>AH107</f>
        <v>1365028.60677379</v>
      </c>
      <c r="AI203" s="393">
        <f>AI107</f>
        <v>1583317.98634154</v>
      </c>
      <c r="AJ203" s="393">
        <f>AJ107</f>
        <v>1536480.35562591</v>
      </c>
      <c r="AK203" s="393">
        <f>AK107</f>
        <v>1510508.13431616</v>
      </c>
      <c r="AL203" s="393">
        <f>AL107</f>
        <v>1919475.0057135</v>
      </c>
      <c r="AM203" s="393">
        <f>AM107</f>
        <v>1244076.84978468</v>
      </c>
      <c r="AN203" s="393">
        <f>AN107</f>
        <v>1334370.09978468</v>
      </c>
      <c r="AO203" s="393">
        <f>AO107</f>
        <v>1424663.34978468</v>
      </c>
      <c r="AP203" s="393">
        <f>AP107</f>
        <v>1533015.24978468</v>
      </c>
      <c r="AQ203" s="393">
        <f>AQ107</f>
        <v>1623308.49978468</v>
      </c>
      <c r="AR203" s="393">
        <f>AR107</f>
        <v>1623308.49978468</v>
      </c>
      <c r="AS203" s="393">
        <f>AS107</f>
        <v>1623308.49978468</v>
      </c>
      <c r="AT203" s="393">
        <f>AT107</f>
        <v>1731660.39978468</v>
      </c>
      <c r="AU203" s="393">
        <f>AU107</f>
        <v>2046441.33338102</v>
      </c>
      <c r="AV203" s="393">
        <f>AV107</f>
        <v>1421765.14086855</v>
      </c>
      <c r="AW203" s="393">
        <f>AW107</f>
        <v>1421765.14086855</v>
      </c>
      <c r="AX203" s="393">
        <f>AX107</f>
        <v>1421765.14086855</v>
      </c>
      <c r="AY203" s="393">
        <f>AY107</f>
        <v>1530117.04086855</v>
      </c>
      <c r="AZ203" s="393">
        <f>AZ107</f>
        <v>1512058.39086855</v>
      </c>
      <c r="BA203" s="393">
        <f>BA107</f>
        <v>1493999.74086855</v>
      </c>
      <c r="BB203" s="393">
        <f>BB107</f>
        <v>1493999.74086855</v>
      </c>
      <c r="BC203" s="393">
        <f>BC107</f>
        <v>1493999.74086855</v>
      </c>
      <c r="BD203" s="393">
        <f>BD107</f>
        <v>1512058.39086855</v>
      </c>
      <c r="BE203" s="393">
        <f>BE107</f>
        <v>1530117.04086855</v>
      </c>
      <c r="BF203" s="393">
        <f>BF107</f>
        <v>1493999.74086855</v>
      </c>
      <c r="BG203" s="393">
        <f>BG107</f>
        <v>1512058.39086855</v>
      </c>
      <c r="BH203" s="393">
        <f>BH107</f>
        <v>1779053.31592415</v>
      </c>
      <c r="BI203" s="393">
        <f>BI107</f>
        <v>1246046.85</v>
      </c>
      <c r="BJ203" s="393">
        <f>BJ107</f>
        <v>1065460.35</v>
      </c>
      <c r="BK203" s="393">
        <f>BK107</f>
        <v>1065460.35</v>
      </c>
      <c r="BL203" s="393">
        <f>BL107</f>
        <v>1065460.35</v>
      </c>
      <c r="BM203" s="393">
        <f>BM107</f>
        <v>1173812.25</v>
      </c>
      <c r="BN203" s="393">
        <f>BN107</f>
        <v>1047401.7</v>
      </c>
      <c r="BO203" s="393">
        <f>BO107</f>
        <v>866815.199999999</v>
      </c>
      <c r="BP203" s="393">
        <f>BP107</f>
        <v>866815.2</v>
      </c>
      <c r="BQ203" s="393">
        <f>BQ107</f>
        <v>866815.2</v>
      </c>
      <c r="BR203" s="393">
        <f>BR107</f>
        <v>957108.45</v>
      </c>
      <c r="BS203" s="393">
        <f>BS107</f>
        <v>884873.85</v>
      </c>
      <c r="BT203" s="393">
        <f>BT107</f>
        <v>758463.3</v>
      </c>
      <c r="BU203" s="393">
        <f>BU107</f>
        <v>668170.05</v>
      </c>
      <c r="BV203" s="393">
        <f>BV107</f>
        <v>595935.45</v>
      </c>
      <c r="BW203" s="393">
        <f>BW107</f>
        <v>469524.9</v>
      </c>
      <c r="BX203" s="393">
        <f>BX107</f>
        <v>379231.65</v>
      </c>
      <c r="BY203" s="393">
        <f>BY107</f>
        <v>306997.05</v>
      </c>
      <c r="BZ203" s="393">
        <f>BZ107</f>
        <v>180586.5</v>
      </c>
      <c r="CA203" s="393">
        <f>CA107</f>
        <v>0</v>
      </c>
      <c r="CB203" s="393">
        <f>CB107</f>
        <v>0</v>
      </c>
      <c r="CC203" s="393">
        <f>CC107</f>
        <v>0</v>
      </c>
      <c r="CD203" s="393">
        <f>CD107</f>
        <v>0</v>
      </c>
      <c r="CE203" s="393">
        <f>CE107</f>
        <v>0</v>
      </c>
      <c r="CF203" s="393">
        <f>CF107</f>
        <v>0</v>
      </c>
      <c r="CG203" s="393">
        <f>CG107</f>
        <v>0</v>
      </c>
      <c r="CH203" s="393">
        <f>CH107</f>
        <v>0</v>
      </c>
      <c r="CI203" s="393">
        <f>CI107</f>
        <v>0</v>
      </c>
      <c r="CJ203" s="393">
        <f>CJ107</f>
        <v>0</v>
      </c>
      <c r="CK203" s="393">
        <f>CK107</f>
        <v>0</v>
      </c>
      <c r="CL203" s="393">
        <f>CL107</f>
        <v>0</v>
      </c>
      <c r="CM203" s="393">
        <f>CM107</f>
        <v>0</v>
      </c>
      <c r="CN203" s="393">
        <f>CN107</f>
        <v>0</v>
      </c>
      <c r="CO203" s="393">
        <f>CO107</f>
        <v>0</v>
      </c>
      <c r="CP203" s="393">
        <f>CP107</f>
        <v>0</v>
      </c>
      <c r="CQ203" s="393">
        <f>CQ107</f>
        <v>0</v>
      </c>
      <c r="CR203" s="393">
        <f>CR107</f>
        <v>0</v>
      </c>
      <c r="CS203" s="393">
        <f>CS107</f>
        <v>0</v>
      </c>
      <c r="CT203" s="393">
        <f>CT107</f>
        <v>0</v>
      </c>
      <c r="CU203" s="393">
        <f>CU107</f>
        <v>0</v>
      </c>
      <c r="CV203" s="393">
        <f>CV107</f>
        <v>0</v>
      </c>
      <c r="CW203" s="393">
        <f>CW107</f>
        <v>0</v>
      </c>
      <c r="CX203" s="393">
        <f>CX107</f>
        <v>0</v>
      </c>
      <c r="CY203" s="393">
        <f>CY107</f>
        <v>0</v>
      </c>
      <c r="CZ203" s="393">
        <f>CZ107</f>
        <v>0</v>
      </c>
      <c r="DA203" s="393">
        <f>DA107</f>
        <v>0</v>
      </c>
      <c r="DB203" s="393">
        <f>DB107</f>
        <v>0</v>
      </c>
      <c r="DC203" s="393">
        <f>DC107</f>
        <v>0</v>
      </c>
      <c r="DD203" s="393">
        <f>DD107</f>
        <v>0</v>
      </c>
      <c r="DE203" s="393">
        <f>DE107</f>
        <v>0</v>
      </c>
    </row>
    <row r="204" ht="15" customFormat="1" customHeight="1" s="381">
      <c r="A204" s="420" t="inlineStr">
        <is>
          <t>Six Peak Revenue</t>
        </is>
      </c>
      <c r="B204" s="393">
        <f>B168</f>
        <v>34114.58</v>
      </c>
      <c r="C204" s="393">
        <f>C168</f>
        <v>34114.58</v>
      </c>
      <c r="D204" s="393">
        <f>D168</f>
        <v>34114.58</v>
      </c>
      <c r="E204" s="393">
        <f>E168</f>
        <v>34114.58</v>
      </c>
      <c r="F204" s="393">
        <f>F168</f>
        <v>34114.58</v>
      </c>
      <c r="G204" s="393">
        <f>G168</f>
        <v>333114.58</v>
      </c>
      <c r="H204" s="393">
        <f>H168</f>
        <v>46039.2228571429</v>
      </c>
      <c r="I204" s="393">
        <f>I168</f>
        <v>52636.2228571429</v>
      </c>
      <c r="J204" s="393">
        <f>J168</f>
        <v>55552.8928571429</v>
      </c>
      <c r="K204" s="393">
        <f>K168</f>
        <v>55552.8928571429</v>
      </c>
      <c r="L204" s="393">
        <f>L168</f>
        <v>46177.8928571429</v>
      </c>
      <c r="M204" s="393">
        <f>M168</f>
        <v>43427.8928571429</v>
      </c>
      <c r="N204" s="393">
        <f>N168</f>
        <v>523712.102857143</v>
      </c>
      <c r="O204" s="393">
        <f>O168</f>
        <v>75129.96</v>
      </c>
      <c r="P204" s="393">
        <f>P168</f>
        <v>76379.96</v>
      </c>
      <c r="Q204" s="393">
        <f>Q168</f>
        <v>99512.1904</v>
      </c>
      <c r="R204" s="393">
        <f>R168</f>
        <v>93261.9904</v>
      </c>
      <c r="S204" s="393">
        <f>S168</f>
        <v>93261.9904</v>
      </c>
      <c r="T204" s="393">
        <f>T168</f>
        <v>65355.7404</v>
      </c>
      <c r="U204" s="393">
        <f>U168</f>
        <v>64855.7404</v>
      </c>
      <c r="V204" s="393">
        <f>V168</f>
        <v>64855.7404</v>
      </c>
      <c r="W204" s="393">
        <f>W168</f>
        <v>81428.0028</v>
      </c>
      <c r="X204" s="393">
        <f>X168</f>
        <v>96653.2652</v>
      </c>
      <c r="Y204" s="393">
        <f>Y168</f>
        <v>170600.5276</v>
      </c>
      <c r="Z204" s="393">
        <f>Z168</f>
        <v>105410.004</v>
      </c>
      <c r="AA204" s="393">
        <f>AA168</f>
        <v>120946.506</v>
      </c>
      <c r="AB204" s="393">
        <f>AB168</f>
        <v>193857.996</v>
      </c>
      <c r="AC204" s="393">
        <f>AC168</f>
        <v>152019.486</v>
      </c>
      <c r="AD204" s="393">
        <f>AD168</f>
        <v>167555.982</v>
      </c>
      <c r="AE204" s="393">
        <f>AE168</f>
        <v>240467.484</v>
      </c>
      <c r="AF204" s="393">
        <f>AF168</f>
        <v>185883.577</v>
      </c>
      <c r="AG204" s="393">
        <f>AG168</f>
        <v>176441.1605</v>
      </c>
      <c r="AH204" s="393">
        <f>AH168</f>
        <v>209731.2855</v>
      </c>
      <c r="AI204" s="393">
        <f>AI168</f>
        <v>151106.0555</v>
      </c>
      <c r="AJ204" s="393">
        <f>AJ168</f>
        <v>151536.2215</v>
      </c>
      <c r="AK204" s="393">
        <f>AK168</f>
        <v>151966.3765</v>
      </c>
      <c r="AL204" s="393">
        <f>AL168</f>
        <v>152396.537</v>
      </c>
      <c r="AM204" s="393">
        <f>AM168</f>
        <v>152826.692</v>
      </c>
      <c r="AN204" s="393">
        <f>AN168</f>
        <v>167498.6405</v>
      </c>
      <c r="AO204" s="393">
        <f>AO168</f>
        <v>153687.0185</v>
      </c>
      <c r="AP204" s="393">
        <f>AP168</f>
        <v>139875.391</v>
      </c>
      <c r="AQ204" s="393">
        <f>AQ168</f>
        <v>126063.7635</v>
      </c>
      <c r="AR204" s="393">
        <f>AR168</f>
        <v>112252.1305</v>
      </c>
      <c r="AS204" s="393">
        <f>AS168</f>
        <v>90627.735</v>
      </c>
      <c r="AT204" s="393">
        <f>AT168</f>
        <v>159754.71</v>
      </c>
      <c r="AU204" s="393">
        <f>AU168</f>
        <v>65515.68</v>
      </c>
      <c r="AV204" s="393">
        <f>AV168</f>
        <v>52959.66</v>
      </c>
      <c r="AW204" s="393">
        <f>AW168</f>
        <v>121601.0485</v>
      </c>
      <c r="AX204" s="393">
        <f>AX168</f>
        <v>80797.05</v>
      </c>
      <c r="AY204" s="393">
        <f>AY168</f>
        <v>67849.975</v>
      </c>
      <c r="AZ204" s="393">
        <f>AZ168</f>
        <v>123738.6125</v>
      </c>
      <c r="BA204" s="393">
        <f>BA168</f>
        <v>41626.452</v>
      </c>
      <c r="BB204" s="393">
        <f>BB168</f>
        <v>41196.286</v>
      </c>
      <c r="BC204" s="393">
        <f>BC168</f>
        <v>974287.131</v>
      </c>
      <c r="BD204" s="393">
        <f>BD168</f>
        <v>40335.9705</v>
      </c>
      <c r="BE204" s="393">
        <f>BE168</f>
        <v>39905.81</v>
      </c>
      <c r="BF204" s="393">
        <f>BF168</f>
        <v>170353.6495</v>
      </c>
      <c r="BG204" s="393">
        <f>BG168</f>
        <v>39045.489</v>
      </c>
      <c r="BH204" s="393">
        <f>BH168</f>
        <v>38615.3285</v>
      </c>
      <c r="BI204" s="393">
        <f>BI168</f>
        <v>169061.168</v>
      </c>
      <c r="BJ204" s="393">
        <f>BJ168</f>
        <v>37755.0075</v>
      </c>
      <c r="BK204" s="393">
        <f>BK168</f>
        <v>37324.847</v>
      </c>
      <c r="BL204" s="393">
        <f>BL168</f>
        <v>167770.692</v>
      </c>
      <c r="BM204" s="393">
        <f>BM168</f>
        <v>59965.026</v>
      </c>
      <c r="BN204" s="393">
        <f>BN168</f>
        <v>59534.8655</v>
      </c>
      <c r="BO204" s="393">
        <f>BO168</f>
        <v>243806.995</v>
      </c>
      <c r="BP204" s="393">
        <f>BP168</f>
        <v>0</v>
      </c>
      <c r="BQ204" s="393">
        <f>BQ168</f>
        <v>0</v>
      </c>
      <c r="BR204" s="393">
        <f>BR168</f>
        <v>142406</v>
      </c>
      <c r="BS204" s="393">
        <f>BS168</f>
        <v>0</v>
      </c>
      <c r="BT204" s="393">
        <f>BT168</f>
        <v>0</v>
      </c>
      <c r="BU204" s="393">
        <f>BU168</f>
        <v>142402</v>
      </c>
      <c r="BV204" s="393">
        <f>BV168</f>
        <v>0</v>
      </c>
      <c r="BW204" s="393">
        <f>BW168</f>
        <v>0</v>
      </c>
      <c r="BX204" s="393">
        <f>BX168</f>
        <v>142402</v>
      </c>
      <c r="BY204" s="393">
        <f>BY168</f>
        <v>0</v>
      </c>
      <c r="BZ204" s="393">
        <f>BZ168</f>
        <v>0</v>
      </c>
      <c r="CA204" s="393">
        <f>CA168</f>
        <v>215558</v>
      </c>
      <c r="CB204" s="393">
        <f>CB168</f>
        <v>0</v>
      </c>
      <c r="CC204" s="393">
        <f>CC168</f>
        <v>0</v>
      </c>
      <c r="CD204" s="393">
        <f>CD168</f>
        <v>231017</v>
      </c>
      <c r="CE204" s="393">
        <f>CE168</f>
        <v>0</v>
      </c>
      <c r="CF204" s="393">
        <f>CF168</f>
        <v>0</v>
      </c>
      <c r="CG204" s="393">
        <f>CG168</f>
        <v>231016</v>
      </c>
      <c r="CH204" s="393">
        <f>CH168</f>
        <v>0</v>
      </c>
      <c r="CI204" s="393">
        <f>CI168</f>
        <v>0</v>
      </c>
      <c r="CJ204" s="393">
        <f>CJ168</f>
        <v>231016</v>
      </c>
      <c r="CK204" s="393">
        <f>CK168</f>
        <v>231016</v>
      </c>
      <c r="CL204" s="393">
        <f>CL168</f>
        <v>231016</v>
      </c>
      <c r="CM204" s="393">
        <f>CM168</f>
        <v>231016</v>
      </c>
      <c r="CN204" s="393">
        <f>CN168</f>
        <v>231016</v>
      </c>
      <c r="CO204" s="393">
        <f>CO168</f>
        <v>231016</v>
      </c>
      <c r="CP204" s="393">
        <f>CP168</f>
        <v>231016</v>
      </c>
      <c r="CQ204" s="393">
        <f>CQ168</f>
        <v>231016</v>
      </c>
      <c r="CR204" s="393">
        <f>CR168</f>
        <v>231016</v>
      </c>
      <c r="CS204" s="393">
        <f>CS168</f>
        <v>231016</v>
      </c>
      <c r="CT204" s="393">
        <f>CT168</f>
        <v>231016</v>
      </c>
      <c r="CU204" s="393">
        <f>CU168</f>
        <v>231016</v>
      </c>
      <c r="CV204" s="393">
        <f>CV168</f>
        <v>231016</v>
      </c>
      <c r="CW204" s="393">
        <f>CW168</f>
        <v>231016</v>
      </c>
      <c r="CX204" s="393">
        <f>CX168</f>
        <v>231016</v>
      </c>
      <c r="CY204" s="393">
        <f>CY168</f>
        <v>231016</v>
      </c>
      <c r="CZ204" s="393">
        <f>CZ168</f>
        <v>231016</v>
      </c>
      <c r="DA204" s="393">
        <f>DA168</f>
        <v>231016</v>
      </c>
      <c r="DB204" s="393">
        <f>DB168</f>
        <v>231016</v>
      </c>
      <c r="DC204" s="393">
        <f>DC168</f>
        <v>231016</v>
      </c>
      <c r="DD204" s="393">
        <f>DD168</f>
        <v>231016</v>
      </c>
      <c r="DE204" s="393">
        <f>DE168</f>
        <v>231016</v>
      </c>
    </row>
    <row r="205" ht="15" customFormat="1" customHeight="1" s="381">
      <c r="A205" s="421" t="inlineStr">
        <is>
          <t xml:space="preserve">Total Income (GC gross profit + SP revenue)</t>
        </is>
      </c>
      <c r="B205" s="410">
        <f>B203+B204</f>
        <v>252871.44</v>
      </c>
      <c r="C205" s="410">
        <f>C203+C204</f>
        <v>-16886.19</v>
      </c>
      <c r="D205" s="410">
        <f>D203+D204</f>
        <v>628299.1</v>
      </c>
      <c r="E205" s="410">
        <f>E203+E204</f>
        <v>481472.830000001</v>
      </c>
      <c r="F205" s="410">
        <f>F203+F204</f>
        <v>507901.28</v>
      </c>
      <c r="G205" s="410">
        <f>G203+G204</f>
        <v>984759.71</v>
      </c>
      <c r="H205" s="410">
        <f>H203+H204</f>
        <v>499249.762440447</v>
      </c>
      <c r="I205" s="410">
        <f>I203+I204</f>
        <v>833276.581022445</v>
      </c>
      <c r="J205" s="410">
        <f>J203+J204</f>
        <v>786521.370835222</v>
      </c>
      <c r="K205" s="410">
        <f>K203+K204</f>
        <v>768180.016609318</v>
      </c>
      <c r="L205" s="410">
        <f>L203+L204</f>
        <v>464119.344550399</v>
      </c>
      <c r="M205" s="410">
        <f>M203+M204</f>
        <v>745369.425584677</v>
      </c>
      <c r="N205" s="410">
        <f>N203+N204</f>
        <v>1398206.19040525</v>
      </c>
      <c r="O205" s="410">
        <f>O203+O204</f>
        <v>924027.373030368</v>
      </c>
      <c r="P205" s="410">
        <f>P203+P204</f>
        <v>897350.748388162</v>
      </c>
      <c r="Q205" s="410">
        <f>Q203+Q204</f>
        <v>891557.150596431</v>
      </c>
      <c r="R205" s="410">
        <f>R203+R204</f>
        <v>61169.4421319626</v>
      </c>
      <c r="S205" s="410">
        <f>S203+S204</f>
        <v>964002.159489858</v>
      </c>
      <c r="T205" s="410">
        <f>T203+T204</f>
        <v>847283.721123498</v>
      </c>
      <c r="U205" s="410">
        <f>U203+U204</f>
        <v>1116973.84354294</v>
      </c>
      <c r="V205" s="410">
        <f>V203+V204</f>
        <v>1114190.9428853</v>
      </c>
      <c r="W205" s="410">
        <f>W203+W204</f>
        <v>1128177.8114888</v>
      </c>
      <c r="X205" s="410">
        <f>X203+X204</f>
        <v>1251685.83632269</v>
      </c>
      <c r="Y205" s="410">
        <f>Y203+Y204</f>
        <v>1325633.09872269</v>
      </c>
      <c r="Z205" s="410">
        <f>Z203+Z204</f>
        <v>1260442.57512269</v>
      </c>
      <c r="AA205" s="410">
        <f>AA203+AA204</f>
        <v>1354195.76174446</v>
      </c>
      <c r="AB205" s="410">
        <f>AB203+AB204</f>
        <v>1379025.78250091</v>
      </c>
      <c r="AC205" s="410">
        <f>AC203+AC204</f>
        <v>1337187.27250091</v>
      </c>
      <c r="AD205" s="410">
        <f>AD203+AD204</f>
        <v>1352723.76850091</v>
      </c>
      <c r="AE205" s="410">
        <f>AE203+AE204</f>
        <v>859588.851369457</v>
      </c>
      <c r="AF205" s="410">
        <f>AF203+AF204</f>
        <v>1723213.62496512</v>
      </c>
      <c r="AG205" s="410">
        <f>AG203+AG204</f>
        <v>1433117.86727379</v>
      </c>
      <c r="AH205" s="410">
        <f>AH203+AH204</f>
        <v>1574759.89227379</v>
      </c>
      <c r="AI205" s="410">
        <f>AI203+AI204</f>
        <v>1734424.04184154</v>
      </c>
      <c r="AJ205" s="410">
        <f>AJ203+AJ204</f>
        <v>1688016.57712591</v>
      </c>
      <c r="AK205" s="410">
        <f>AK203+AK204</f>
        <v>1662474.51081616</v>
      </c>
      <c r="AL205" s="410">
        <f>AL203+AL204</f>
        <v>2071871.5427135</v>
      </c>
      <c r="AM205" s="410">
        <f>AM203+AM204</f>
        <v>1396903.54178468</v>
      </c>
      <c r="AN205" s="410">
        <f>AN203+AN204</f>
        <v>1501868.74028468</v>
      </c>
      <c r="AO205" s="410">
        <f>AO203+AO204</f>
        <v>1578350.36828468</v>
      </c>
      <c r="AP205" s="410">
        <f>AP203+AP204</f>
        <v>1672890.64078468</v>
      </c>
      <c r="AQ205" s="410">
        <f>AQ203+AQ204</f>
        <v>1749372.26328468</v>
      </c>
      <c r="AR205" s="410">
        <f>AR203+AR204</f>
        <v>1735560.63028468</v>
      </c>
      <c r="AS205" s="410">
        <f>AS203+AS204</f>
        <v>1713936.23478468</v>
      </c>
      <c r="AT205" s="410">
        <f>AT203+AT204</f>
        <v>1891415.10978468</v>
      </c>
      <c r="AU205" s="410">
        <f>AU203+AU204</f>
        <v>2111957.01338102</v>
      </c>
      <c r="AV205" s="410">
        <f>AV203+AV204</f>
        <v>1474724.80086855</v>
      </c>
      <c r="AW205" s="410">
        <f>AW203+AW204</f>
        <v>1543366.18936855</v>
      </c>
      <c r="AX205" s="410">
        <f>AX203+AX204</f>
        <v>1502562.19086855</v>
      </c>
      <c r="AY205" s="410">
        <f>AY203+AY204</f>
        <v>1597967.01586855</v>
      </c>
      <c r="AZ205" s="410">
        <f>AZ203+AZ204</f>
        <v>1635797.00336855</v>
      </c>
      <c r="BA205" s="410">
        <f>BA203+BA204</f>
        <v>1535626.19286855</v>
      </c>
      <c r="BB205" s="410">
        <f>BB203+BB204</f>
        <v>1535196.02686855</v>
      </c>
      <c r="BC205" s="410">
        <f>BC203+BC204</f>
        <v>2468286.87186855</v>
      </c>
      <c r="BD205" s="410">
        <f>BD203+BD204</f>
        <v>1552394.36136855</v>
      </c>
      <c r="BE205" s="410">
        <f>BE203+BE204</f>
        <v>1570022.85086855</v>
      </c>
      <c r="BF205" s="410">
        <f>BF203+BF204</f>
        <v>1664353.39036855</v>
      </c>
      <c r="BG205" s="410">
        <f>BG203+BG204</f>
        <v>1551103.87986855</v>
      </c>
      <c r="BH205" s="410">
        <f>BH203+BH204</f>
        <v>1817668.64442415</v>
      </c>
      <c r="BI205" s="410">
        <f>BI203+BI204</f>
        <v>1415108.018</v>
      </c>
      <c r="BJ205" s="410">
        <f>BJ203+BJ204</f>
        <v>1103215.3575</v>
      </c>
      <c r="BK205" s="410">
        <f>BK203+BK204</f>
        <v>1102785.197</v>
      </c>
      <c r="BL205" s="410">
        <f>BL203+BL204</f>
        <v>1233231.042</v>
      </c>
      <c r="BM205" s="410">
        <f>BM203+BM204</f>
        <v>1233777.276</v>
      </c>
      <c r="BN205" s="410">
        <f>BN203+BN204</f>
        <v>1106936.5655</v>
      </c>
      <c r="BO205" s="410">
        <f>BO203+BO204</f>
        <v>1110622.195</v>
      </c>
      <c r="BP205" s="410">
        <f>BP203+BP204</f>
        <v>866815.2</v>
      </c>
      <c r="BQ205" s="410">
        <f>BQ203+BQ204</f>
        <v>866815.2</v>
      </c>
      <c r="BR205" s="410">
        <f>BR203+BR204</f>
        <v>1099514.45</v>
      </c>
      <c r="BS205" s="410">
        <f>BS203+BS204</f>
        <v>884873.85</v>
      </c>
      <c r="BT205" s="410">
        <f>BT203+BT204</f>
        <v>758463.3</v>
      </c>
      <c r="BU205" s="410">
        <f>BU203+BU204</f>
        <v>810572.05</v>
      </c>
      <c r="BV205" s="410">
        <f>BV203+BV204</f>
        <v>595935.45</v>
      </c>
      <c r="BW205" s="410">
        <f>BW203+BW204</f>
        <v>469524.9</v>
      </c>
      <c r="BX205" s="410">
        <f>BX203+BX204</f>
        <v>521633.65</v>
      </c>
      <c r="BY205" s="410">
        <f>BY203+BY204</f>
        <v>306997.05</v>
      </c>
      <c r="BZ205" s="410">
        <f>BZ203+BZ204</f>
        <v>180586.5</v>
      </c>
      <c r="CA205" s="410">
        <f>CA203+CA204</f>
        <v>215558</v>
      </c>
      <c r="CB205" s="410">
        <f>CB203+CB204</f>
        <v>0</v>
      </c>
      <c r="CC205" s="410">
        <f>CC203+CC204</f>
        <v>0</v>
      </c>
      <c r="CD205" s="410">
        <f>CD203+CD204</f>
        <v>231017</v>
      </c>
      <c r="CE205" s="410">
        <f>CE203+CE204</f>
        <v>0</v>
      </c>
      <c r="CF205" s="410">
        <f>CF203+CF204</f>
        <v>0</v>
      </c>
      <c r="CG205" s="410">
        <f>CG203+CG204</f>
        <v>231016</v>
      </c>
      <c r="CH205" s="410">
        <f>CH203+CH204</f>
        <v>0</v>
      </c>
      <c r="CI205" s="410">
        <f>CI203+CI204</f>
        <v>0</v>
      </c>
      <c r="CJ205" s="410">
        <f>CJ203+CJ204</f>
        <v>231016</v>
      </c>
      <c r="CK205" s="410">
        <f>CK203+CK204</f>
        <v>231016</v>
      </c>
      <c r="CL205" s="410">
        <f>CL203+CL204</f>
        <v>231016</v>
      </c>
      <c r="CM205" s="410">
        <f>CM203+CM204</f>
        <v>231016</v>
      </c>
      <c r="CN205" s="410">
        <f>CN203+CN204</f>
        <v>231016</v>
      </c>
      <c r="CO205" s="410">
        <f>CO203+CO204</f>
        <v>231016</v>
      </c>
      <c r="CP205" s="410">
        <f>CP203+CP204</f>
        <v>231016</v>
      </c>
      <c r="CQ205" s="410">
        <f>CQ203+CQ204</f>
        <v>231016</v>
      </c>
      <c r="CR205" s="410">
        <f>CR203+CR204</f>
        <v>231016</v>
      </c>
      <c r="CS205" s="410">
        <f>CS203+CS204</f>
        <v>231016</v>
      </c>
      <c r="CT205" s="410">
        <f>CT203+CT204</f>
        <v>231016</v>
      </c>
      <c r="CU205" s="410">
        <f>CU203+CU204</f>
        <v>231016</v>
      </c>
      <c r="CV205" s="410">
        <f>CV203+CV204</f>
        <v>231016</v>
      </c>
      <c r="CW205" s="410">
        <f>CW203+CW204</f>
        <v>231016</v>
      </c>
      <c r="CX205" s="410">
        <f>CX203+CX204</f>
        <v>231016</v>
      </c>
      <c r="CY205" s="410">
        <f>CY203+CY204</f>
        <v>231016</v>
      </c>
      <c r="CZ205" s="410">
        <f>CZ203+CZ204</f>
        <v>231016</v>
      </c>
      <c r="DA205" s="410">
        <f>DA203+DA204</f>
        <v>231016</v>
      </c>
      <c r="DB205" s="410">
        <f>DB203+DB204</f>
        <v>231016</v>
      </c>
      <c r="DC205" s="410">
        <f>DC203+DC204</f>
        <v>231016</v>
      </c>
      <c r="DD205" s="410">
        <f>DD203+DD204</f>
        <v>231016</v>
      </c>
      <c r="DE205" s="410">
        <f>DE203+DE204</f>
        <v>231016</v>
      </c>
    </row>
    <row r="206" ht="15" customFormat="1" customHeight="1" s="381">
      <c r="A206" s="420" t="inlineStr">
        <is>
          <t xml:space="preserve">GC Costs (net of trade COGS)</t>
        </is>
      </c>
      <c r="B206" s="393">
        <f>B144</f>
        <v>-260601.5</v>
      </c>
      <c r="C206" s="393">
        <f>C144</f>
        <v>-260308.54</v>
      </c>
      <c r="D206" s="393">
        <f>D144</f>
        <v>-351937.74</v>
      </c>
      <c r="E206" s="393">
        <f>E144</f>
        <v>-73431.56</v>
      </c>
      <c r="F206" s="393">
        <f>F144</f>
        <v>-437914.85</v>
      </c>
      <c r="G206" s="393">
        <f>G144</f>
        <v>-322841.21</v>
      </c>
      <c r="H206" s="393">
        <f>H144</f>
        <v>-529245.725</v>
      </c>
      <c r="I206" s="393">
        <f>I144</f>
        <v>-484245.725</v>
      </c>
      <c r="J206" s="393">
        <f>J144</f>
        <v>-484245.725</v>
      </c>
      <c r="K206" s="393">
        <f>K144</f>
        <v>-484245.725</v>
      </c>
      <c r="L206" s="393">
        <f>L144</f>
        <v>-523512.391666667</v>
      </c>
      <c r="M206" s="393">
        <f>M144</f>
        <v>-531416.558333333</v>
      </c>
      <c r="N206" s="393">
        <f>N144</f>
        <v>-590193.648333333</v>
      </c>
      <c r="O206" s="393">
        <f>O144</f>
        <v>-566667.420208333</v>
      </c>
      <c r="P206" s="393">
        <f>P144</f>
        <v>-528693.648333333</v>
      </c>
      <c r="Q206" s="393">
        <f>Q144</f>
        <v>-537190.854633333</v>
      </c>
      <c r="R206" s="393">
        <f>R144</f>
        <v>-647250.479633333</v>
      </c>
      <c r="S206" s="393">
        <f>S144</f>
        <v>-618790.517133333</v>
      </c>
      <c r="T206" s="393">
        <f>T144</f>
        <v>-608793.942133333</v>
      </c>
      <c r="U206" s="393">
        <f>U144</f>
        <v>-626607.402133333</v>
      </c>
      <c r="V206" s="393">
        <f>V144</f>
        <v>-580500.479633333</v>
      </c>
      <c r="W206" s="393">
        <f>W144</f>
        <v>-580500.479633333</v>
      </c>
      <c r="X206" s="393">
        <f>X144</f>
        <v>-580500.479633333</v>
      </c>
      <c r="Y206" s="393">
        <f>Y144</f>
        <v>-643066.306083333</v>
      </c>
      <c r="Z206" s="393">
        <f>Z144</f>
        <v>-580500.479633333</v>
      </c>
      <c r="AA206" s="393">
        <f>AA144</f>
        <v>-580500.479633333</v>
      </c>
      <c r="AB206" s="393">
        <f>AB144</f>
        <v>-580500.479633333</v>
      </c>
      <c r="AC206" s="393">
        <f>AC144</f>
        <v>-635033.822559333</v>
      </c>
      <c r="AD206" s="393">
        <f>AD144</f>
        <v>-590033.822559333</v>
      </c>
      <c r="AE206" s="393">
        <f>AE144</f>
        <v>-590033.822559333</v>
      </c>
      <c r="AF206" s="393">
        <f>AF144</f>
        <v>-590033.822559333</v>
      </c>
      <c r="AG206" s="393">
        <f>AG144</f>
        <v>-590033.822559333</v>
      </c>
      <c r="AH206" s="393">
        <f>AH144</f>
        <v>-635033.822559333</v>
      </c>
      <c r="AI206" s="393">
        <f>AI144</f>
        <v>-635033.822559333</v>
      </c>
      <c r="AJ206" s="393">
        <f>AJ144</f>
        <v>-590033.822559333</v>
      </c>
      <c r="AK206" s="393">
        <f>AK144</f>
        <v>-599240.360059333</v>
      </c>
      <c r="AL206" s="393">
        <f>AL144</f>
        <v>-627533.822559333</v>
      </c>
      <c r="AM206" s="393">
        <f>AM144</f>
        <v>-627533.822559333</v>
      </c>
      <c r="AN206" s="393">
        <f>AN144</f>
        <v>-635033.822559333</v>
      </c>
      <c r="AO206" s="393">
        <f>AO144</f>
        <v>-637257.832343853</v>
      </c>
      <c r="AP206" s="393">
        <f>AP144</f>
        <v>-637257.832343853</v>
      </c>
      <c r="AQ206" s="393">
        <f>AQ144</f>
        <v>-644757.832343853</v>
      </c>
      <c r="AR206" s="393">
        <f>AR144</f>
        <v>-637257.832343853</v>
      </c>
      <c r="AS206" s="393">
        <f>AS144</f>
        <v>-599757.832343853</v>
      </c>
      <c r="AT206" s="393">
        <f>AT144</f>
        <v>-599757.832343853</v>
      </c>
      <c r="AU206" s="393">
        <f>AU144</f>
        <v>-599757.832343853</v>
      </c>
      <c r="AV206" s="393">
        <f>AV144</f>
        <v>-644757.832343853</v>
      </c>
      <c r="AW206" s="393">
        <f>AW144</f>
        <v>-637257.832343853</v>
      </c>
      <c r="AX206" s="393">
        <f>AX144</f>
        <v>-599757.832343853</v>
      </c>
      <c r="AY206" s="393">
        <f>AY144</f>
        <v>-599757.832343853</v>
      </c>
      <c r="AZ206" s="393">
        <f>AZ144</f>
        <v>-599757.832343853</v>
      </c>
      <c r="BA206" s="393">
        <f>BA144</f>
        <v>-647176.322324064</v>
      </c>
      <c r="BB206" s="393">
        <f>BB144</f>
        <v>-654676.322324064</v>
      </c>
      <c r="BC206" s="393">
        <f>BC144</f>
        <v>-647176.322324064</v>
      </c>
      <c r="BD206" s="393">
        <f>BD144</f>
        <v>-647176.322324064</v>
      </c>
      <c r="BE206" s="393">
        <f>BE144</f>
        <v>-654676.322324064</v>
      </c>
      <c r="BF206" s="393">
        <f>BF144</f>
        <v>-647176.322324064</v>
      </c>
      <c r="BG206" s="393">
        <f>BG144</f>
        <v>-647176.322324064</v>
      </c>
      <c r="BH206" s="393">
        <f>BH144</f>
        <v>-654676.322324064</v>
      </c>
      <c r="BI206" s="393">
        <f>BI144</f>
        <v>-647176.322324064</v>
      </c>
      <c r="BJ206" s="393">
        <f>BJ144</f>
        <v>-609676.322324064</v>
      </c>
      <c r="BK206" s="393">
        <f>BK144</f>
        <v>-609676.322324064</v>
      </c>
      <c r="BL206" s="393">
        <f>BL144</f>
        <v>-609676.322324064</v>
      </c>
      <c r="BM206" s="393">
        <f>BM144</f>
        <v>-619793.182103878</v>
      </c>
      <c r="BN206" s="393">
        <f>BN144</f>
        <v>-619793.182103878</v>
      </c>
      <c r="BO206" s="393">
        <f>BO144</f>
        <v>-619793.182103878</v>
      </c>
      <c r="BP206" s="393">
        <f>BP144</f>
        <v>-619793.182103878</v>
      </c>
      <c r="BQ206" s="393">
        <f>BQ144</f>
        <v>-619793.182103878</v>
      </c>
      <c r="BR206" s="393">
        <f>BR144</f>
        <v>-619793.182103878</v>
      </c>
      <c r="BS206" s="393">
        <f>BS144</f>
        <v>-619793.182103878</v>
      </c>
      <c r="BT206" s="393">
        <f>BT144</f>
        <v>-619793.182103878</v>
      </c>
      <c r="BU206" s="393">
        <f>BU144</f>
        <v>-619793.182103878</v>
      </c>
      <c r="BV206" s="393">
        <f>BV144</f>
        <v>-619793.182103878</v>
      </c>
      <c r="BW206" s="393">
        <f>BW144</f>
        <v>-619793.182103878</v>
      </c>
      <c r="BX206" s="393">
        <f>BX144</f>
        <v>-619793.182103878</v>
      </c>
      <c r="BY206" s="393">
        <f>BY144</f>
        <v>-630112.379079289</v>
      </c>
      <c r="BZ206" s="393">
        <f>BZ144</f>
        <v>-630112.379079289</v>
      </c>
      <c r="CA206" s="393">
        <f>CA144</f>
        <v>-630112.379079289</v>
      </c>
      <c r="CB206" s="393">
        <f>CB144</f>
        <v>-630112.379079289</v>
      </c>
      <c r="CC206" s="393">
        <f>CC144</f>
        <v>-630112.379079289</v>
      </c>
      <c r="CD206" s="393">
        <f>CD144</f>
        <v>-630112.379079289</v>
      </c>
      <c r="CE206" s="393">
        <f>CE144</f>
        <v>-630112.379079289</v>
      </c>
      <c r="CF206" s="393">
        <f>CF144</f>
        <v>-630112.379079289</v>
      </c>
      <c r="CG206" s="393">
        <f>CG144</f>
        <v>-630112.379079289</v>
      </c>
      <c r="CH206" s="393">
        <f>CH144</f>
        <v>-630112.379079289</v>
      </c>
      <c r="CI206" s="393">
        <f>CI144</f>
        <v>-630112.379079289</v>
      </c>
      <c r="CJ206" s="393">
        <f>CJ144</f>
        <v>-630112.379079289</v>
      </c>
      <c r="CK206" s="393">
        <f>CK144</f>
        <v>-640637.959994208</v>
      </c>
      <c r="CL206" s="393">
        <f>CL144</f>
        <v>-640637.959994208</v>
      </c>
      <c r="CM206" s="393">
        <f>CM144</f>
        <v>-640637.959994208</v>
      </c>
      <c r="CN206" s="393">
        <f>CN144</f>
        <v>-640637.959994208</v>
      </c>
      <c r="CO206" s="393">
        <f>CO144</f>
        <v>-640637.959994208</v>
      </c>
      <c r="CP206" s="393">
        <f>CP144</f>
        <v>-640637.959994208</v>
      </c>
      <c r="CQ206" s="393">
        <f>CQ144</f>
        <v>-640637.959994208</v>
      </c>
      <c r="CR206" s="393">
        <f>CR144</f>
        <v>-640637.959994208</v>
      </c>
      <c r="CS206" s="393">
        <f>CS144</f>
        <v>-640637.959994208</v>
      </c>
      <c r="CT206" s="393">
        <f>CT144</f>
        <v>-576547.282477231</v>
      </c>
      <c r="CU206" s="393">
        <f>CU144</f>
        <v>-576547.282477231</v>
      </c>
      <c r="CV206" s="393">
        <f>CV144</f>
        <v>-576547.282477231</v>
      </c>
      <c r="CW206" s="393">
        <f>CW144</f>
        <v>-586001.561460109</v>
      </c>
      <c r="CX206" s="393">
        <f>CX144</f>
        <v>-586001.561460109</v>
      </c>
      <c r="CY206" s="393">
        <f>CY144</f>
        <v>-586001.561460109</v>
      </c>
      <c r="CZ206" s="393">
        <f>CZ144</f>
        <v>-586001.561460109</v>
      </c>
      <c r="DA206" s="393">
        <f>DA144</f>
        <v>-586001.561460109</v>
      </c>
      <c r="DB206" s="393">
        <f>DB144</f>
        <v>-586001.561460109</v>
      </c>
      <c r="DC206" s="393">
        <f>DC144</f>
        <v>-586001.561460109</v>
      </c>
      <c r="DD206" s="393">
        <f>DD144</f>
        <v>-586001.561460109</v>
      </c>
      <c r="DE206" s="393">
        <f>DE144</f>
        <v>-586001.561460109</v>
      </c>
    </row>
    <row r="207" ht="15" customFormat="1" customHeight="1" s="381">
      <c r="A207" s="420" t="inlineStr">
        <is>
          <t>Six Peak Expenses</t>
        </is>
      </c>
      <c r="B207" s="393">
        <f>B199</f>
        <v>-198827.72</v>
      </c>
      <c r="C207" s="393">
        <f>C199</f>
        <v>-192502</v>
      </c>
      <c r="D207" s="393">
        <f>D199</f>
        <v>-255024.1</v>
      </c>
      <c r="E207" s="393">
        <f>E199</f>
        <v>-195904.72</v>
      </c>
      <c r="F207" s="393">
        <f>F199</f>
        <v>-250029.52</v>
      </c>
      <c r="G207" s="393">
        <f>G199</f>
        <v>-201582.47</v>
      </c>
      <c r="H207" s="393">
        <f>H199</f>
        <v>-78090.0916666667</v>
      </c>
      <c r="I207" s="393">
        <f>I199</f>
        <v>-78090.0916666667</v>
      </c>
      <c r="J207" s="393">
        <f>J199</f>
        <v>-78090.0916666667</v>
      </c>
      <c r="K207" s="393">
        <f>K199</f>
        <v>-78090.0916666667</v>
      </c>
      <c r="L207" s="393">
        <f>L199</f>
        <v>-78090.0916666667</v>
      </c>
      <c r="M207" s="393">
        <f>M199</f>
        <v>-78090.0916666667</v>
      </c>
      <c r="N207" s="393">
        <f>N199</f>
        <v>-369313.211666667</v>
      </c>
      <c r="O207" s="393">
        <f>O199</f>
        <v>-78090.0916666667</v>
      </c>
      <c r="P207" s="393">
        <f>P199</f>
        <v>-78090.0916666667</v>
      </c>
      <c r="Q207" s="393">
        <f>Q199</f>
        <v>-79651.8935</v>
      </c>
      <c r="R207" s="393">
        <f>R199</f>
        <v>-79651.8935</v>
      </c>
      <c r="S207" s="393">
        <f>S199</f>
        <v>-79651.8935</v>
      </c>
      <c r="T207" s="393">
        <f>T199</f>
        <v>-79651.8935</v>
      </c>
      <c r="U207" s="393">
        <f>U199</f>
        <v>-79651.8935</v>
      </c>
      <c r="V207" s="393">
        <f>V199</f>
        <v>-79651.8935</v>
      </c>
      <c r="W207" s="393">
        <f>W199</f>
        <v>-79651.8935</v>
      </c>
      <c r="X207" s="393">
        <f>X199</f>
        <v>-79651.8935</v>
      </c>
      <c r="Y207" s="393">
        <f>Y199</f>
        <v>-79651.8935</v>
      </c>
      <c r="Z207" s="393">
        <f>Z199</f>
        <v>-79651.8935</v>
      </c>
      <c r="AA207" s="393">
        <f>AA199</f>
        <v>-79651.8935</v>
      </c>
      <c r="AB207" s="393">
        <f>AB199</f>
        <v>-79651.8935</v>
      </c>
      <c r="AC207" s="393">
        <f>AC199</f>
        <v>-81244.93137</v>
      </c>
      <c r="AD207" s="393">
        <f>AD199</f>
        <v>-81244.93137</v>
      </c>
      <c r="AE207" s="393">
        <f>AE199</f>
        <v>-81244.93137</v>
      </c>
      <c r="AF207" s="393">
        <f>AF199</f>
        <v>-81244.93137</v>
      </c>
      <c r="AG207" s="393">
        <f>AG199</f>
        <v>-81244.93137</v>
      </c>
      <c r="AH207" s="393">
        <f>AH199</f>
        <v>-81244.93137</v>
      </c>
      <c r="AI207" s="393">
        <f>AI199</f>
        <v>-81244.93137</v>
      </c>
      <c r="AJ207" s="393">
        <f>AJ199</f>
        <v>-81244.93137</v>
      </c>
      <c r="AK207" s="393">
        <f>AK199</f>
        <v>-81244.93137</v>
      </c>
      <c r="AL207" s="393">
        <f>AL199</f>
        <v>-81244.93137</v>
      </c>
      <c r="AM207" s="393">
        <f>AM199</f>
        <v>-81244.93137</v>
      </c>
      <c r="AN207" s="393">
        <f>AN199</f>
        <v>-81244.93137</v>
      </c>
      <c r="AO207" s="393">
        <f>AO199</f>
        <v>-82869.8299974</v>
      </c>
      <c r="AP207" s="393">
        <f>AP199</f>
        <v>-82869.8299974</v>
      </c>
      <c r="AQ207" s="393">
        <f>AQ199</f>
        <v>-82869.8299974</v>
      </c>
      <c r="AR207" s="393">
        <f>AR199</f>
        <v>-82869.8299974</v>
      </c>
      <c r="AS207" s="393">
        <f>AS199</f>
        <v>-82869.8299974</v>
      </c>
      <c r="AT207" s="393">
        <f>AT199</f>
        <v>-164552.8299974</v>
      </c>
      <c r="AU207" s="393">
        <f>AU199</f>
        <v>-82869.8299974</v>
      </c>
      <c r="AV207" s="393">
        <f>AV199</f>
        <v>-82869.8299974</v>
      </c>
      <c r="AW207" s="393">
        <f>AW199</f>
        <v>-164551.8299974</v>
      </c>
      <c r="AX207" s="393">
        <f>AX199</f>
        <v>-82869.8299974</v>
      </c>
      <c r="AY207" s="393">
        <f>AY199</f>
        <v>-82869.8299974</v>
      </c>
      <c r="AZ207" s="393">
        <f>AZ199</f>
        <v>-164551.8299974</v>
      </c>
      <c r="BA207" s="393">
        <f>BA199</f>
        <v>-84527.226597348</v>
      </c>
      <c r="BB207" s="393">
        <f>BB199</f>
        <v>-84527.226597348</v>
      </c>
      <c r="BC207" s="393">
        <f>BC199</f>
        <v>-1018048.22659735</v>
      </c>
      <c r="BD207" s="393">
        <f>BD199</f>
        <v>-84527.226597348</v>
      </c>
      <c r="BE207" s="393">
        <f>BE199</f>
        <v>-84527.226597348</v>
      </c>
      <c r="BF207" s="393">
        <f>BF199</f>
        <v>-215405.226597348</v>
      </c>
      <c r="BG207" s="393">
        <f>BG199</f>
        <v>-84527.226597348</v>
      </c>
      <c r="BH207" s="393">
        <f>BH199</f>
        <v>-84527.226597348</v>
      </c>
      <c r="BI207" s="393">
        <f>BI199</f>
        <v>-215403.226597348</v>
      </c>
      <c r="BJ207" s="393">
        <f>BJ199</f>
        <v>-84527.226597348</v>
      </c>
      <c r="BK207" s="393">
        <f>BK199</f>
        <v>-84527.226597348</v>
      </c>
      <c r="BL207" s="393">
        <f>BL199</f>
        <v>-215403.226597348</v>
      </c>
      <c r="BM207" s="393">
        <f>BM199</f>
        <v>-86217.771129295</v>
      </c>
      <c r="BN207" s="393">
        <f>BN199</f>
        <v>-86217.771129295</v>
      </c>
      <c r="BO207" s="393">
        <f>BO199</f>
        <v>-217093.771129295</v>
      </c>
      <c r="BP207" s="393">
        <f>BP199</f>
        <v>-86217.771129295</v>
      </c>
      <c r="BQ207" s="393">
        <f>BQ199</f>
        <v>-86217.771129295</v>
      </c>
      <c r="BR207" s="393">
        <f>BR199</f>
        <v>-175373.421129295</v>
      </c>
      <c r="BS207" s="393">
        <f>BS199</f>
        <v>-86217.771129295</v>
      </c>
      <c r="BT207" s="393">
        <f>BT199</f>
        <v>-86217.771129295</v>
      </c>
      <c r="BU207" s="393">
        <f>BU199</f>
        <v>-160857.771129295</v>
      </c>
      <c r="BV207" s="393">
        <f>BV199</f>
        <v>-86217.771129295</v>
      </c>
      <c r="BW207" s="393">
        <f>BW199</f>
        <v>-86217.771129295</v>
      </c>
      <c r="BX207" s="393">
        <f>BX199</f>
        <v>-160857.771129295</v>
      </c>
      <c r="BY207" s="393">
        <f>BY199</f>
        <v>-87942.1265518809</v>
      </c>
      <c r="BZ207" s="393">
        <f>BZ199</f>
        <v>-87942.1265518809</v>
      </c>
      <c r="CA207" s="393">
        <f>CA199</f>
        <v>-235738.126551881</v>
      </c>
      <c r="CB207" s="393">
        <f>CB199</f>
        <v>-87942.1265518809</v>
      </c>
      <c r="CC207" s="393">
        <f>CC199</f>
        <v>-87942.1265518809</v>
      </c>
      <c r="CD207" s="393">
        <f>CD199</f>
        <v>-242460.126551881</v>
      </c>
      <c r="CE207" s="393">
        <f>CE199</f>
        <v>-87942.1265518809</v>
      </c>
      <c r="CF207" s="393">
        <f>CF199</f>
        <v>-87942.1265518809</v>
      </c>
      <c r="CG207" s="393">
        <f>CG199</f>
        <v>-242459.126551881</v>
      </c>
      <c r="CH207" s="393">
        <f>CH199</f>
        <v>-87942.1265518809</v>
      </c>
      <c r="CI207" s="393">
        <f>CI199</f>
        <v>-87942.1265518809</v>
      </c>
      <c r="CJ207" s="393">
        <f>CJ199</f>
        <v>-235851.099945402</v>
      </c>
      <c r="CK207" s="393">
        <f>CK199</f>
        <v>-162855.969082918</v>
      </c>
      <c r="CL207" s="393">
        <f>CL199</f>
        <v>-162855.969082918</v>
      </c>
      <c r="CM207" s="393">
        <f>CM199</f>
        <v>-162855.969082918</v>
      </c>
      <c r="CN207" s="393">
        <f>CN199</f>
        <v>-162855.969082918</v>
      </c>
      <c r="CO207" s="393">
        <f>CO199</f>
        <v>-162855.969082918</v>
      </c>
      <c r="CP207" s="393">
        <f>CP199</f>
        <v>-162855.969082918</v>
      </c>
      <c r="CQ207" s="393">
        <f>CQ199</f>
        <v>-162855.969082918</v>
      </c>
      <c r="CR207" s="393">
        <f>CR199</f>
        <v>-162855.969082918</v>
      </c>
      <c r="CS207" s="393">
        <f>CS199</f>
        <v>-162855.969082918</v>
      </c>
      <c r="CT207" s="393">
        <f>CT199</f>
        <v>-160947.475708022</v>
      </c>
      <c r="CU207" s="393">
        <f>CU199</f>
        <v>-160947.475708022</v>
      </c>
      <c r="CV207" s="393">
        <f>CV199</f>
        <v>-160947.475708022</v>
      </c>
      <c r="CW207" s="393">
        <f>CW199</f>
        <v>-106995.17415859</v>
      </c>
      <c r="CX207" s="393">
        <f>CX199</f>
        <v>-89548.3252221825</v>
      </c>
      <c r="CY207" s="393">
        <f>CY199</f>
        <v>-89548.3252221825</v>
      </c>
      <c r="CZ207" s="393">
        <f>CZ199</f>
        <v>-89548.3252221825</v>
      </c>
      <c r="DA207" s="393">
        <f>DA199</f>
        <v>-89548.3252221825</v>
      </c>
      <c r="DB207" s="393">
        <f>DB199</f>
        <v>-89548.3252221825</v>
      </c>
      <c r="DC207" s="393">
        <f>DC199</f>
        <v>-89548.3252221825</v>
      </c>
      <c r="DD207" s="393">
        <f>DD199</f>
        <v>-89548.3252221825</v>
      </c>
      <c r="DE207" s="393">
        <f>DE199</f>
        <v>-89548.3252221825</v>
      </c>
    </row>
    <row r="208" ht="15" customFormat="1" customHeight="1" s="381">
      <c r="A208" s="421" t="inlineStr">
        <is>
          <t xml:space="preserve">Total Costs</t>
        </is>
      </c>
      <c r="B208" s="410">
        <f>B206+B207</f>
        <v>-459429.22</v>
      </c>
      <c r="C208" s="410">
        <f>C206+C207</f>
        <v>-452810.54</v>
      </c>
      <c r="D208" s="410">
        <f>D206+D207</f>
        <v>-606961.84</v>
      </c>
      <c r="E208" s="410">
        <f>E206+E207</f>
        <v>-269336.28</v>
      </c>
      <c r="F208" s="410">
        <f>F206+F207</f>
        <v>-687944.37</v>
      </c>
      <c r="G208" s="410">
        <f>G206+G207</f>
        <v>-524423.68</v>
      </c>
      <c r="H208" s="410">
        <f>H206+H207</f>
        <v>-607335.816666667</v>
      </c>
      <c r="I208" s="410">
        <f>I206+I207</f>
        <v>-562335.816666667</v>
      </c>
      <c r="J208" s="410">
        <f>J206+J207</f>
        <v>-562335.816666667</v>
      </c>
      <c r="K208" s="410">
        <f>K206+K207</f>
        <v>-562335.816666667</v>
      </c>
      <c r="L208" s="410">
        <f>L206+L207</f>
        <v>-601602.483333333</v>
      </c>
      <c r="M208" s="410">
        <f>M206+M207</f>
        <v>-609506.65</v>
      </c>
      <c r="N208" s="410">
        <f>N206+N207</f>
        <v>-959506.86</v>
      </c>
      <c r="O208" s="410">
        <f>O206+O207</f>
        <v>-644757.511875</v>
      </c>
      <c r="P208" s="410">
        <f>P206+P207</f>
        <v>-606783.74</v>
      </c>
      <c r="Q208" s="410">
        <f>Q206+Q207</f>
        <v>-616842.748133333</v>
      </c>
      <c r="R208" s="410">
        <f>R206+R207</f>
        <v>-726902.373133333</v>
      </c>
      <c r="S208" s="410">
        <f>S206+S207</f>
        <v>-698442.410633333</v>
      </c>
      <c r="T208" s="410">
        <f>T206+T207</f>
        <v>-688445.835633333</v>
      </c>
      <c r="U208" s="410">
        <f>U206+U207</f>
        <v>-706259.295633333</v>
      </c>
      <c r="V208" s="410">
        <f>V206+V207</f>
        <v>-660152.373133333</v>
      </c>
      <c r="W208" s="410">
        <f>W206+W207</f>
        <v>-660152.373133333</v>
      </c>
      <c r="X208" s="410">
        <f>X206+X207</f>
        <v>-660152.373133333</v>
      </c>
      <c r="Y208" s="410">
        <f>Y206+Y207</f>
        <v>-722718.199583333</v>
      </c>
      <c r="Z208" s="410">
        <f>Z206+Z207</f>
        <v>-660152.373133333</v>
      </c>
      <c r="AA208" s="410">
        <f>AA206+AA207</f>
        <v>-660152.373133333</v>
      </c>
      <c r="AB208" s="410">
        <f>AB206+AB207</f>
        <v>-660152.373133333</v>
      </c>
      <c r="AC208" s="410">
        <f>AC206+AC207</f>
        <v>-716278.753929333</v>
      </c>
      <c r="AD208" s="410">
        <f>AD206+AD207</f>
        <v>-671278.753929333</v>
      </c>
      <c r="AE208" s="410">
        <f>AE206+AE207</f>
        <v>-671278.753929333</v>
      </c>
      <c r="AF208" s="410">
        <f>AF206+AF207</f>
        <v>-671278.753929333</v>
      </c>
      <c r="AG208" s="410">
        <f>AG206+AG207</f>
        <v>-671278.753929333</v>
      </c>
      <c r="AH208" s="410">
        <f>AH206+AH207</f>
        <v>-716278.753929333</v>
      </c>
      <c r="AI208" s="410">
        <f>AI206+AI207</f>
        <v>-716278.753929333</v>
      </c>
      <c r="AJ208" s="410">
        <f>AJ206+AJ207</f>
        <v>-671278.753929333</v>
      </c>
      <c r="AK208" s="410">
        <f>AK206+AK207</f>
        <v>-680485.291429333</v>
      </c>
      <c r="AL208" s="410">
        <f>AL206+AL207</f>
        <v>-708778.753929333</v>
      </c>
      <c r="AM208" s="410">
        <f>AM206+AM207</f>
        <v>-708778.753929333</v>
      </c>
      <c r="AN208" s="410">
        <f>AN206+AN207</f>
        <v>-716278.753929333</v>
      </c>
      <c r="AO208" s="410">
        <f>AO206+AO207</f>
        <v>-720127.662341253</v>
      </c>
      <c r="AP208" s="410">
        <f>AP206+AP207</f>
        <v>-720127.662341253</v>
      </c>
      <c r="AQ208" s="410">
        <f>AQ206+AQ207</f>
        <v>-727627.662341253</v>
      </c>
      <c r="AR208" s="410">
        <f>AR206+AR207</f>
        <v>-720127.662341253</v>
      </c>
      <c r="AS208" s="410">
        <f>AS206+AS207</f>
        <v>-682627.662341253</v>
      </c>
      <c r="AT208" s="410">
        <f>AT206+AT207</f>
        <v>-764310.662341253</v>
      </c>
      <c r="AU208" s="410">
        <f>AU206+AU207</f>
        <v>-682627.662341253</v>
      </c>
      <c r="AV208" s="410">
        <f>AV206+AV207</f>
        <v>-727627.662341253</v>
      </c>
      <c r="AW208" s="410">
        <f>AW206+AW207</f>
        <v>-801809.662341253</v>
      </c>
      <c r="AX208" s="410">
        <f>AX206+AX207</f>
        <v>-682627.662341253</v>
      </c>
      <c r="AY208" s="410">
        <f>AY206+AY207</f>
        <v>-682627.662341253</v>
      </c>
      <c r="AZ208" s="410">
        <f>AZ206+AZ207</f>
        <v>-764309.662341253</v>
      </c>
      <c r="BA208" s="410">
        <f>BA206+BA207</f>
        <v>-731703.548921412</v>
      </c>
      <c r="BB208" s="410">
        <f>BB206+BB207</f>
        <v>-739203.548921412</v>
      </c>
      <c r="BC208" s="410">
        <f>BC206+BC207</f>
        <v>-1665224.54892141</v>
      </c>
      <c r="BD208" s="410">
        <f>BD206+BD207</f>
        <v>-731703.548921412</v>
      </c>
      <c r="BE208" s="410">
        <f>BE206+BE207</f>
        <v>-739203.548921412</v>
      </c>
      <c r="BF208" s="410">
        <f>BF206+BF207</f>
        <v>-862581.548921412</v>
      </c>
      <c r="BG208" s="410">
        <f>BG206+BG207</f>
        <v>-731703.548921412</v>
      </c>
      <c r="BH208" s="410">
        <f>BH206+BH207</f>
        <v>-739203.548921412</v>
      </c>
      <c r="BI208" s="410">
        <f>BI206+BI207</f>
        <v>-862579.548921412</v>
      </c>
      <c r="BJ208" s="410">
        <f>BJ206+BJ207</f>
        <v>-694203.548921412</v>
      </c>
      <c r="BK208" s="410">
        <f>BK206+BK207</f>
        <v>-694203.548921412</v>
      </c>
      <c r="BL208" s="410">
        <f>BL206+BL207</f>
        <v>-825079.548921412</v>
      </c>
      <c r="BM208" s="410">
        <f>BM206+BM207</f>
        <v>-706010.953233173</v>
      </c>
      <c r="BN208" s="410">
        <f>BN206+BN207</f>
        <v>-706010.953233173</v>
      </c>
      <c r="BO208" s="410">
        <f>BO206+BO207</f>
        <v>-836886.953233173</v>
      </c>
      <c r="BP208" s="410">
        <f>BP206+BP207</f>
        <v>-706010.953233173</v>
      </c>
      <c r="BQ208" s="410">
        <f>BQ206+BQ207</f>
        <v>-706010.953233173</v>
      </c>
      <c r="BR208" s="410">
        <f>BR206+BR207</f>
        <v>-795166.603233173</v>
      </c>
      <c r="BS208" s="410">
        <f>BS206+BS207</f>
        <v>-706010.953233173</v>
      </c>
      <c r="BT208" s="410">
        <f>BT206+BT207</f>
        <v>-706010.953233173</v>
      </c>
      <c r="BU208" s="410">
        <f>BU206+BU207</f>
        <v>-780650.953233173</v>
      </c>
      <c r="BV208" s="410">
        <f>BV206+BV207</f>
        <v>-706010.953233173</v>
      </c>
      <c r="BW208" s="410">
        <f>BW206+BW207</f>
        <v>-706010.953233173</v>
      </c>
      <c r="BX208" s="410">
        <f>BX206+BX207</f>
        <v>-780650.953233173</v>
      </c>
      <c r="BY208" s="410">
        <f>BY206+BY207</f>
        <v>-718054.50563117</v>
      </c>
      <c r="BZ208" s="410">
        <f>BZ206+BZ207</f>
        <v>-718054.50563117</v>
      </c>
      <c r="CA208" s="410">
        <f>CA206+CA207</f>
        <v>-865850.50563117</v>
      </c>
      <c r="CB208" s="410">
        <f>CB206+CB207</f>
        <v>-718054.50563117</v>
      </c>
      <c r="CC208" s="410">
        <f>CC206+CC207</f>
        <v>-718054.50563117</v>
      </c>
      <c r="CD208" s="410">
        <f>CD206+CD207</f>
        <v>-872572.50563117</v>
      </c>
      <c r="CE208" s="410">
        <f>CE206+CE207</f>
        <v>-718054.50563117</v>
      </c>
      <c r="CF208" s="410">
        <f>CF206+CF207</f>
        <v>-718054.50563117</v>
      </c>
      <c r="CG208" s="410">
        <f>CG206+CG207</f>
        <v>-872571.50563117</v>
      </c>
      <c r="CH208" s="410">
        <f>CH206+CH207</f>
        <v>-718054.50563117</v>
      </c>
      <c r="CI208" s="410">
        <f>CI206+CI207</f>
        <v>-718054.50563117</v>
      </c>
      <c r="CJ208" s="410">
        <f>CJ206+CJ207</f>
        <v>-865963.479024691</v>
      </c>
      <c r="CK208" s="410">
        <f>CK206+CK207</f>
        <v>-803493.929077127</v>
      </c>
      <c r="CL208" s="410">
        <f>CL206+CL207</f>
        <v>-803493.929077127</v>
      </c>
      <c r="CM208" s="410">
        <f>CM206+CM207</f>
        <v>-803493.929077127</v>
      </c>
      <c r="CN208" s="410">
        <f>CN206+CN207</f>
        <v>-803493.929077127</v>
      </c>
      <c r="CO208" s="410">
        <f>CO206+CO207</f>
        <v>-803493.929077127</v>
      </c>
      <c r="CP208" s="410">
        <f>CP206+CP207</f>
        <v>-803493.929077127</v>
      </c>
      <c r="CQ208" s="410">
        <f>CQ206+CQ207</f>
        <v>-803493.929077127</v>
      </c>
      <c r="CR208" s="410">
        <f>CR206+CR207</f>
        <v>-803493.929077127</v>
      </c>
      <c r="CS208" s="410">
        <f>CS206+CS207</f>
        <v>-803493.929077127</v>
      </c>
      <c r="CT208" s="410">
        <f>CT206+CT207</f>
        <v>-737494.758185253</v>
      </c>
      <c r="CU208" s="410">
        <f>CU206+CU207</f>
        <v>-737494.758185253</v>
      </c>
      <c r="CV208" s="410">
        <f>CV206+CV207</f>
        <v>-737494.758185253</v>
      </c>
      <c r="CW208" s="410">
        <f>CW206+CW207</f>
        <v>-692996.735618698</v>
      </c>
      <c r="CX208" s="410">
        <f>CX206+CX207</f>
        <v>-675549.886682291</v>
      </c>
      <c r="CY208" s="410">
        <f>CY206+CY207</f>
        <v>-675549.886682291</v>
      </c>
      <c r="CZ208" s="410">
        <f>CZ206+CZ207</f>
        <v>-675549.886682291</v>
      </c>
      <c r="DA208" s="410">
        <f>DA206+DA207</f>
        <v>-675549.886682291</v>
      </c>
      <c r="DB208" s="410">
        <f>DB206+DB207</f>
        <v>-675549.886682291</v>
      </c>
      <c r="DC208" s="410">
        <f>DC206+DC207</f>
        <v>-675549.886682291</v>
      </c>
      <c r="DD208" s="410">
        <f>DD206+DD207</f>
        <v>-675549.886682291</v>
      </c>
      <c r="DE208" s="410">
        <f>DE206+DE207</f>
        <v>-675549.886682291</v>
      </c>
    </row>
    <row r="209" ht="19.5" customFormat="1" customHeight="1" s="381">
      <c r="A209" s="422" t="inlineStr">
        <is>
          <t>Consolidated Net Income</t>
        </is>
      </c>
      <c r="B209" s="417">
        <f>B205+B208</f>
        <v>-206557.78</v>
      </c>
      <c r="C209" s="417">
        <f>C205+C208</f>
        <v>-469696.73</v>
      </c>
      <c r="D209" s="417">
        <f>D205+D208</f>
        <v>21337.26</v>
      </c>
      <c r="E209" s="417">
        <f>E205+E208</f>
        <v>212136.55</v>
      </c>
      <c r="F209" s="417">
        <f>F205+F208</f>
        <v>-180043.09</v>
      </c>
      <c r="G209" s="417">
        <f>G205+G208</f>
        <v>460336.03</v>
      </c>
      <c r="H209" s="417">
        <f>H205+H208</f>
        <v>-108086.05422622</v>
      </c>
      <c r="I209" s="417">
        <f>I205+I208</f>
        <v>270940.764355778</v>
      </c>
      <c r="J209" s="417">
        <f>J205+J208</f>
        <v>224185.554168555</v>
      </c>
      <c r="K209" s="417">
        <f>K205+K208</f>
        <v>205844.199942651</v>
      </c>
      <c r="L209" s="417">
        <f>L205+L208</f>
        <v>-137483.138782935</v>
      </c>
      <c r="M209" s="417">
        <f>M205+M208</f>
        <v>135862.775584677</v>
      </c>
      <c r="N209" s="417">
        <f>N205+N208</f>
        <v>438699.330405255</v>
      </c>
      <c r="O209" s="417">
        <f>O205+O208</f>
        <v>279269.861155368</v>
      </c>
      <c r="P209" s="417">
        <f>P205+P208</f>
        <v>290567.008388162</v>
      </c>
      <c r="Q209" s="417">
        <f>Q205+Q208</f>
        <v>274714.402463098</v>
      </c>
      <c r="R209" s="417">
        <f>R205+R208</f>
        <v>-665732.931001371</v>
      </c>
      <c r="S209" s="417">
        <f>S205+S208</f>
        <v>265559.748856525</v>
      </c>
      <c r="T209" s="417">
        <f>T205+T208</f>
        <v>158837.885490165</v>
      </c>
      <c r="U209" s="417">
        <f>U205+U208</f>
        <v>410714.547909604</v>
      </c>
      <c r="V209" s="417">
        <f>V205+V208</f>
        <v>454038.569751967</v>
      </c>
      <c r="W209" s="417">
        <f>W205+W208</f>
        <v>468025.438355466</v>
      </c>
      <c r="X209" s="417">
        <f>X205+X208</f>
        <v>591533.463189354</v>
      </c>
      <c r="Y209" s="417">
        <f>Y205+Y208</f>
        <v>602914.899139354</v>
      </c>
      <c r="Z209" s="417">
        <f>Z205+Z208</f>
        <v>600290.201989354</v>
      </c>
      <c r="AA209" s="417">
        <f>AA205+AA208</f>
        <v>694043.388611132</v>
      </c>
      <c r="AB209" s="417">
        <f>AB205+AB208</f>
        <v>718873.409367575</v>
      </c>
      <c r="AC209" s="417">
        <f>AC205+AC208</f>
        <v>620908.518571575</v>
      </c>
      <c r="AD209" s="417">
        <f>AD205+AD208</f>
        <v>681445.014571575</v>
      </c>
      <c r="AE209" s="417">
        <f>AE205+AE208</f>
        <v>188310.097440123</v>
      </c>
      <c r="AF209" s="417">
        <f>AF205+AF208</f>
        <v>1051934.87103579</v>
      </c>
      <c r="AG209" s="417">
        <f>AG205+AG208</f>
        <v>761839.11334446</v>
      </c>
      <c r="AH209" s="417">
        <f>AH205+AH208</f>
        <v>858481.13834446</v>
      </c>
      <c r="AI209" s="417">
        <f>AI205+AI208</f>
        <v>1018145.28791221</v>
      </c>
      <c r="AJ209" s="417">
        <f>AJ205+AJ208</f>
        <v>1016737.82319657</v>
      </c>
      <c r="AK209" s="417">
        <f>AK205+AK208</f>
        <v>981989.219386824</v>
      </c>
      <c r="AL209" s="417">
        <f>AL205+AL208</f>
        <v>1363092.78878417</v>
      </c>
      <c r="AM209" s="417">
        <f>AM205+AM208</f>
        <v>688124.787855345</v>
      </c>
      <c r="AN209" s="417">
        <f>AN205+AN208</f>
        <v>785589.986355345</v>
      </c>
      <c r="AO209" s="417">
        <f>AO205+AO208</f>
        <v>858222.705943425</v>
      </c>
      <c r="AP209" s="417">
        <f>AP205+AP208</f>
        <v>952762.978443425</v>
      </c>
      <c r="AQ209" s="417">
        <f>AQ205+AQ208</f>
        <v>1021744.60094342</v>
      </c>
      <c r="AR209" s="417">
        <f>AR205+AR208</f>
        <v>1015432.96794342</v>
      </c>
      <c r="AS209" s="417">
        <f>AS205+AS208</f>
        <v>1031308.57244343</v>
      </c>
      <c r="AT209" s="417">
        <f>AT205+AT208</f>
        <v>1127104.44744342</v>
      </c>
      <c r="AU209" s="417">
        <f>AU205+AU208</f>
        <v>1429329.35103976</v>
      </c>
      <c r="AV209" s="417">
        <f>AV205+AV208</f>
        <v>747097.138527293</v>
      </c>
      <c r="AW209" s="417">
        <f>AW205+AW208</f>
        <v>741556.527027293</v>
      </c>
      <c r="AX209" s="417">
        <f>AX205+AX208</f>
        <v>819934.528527293</v>
      </c>
      <c r="AY209" s="417">
        <f>AY205+AY208</f>
        <v>915339.353527294</v>
      </c>
      <c r="AZ209" s="417">
        <f>AZ205+AZ208</f>
        <v>871487.341027293</v>
      </c>
      <c r="BA209" s="417">
        <f>BA205+BA208</f>
        <v>803922.643947135</v>
      </c>
      <c r="BB209" s="417">
        <f>BB205+BB208</f>
        <v>795992.477947135</v>
      </c>
      <c r="BC209" s="417">
        <f>BC205+BC208</f>
        <v>803062.322947135</v>
      </c>
      <c r="BD209" s="417">
        <f>BD205+BD208</f>
        <v>820690.812447135</v>
      </c>
      <c r="BE209" s="417">
        <f>BE205+BE208</f>
        <v>830819.301947135</v>
      </c>
      <c r="BF209" s="417">
        <f>BF205+BF208</f>
        <v>801771.841447135</v>
      </c>
      <c r="BG209" s="417">
        <f>BG205+BG208</f>
        <v>819400.330947135</v>
      </c>
      <c r="BH209" s="417">
        <f>BH205+BH208</f>
        <v>1078465.09550274</v>
      </c>
      <c r="BI209" s="417">
        <f>BI205+BI208</f>
        <v>552528.469078588</v>
      </c>
      <c r="BJ209" s="417">
        <f>BJ205+BJ208</f>
        <v>409011.808578588</v>
      </c>
      <c r="BK209" s="417">
        <f>BK205+BK208</f>
        <v>408581.648078588</v>
      </c>
      <c r="BL209" s="417">
        <f>BL205+BL208</f>
        <v>408151.493078588</v>
      </c>
      <c r="BM209" s="417">
        <f>BM205+BM208</f>
        <v>527766.322766827</v>
      </c>
      <c r="BN209" s="417">
        <f>BN205+BN208</f>
        <v>400925.612266826</v>
      </c>
      <c r="BO209" s="417">
        <f>BO205+BO208</f>
        <v>273735.241766826</v>
      </c>
      <c r="BP209" s="417">
        <f>BP205+BP208</f>
        <v>160804.246766827</v>
      </c>
      <c r="BQ209" s="417">
        <f>BQ205+BQ208</f>
        <v>160804.246766827</v>
      </c>
      <c r="BR209" s="417">
        <f>BR205+BR208</f>
        <v>304347.846766827</v>
      </c>
      <c r="BS209" s="417">
        <f>BS205+BS208</f>
        <v>178862.896766826</v>
      </c>
      <c r="BT209" s="417">
        <f>BT205+BT208</f>
        <v>52452.3467668266</v>
      </c>
      <c r="BU209" s="417">
        <f>BU205+BU208</f>
        <v>29921.0967668266</v>
      </c>
      <c r="BV209" s="417">
        <f>BV205+BV208</f>
        <v>-110075.503233173</v>
      </c>
      <c r="BW209" s="417">
        <f>BW205+BW208</f>
        <v>-236486.053233173</v>
      </c>
      <c r="BX209" s="417">
        <f>BX205+BX208</f>
        <v>-259017.303233173</v>
      </c>
      <c r="BY209" s="417">
        <f>BY205+BY208</f>
        <v>-411057.45563117</v>
      </c>
      <c r="BZ209" s="417">
        <f>BZ205+BZ208</f>
        <v>-537468.00563117</v>
      </c>
      <c r="CA209" s="417">
        <f>CA205+CA208</f>
        <v>-650292.50563117</v>
      </c>
      <c r="CB209" s="417">
        <f>CB205+CB208</f>
        <v>-718054.50563117</v>
      </c>
      <c r="CC209" s="417">
        <f>CC205+CC208</f>
        <v>-718054.50563117</v>
      </c>
      <c r="CD209" s="417">
        <f>CD205+CD208</f>
        <v>-641555.50563117</v>
      </c>
      <c r="CE209" s="417">
        <f>CE205+CE208</f>
        <v>-718054.50563117</v>
      </c>
      <c r="CF209" s="417">
        <f>CF205+CF208</f>
        <v>-718054.50563117</v>
      </c>
      <c r="CG209" s="417">
        <f>CG205+CG208</f>
        <v>-641555.50563117</v>
      </c>
      <c r="CH209" s="417">
        <f>CH205+CH208</f>
        <v>-718054.50563117</v>
      </c>
      <c r="CI209" s="417">
        <f>CI205+CI208</f>
        <v>-718054.50563117</v>
      </c>
      <c r="CJ209" s="417">
        <f>CJ205+CJ208</f>
        <v>-634947.479024691</v>
      </c>
      <c r="CK209" s="417">
        <f>CK205+CK208</f>
        <v>-572477.929077127</v>
      </c>
      <c r="CL209" s="417">
        <f>CL205+CL208</f>
        <v>-572477.929077127</v>
      </c>
      <c r="CM209" s="417">
        <f>CM205+CM208</f>
        <v>-572477.929077127</v>
      </c>
      <c r="CN209" s="417">
        <f>CN205+CN208</f>
        <v>-572477.929077127</v>
      </c>
      <c r="CO209" s="417">
        <f>CO205+CO208</f>
        <v>-572477.929077127</v>
      </c>
      <c r="CP209" s="417">
        <f>CP205+CP208</f>
        <v>-572477.929077127</v>
      </c>
      <c r="CQ209" s="417">
        <f>CQ205+CQ208</f>
        <v>-572477.929077127</v>
      </c>
      <c r="CR209" s="417">
        <f>CR205+CR208</f>
        <v>-572477.929077127</v>
      </c>
      <c r="CS209" s="417">
        <f>CS205+CS208</f>
        <v>-572477.929077127</v>
      </c>
      <c r="CT209" s="417">
        <f>CT205+CT208</f>
        <v>-506478.758185253</v>
      </c>
      <c r="CU209" s="417">
        <f>CU205+CU208</f>
        <v>-506478.758185253</v>
      </c>
      <c r="CV209" s="417">
        <f>CV205+CV208</f>
        <v>-506478.758185253</v>
      </c>
      <c r="CW209" s="417">
        <f>CW205+CW208</f>
        <v>-461980.735618698</v>
      </c>
      <c r="CX209" s="417">
        <f>CX205+CX208</f>
        <v>-444533.886682291</v>
      </c>
      <c r="CY209" s="417">
        <f>CY205+CY208</f>
        <v>-444533.886682291</v>
      </c>
      <c r="CZ209" s="417">
        <f>CZ205+CZ208</f>
        <v>-444533.886682291</v>
      </c>
      <c r="DA209" s="417">
        <f>DA205+DA208</f>
        <v>-444533.886682291</v>
      </c>
      <c r="DB209" s="417">
        <f>DB205+DB208</f>
        <v>-444533.886682291</v>
      </c>
      <c r="DC209" s="417">
        <f>DC205+DC208</f>
        <v>-444533.886682291</v>
      </c>
      <c r="DD209" s="417">
        <f>DD205+DD208</f>
        <v>-444533.886682291</v>
      </c>
      <c r="DE209" s="417">
        <f>DE205+DE208</f>
        <v>-444533.886682291</v>
      </c>
    </row>
    <row r="210" ht="19.5" customFormat="1" customHeight="1" s="381">
      <c r="A210" s="423" t="inlineStr">
        <is>
          <t>Consolidated Margin %</t>
        </is>
      </c>
      <c r="B210" s="413">
        <f>IFERROR(IF(OR(B205&lt;=0,B209/B205&lt;0,B209/B205&gt;1),0,B209/B205),0)</f>
        <v>0</v>
      </c>
      <c r="C210" s="413">
        <f>IFERROR(IF(OR(C205&lt;=0,C209/C205&lt;0,C209/C205&gt;1),0,C209/C205),0)</f>
        <v>0</v>
      </c>
      <c r="D210" s="413">
        <f>IFERROR(IF(OR(D205&lt;=0,D209/D205&lt;0,D209/D205&gt;1),0,D209/D205),0)</f>
        <v>0.0339603542325622</v>
      </c>
      <c r="E210" s="413">
        <f>IFERROR(IF(OR(E205&lt;=0,E209/E205&lt;0,E209/E205&gt;1),0,E209/E205),0)</f>
        <v>0.44059921304386</v>
      </c>
      <c r="F210" s="413">
        <f>IFERROR(IF(OR(F205&lt;=0,F209/F205&lt;0,F209/F205&gt;1),0,F209/F205),0)</f>
        <v>0</v>
      </c>
      <c r="G210" s="413">
        <f>IFERROR(IF(OR(G205&lt;=0,G209/G205&lt;0,G209/G205&gt;1),0,G209/G205),0)</f>
        <v>0.467460259924728</v>
      </c>
      <c r="H210" s="413">
        <f>IFERROR(IF(OR(H205&lt;=0,H209/H205&lt;0,H209/H205&gt;1),0,H209/H205),0)</f>
        <v>0</v>
      </c>
      <c r="I210" s="413">
        <f>IFERROR(IF(OR(I205&lt;=0,I209/I205&lt;0,I209/I205&gt;1),0,I209/I205),0)</f>
        <v>0.325151060915848</v>
      </c>
      <c r="J210" s="413">
        <f>IFERROR(IF(OR(J205&lt;=0,J209/J205&lt;0,J209/J205&gt;1),0,J209/J205),0)</f>
        <v>0.285034281942636</v>
      </c>
      <c r="K210" s="413">
        <f>IFERROR(IF(OR(K205&lt;=0,K209/K205&lt;0,K209/K205&gt;1),0,K209/K205),0)</f>
        <v>0.267963492269989</v>
      </c>
      <c r="L210" s="413">
        <f>IFERROR(IF(OR(L205&lt;=0,L209/L205&lt;0,L209/L205&gt;1),0,L209/L205),0)</f>
        <v>0</v>
      </c>
      <c r="M210" s="413">
        <f>IFERROR(IF(OR(M205&lt;=0,M209/M205&lt;0,M209/M205&gt;1),0,M209/M205),0)</f>
        <v>0.182275756049565</v>
      </c>
      <c r="N210" s="413">
        <f>IFERROR(IF(OR(N205&lt;=0,N209/N205&lt;0,N209/N205&gt;1),0,N209/N205),0)</f>
        <v>0.3137586812415</v>
      </c>
      <c r="O210" s="413">
        <f>IFERROR(IF(OR(O205&lt;=0,O209/O205&lt;0,O209/O205&gt;1),0,O209/O205),0)</f>
        <v>0.302231156031121</v>
      </c>
      <c r="P210" s="413">
        <f>IFERROR(IF(OR(P205&lt;=0,P209/P205&lt;0,P209/P205&gt;1),0,P209/P205),0)</f>
        <v>0.32380538926399</v>
      </c>
      <c r="Q210" s="413">
        <f>IFERROR(IF(OR(Q205&lt;=0,Q209/Q205&lt;0,Q209/Q205&gt;1),0,Q209/Q205),0)</f>
        <v>0.308128763567563</v>
      </c>
      <c r="R210" s="413">
        <f>IFERROR(IF(OR(R205&lt;=0,R209/R205&lt;0,R209/R205&gt;1),0,R209/R205),0)</f>
        <v>0</v>
      </c>
      <c r="S210" s="413">
        <f>IFERROR(IF(OR(S205&lt;=0,S209/S205&lt;0,S209/S205&gt;1),0,S209/S205),0)</f>
        <v>0.275476300796937</v>
      </c>
      <c r="T210" s="413">
        <f>IFERROR(IF(OR(T205&lt;=0,T209/T205&lt;0,T209/T205&gt;1),0,T209/T205),0)</f>
        <v>0.1874671748438</v>
      </c>
      <c r="U210" s="413">
        <f>IFERROR(IF(OR(U205&lt;=0,U209/U205&lt;0,U209/U205&gt;1),0,U209/U205),0)</f>
        <v>0.367702923648468</v>
      </c>
      <c r="V210" s="413">
        <f>IFERROR(IF(OR(V205&lt;=0,V209/V205&lt;0,V209/V205&gt;1),0,V209/V205),0)</f>
        <v>0.407505170142734</v>
      </c>
      <c r="W210" s="413">
        <f>IFERROR(IF(OR(W205&lt;=0,W209/W205&lt;0,W209/W205&gt;1),0,W209/W205),0)</f>
        <v>0.414850774044063</v>
      </c>
      <c r="X210" s="413">
        <f>IFERROR(IF(OR(X205&lt;=0,X209/X205&lt;0,X209/X205&gt;1),0,X209/X205),0)</f>
        <v>0.472589403845308</v>
      </c>
      <c r="Y210" s="413">
        <f>IFERROR(IF(OR(Y205&lt;=0,Y209/Y205&lt;0,Y209/Y205&gt;1),0,Y209/Y205),0)</f>
        <v>0.454812798292599</v>
      </c>
      <c r="Z210" s="413">
        <f>IFERROR(IF(OR(Z205&lt;=0,Z209/Z205&lt;0,Z209/Z205&gt;1),0,Z209/Z205),0)</f>
        <v>0.476253511137486</v>
      </c>
      <c r="AA210" s="413">
        <f>IFERROR(IF(OR(AA205&lt;=0,AA209/AA205&lt;0,AA209/AA205&gt;1),0,AA209/AA205),0)</f>
        <v>0.51251333685838</v>
      </c>
      <c r="AB210" s="413">
        <f>IFERROR(IF(OR(AB205&lt;=0,AB209/AB205&lt;0,AB209/AB205&gt;1),0,AB209/AB205),0)</f>
        <v>0.521290768084027</v>
      </c>
      <c r="AC210" s="413">
        <f>IFERROR(IF(OR(AC205&lt;=0,AC209/AC205&lt;0,AC209/AC205&gt;1),0,AC209/AC205),0)</f>
        <v>0.464339237547711</v>
      </c>
      <c r="AD210" s="413">
        <f>IFERROR(IF(OR(AD205&lt;=0,AD209/AD205&lt;0,AD209/AD205&gt;1),0,AD209/AD205),0)</f>
        <v>0.503757700159844</v>
      </c>
      <c r="AE210" s="413">
        <f>IFERROR(IF(OR(AE205&lt;=0,AE209/AE205&lt;0,AE209/AE205&gt;1),0,AE209/AE205),0)</f>
        <v>0.219069962506048</v>
      </c>
      <c r="AF210" s="413">
        <f>IFERROR(IF(OR(AF205&lt;=0,AF209/AF205&lt;0,AF209/AF205&gt;1),0,AF209/AF205),0)</f>
        <v>0.610449485656242</v>
      </c>
      <c r="AG210" s="413">
        <f>IFERROR(IF(OR(AG205&lt;=0,AG209/AG205&lt;0,AG209/AG205&gt;1),0,AG209/AG205),0)</f>
        <v>0.531595572661235</v>
      </c>
      <c r="AH210" s="413">
        <f>IFERROR(IF(OR(AH205&lt;=0,AH209/AH205&lt;0,AH209/AH205&gt;1),0,AH209/AH205),0)</f>
        <v>0.545150497263999</v>
      </c>
      <c r="AI210" s="413">
        <f>IFERROR(IF(OR(AI205&lt;=0,AI209/AI205&lt;0,AI209/AI205&gt;1),0,AI209/AI205),0)</f>
        <v>0.587022125702999</v>
      </c>
      <c r="AJ210" s="413">
        <f>IFERROR(IF(OR(AJ205&lt;=0,AJ209/AJ205&lt;0,AJ209/AJ205&gt;1),0,AJ209/AJ205),0)</f>
        <v>0.602326918452257</v>
      </c>
      <c r="AK210" s="413">
        <f>IFERROR(IF(OR(AK205&lt;=0,AK209/AK205&lt;0,AK209/AK205&gt;1),0,AK209/AK205),0)</f>
        <v>0.590679263349871</v>
      </c>
      <c r="AL210" s="413">
        <f>IFERROR(IF(OR(AL205&lt;=0,AL209/AL205&lt;0,AL209/AL205&gt;1),0,AL209/AL205),0)</f>
        <v>0.657904102972978</v>
      </c>
      <c r="AM210" s="413">
        <f>IFERROR(IF(OR(AM205&lt;=0,AM209/AM205&lt;0,AM209/AM205&gt;1),0,AM209/AM205),0)</f>
        <v>0.492607232548211</v>
      </c>
      <c r="AN210" s="413">
        <f>IFERROR(IF(OR(AN205&lt;=0,AN209/AN205&lt;0,AN209/AN205&gt;1),0,AN209/AN205),0)</f>
        <v>0.523074996691413</v>
      </c>
      <c r="AO210" s="413">
        <f>IFERROR(IF(OR(AO205&lt;=0,AO209/AO205&lt;0,AO209/AO205&gt;1),0,AO209/AO205),0)</f>
        <v>0.543746637748199</v>
      </c>
      <c r="AP210" s="413">
        <f>IFERROR(IF(OR(AP205&lt;=0,AP209/AP205&lt;0,AP209/AP205&gt;1),0,AP209/AP205),0)</f>
        <v>0.569530939569682</v>
      </c>
      <c r="AQ210" s="413">
        <f>IFERROR(IF(OR(AQ205&lt;=0,AQ209/AQ205&lt;0,AQ209/AQ205&gt;1),0,AQ209/AQ205),0)</f>
        <v>0.584063565192788</v>
      </c>
      <c r="AR210" s="413">
        <f>IFERROR(IF(OR(AR205&lt;=0,AR209/AR205&lt;0,AR209/AR205&gt;1),0,AR209/AR205),0)</f>
        <v>0.585074903304799</v>
      </c>
      <c r="AS210" s="413">
        <f>IFERROR(IF(OR(AS205&lt;=0,AS209/AS205&lt;0,AS209/AS205&gt;1),0,AS209/AS205),0)</f>
        <v>0.601719335593012</v>
      </c>
      <c r="AT210" s="413">
        <f>IFERROR(IF(OR(AT205&lt;=0,AT209/AT205&lt;0,AT209/AT205&gt;1),0,AT209/AT205),0)</f>
        <v>0.595905384076019</v>
      </c>
      <c r="AU210" s="413">
        <f>IFERROR(IF(OR(AU205&lt;=0,AU209/AU205&lt;0,AU209/AU205&gt;1),0,AU209/AU205),0)</f>
        <v>0.676779566053553</v>
      </c>
      <c r="AV210" s="413">
        <f>IFERROR(IF(OR(AV205&lt;=0,AV209/AV205&lt;0,AV209/AV205&gt;1),0,AV209/AV205),0)</f>
        <v>0.506601054032106</v>
      </c>
      <c r="AW210" s="413">
        <f>IFERROR(IF(OR(AW205&lt;=0,AW209/AW205&lt;0,AW209/AW205&gt;1),0,AW209/AW205),0)</f>
        <v>0.480479961356866</v>
      </c>
      <c r="AX210" s="413">
        <f>IFERROR(IF(OR(AX205&lt;=0,AX209/AX205&lt;0,AX209/AX205&gt;1),0,AX209/AX205),0)</f>
        <v>0.545690909507935</v>
      </c>
      <c r="AY210" s="413">
        <f>IFERROR(IF(OR(AY205&lt;=0,AY209/AY205&lt;0,AY209/AY205&gt;1),0,AY209/AY205),0)</f>
        <v>0.572814923235307</v>
      </c>
      <c r="AZ210" s="413">
        <f>IFERROR(IF(OR(AZ205&lt;=0,AZ209/AZ205&lt;0,AZ209/AZ205&gt;1),0,AZ209/AZ205),0)</f>
        <v>0.532760079174045</v>
      </c>
      <c r="BA210" s="413">
        <f>IFERROR(IF(OR(BA205&lt;=0,BA209/BA205&lt;0,BA209/BA205&gt;1),0,BA209/BA205),0)</f>
        <v>0.523514542588915</v>
      </c>
      <c r="BB210" s="413">
        <f>IFERROR(IF(OR(BB205&lt;=0,BB209/BB205&lt;0,BB209/BB205&gt;1),0,BB209/BB205),0)</f>
        <v>0.518495660499317</v>
      </c>
      <c r="BC210" s="413">
        <f>IFERROR(IF(OR(BC205&lt;=0,BC209/BC205&lt;0,BC209/BC205&gt;1),0,BC209/BC205),0)</f>
        <v>0.325352102342626</v>
      </c>
      <c r="BD210" s="413">
        <f>IFERROR(IF(OR(BD205&lt;=0,BD209/BD205&lt;0,BD209/BD205&gt;1),0,BD209/BD205),0)</f>
        <v>0.528661294365716</v>
      </c>
      <c r="BE210" s="413">
        <f>IFERROR(IF(OR(BE205&lt;=0,BE209/BE205&lt;0,BE209/BE205&gt;1),0,BE209/BE205),0)</f>
        <v>0.529176566753484</v>
      </c>
      <c r="BF210" s="413">
        <f>IFERROR(IF(OR(BF205&lt;=0,BF209/BF205&lt;0,BF209/BF205&gt;1),0,BF209/BF205),0)</f>
        <v>0.481731732026931</v>
      </c>
      <c r="BG210" s="413">
        <f>IFERROR(IF(OR(BG205&lt;=0,BG209/BG205&lt;0,BG209/BG205&gt;1),0,BG209/BG205),0)</f>
        <v>0.528269151784069</v>
      </c>
      <c r="BH210" s="413">
        <f>IFERROR(IF(OR(BH205&lt;=0,BH209/BH205&lt;0,BH209/BH205&gt;1),0,BH209/BH205),0)</f>
        <v>0.593323265387792</v>
      </c>
      <c r="BI210" s="413">
        <f>IFERROR(IF(OR(BI205&lt;=0,BI209/BI205&lt;0,BI209/BI205&gt;1),0,BI209/BI205),0)</f>
        <v>0.390449677374797</v>
      </c>
      <c r="BJ210" s="413">
        <f>IFERROR(IF(OR(BJ205&lt;=0,BJ209/BJ205&lt;0,BJ209/BJ205&gt;1),0,BJ209/BJ205),0)</f>
        <v>0.370745209263086</v>
      </c>
      <c r="BK210" s="413">
        <f>IFERROR(IF(OR(BK205&lt;=0,BK209/BK205&lt;0,BK209/BK205&gt;1),0,BK209/BK205),0)</f>
        <v>0.370499757514054</v>
      </c>
      <c r="BL210" s="413">
        <f>IFERROR(IF(OR(BL205&lt;=0,BL209/BL205&lt;0,BL209/BL205&gt;1),0,BL209/BL205),0)</f>
        <v>0.330961092591917</v>
      </c>
      <c r="BM210" s="413">
        <f>IFERROR(IF(OR(BM205&lt;=0,BM209/BM205&lt;0,BM209/BM205&gt;1),0,BM209/BM205),0)</f>
        <v>0.4277646646872</v>
      </c>
      <c r="BN210" s="413">
        <f>IFERROR(IF(OR(BN205&lt;=0,BN209/BN205&lt;0,BN209/BN205&gt;1),0,BN209/BN205),0)</f>
        <v>0.362193846298437</v>
      </c>
      <c r="BO210" s="413">
        <f>IFERROR(IF(OR(BO205&lt;=0,BO209/BO205&lt;0,BO209/BO205&gt;1),0,BO209/BO205),0)</f>
        <v>0.246470170503684</v>
      </c>
      <c r="BP210" s="413">
        <f>IFERROR(IF(OR(BP205&lt;=0,BP209/BP205&lt;0,BP209/BP205&gt;1),0,BP209/BP205),0)</f>
        <v>0.18551156782533</v>
      </c>
      <c r="BQ210" s="413">
        <f>IFERROR(IF(OR(BQ205&lt;=0,BQ209/BQ205&lt;0,BQ209/BQ205&gt;1),0,BQ209/BQ205),0)</f>
        <v>0.18551156782533</v>
      </c>
      <c r="BR210" s="413">
        <f>IFERROR(IF(OR(BR205&lt;=0,BR209/BR205&lt;0,BR209/BR205&gt;1),0,BR209/BR205),0)</f>
        <v>0.276802043635558</v>
      </c>
      <c r="BS210" s="413">
        <f>IFERROR(IF(OR(BS205&lt;=0,BS209/BS205&lt;0,BS209/BS205&gt;1),0,BS209/BS205),0)</f>
        <v>0.202133780726853</v>
      </c>
      <c r="BT210" s="413">
        <f>IFERROR(IF(OR(BT205&lt;=0,BT209/BT205&lt;0,BT209/BT205&gt;1),0,BT209/BT205),0)</f>
        <v>0.0691560775146623</v>
      </c>
      <c r="BU210" s="413">
        <f>IFERROR(IF(OR(BU205&lt;=0,BU209/BU205&lt;0,BU209/BU205&gt;1),0,BU209/BU205),0)</f>
        <v>0.03691355600878</v>
      </c>
      <c r="BV210" s="413">
        <f>IFERROR(IF(OR(BV205&lt;=0,BV209/BV205&lt;0,BV209/BV205&gt;1),0,BV209/BV205),0)</f>
        <v>0</v>
      </c>
      <c r="BW210" s="413">
        <f>IFERROR(IF(OR(BW205&lt;=0,BW209/BW205&lt;0,BW209/BW205&gt;1),0,BW209/BW205),0)</f>
        <v>0</v>
      </c>
      <c r="BX210" s="413">
        <f>IFERROR(IF(OR(BX205&lt;=0,BX209/BX205&lt;0,BX209/BX205&gt;1),0,BX209/BX205),0)</f>
        <v>0</v>
      </c>
      <c r="BY210" s="413">
        <f>IFERROR(IF(OR(BY205&lt;=0,BY209/BY205&lt;0,BY209/BY205&gt;1),0,BY209/BY205),0)</f>
        <v>0</v>
      </c>
      <c r="BZ210" s="413">
        <f>IFERROR(IF(OR(BZ205&lt;=0,BZ209/BZ205&lt;0,BZ209/BZ205&gt;1),0,BZ209/BZ205),0)</f>
        <v>0</v>
      </c>
      <c r="CA210" s="413">
        <f>IFERROR(IF(OR(CA205&lt;=0,CA209/CA205&lt;0,CA209/CA205&gt;1),0,CA209/CA205),0)</f>
        <v>0</v>
      </c>
      <c r="CB210" s="413">
        <f>IFERROR(IF(OR(CB205&lt;=0,CB209/CB205&lt;0,CB209/CB205&gt;1),0,CB209/CB205),0)</f>
        <v>0</v>
      </c>
      <c r="CC210" s="413">
        <f>IFERROR(IF(OR(CC205&lt;=0,CC209/CC205&lt;0,CC209/CC205&gt;1),0,CC209/CC205),0)</f>
        <v>0</v>
      </c>
      <c r="CD210" s="413">
        <f>IFERROR(IF(OR(CD205&lt;=0,CD209/CD205&lt;0,CD209/CD205&gt;1),0,CD209/CD205),0)</f>
        <v>0</v>
      </c>
      <c r="CE210" s="413">
        <f>IFERROR(IF(OR(CE205&lt;=0,CE209/CE205&lt;0,CE209/CE205&gt;1),0,CE209/CE205),0)</f>
        <v>0</v>
      </c>
      <c r="CF210" s="413">
        <f>IFERROR(IF(OR(CF205&lt;=0,CF209/CF205&lt;0,CF209/CF205&gt;1),0,CF209/CF205),0)</f>
        <v>0</v>
      </c>
      <c r="CG210" s="413">
        <f>IFERROR(IF(OR(CG205&lt;=0,CG209/CG205&lt;0,CG209/CG205&gt;1),0,CG209/CG205),0)</f>
        <v>0</v>
      </c>
      <c r="CH210" s="413">
        <f>IFERROR(IF(OR(CH205&lt;=0,CH209/CH205&lt;0,CH209/CH205&gt;1),0,CH209/CH205),0)</f>
        <v>0</v>
      </c>
      <c r="CI210" s="413">
        <f>IFERROR(IF(OR(CI205&lt;=0,CI209/CI205&lt;0,CI209/CI205&gt;1),0,CI209/CI205),0)</f>
        <v>0</v>
      </c>
      <c r="CJ210" s="413">
        <f>IFERROR(IF(OR(CJ205&lt;=0,CJ209/CJ205&lt;0,CJ209/CJ205&gt;1),0,CJ209/CJ205),0)</f>
        <v>0</v>
      </c>
      <c r="CK210" s="413">
        <f>IFERROR(IF(OR(CK205&lt;=0,CK209/CK205&lt;0,CK209/CK205&gt;1),0,CK209/CK205),0)</f>
        <v>0</v>
      </c>
      <c r="CL210" s="413">
        <f>IFERROR(IF(OR(CL205&lt;=0,CL209/CL205&lt;0,CL209/CL205&gt;1),0,CL209/CL205),0)</f>
        <v>0</v>
      </c>
      <c r="CM210" s="413">
        <f>IFERROR(IF(OR(CM205&lt;=0,CM209/CM205&lt;0,CM209/CM205&gt;1),0,CM209/CM205),0)</f>
        <v>0</v>
      </c>
      <c r="CN210" s="413">
        <f>IFERROR(IF(OR(CN205&lt;=0,CN209/CN205&lt;0,CN209/CN205&gt;1),0,CN209/CN205),0)</f>
        <v>0</v>
      </c>
      <c r="CO210" s="413">
        <f>IFERROR(IF(OR(CO205&lt;=0,CO209/CO205&lt;0,CO209/CO205&gt;1),0,CO209/CO205),0)</f>
        <v>0</v>
      </c>
      <c r="CP210" s="413">
        <f>IFERROR(IF(OR(CP205&lt;=0,CP209/CP205&lt;0,CP209/CP205&gt;1),0,CP209/CP205),0)</f>
        <v>0</v>
      </c>
      <c r="CQ210" s="413">
        <f>IFERROR(IF(OR(CQ205&lt;=0,CQ209/CQ205&lt;0,CQ209/CQ205&gt;1),0,CQ209/CQ205),0)</f>
        <v>0</v>
      </c>
      <c r="CR210" s="413">
        <f>IFERROR(IF(OR(CR205&lt;=0,CR209/CR205&lt;0,CR209/CR205&gt;1),0,CR209/CR205),0)</f>
        <v>0</v>
      </c>
      <c r="CS210" s="413">
        <f>IFERROR(IF(OR(CS205&lt;=0,CS209/CS205&lt;0,CS209/CS205&gt;1),0,CS209/CS205),0)</f>
        <v>0</v>
      </c>
      <c r="CT210" s="413">
        <f>IFERROR(IF(OR(CT205&lt;=0,CT209/CT205&lt;0,CT209/CT205&gt;1),0,CT209/CT205),0)</f>
        <v>0</v>
      </c>
      <c r="CU210" s="413">
        <f>IFERROR(IF(OR(CU205&lt;=0,CU209/CU205&lt;0,CU209/CU205&gt;1),0,CU209/CU205),0)</f>
        <v>0</v>
      </c>
      <c r="CV210" s="413">
        <f>IFERROR(IF(OR(CV205&lt;=0,CV209/CV205&lt;0,CV209/CV205&gt;1),0,CV209/CV205),0)</f>
        <v>0</v>
      </c>
      <c r="CW210" s="413">
        <f>IFERROR(IF(OR(CW205&lt;=0,CW209/CW205&lt;0,CW209/CW205&gt;1),0,CW209/CW205),0)</f>
        <v>0</v>
      </c>
      <c r="CX210" s="413">
        <f>IFERROR(IF(OR(CX205&lt;=0,CX209/CX205&lt;0,CX209/CX205&gt;1),0,CX209/CX205),0)</f>
        <v>0</v>
      </c>
      <c r="CY210" s="413">
        <f>IFERROR(IF(OR(CY205&lt;=0,CY209/CY205&lt;0,CY209/CY205&gt;1),0,CY209/CY205),0)</f>
        <v>0</v>
      </c>
      <c r="CZ210" s="413">
        <f>IFERROR(IF(OR(CZ205&lt;=0,CZ209/CZ205&lt;0,CZ209/CZ205&gt;1),0,CZ209/CZ205),0)</f>
        <v>0</v>
      </c>
      <c r="DA210" s="413">
        <f>IFERROR(IF(OR(DA205&lt;=0,DA209/DA205&lt;0,DA209/DA205&gt;1),0,DA209/DA205),0)</f>
        <v>0</v>
      </c>
      <c r="DB210" s="413">
        <f>IFERROR(IF(OR(DB205&lt;=0,DB209/DB205&lt;0,DB209/DB205&gt;1),0,DB209/DB205),0)</f>
        <v>0</v>
      </c>
      <c r="DC210" s="413">
        <f>IFERROR(IF(OR(DC205&lt;=0,DC209/DC205&lt;0,DC209/DC205&gt;1),0,DC209/DC205),0)</f>
        <v>0</v>
      </c>
      <c r="DD210" s="413">
        <f>IFERROR(IF(OR(DD205&lt;=0,DD209/DD205&lt;0,DD209/DD205&gt;1),0,DD209/DD205),0)</f>
        <v>0</v>
      </c>
      <c r="DE210" s="413">
        <f>IFERROR(IF(OR(DE205&lt;=0,DE209/DE205&lt;0,DE209/DE205&gt;1),0,DE209/DE205),0)</f>
        <v>0</v>
      </c>
    </row>
    <row r="211" ht="15" customFormat="1" customHeight="1" s="381">
      <c r="A211" s="383" t="n"/>
      <c r="B211" s="383" t="n"/>
      <c r="C211" s="383" t="n"/>
      <c r="D211" s="383" t="n"/>
      <c r="E211" s="383" t="n"/>
      <c r="F211" s="383" t="n"/>
      <c r="G211" s="383" t="n"/>
      <c r="H211" s="383" t="n"/>
      <c r="I211" s="383" t="n"/>
      <c r="J211" s="383" t="n"/>
      <c r="K211" s="383" t="n"/>
      <c r="L211" s="383" t="n"/>
      <c r="M211" s="383" t="n"/>
      <c r="N211" s="383" t="n"/>
      <c r="O211" s="383" t="n"/>
      <c r="P211" s="383" t="n"/>
      <c r="Q211" s="383" t="n"/>
      <c r="R211" s="383" t="n"/>
      <c r="S211" s="383" t="n"/>
      <c r="T211" s="383" t="n"/>
      <c r="U211" s="383" t="n"/>
      <c r="V211" s="383" t="n"/>
      <c r="W211" s="383" t="n"/>
      <c r="X211" s="383" t="n"/>
      <c r="Y211" s="383" t="n"/>
      <c r="Z211" s="383" t="n"/>
      <c r="AA211" s="383" t="n"/>
      <c r="AB211" s="383" t="n"/>
      <c r="AC211" s="383" t="n"/>
      <c r="AD211" s="383" t="n"/>
      <c r="AE211" s="383" t="n"/>
      <c r="AF211" s="383" t="n"/>
      <c r="AG211" s="383" t="n"/>
      <c r="AH211" s="383" t="n"/>
      <c r="AI211" s="383" t="n"/>
      <c r="AJ211" s="383" t="n"/>
      <c r="AK211" s="383" t="n"/>
      <c r="AL211" s="383" t="n"/>
      <c r="AM211" s="383" t="n"/>
      <c r="AN211" s="383" t="n"/>
      <c r="AO211" s="383" t="n"/>
      <c r="AP211" s="383" t="n"/>
      <c r="AQ211" s="383" t="n"/>
      <c r="AR211" s="383" t="n"/>
      <c r="AS211" s="383" t="n"/>
      <c r="AT211" s="383" t="n"/>
      <c r="AU211" s="383" t="n"/>
      <c r="AV211" s="383" t="n"/>
      <c r="AW211" s="383" t="n"/>
      <c r="AX211" s="383" t="n"/>
      <c r="AY211" s="383" t="n"/>
      <c r="AZ211" s="383" t="n"/>
      <c r="BA211" s="383" t="n"/>
      <c r="BB211" s="383" t="n"/>
      <c r="BC211" s="383" t="n"/>
      <c r="BD211" s="383" t="n"/>
      <c r="BE211" s="383" t="n"/>
      <c r="BF211" s="383" t="n"/>
      <c r="BG211" s="383" t="n"/>
      <c r="BH211" s="383" t="n"/>
      <c r="BI211" s="383" t="n"/>
      <c r="BJ211" s="383" t="n"/>
      <c r="BK211" s="383" t="n"/>
      <c r="BL211" s="383" t="n"/>
      <c r="BM211" s="383" t="n"/>
      <c r="BN211" s="383" t="n"/>
      <c r="BO211" s="383" t="n"/>
      <c r="BP211" s="383" t="n"/>
      <c r="BQ211" s="383" t="n"/>
      <c r="BR211" s="383" t="n"/>
      <c r="BS211" s="383" t="n"/>
      <c r="BT211" s="383" t="n"/>
      <c r="BU211" s="383" t="n"/>
      <c r="BV211" s="383" t="n"/>
      <c r="BW211" s="383" t="n"/>
      <c r="BX211" s="383" t="n"/>
      <c r="BY211" s="383" t="n"/>
      <c r="BZ211" s="383" t="n"/>
      <c r="CA211" s="383" t="n"/>
      <c r="CB211" s="383" t="n"/>
      <c r="CC211" s="383" t="n"/>
      <c r="CD211" s="383" t="n"/>
      <c r="CE211" s="383" t="n"/>
      <c r="CF211" s="383" t="n"/>
      <c r="CG211" s="383" t="n"/>
      <c r="CH211" s="383" t="n"/>
      <c r="CI211" s="383" t="n"/>
      <c r="CJ211" s="383" t="n"/>
      <c r="CK211" s="383" t="n"/>
      <c r="CL211" s="383" t="n"/>
      <c r="CM211" s="383" t="n"/>
      <c r="CN211" s="383" t="n"/>
      <c r="CO211" s="383" t="n"/>
      <c r="CP211" s="383" t="n"/>
      <c r="CQ211" s="383" t="n"/>
      <c r="CR211" s="383" t="n"/>
      <c r="CS211" s="383" t="n"/>
      <c r="CT211" s="383" t="n"/>
      <c r="CU211" s="383" t="n"/>
      <c r="CV211" s="383" t="n"/>
      <c r="CW211" s="383" t="n"/>
      <c r="CX211" s="383" t="n"/>
      <c r="CY211" s="383" t="n"/>
      <c r="CZ211" s="383" t="n"/>
      <c r="DA211" s="383" t="n"/>
      <c r="DB211" s="383" t="n"/>
      <c r="DC211" s="383" t="n"/>
      <c r="DD211" s="383" t="n"/>
      <c r="DE211" s="383" t="n"/>
    </row>
    <row r="212" ht="15" customFormat="1" customHeight="1" s="381">
      <c r="A212" s="420" t="inlineStr">
        <is>
          <t>Consolidated NI — Over/(Under) Budget (Nov 2025)</t>
        </is>
      </c>
      <c r="B212" s="393">
        <f>ROUND(B209-(Budget!C57+Budget!C114),2)</f>
        <v>-118338.95</v>
      </c>
      <c r="C212" s="393">
        <f>ROUND(C209-(Budget!D57+Budget!D114),2)</f>
        <v>-396722.56</v>
      </c>
      <c r="D212" s="393">
        <f>ROUND(D209-(Budget!E57+Budget!E114),2)</f>
        <v>79136.02</v>
      </c>
      <c r="E212" s="393">
        <f>ROUND(E209-(Budget!F57+Budget!F114),2)</f>
        <v>243557.91</v>
      </c>
      <c r="F212" s="393">
        <f>ROUND(F209-(Budget!G57+Budget!G114),2)</f>
        <v>-302781.92</v>
      </c>
      <c r="G212" s="393">
        <f>ROUND(G209-(Budget!H57+Budget!H114),2)</f>
        <v>320921.62</v>
      </c>
      <c r="H212" s="393">
        <f>ROUND(H209-(Budget!I57+Budget!I114),2)</f>
        <v>-261603.46</v>
      </c>
      <c r="I212" s="393">
        <f>ROUND(I209-(Budget!J57+Budget!J114),2)</f>
        <v>106311.21</v>
      </c>
      <c r="J212" s="393">
        <f>ROUND(J209-(Budget!K57+Budget!K114),2)</f>
        <v>52096.64</v>
      </c>
      <c r="K212" s="393">
        <f>ROUND(K209-(Budget!L57+Budget!L114),2)</f>
        <v>40501.63</v>
      </c>
      <c r="L212" s="393">
        <f>ROUND(L209-(Budget!M57+Budget!M114),2)</f>
        <v>-302242.81</v>
      </c>
      <c r="M212" s="393">
        <f>ROUND(M209-(Budget!N57+Budget!N114),2)</f>
        <v>19985.43</v>
      </c>
      <c r="N212" s="393">
        <f>ROUND(N209-(Budget!O57+Budget!O114),2)</f>
        <v>438699.33</v>
      </c>
      <c r="O212" s="393">
        <f>ROUND(O209-(Budget!P57+Budget!P114),2)</f>
        <v>279269.86</v>
      </c>
      <c r="P212" s="393">
        <f>ROUND(P209-(Budget!Q57+Budget!Q114),2)</f>
        <v>290567.01</v>
      </c>
      <c r="Q212" s="393">
        <f>ROUND(Q209-(Budget!R57+Budget!R114),2)</f>
        <v>274714.4</v>
      </c>
      <c r="R212" s="393">
        <f>ROUND(R209-(Budget!S57+Budget!S114),2)</f>
        <v>-665732.93</v>
      </c>
      <c r="S212" s="393">
        <f>ROUND(S209-(Budget!T57+Budget!T114),2)</f>
        <v>265559.75</v>
      </c>
      <c r="T212" s="393">
        <f>ROUND(T209-(Budget!U57+Budget!U114),2)</f>
        <v>158837.89</v>
      </c>
      <c r="U212" s="393">
        <f>ROUND(U209-(Budget!V57+Budget!V114),2)</f>
        <v>410714.55</v>
      </c>
      <c r="V212" s="393">
        <f>ROUND(V209-(Budget!W57+Budget!W114),2)</f>
        <v>454038.57</v>
      </c>
      <c r="W212" s="393">
        <f>ROUND(W209-(Budget!X57+Budget!X114),2)</f>
        <v>468025.44</v>
      </c>
      <c r="X212" s="393">
        <f>ROUND(X209-(Budget!Y57+Budget!Y114),2)</f>
        <v>591533.46</v>
      </c>
      <c r="Y212" s="393">
        <f>ROUND(Y209-(Budget!Z57+Budget!Z114),2)</f>
        <v>602914.9</v>
      </c>
      <c r="Z212" s="393">
        <f>ROUND(Z209-(Budget!AA57+Budget!AA114),2)</f>
        <v>600290.2</v>
      </c>
      <c r="AA212" s="393">
        <f>ROUND(AA209-(Budget!AB57+Budget!AB114),2)</f>
        <v>694043.39</v>
      </c>
      <c r="AB212" s="393">
        <f>ROUND(AB209-(Budget!AC57+Budget!AC114),2)</f>
        <v>718873.41</v>
      </c>
      <c r="AC212" s="393">
        <f>ROUND(AC209-(Budget!AD57+Budget!AD114),2)</f>
        <v>620908.52</v>
      </c>
      <c r="AD212" s="393">
        <f>ROUND(AD209-(Budget!AE57+Budget!AE114),2)</f>
        <v>681445.01</v>
      </c>
      <c r="AE212" s="393">
        <f>ROUND(AE209-(Budget!AF57+Budget!AF114),2)</f>
        <v>188310.1</v>
      </c>
      <c r="AF212" s="393">
        <f>ROUND(AF209-(Budget!AG57+Budget!AG114),2)</f>
        <v>1051934.87</v>
      </c>
      <c r="AG212" s="393">
        <f>ROUND(AG209-(Budget!AH57+Budget!AH114),2)</f>
        <v>761839.11</v>
      </c>
      <c r="AH212" s="393">
        <f>ROUND(AH209-(Budget!AI57+Budget!AI114),2)</f>
        <v>858481.14</v>
      </c>
      <c r="AI212" s="393">
        <f>ROUND(AI209-(Budget!AJ57+Budget!AJ114),2)</f>
        <v>1018145.29</v>
      </c>
      <c r="AJ212" s="393">
        <f>ROUND(AJ209-(Budget!AK57+Budget!AK114),2)</f>
        <v>1016737.82</v>
      </c>
      <c r="AK212" s="393">
        <f>ROUND(AK209-(Budget!AL57+Budget!AL114),2)</f>
        <v>981989.22</v>
      </c>
      <c r="AL212" s="393">
        <f>ROUND(AL209-(Budget!AM57+Budget!AM114),2)</f>
        <v>1363092.79</v>
      </c>
      <c r="AM212" s="393">
        <f>ROUND(AM209-(Budget!AN57+Budget!AN114),2)</f>
        <v>688124.79</v>
      </c>
      <c r="AN212" s="393">
        <f>ROUND(AN209-(Budget!AO57+Budget!AO114),2)</f>
        <v>785589.99</v>
      </c>
      <c r="AO212" s="393">
        <f>ROUND(AO209-(Budget!AP57+Budget!AP114),2)</f>
        <v>858222.71</v>
      </c>
      <c r="AP212" s="393">
        <f>ROUND(AP209-(Budget!AQ57+Budget!AQ114),2)</f>
        <v>952762.98</v>
      </c>
      <c r="AQ212" s="393">
        <f>ROUND(AQ209-(Budget!AR57+Budget!AR114),2)</f>
        <v>1021744.6</v>
      </c>
      <c r="AR212" s="393">
        <f>ROUND(AR209-(Budget!AS57+Budget!AS114),2)</f>
        <v>1015432.97</v>
      </c>
      <c r="AS212" s="393">
        <f>ROUND(AS209-(Budget!AT57+Budget!AT114),2)</f>
        <v>1031308.57</v>
      </c>
      <c r="AT212" s="393">
        <f>ROUND(AT209-(Budget!AU57+Budget!AU114),2)</f>
        <v>1127104.45</v>
      </c>
      <c r="AU212" s="393">
        <f>ROUND(AU209-(Budget!AV57+Budget!AV114),2)</f>
        <v>1429329.35</v>
      </c>
      <c r="AV212" s="393">
        <f>ROUND(AV209-(Budget!AW57+Budget!AW114),2)</f>
        <v>747097.14</v>
      </c>
      <c r="AW212" s="393">
        <f>ROUND(AW209-(Budget!AX57+Budget!AX114),2)</f>
        <v>741556.53</v>
      </c>
      <c r="AX212" s="393">
        <f>ROUND(AX209-(Budget!AY57+Budget!AY114),2)</f>
        <v>819934.53</v>
      </c>
      <c r="AY212" s="393">
        <f>ROUND(AY209-(Budget!AZ57+Budget!AZ114),2)</f>
        <v>915339.35</v>
      </c>
      <c r="AZ212" s="393">
        <f>ROUND(AZ209-(Budget!BA57+Budget!BA114),2)</f>
        <v>871487.34</v>
      </c>
      <c r="BA212" s="393">
        <f>ROUND(BA209-(Budget!BB57+Budget!BB114),2)</f>
        <v>803922.64</v>
      </c>
      <c r="BB212" s="393">
        <f>ROUND(BB209-(Budget!BC57+Budget!BC114),2)</f>
        <v>795992.48</v>
      </c>
      <c r="BC212" s="393">
        <f>ROUND(BC209-(Budget!BD57+Budget!BD114),2)</f>
        <v>803062.32</v>
      </c>
      <c r="BD212" s="393">
        <f>ROUND(BD209-(Budget!BE57+Budget!BE114),2)</f>
        <v>820690.81</v>
      </c>
      <c r="BE212" s="393">
        <f>ROUND(BE209-(Budget!BF57+Budget!BF114),2)</f>
        <v>830819.3</v>
      </c>
      <c r="BF212" s="393">
        <f>ROUND(BF209-(Budget!BG57+Budget!BG114),2)</f>
        <v>801771.84</v>
      </c>
      <c r="BG212" s="393">
        <f>ROUND(BG209-(Budget!BH57+Budget!BH114),2)</f>
        <v>819400.33</v>
      </c>
      <c r="BH212" s="393">
        <f>ROUND(BH209-(Budget!BI57+Budget!BI114),2)</f>
        <v>1078465.1</v>
      </c>
      <c r="BI212" s="393">
        <f>ROUND(BI209-(Budget!BJ57+Budget!BJ114),2)</f>
        <v>552528.47</v>
      </c>
      <c r="BJ212" s="393">
        <f>ROUND(BJ209-(Budget!BK57+Budget!BK114),2)</f>
        <v>409011.81</v>
      </c>
      <c r="BK212" s="393">
        <f>ROUND(BK209-(Budget!BL57+Budget!BL114),2)</f>
        <v>408581.65</v>
      </c>
      <c r="BL212" s="393">
        <f>ROUND(BL209-(Budget!BM57+Budget!BM114),2)</f>
        <v>408151.49</v>
      </c>
      <c r="BM212" s="393">
        <f>ROUND(BM209-(Budget!BN57+Budget!BN114),2)</f>
        <v>527766.32</v>
      </c>
      <c r="BN212" s="393">
        <f>ROUND(BN209-(Budget!BO57+Budget!BO114),2)</f>
        <v>400925.61</v>
      </c>
      <c r="BO212" s="393">
        <f>ROUND(BO209-(Budget!BP57+Budget!BP114),2)</f>
        <v>273735.24</v>
      </c>
      <c r="BP212" s="393">
        <f>ROUND(BP209-(Budget!BQ57+Budget!BQ114),2)</f>
        <v>160804.25</v>
      </c>
      <c r="BQ212" s="393">
        <f>ROUND(BQ209-(Budget!BR57+Budget!BR114),2)</f>
        <v>160804.25</v>
      </c>
      <c r="BR212" s="393">
        <f>ROUND(BR209-(Budget!BS57+Budget!BS114),2)</f>
        <v>304347.85</v>
      </c>
      <c r="BS212" s="393">
        <f>ROUND(BS209-(Budget!BT57+Budget!BT114),2)</f>
        <v>178862.9</v>
      </c>
      <c r="BT212" s="393">
        <f>ROUND(BT209-(Budget!BU57+Budget!BU114),2)</f>
        <v>52452.35</v>
      </c>
      <c r="BU212" s="393">
        <f>ROUND(BU209-(Budget!BV57+Budget!BV114),2)</f>
        <v>29921.1</v>
      </c>
      <c r="BV212" s="393">
        <f>ROUND(BV209-(Budget!BW57+Budget!BW114),2)</f>
        <v>-110075.5</v>
      </c>
      <c r="BW212" s="393">
        <f>ROUND(BW209-(Budget!BX57+Budget!BX114),2)</f>
        <v>-236486.05</v>
      </c>
      <c r="BX212" s="393">
        <f>ROUND(BX209-(Budget!BY57+Budget!BY114),2)</f>
        <v>-259017.3</v>
      </c>
      <c r="BY212" s="393">
        <f>ROUND(BY209-(Budget!BZ57+Budget!BZ114),2)</f>
        <v>-411057.46</v>
      </c>
      <c r="BZ212" s="393">
        <f>ROUND(BZ209-(Budget!CA57+Budget!CA114),2)</f>
        <v>-537468.01</v>
      </c>
      <c r="CA212" s="393">
        <f>ROUND(CA209-(Budget!CB57+Budget!CB114),2)</f>
        <v>-650292.51</v>
      </c>
      <c r="CB212" s="393">
        <f>ROUND(CB209-(Budget!CC57+Budget!CC114),2)</f>
        <v>-718054.51</v>
      </c>
      <c r="CC212" s="393">
        <f>ROUND(CC209-(Budget!CD57+Budget!CD114),2)</f>
        <v>-718054.51</v>
      </c>
      <c r="CD212" s="393">
        <f>ROUND(CD209-(Budget!CE57+Budget!CE114),2)</f>
        <v>-641555.51</v>
      </c>
      <c r="CE212" s="393">
        <f>ROUND(CE209-(Budget!CF57+Budget!CF114),2)</f>
        <v>-718054.51</v>
      </c>
      <c r="CF212" s="393">
        <f>ROUND(CF209-(Budget!CG57+Budget!CG114),2)</f>
        <v>-718054.51</v>
      </c>
      <c r="CG212" s="393">
        <f>ROUND(CG209-(Budget!CH57+Budget!CH114),2)</f>
        <v>-641555.51</v>
      </c>
      <c r="CH212" s="393">
        <f>ROUND(CH209-(Budget!CI57+Budget!CI114),2)</f>
        <v>-718054.51</v>
      </c>
      <c r="CI212" s="393">
        <f>ROUND(CI209-(Budget!CJ57+Budget!CJ114),2)</f>
        <v>-718054.51</v>
      </c>
      <c r="CJ212" s="393">
        <f>ROUND(CJ209-(Budget!CK57+Budget!CK114),2)</f>
        <v>-634947.48</v>
      </c>
      <c r="CK212" s="393">
        <f>ROUND(CK209-(Budget!CL57+Budget!CL114),2)</f>
        <v>-572477.93</v>
      </c>
      <c r="CL212" s="393">
        <f>ROUND(CL209-(Budget!CM57+Budget!CM114),2)</f>
        <v>-572477.93</v>
      </c>
      <c r="CM212" s="393">
        <f>ROUND(CM209-(Budget!CN57+Budget!CN114),2)</f>
        <v>-572477.93</v>
      </c>
      <c r="CN212" s="393">
        <f>ROUND(CN209-(Budget!CO57+Budget!CO114),2)</f>
        <v>-572477.93</v>
      </c>
      <c r="CO212" s="393">
        <f>ROUND(CO209-(Budget!CP57+Budget!CP114),2)</f>
        <v>-572477.93</v>
      </c>
      <c r="CP212" s="393">
        <f>ROUND(CP209-(Budget!CQ57+Budget!CQ114),2)</f>
        <v>-572477.93</v>
      </c>
      <c r="CQ212" s="393">
        <f>ROUND(CQ209-(Budget!CR57+Budget!CR114),2)</f>
        <v>-572477.93</v>
      </c>
      <c r="CR212" s="393">
        <f>ROUND(CR209-(Budget!CS57+Budget!CS114),2)</f>
        <v>-572477.93</v>
      </c>
      <c r="CS212" s="393">
        <f>ROUND(CS209-(Budget!CT57+Budget!CT114),2)</f>
        <v>-572477.93</v>
      </c>
      <c r="CT212" s="393">
        <f>ROUND(CT209-(Budget!CU57+Budget!CU114),2)</f>
        <v>-506478.76</v>
      </c>
      <c r="CU212" s="393">
        <f>ROUND(CU209-(Budget!CV57+Budget!CV114),2)</f>
        <v>-506478.76</v>
      </c>
      <c r="CV212" s="393">
        <f>ROUND(CV209-(Budget!CW57+Budget!CW114),2)</f>
        <v>-506478.76</v>
      </c>
      <c r="CW212" s="393">
        <f>ROUND(CW209-(Budget!CX57+Budget!CX114),2)</f>
        <v>-461980.74</v>
      </c>
      <c r="CX212" s="393">
        <f>ROUND(CX209-(Budget!CY57+Budget!CY114),2)</f>
        <v>-444533.89</v>
      </c>
      <c r="CY212" s="393">
        <f>ROUND(CY209-(Budget!CZ57+Budget!CZ114),2)</f>
        <v>-444533.89</v>
      </c>
      <c r="CZ212" s="393">
        <f>ROUND(CZ209-(Budget!DA57+Budget!DA114),2)</f>
        <v>-444533.89</v>
      </c>
      <c r="DA212" s="393">
        <f>ROUND(DA209-(Budget!DB57+Budget!DB114),2)</f>
        <v>-444533.89</v>
      </c>
      <c r="DB212" s="393">
        <f>ROUND(DB209-(Budget!DC57+Budget!DC114),2)</f>
        <v>-444533.89</v>
      </c>
      <c r="DC212" s="393">
        <f>ROUND(DC209-(Budget!DD57+Budget!DD114),2)</f>
        <v>-444533.89</v>
      </c>
      <c r="DD212" s="393">
        <f>ROUND(DD209-(Budget!DE57+Budget!DE114),2)</f>
        <v>-444533.89</v>
      </c>
      <c r="DE212" s="393">
        <f>ROUND(DE209-(Budget!DF57+Budget!DF114),2)</f>
        <v>-444533.89</v>
      </c>
    </row>
    <row r="213" ht="15" customFormat="1" customHeight="1" s="381">
      <c r="A213" s="383" t="n"/>
      <c r="B213" s="383" t="n"/>
      <c r="C213" s="383" t="n"/>
      <c r="D213" s="383" t="n"/>
      <c r="E213" s="383" t="n"/>
      <c r="F213" s="383" t="n"/>
      <c r="G213" s="383" t="n"/>
      <c r="H213" s="383" t="n"/>
      <c r="I213" s="383" t="n"/>
      <c r="J213" s="383" t="n"/>
      <c r="K213" s="383" t="n"/>
      <c r="L213" s="383" t="n"/>
      <c r="M213" s="383" t="n"/>
      <c r="N213" s="383" t="n"/>
      <c r="O213" s="383" t="n"/>
      <c r="P213" s="383" t="n"/>
      <c r="Q213" s="383" t="n"/>
      <c r="R213" s="383" t="n"/>
      <c r="S213" s="383" t="n"/>
      <c r="T213" s="383" t="n"/>
      <c r="U213" s="383" t="n"/>
      <c r="V213" s="383" t="n"/>
      <c r="W213" s="383" t="n"/>
      <c r="X213" s="383" t="n"/>
      <c r="Y213" s="383" t="n"/>
      <c r="Z213" s="383" t="n"/>
      <c r="AA213" s="383" t="n"/>
      <c r="AB213" s="383" t="n"/>
      <c r="AC213" s="383" t="n"/>
      <c r="AD213" s="383" t="n"/>
      <c r="AE213" s="383" t="n"/>
      <c r="AF213" s="383" t="n"/>
      <c r="AG213" s="383" t="n"/>
      <c r="AH213" s="383" t="n"/>
      <c r="AI213" s="383" t="n"/>
      <c r="AJ213" s="383" t="n"/>
      <c r="AK213" s="383" t="n"/>
      <c r="AL213" s="383" t="n"/>
      <c r="AM213" s="383" t="n"/>
      <c r="AN213" s="383" t="n"/>
      <c r="AO213" s="383" t="n"/>
      <c r="AP213" s="383" t="n"/>
      <c r="AQ213" s="383" t="n"/>
      <c r="AR213" s="383" t="n"/>
      <c r="AS213" s="383" t="n"/>
      <c r="AT213" s="383" t="n"/>
      <c r="AU213" s="383" t="n"/>
      <c r="AV213" s="383" t="n"/>
      <c r="AW213" s="383" t="n"/>
      <c r="AX213" s="383" t="n"/>
      <c r="AY213" s="383" t="n"/>
      <c r="AZ213" s="383" t="n"/>
      <c r="BA213" s="383" t="n"/>
      <c r="BB213" s="383" t="n"/>
      <c r="BC213" s="383" t="n"/>
      <c r="BD213" s="383" t="n"/>
      <c r="BE213" s="383" t="n"/>
      <c r="BF213" s="383" t="n"/>
      <c r="BG213" s="383" t="n"/>
      <c r="BH213" s="383" t="n"/>
      <c r="BI213" s="383" t="n"/>
      <c r="BJ213" s="383" t="n"/>
      <c r="BK213" s="383" t="n"/>
      <c r="BL213" s="383" t="n"/>
      <c r="BM213" s="383" t="n"/>
      <c r="BN213" s="383" t="n"/>
      <c r="BO213" s="383" t="n"/>
      <c r="BP213" s="383" t="n"/>
      <c r="BQ213" s="383" t="n"/>
      <c r="BR213" s="383" t="n"/>
      <c r="BS213" s="383" t="n"/>
      <c r="BT213" s="383" t="n"/>
      <c r="BU213" s="383" t="n"/>
      <c r="BV213" s="383" t="n"/>
      <c r="BW213" s="383" t="n"/>
      <c r="BX213" s="383" t="n"/>
      <c r="BY213" s="383" t="n"/>
      <c r="BZ213" s="383" t="n"/>
      <c r="CA213" s="383" t="n"/>
      <c r="CB213" s="383" t="n"/>
      <c r="CC213" s="383" t="n"/>
      <c r="CD213" s="383" t="n"/>
      <c r="CE213" s="383" t="n"/>
      <c r="CF213" s="383" t="n"/>
      <c r="CG213" s="383" t="n"/>
      <c r="CH213" s="383" t="n"/>
      <c r="CI213" s="383" t="n"/>
      <c r="CJ213" s="383" t="n"/>
      <c r="CK213" s="383" t="n"/>
      <c r="CL213" s="383" t="n"/>
      <c r="CM213" s="383" t="n"/>
      <c r="CN213" s="383" t="n"/>
      <c r="CO213" s="383" t="n"/>
      <c r="CP213" s="383" t="n"/>
      <c r="CQ213" s="383" t="n"/>
      <c r="CR213" s="383" t="n"/>
      <c r="CS213" s="383" t="n"/>
      <c r="CT213" s="383" t="n"/>
      <c r="CU213" s="383" t="n"/>
      <c r="CV213" s="383" t="n"/>
      <c r="CW213" s="383" t="n"/>
      <c r="CX213" s="383" t="n"/>
      <c r="CY213" s="383" t="n"/>
      <c r="CZ213" s="383" t="n"/>
      <c r="DA213" s="383" t="n"/>
      <c r="DB213" s="383" t="n"/>
      <c r="DC213" s="383" t="n"/>
      <c r="DD213" s="383" t="n"/>
      <c r="DE213" s="383" t="n"/>
    </row>
    <row r="214" ht="15" customFormat="1" customHeight="1" s="381">
      <c r="A214" s="424" t="inlineStr">
        <is>
          <t>DEBT FACILITY</t>
        </is>
      </c>
      <c r="B214" s="419" t="n"/>
      <c r="C214" s="419" t="n"/>
      <c r="D214" s="419" t="n"/>
      <c r="E214" s="419" t="n"/>
      <c r="F214" s="419" t="n"/>
      <c r="G214" s="419" t="n"/>
      <c r="H214" s="419" t="n"/>
      <c r="I214" s="419" t="n"/>
      <c r="J214" s="419" t="n"/>
      <c r="K214" s="419" t="n"/>
      <c r="L214" s="419" t="n"/>
      <c r="M214" s="419" t="n"/>
      <c r="N214" s="419" t="n"/>
      <c r="O214" s="419" t="n"/>
      <c r="P214" s="419" t="n"/>
      <c r="Q214" s="419" t="n"/>
      <c r="R214" s="419" t="n"/>
      <c r="S214" s="419" t="n"/>
      <c r="T214" s="419" t="n"/>
      <c r="U214" s="419" t="n"/>
      <c r="V214" s="419" t="n"/>
      <c r="W214" s="419" t="n"/>
      <c r="X214" s="419" t="n"/>
      <c r="Y214" s="419" t="n"/>
      <c r="Z214" s="419" t="n"/>
      <c r="AA214" s="419" t="n"/>
      <c r="AB214" s="419" t="n"/>
      <c r="AC214" s="419" t="n"/>
      <c r="AD214" s="419" t="n"/>
      <c r="AE214" s="419" t="n"/>
      <c r="AF214" s="419" t="n"/>
      <c r="AG214" s="419" t="n"/>
      <c r="AH214" s="419" t="n"/>
      <c r="AI214" s="419" t="n"/>
      <c r="AJ214" s="419" t="n"/>
      <c r="AK214" s="419" t="n"/>
      <c r="AL214" s="419" t="n"/>
      <c r="AM214" s="419" t="n"/>
      <c r="AN214" s="419" t="n"/>
      <c r="AO214" s="419" t="n"/>
      <c r="AP214" s="419" t="n"/>
      <c r="AQ214" s="419" t="n"/>
      <c r="AR214" s="419" t="n"/>
      <c r="AS214" s="419" t="n"/>
      <c r="AT214" s="419" t="n"/>
      <c r="AU214" s="419" t="n"/>
      <c r="AV214" s="419" t="n"/>
      <c r="AW214" s="419" t="n"/>
      <c r="AX214" s="419" t="n"/>
      <c r="AY214" s="419" t="n"/>
      <c r="AZ214" s="419" t="n"/>
      <c r="BA214" s="419" t="n"/>
      <c r="BB214" s="419" t="n"/>
      <c r="BC214" s="419" t="n"/>
      <c r="BD214" s="419" t="n"/>
      <c r="BE214" s="419" t="n"/>
      <c r="BF214" s="419" t="n"/>
      <c r="BG214" s="419" t="n"/>
      <c r="BH214" s="419" t="n"/>
      <c r="BI214" s="419" t="n"/>
      <c r="BJ214" s="419" t="n"/>
      <c r="BK214" s="419" t="n"/>
      <c r="BL214" s="419" t="n"/>
      <c r="BM214" s="419" t="n"/>
      <c r="BN214" s="419" t="n"/>
      <c r="BO214" s="419" t="n"/>
      <c r="BP214" s="419" t="n"/>
      <c r="BQ214" s="419" t="n"/>
      <c r="BR214" s="419" t="n"/>
      <c r="BS214" s="419" t="n"/>
      <c r="BT214" s="419" t="n"/>
      <c r="BU214" s="419" t="n"/>
      <c r="BV214" s="419" t="n"/>
      <c r="BW214" s="419" t="n"/>
      <c r="BX214" s="419" t="n"/>
      <c r="BY214" s="419" t="n"/>
      <c r="BZ214" s="419" t="n"/>
      <c r="CA214" s="419" t="n"/>
      <c r="CB214" s="419" t="n"/>
      <c r="CC214" s="419" t="n"/>
      <c r="CD214" s="419" t="n"/>
      <c r="CE214" s="419" t="n"/>
      <c r="CF214" s="419" t="n"/>
      <c r="CG214" s="419" t="n"/>
      <c r="CH214" s="419" t="n"/>
      <c r="CI214" s="419" t="n"/>
      <c r="CJ214" s="419" t="n"/>
      <c r="CK214" s="419" t="n"/>
      <c r="CL214" s="419" t="n"/>
      <c r="CM214" s="419" t="n"/>
      <c r="CN214" s="419" t="n"/>
      <c r="CO214" s="419" t="n"/>
      <c r="CP214" s="419" t="n"/>
      <c r="CQ214" s="419" t="n"/>
      <c r="CR214" s="419" t="n"/>
      <c r="CS214" s="419" t="n"/>
      <c r="CT214" s="419" t="n"/>
      <c r="CU214" s="419" t="n"/>
      <c r="CV214" s="419" t="n"/>
      <c r="CW214" s="419" t="n"/>
      <c r="CX214" s="419" t="n"/>
      <c r="CY214" s="419" t="n"/>
      <c r="CZ214" s="419" t="n"/>
      <c r="DA214" s="419" t="n"/>
      <c r="DB214" s="419" t="n"/>
      <c r="DC214" s="419" t="n"/>
      <c r="DD214" s="419" t="n"/>
      <c r="DE214" s="419" t="n"/>
    </row>
    <row r="215" ht="19.5" customFormat="1" customHeight="1" s="381">
      <c r="A215" s="398" t="inlineStr">
        <is>
          <t>Beginning Balance</t>
        </is>
      </c>
      <c r="B215" s="393" t="n"/>
      <c r="C215" s="393" t="n"/>
      <c r="D215" s="393" t="n"/>
      <c r="E215" s="393">
        <f>Assumptions!$B$33</f>
        <v>1615485</v>
      </c>
      <c r="F215" s="393">
        <f>E218</f>
        <v>1615485</v>
      </c>
      <c r="G215" s="393">
        <f>F218</f>
        <v>1615485</v>
      </c>
      <c r="H215" s="393">
        <f>G218</f>
        <v>1676065.6875</v>
      </c>
      <c r="I215" s="393">
        <f>H218</f>
        <v>1676065.6875</v>
      </c>
      <c r="J215" s="393">
        <f>I218</f>
        <v>1676065.6875</v>
      </c>
      <c r="K215" s="393">
        <f>J218</f>
        <v>1738918.15078125</v>
      </c>
      <c r="L215" s="393">
        <f>K218</f>
        <v>1738918.15078125</v>
      </c>
      <c r="M215" s="393">
        <f>L218</f>
        <v>1738918.15078125</v>
      </c>
      <c r="N215" s="393">
        <f>M218</f>
        <v>1804127.58143555</v>
      </c>
      <c r="O215" s="393">
        <f>N218</f>
        <v>1692127.58143555</v>
      </c>
      <c r="P215" s="393">
        <f>O218</f>
        <v>1580127.58143555</v>
      </c>
      <c r="Q215" s="393">
        <f>P218</f>
        <v>1527382.36573938</v>
      </c>
      <c r="R215" s="393">
        <f>Q218</f>
        <v>1415382.36573938</v>
      </c>
      <c r="S215" s="393">
        <f>R218</f>
        <v>1303382.36573938</v>
      </c>
      <c r="T215" s="393">
        <f>S218</f>
        <v>1240259.20445461</v>
      </c>
      <c r="U215" s="393">
        <f>T218</f>
        <v>1128259.20445461</v>
      </c>
      <c r="V215" s="393">
        <f>U218</f>
        <v>1016259.20445461</v>
      </c>
      <c r="W215" s="393">
        <f>V218</f>
        <v>942368.924621655</v>
      </c>
      <c r="X215" s="393">
        <f>W218</f>
        <v>830368.924621655</v>
      </c>
      <c r="Y215" s="393">
        <f>X218</f>
        <v>718368.924621655</v>
      </c>
      <c r="Z215" s="393">
        <f>Y218</f>
        <v>633307.759294967</v>
      </c>
      <c r="AA215" s="393">
        <f>Z218</f>
        <v>521307.759294967</v>
      </c>
      <c r="AB215" s="393">
        <f>AA218</f>
        <v>409307.759294967</v>
      </c>
      <c r="AC215" s="393">
        <f>AB218</f>
        <v>312656.800268528</v>
      </c>
      <c r="AD215" s="393">
        <f>AC218</f>
        <v>200656.800268528</v>
      </c>
      <c r="AE215" s="393">
        <f>AD218</f>
        <v>88656.8002685279</v>
      </c>
      <c r="AF215" s="393">
        <f>AE218</f>
        <v>0</v>
      </c>
      <c r="AG215" s="393">
        <f>AF218</f>
        <v>0</v>
      </c>
      <c r="AH215" s="393">
        <f>AG218</f>
        <v>0</v>
      </c>
      <c r="AI215" s="393">
        <f>AH218</f>
        <v>0</v>
      </c>
      <c r="AJ215" s="393">
        <f>AI218</f>
        <v>0</v>
      </c>
      <c r="AK215" s="393">
        <f>AJ218</f>
        <v>0</v>
      </c>
      <c r="AL215" s="393">
        <f>AK218</f>
        <v>0</v>
      </c>
      <c r="AM215" s="393">
        <f>AL218</f>
        <v>0</v>
      </c>
      <c r="AN215" s="393">
        <f>AM218</f>
        <v>0</v>
      </c>
      <c r="AO215" s="393">
        <f>AN218</f>
        <v>0</v>
      </c>
      <c r="AP215" s="393">
        <f>AO218</f>
        <v>0</v>
      </c>
      <c r="AQ215" s="393">
        <f>AP218</f>
        <v>0</v>
      </c>
      <c r="AR215" s="393">
        <f>AQ218</f>
        <v>0</v>
      </c>
      <c r="AS215" s="393">
        <f>AR218</f>
        <v>0</v>
      </c>
      <c r="AT215" s="393">
        <f>AS218</f>
        <v>0</v>
      </c>
      <c r="AU215" s="393">
        <f>AT218</f>
        <v>0</v>
      </c>
      <c r="AV215" s="393">
        <f>AU218</f>
        <v>0</v>
      </c>
      <c r="AW215" s="393">
        <f>AV218</f>
        <v>0</v>
      </c>
      <c r="AX215" s="393">
        <f>AW218</f>
        <v>0</v>
      </c>
      <c r="AY215" s="393">
        <f>AX218</f>
        <v>0</v>
      </c>
      <c r="AZ215" s="393">
        <f>AY218</f>
        <v>0</v>
      </c>
      <c r="BA215" s="393">
        <f>AZ218</f>
        <v>0</v>
      </c>
      <c r="BB215" s="393">
        <f>BA218</f>
        <v>0</v>
      </c>
      <c r="BC215" s="393">
        <f>BB218</f>
        <v>0</v>
      </c>
      <c r="BD215" s="393">
        <f>BC218</f>
        <v>0</v>
      </c>
      <c r="BE215" s="393">
        <f>BD218</f>
        <v>0</v>
      </c>
      <c r="BF215" s="393">
        <f>BE218</f>
        <v>0</v>
      </c>
      <c r="BG215" s="393">
        <f>BF218</f>
        <v>0</v>
      </c>
      <c r="BH215" s="393">
        <f>BG218</f>
        <v>0</v>
      </c>
      <c r="BI215" s="393">
        <f>BH218</f>
        <v>0</v>
      </c>
      <c r="BJ215" s="393">
        <f>BI218</f>
        <v>0</v>
      </c>
      <c r="BK215" s="393">
        <f>BJ218</f>
        <v>0</v>
      </c>
      <c r="BL215" s="393">
        <f>BK218</f>
        <v>0</v>
      </c>
      <c r="BM215" s="393">
        <f>BL218</f>
        <v>0</v>
      </c>
      <c r="BN215" s="393">
        <f>BM218</f>
        <v>0</v>
      </c>
      <c r="BO215" s="393">
        <f>BN218</f>
        <v>0</v>
      </c>
      <c r="BP215" s="393">
        <f>BO218</f>
        <v>0</v>
      </c>
      <c r="BQ215" s="393">
        <f>BP218</f>
        <v>0</v>
      </c>
      <c r="BR215" s="393">
        <f>BQ218</f>
        <v>0</v>
      </c>
      <c r="BS215" s="393">
        <f>BR218</f>
        <v>0</v>
      </c>
      <c r="BT215" s="393">
        <f>BS218</f>
        <v>0</v>
      </c>
      <c r="BU215" s="393">
        <f>BT218</f>
        <v>0</v>
      </c>
      <c r="BV215" s="393">
        <f>BU218</f>
        <v>0</v>
      </c>
      <c r="BW215" s="393">
        <f>BV218</f>
        <v>0</v>
      </c>
      <c r="BX215" s="393">
        <f>BW218</f>
        <v>0</v>
      </c>
      <c r="BY215" s="393">
        <f>BX218</f>
        <v>0</v>
      </c>
      <c r="BZ215" s="393">
        <f>BY218</f>
        <v>0</v>
      </c>
      <c r="CA215" s="393">
        <f>BZ218</f>
        <v>0</v>
      </c>
      <c r="CB215" s="393">
        <f>CA218</f>
        <v>0</v>
      </c>
      <c r="CC215" s="393">
        <f>CB218</f>
        <v>0</v>
      </c>
      <c r="CD215" s="393">
        <f>CC218</f>
        <v>0</v>
      </c>
      <c r="CE215" s="393">
        <f>CD218</f>
        <v>0</v>
      </c>
      <c r="CF215" s="393">
        <f>CE218</f>
        <v>0</v>
      </c>
      <c r="CG215" s="393">
        <f>CF218</f>
        <v>0</v>
      </c>
      <c r="CH215" s="393">
        <f>CG218</f>
        <v>0</v>
      </c>
      <c r="CI215" s="393">
        <f>CH218</f>
        <v>0</v>
      </c>
      <c r="CJ215" s="393">
        <f>CI218</f>
        <v>0</v>
      </c>
      <c r="CK215" s="393">
        <f>CJ218</f>
        <v>0</v>
      </c>
      <c r="CL215" s="393">
        <f>CK218</f>
        <v>0</v>
      </c>
      <c r="CM215" s="393">
        <f>CL218</f>
        <v>0</v>
      </c>
      <c r="CN215" s="393">
        <f>CM218</f>
        <v>0</v>
      </c>
      <c r="CO215" s="393">
        <f>CN218</f>
        <v>0</v>
      </c>
      <c r="CP215" s="393">
        <f>CO218</f>
        <v>0</v>
      </c>
      <c r="CQ215" s="393">
        <f>CP218</f>
        <v>0</v>
      </c>
      <c r="CR215" s="393">
        <f>CQ218</f>
        <v>0</v>
      </c>
      <c r="CS215" s="393">
        <f>CR218</f>
        <v>0</v>
      </c>
      <c r="CT215" s="393">
        <f>CS218</f>
        <v>0</v>
      </c>
      <c r="CU215" s="393">
        <f>CT218</f>
        <v>0</v>
      </c>
      <c r="CV215" s="393">
        <f>CU218</f>
        <v>0</v>
      </c>
      <c r="CW215" s="393">
        <f>CV218</f>
        <v>0</v>
      </c>
      <c r="CX215" s="393">
        <f>CW218</f>
        <v>0</v>
      </c>
      <c r="CY215" s="393">
        <f>CX218</f>
        <v>0</v>
      </c>
      <c r="CZ215" s="393">
        <f>CY218</f>
        <v>0</v>
      </c>
      <c r="DA215" s="393">
        <f>CZ218</f>
        <v>0</v>
      </c>
      <c r="DB215" s="393">
        <f>DA218</f>
        <v>0</v>
      </c>
      <c r="DC215" s="393">
        <f>DB218</f>
        <v>0</v>
      </c>
      <c r="DD215" s="393">
        <f>DC218</f>
        <v>0</v>
      </c>
      <c r="DE215" s="393">
        <f>DD218</f>
        <v>0</v>
      </c>
    </row>
    <row r="216" ht="15" customFormat="1" customHeight="1" s="381">
      <c r="A216" s="398" t="inlineStr">
        <is>
          <t>Quarterly Interest (15% / 4)</t>
        </is>
      </c>
      <c r="B216" s="393" t="n"/>
      <c r="C216" s="393" t="n"/>
      <c r="D216" s="393" t="n"/>
      <c r="E216" s="393">
        <f>IF(AND(MOD(1,3)=0,E215&gt;0),E215*Assumptions!$B$35,0)</f>
        <v>0</v>
      </c>
      <c r="F216" s="393">
        <f>IF(AND(MOD(2,3)=0,F215&gt;0),F215*Assumptions!$B$35,0)</f>
        <v>0</v>
      </c>
      <c r="G216" s="393">
        <f>IF(AND(MOD(3,3)=0,G215&gt;0),G215*Assumptions!$B$35,0)</f>
        <v>60580.6875</v>
      </c>
      <c r="H216" s="393">
        <f>IF(AND(MOD(4,3)=0,H215&gt;0),H215*Assumptions!$B$35,0)</f>
        <v>0</v>
      </c>
      <c r="I216" s="393">
        <f>IF(AND(MOD(5,3)=0,I215&gt;0),I215*Assumptions!$B$35,0)</f>
        <v>0</v>
      </c>
      <c r="J216" s="393">
        <f>IF(AND(MOD(6,3)=0,J215&gt;0),J215*Assumptions!$B$35,0)</f>
        <v>62852.46328125</v>
      </c>
      <c r="K216" s="393">
        <f>IF(AND(MOD(7,3)=0,K215&gt;0),K215*Assumptions!$B$35,0)</f>
        <v>0</v>
      </c>
      <c r="L216" s="393">
        <f>IF(AND(MOD(8,3)=0,L215&gt;0),L215*Assumptions!$B$35,0)</f>
        <v>0</v>
      </c>
      <c r="M216" s="393">
        <f>IF(AND(MOD(9,3)=0,M215&gt;0),M215*Assumptions!$B$35,0)</f>
        <v>65209.4306542969</v>
      </c>
      <c r="N216" s="393">
        <f>IF(AND(MOD(10,3)=0,N215&gt;0),N215*Assumptions!$B$35,0)</f>
        <v>0</v>
      </c>
      <c r="O216" s="393">
        <f>IF(AND(MOD(11,3)=0,O215&gt;0),O215*Assumptions!$B$35,0)</f>
        <v>0</v>
      </c>
      <c r="P216" s="393">
        <f>IF(AND(MOD(12,3)=0,P215&gt;0),P215*Assumptions!$B$35,0)</f>
        <v>59254.784303833</v>
      </c>
      <c r="Q216" s="393">
        <f>IF(AND(MOD(13,3)=0,Q215&gt;0),Q215*Assumptions!$B$35,0)</f>
        <v>0</v>
      </c>
      <c r="R216" s="393">
        <f>IF(AND(MOD(14,3)=0,R215&gt;0),R215*Assumptions!$B$35,0)</f>
        <v>0</v>
      </c>
      <c r="S216" s="393">
        <f>IF(AND(MOD(15,3)=0,S215&gt;0),S215*Assumptions!$B$35,0)</f>
        <v>48876.8387152267</v>
      </c>
      <c r="T216" s="393">
        <f>IF(AND(MOD(16,3)=0,T215&gt;0),T215*Assumptions!$B$35,0)</f>
        <v>0</v>
      </c>
      <c r="U216" s="393">
        <f>IF(AND(MOD(17,3)=0,U215&gt;0),U215*Assumptions!$B$35,0)</f>
        <v>0</v>
      </c>
      <c r="V216" s="393">
        <f>IF(AND(MOD(18,3)=0,V215&gt;0),V215*Assumptions!$B$35,0)</f>
        <v>38109.7201670478</v>
      </c>
      <c r="W216" s="393">
        <f>IF(AND(MOD(19,3)=0,W215&gt;0),W215*Assumptions!$B$35,0)</f>
        <v>0</v>
      </c>
      <c r="X216" s="393">
        <f>IF(AND(MOD(20,3)=0,X215&gt;0),X215*Assumptions!$B$35,0)</f>
        <v>0</v>
      </c>
      <c r="Y216" s="393">
        <f>IF(AND(MOD(21,3)=0,Y215&gt;0),Y215*Assumptions!$B$35,0)</f>
        <v>26938.8346733121</v>
      </c>
      <c r="Z216" s="393">
        <f>IF(AND(MOD(22,3)=0,Z215&gt;0),Z215*Assumptions!$B$35,0)</f>
        <v>0</v>
      </c>
      <c r="AA216" s="393">
        <f>IF(AND(MOD(23,3)=0,AA215&gt;0),AA215*Assumptions!$B$35,0)</f>
        <v>0</v>
      </c>
      <c r="AB216" s="393">
        <f>IF(AND(MOD(24,3)=0,AB215&gt;0),AB215*Assumptions!$B$35,0)</f>
        <v>15349.0409735613</v>
      </c>
      <c r="AC216" s="393">
        <f>IF(AND(MOD(25,3)=0,AC215&gt;0),AC215*Assumptions!$B$35,0)</f>
        <v>0</v>
      </c>
      <c r="AD216" s="393">
        <f>IF(AND(MOD(26,3)=0,AD215&gt;0),AD215*Assumptions!$B$35,0)</f>
        <v>0</v>
      </c>
      <c r="AE216" s="393">
        <f>IF(AND(MOD(27,3)=0,AE215&gt;0),AE215*Assumptions!$B$35,0)</f>
        <v>3324.6300100698</v>
      </c>
      <c r="AF216" s="393">
        <f>IF(AND(MOD(28,3)=0,AF215&gt;0),AF215*Assumptions!$B$35,0)</f>
        <v>0</v>
      </c>
      <c r="AG216" s="393">
        <f>IF(AND(MOD(29,3)=0,AG215&gt;0),AG215*Assumptions!$B$35,0)</f>
        <v>0</v>
      </c>
      <c r="AH216" s="393">
        <f>IF(AND(MOD(30,3)=0,AH215&gt;0),AH215*Assumptions!$B$35,0)</f>
        <v>0</v>
      </c>
      <c r="AI216" s="393">
        <f>IF(AND(MOD(31,3)=0,AI215&gt;0),AI215*Assumptions!$B$35,0)</f>
        <v>0</v>
      </c>
      <c r="AJ216" s="393">
        <f>IF(AND(MOD(32,3)=0,AJ215&gt;0),AJ215*Assumptions!$B$35,0)</f>
        <v>0</v>
      </c>
      <c r="AK216" s="393">
        <f>IF(AND(MOD(33,3)=0,AK215&gt;0),AK215*Assumptions!$B$35,0)</f>
        <v>0</v>
      </c>
      <c r="AL216" s="393">
        <f>IF(AND(MOD(34,3)=0,AL215&gt;0),AL215*Assumptions!$B$35,0)</f>
        <v>0</v>
      </c>
      <c r="AM216" s="393">
        <f>IF(AND(MOD(35,3)=0,AM215&gt;0),AM215*Assumptions!$B$35,0)</f>
        <v>0</v>
      </c>
      <c r="AN216" s="393">
        <f>IF(AND(MOD(36,3)=0,AN215&gt;0),AN215*Assumptions!$B$35,0)</f>
        <v>0</v>
      </c>
      <c r="AO216" s="393">
        <f>IF(AND(MOD(37,3)=0,AO215&gt;0),AO215*Assumptions!$B$35,0)</f>
        <v>0</v>
      </c>
      <c r="AP216" s="393">
        <f>IF(AND(MOD(38,3)=0,AP215&gt;0),AP215*Assumptions!$B$35,0)</f>
        <v>0</v>
      </c>
      <c r="AQ216" s="393">
        <f>IF(AND(MOD(39,3)=0,AQ215&gt;0),AQ215*Assumptions!$B$35,0)</f>
        <v>0</v>
      </c>
      <c r="AR216" s="393">
        <f>IF(AND(MOD(40,3)=0,AR215&gt;0),AR215*Assumptions!$B$35,0)</f>
        <v>0</v>
      </c>
      <c r="AS216" s="393">
        <f>IF(AND(MOD(41,3)=0,AS215&gt;0),AS215*Assumptions!$B$35,0)</f>
        <v>0</v>
      </c>
      <c r="AT216" s="393">
        <f>IF(AND(MOD(42,3)=0,AT215&gt;0),AT215*Assumptions!$B$35,0)</f>
        <v>0</v>
      </c>
      <c r="AU216" s="393">
        <f>IF(AND(MOD(43,3)=0,AU215&gt;0),AU215*Assumptions!$B$35,0)</f>
        <v>0</v>
      </c>
      <c r="AV216" s="393">
        <f>IF(AND(MOD(44,3)=0,AV215&gt;0),AV215*Assumptions!$B$35,0)</f>
        <v>0</v>
      </c>
      <c r="AW216" s="393">
        <f>IF(AND(MOD(45,3)=0,AW215&gt;0),AW215*Assumptions!$B$35,0)</f>
        <v>0</v>
      </c>
      <c r="AX216" s="393">
        <f>IF(AND(MOD(46,3)=0,AX215&gt;0),AX215*Assumptions!$B$35,0)</f>
        <v>0</v>
      </c>
      <c r="AY216" s="393">
        <f>IF(AND(MOD(47,3)=0,AY215&gt;0),AY215*Assumptions!$B$35,0)</f>
        <v>0</v>
      </c>
      <c r="AZ216" s="393">
        <f>IF(AND(MOD(48,3)=0,AZ215&gt;0),AZ215*Assumptions!$B$35,0)</f>
        <v>0</v>
      </c>
      <c r="BA216" s="393">
        <f>IF(AND(MOD(49,3)=0,BA215&gt;0),BA215*Assumptions!$B$35,0)</f>
        <v>0</v>
      </c>
      <c r="BB216" s="393">
        <f>IF(AND(MOD(50,3)=0,BB215&gt;0),BB215*Assumptions!$B$35,0)</f>
        <v>0</v>
      </c>
      <c r="BC216" s="393">
        <f>IF(AND(MOD(51,3)=0,BC215&gt;0),BC215*Assumptions!$B$35,0)</f>
        <v>0</v>
      </c>
      <c r="BD216" s="393">
        <f>IF(AND(MOD(52,3)=0,BD215&gt;0),BD215*Assumptions!$B$35,0)</f>
        <v>0</v>
      </c>
      <c r="BE216" s="393">
        <f>IF(AND(MOD(53,3)=0,BE215&gt;0),BE215*Assumptions!$B$35,0)</f>
        <v>0</v>
      </c>
      <c r="BF216" s="393">
        <f>IF(AND(MOD(54,3)=0,BF215&gt;0),BF215*Assumptions!$B$35,0)</f>
        <v>0</v>
      </c>
      <c r="BG216" s="393">
        <f>IF(AND(MOD(55,3)=0,BG215&gt;0),BG215*Assumptions!$B$35,0)</f>
        <v>0</v>
      </c>
      <c r="BH216" s="393">
        <f>IF(AND(MOD(56,3)=0,BH215&gt;0),BH215*Assumptions!$B$35,0)</f>
        <v>0</v>
      </c>
      <c r="BI216" s="393">
        <f>IF(AND(MOD(57,3)=0,BI215&gt;0),BI215*Assumptions!$B$35,0)</f>
        <v>0</v>
      </c>
      <c r="BJ216" s="393">
        <f>IF(AND(MOD(58,3)=0,BJ215&gt;0),BJ215*Assumptions!$B$35,0)</f>
        <v>0</v>
      </c>
      <c r="BK216" s="393">
        <f>IF(AND(MOD(59,3)=0,BK215&gt;0),BK215*Assumptions!$B$35,0)</f>
        <v>0</v>
      </c>
      <c r="BL216" s="393">
        <f>IF(AND(MOD(60,3)=0,BL215&gt;0),BL215*Assumptions!$B$35,0)</f>
        <v>0</v>
      </c>
      <c r="BM216" s="393">
        <f>IF(AND(MOD(61,3)=0,BM215&gt;0),BM215*Assumptions!$B$35,0)</f>
        <v>0</v>
      </c>
      <c r="BN216" s="393">
        <f>IF(AND(MOD(62,3)=0,BN215&gt;0),BN215*Assumptions!$B$35,0)</f>
        <v>0</v>
      </c>
      <c r="BO216" s="393">
        <f>IF(AND(MOD(63,3)=0,BO215&gt;0),BO215*Assumptions!$B$35,0)</f>
        <v>0</v>
      </c>
      <c r="BP216" s="393">
        <f>IF(AND(MOD(64,3)=0,BP215&gt;0),BP215*Assumptions!$B$35,0)</f>
        <v>0</v>
      </c>
      <c r="BQ216" s="393">
        <f>IF(AND(MOD(65,3)=0,BQ215&gt;0),BQ215*Assumptions!$B$35,0)</f>
        <v>0</v>
      </c>
      <c r="BR216" s="393">
        <f>IF(AND(MOD(66,3)=0,BR215&gt;0),BR215*Assumptions!$B$35,0)</f>
        <v>0</v>
      </c>
      <c r="BS216" s="393">
        <f>IF(AND(MOD(67,3)=0,BS215&gt;0),BS215*Assumptions!$B$35,0)</f>
        <v>0</v>
      </c>
      <c r="BT216" s="393">
        <f>IF(AND(MOD(68,3)=0,BT215&gt;0),BT215*Assumptions!$B$35,0)</f>
        <v>0</v>
      </c>
      <c r="BU216" s="393">
        <f>IF(AND(MOD(69,3)=0,BU215&gt;0),BU215*Assumptions!$B$35,0)</f>
        <v>0</v>
      </c>
      <c r="BV216" s="393">
        <f>IF(AND(MOD(70,3)=0,BV215&gt;0),BV215*Assumptions!$B$35,0)</f>
        <v>0</v>
      </c>
      <c r="BW216" s="393">
        <f>IF(AND(MOD(71,3)=0,BW215&gt;0),BW215*Assumptions!$B$35,0)</f>
        <v>0</v>
      </c>
      <c r="BX216" s="393">
        <f>IF(AND(MOD(72,3)=0,BX215&gt;0),BX215*Assumptions!$B$35,0)</f>
        <v>0</v>
      </c>
      <c r="BY216" s="393">
        <f>IF(AND(MOD(73,3)=0,BY215&gt;0),BY215*Assumptions!$B$35,0)</f>
        <v>0</v>
      </c>
      <c r="BZ216" s="393">
        <f>IF(AND(MOD(74,3)=0,BZ215&gt;0),BZ215*Assumptions!$B$35,0)</f>
        <v>0</v>
      </c>
      <c r="CA216" s="393">
        <f>IF(AND(MOD(75,3)=0,CA215&gt;0),CA215*Assumptions!$B$35,0)</f>
        <v>0</v>
      </c>
      <c r="CB216" s="393">
        <f>IF(AND(MOD(76,3)=0,CB215&gt;0),CB215*Assumptions!$B$35,0)</f>
        <v>0</v>
      </c>
      <c r="CC216" s="393">
        <f>IF(AND(MOD(77,3)=0,CC215&gt;0),CC215*Assumptions!$B$35,0)</f>
        <v>0</v>
      </c>
      <c r="CD216" s="393">
        <f>IF(AND(MOD(78,3)=0,CD215&gt;0),CD215*Assumptions!$B$35,0)</f>
        <v>0</v>
      </c>
      <c r="CE216" s="393">
        <f>IF(AND(MOD(79,3)=0,CE215&gt;0),CE215*Assumptions!$B$35,0)</f>
        <v>0</v>
      </c>
      <c r="CF216" s="393">
        <f>IF(AND(MOD(80,3)=0,CF215&gt;0),CF215*Assumptions!$B$35,0)</f>
        <v>0</v>
      </c>
      <c r="CG216" s="393">
        <f>IF(AND(MOD(81,3)=0,CG215&gt;0),CG215*Assumptions!$B$35,0)</f>
        <v>0</v>
      </c>
      <c r="CH216" s="393">
        <f>IF(AND(MOD(82,3)=0,CH215&gt;0),CH215*Assumptions!$B$35,0)</f>
        <v>0</v>
      </c>
      <c r="CI216" s="393">
        <f>IF(AND(MOD(83,3)=0,CI215&gt;0),CI215*Assumptions!$B$35,0)</f>
        <v>0</v>
      </c>
      <c r="CJ216" s="393">
        <f>IF(AND(MOD(84,3)=0,CJ215&gt;0),CJ215*Assumptions!$B$35,0)</f>
        <v>0</v>
      </c>
      <c r="CK216" s="393">
        <f>IF(AND(MOD(85,3)=0,CK215&gt;0),CK215*Assumptions!$B$35,0)</f>
        <v>0</v>
      </c>
      <c r="CL216" s="393">
        <f>IF(AND(MOD(86,3)=0,CL215&gt;0),CL215*Assumptions!$B$35,0)</f>
        <v>0</v>
      </c>
      <c r="CM216" s="393">
        <f>IF(AND(MOD(87,3)=0,CM215&gt;0),CM215*Assumptions!$B$35,0)</f>
        <v>0</v>
      </c>
      <c r="CN216" s="393">
        <f>IF(AND(MOD(88,3)=0,CN215&gt;0),CN215*Assumptions!$B$35,0)</f>
        <v>0</v>
      </c>
      <c r="CO216" s="393">
        <f>IF(AND(MOD(89,3)=0,CO215&gt;0),CO215*Assumptions!$B$35,0)</f>
        <v>0</v>
      </c>
      <c r="CP216" s="393">
        <f>IF(AND(MOD(90,3)=0,CP215&gt;0),CP215*Assumptions!$B$35,0)</f>
        <v>0</v>
      </c>
      <c r="CQ216" s="393">
        <f>IF(AND(MOD(91,3)=0,CQ215&gt;0),CQ215*Assumptions!$B$35,0)</f>
        <v>0</v>
      </c>
      <c r="CR216" s="393">
        <f>IF(AND(MOD(92,3)=0,CR215&gt;0),CR215*Assumptions!$B$35,0)</f>
        <v>0</v>
      </c>
      <c r="CS216" s="393">
        <f>IF(AND(MOD(93,3)=0,CS215&gt;0),CS215*Assumptions!$B$35,0)</f>
        <v>0</v>
      </c>
      <c r="CT216" s="393">
        <f>IF(AND(MOD(94,3)=0,CT215&gt;0),CT215*Assumptions!$B$35,0)</f>
        <v>0</v>
      </c>
      <c r="CU216" s="393">
        <f>IF(AND(MOD(95,3)=0,CU215&gt;0),CU215*Assumptions!$B$35,0)</f>
        <v>0</v>
      </c>
      <c r="CV216" s="393">
        <f>IF(AND(MOD(96,3)=0,CV215&gt;0),CV215*Assumptions!$B$35,0)</f>
        <v>0</v>
      </c>
      <c r="CW216" s="393">
        <f>IF(AND(MOD(97,3)=0,CW215&gt;0),CW215*Assumptions!$B$35,0)</f>
        <v>0</v>
      </c>
      <c r="CX216" s="393">
        <f>IF(AND(MOD(98,3)=0,CX215&gt;0),CX215*Assumptions!$B$35,0)</f>
        <v>0</v>
      </c>
      <c r="CY216" s="393">
        <f>IF(AND(MOD(99,3)=0,CY215&gt;0),CY215*Assumptions!$B$35,0)</f>
        <v>0</v>
      </c>
      <c r="CZ216" s="393">
        <f>IF(AND(MOD(100,3)=0,CZ215&gt;0),CZ215*Assumptions!$B$35,0)</f>
        <v>0</v>
      </c>
      <c r="DA216" s="393">
        <f>IF(AND(MOD(101,3)=0,DA215&gt;0),DA215*Assumptions!$B$35,0)</f>
        <v>0</v>
      </c>
      <c r="DB216" s="393">
        <f>IF(AND(MOD(102,3)=0,DB215&gt;0),DB215*Assumptions!$B$35,0)</f>
        <v>0</v>
      </c>
      <c r="DC216" s="393">
        <f>IF(AND(MOD(103,3)=0,DC215&gt;0),DC215*Assumptions!$B$35,0)</f>
        <v>0</v>
      </c>
      <c r="DD216" s="393">
        <f>IF(AND(MOD(104,3)=0,DD215&gt;0),DD215*Assumptions!$B$35,0)</f>
        <v>0</v>
      </c>
      <c r="DE216" s="393">
        <f>IF(AND(MOD(105,3)=0,DE215&gt;0),DE215*Assumptions!$B$35,0)</f>
        <v>0</v>
      </c>
    </row>
    <row r="217" ht="15" customFormat="1" customHeight="1" s="381">
      <c r="A217" s="398" t="inlineStr">
        <is>
          <t>Monthly Payment</t>
        </is>
      </c>
      <c r="B217" s="393" t="n"/>
      <c r="C217" s="393" t="n"/>
      <c r="D217" s="393" t="n"/>
      <c r="E217" s="393">
        <f>IF(AND(1&gt;=Assumptions!$B$37,E215+E216&gt;0),-MIN(Assumptions!$B$36,E215+E216),0)</f>
        <v>0</v>
      </c>
      <c r="F217" s="393">
        <f>IF(AND(2&gt;=Assumptions!$B$37,F215+F216&gt;0),-MIN(Assumptions!$B$36,F215+F216),0)</f>
        <v>0</v>
      </c>
      <c r="G217" s="393">
        <f>IF(AND(3&gt;=Assumptions!$B$37,G215+G216&gt;0),-MIN(Assumptions!$B$36,G215+G216),0)</f>
        <v>0</v>
      </c>
      <c r="H217" s="393">
        <f>IF(AND(4&gt;=Assumptions!$B$37,H215+H216&gt;0),-MIN(Assumptions!$B$36,H215+H216),0)</f>
        <v>0</v>
      </c>
      <c r="I217" s="393">
        <f>IF(AND(5&gt;=Assumptions!$B$37,I215+I216&gt;0),-MIN(Assumptions!$B$36,I215+I216),0)</f>
        <v>0</v>
      </c>
      <c r="J217" s="393">
        <f>IF(AND(6&gt;=Assumptions!$B$37,J215+J216&gt;0),-MIN(Assumptions!$B$36,J215+J216),0)</f>
        <v>0</v>
      </c>
      <c r="K217" s="393">
        <f>IF(AND(7&gt;=Assumptions!$B$37,K215+K216&gt;0),-MIN(Assumptions!$B$36,K215+K216),0)</f>
        <v>0</v>
      </c>
      <c r="L217" s="393">
        <f>IF(AND(8&gt;=Assumptions!$B$37,L215+L216&gt;0),-MIN(Assumptions!$B$36,L215+L216),0)</f>
        <v>0</v>
      </c>
      <c r="M217" s="393">
        <f>IF(AND(9&gt;=Assumptions!$B$37,M215+M216&gt;0),-MIN(Assumptions!$B$36,M215+M216),0)</f>
        <v>0</v>
      </c>
      <c r="N217" s="393">
        <f>IF(AND(10&gt;=Assumptions!$B$37,N215+N216&gt;0),-MIN(Assumptions!$B$36,N215+N216),0)</f>
        <v>-112000</v>
      </c>
      <c r="O217" s="393">
        <f>IF(AND(11&gt;=Assumptions!$B$37,O215+O216&gt;0),-MIN(Assumptions!$B$36,O215+O216),0)</f>
        <v>-112000</v>
      </c>
      <c r="P217" s="393">
        <f>IF(AND(12&gt;=Assumptions!$B$37,P215+P216&gt;0),-MIN(Assumptions!$B$36,P215+P216),0)</f>
        <v>-112000</v>
      </c>
      <c r="Q217" s="393">
        <f>IF(AND(13&gt;=Assumptions!$B$37,Q215+Q216&gt;0),-MIN(Assumptions!$B$36,Q215+Q216),0)</f>
        <v>-112000</v>
      </c>
      <c r="R217" s="393">
        <f>IF(AND(14&gt;=Assumptions!$B$37,R215+R216&gt;0),-MIN(Assumptions!$B$36,R215+R216),0)</f>
        <v>-112000</v>
      </c>
      <c r="S217" s="393">
        <f>IF(AND(15&gt;=Assumptions!$B$37,S215+S216&gt;0),-MIN(Assumptions!$B$36,S215+S216),0)</f>
        <v>-112000</v>
      </c>
      <c r="T217" s="393">
        <f>IF(AND(16&gt;=Assumptions!$B$37,T215+T216&gt;0),-MIN(Assumptions!$B$36,T215+T216),0)</f>
        <v>-112000</v>
      </c>
      <c r="U217" s="393">
        <f>IF(AND(17&gt;=Assumptions!$B$37,U215+U216&gt;0),-MIN(Assumptions!$B$36,U215+U216),0)</f>
        <v>-112000</v>
      </c>
      <c r="V217" s="393">
        <f>IF(AND(18&gt;=Assumptions!$B$37,V215+V216&gt;0),-MIN(Assumptions!$B$36,V215+V216),0)</f>
        <v>-112000</v>
      </c>
      <c r="W217" s="393">
        <f>IF(AND(19&gt;=Assumptions!$B$37,W215+W216&gt;0),-MIN(Assumptions!$B$36,W215+W216),0)</f>
        <v>-112000</v>
      </c>
      <c r="X217" s="393">
        <f>IF(AND(20&gt;=Assumptions!$B$37,X215+X216&gt;0),-MIN(Assumptions!$B$36,X215+X216),0)</f>
        <v>-112000</v>
      </c>
      <c r="Y217" s="393">
        <f>IF(AND(21&gt;=Assumptions!$B$37,Y215+Y216&gt;0),-MIN(Assumptions!$B$36,Y215+Y216),0)</f>
        <v>-112000</v>
      </c>
      <c r="Z217" s="393">
        <f>IF(AND(22&gt;=Assumptions!$B$37,Z215+Z216&gt;0),-MIN(Assumptions!$B$36,Z215+Z216),0)</f>
        <v>-112000</v>
      </c>
      <c r="AA217" s="393">
        <f>IF(AND(23&gt;=Assumptions!$B$37,AA215+AA216&gt;0),-MIN(Assumptions!$B$36,AA215+AA216),0)</f>
        <v>-112000</v>
      </c>
      <c r="AB217" s="393">
        <f>IF(AND(24&gt;=Assumptions!$B$37,AB215+AB216&gt;0),-MIN(Assumptions!$B$36,AB215+AB216),0)</f>
        <v>-112000</v>
      </c>
      <c r="AC217" s="393">
        <f>IF(AND(25&gt;=Assumptions!$B$37,AC215+AC216&gt;0),-MIN(Assumptions!$B$36,AC215+AC216),0)</f>
        <v>-112000</v>
      </c>
      <c r="AD217" s="393">
        <f>IF(AND(26&gt;=Assumptions!$B$37,AD215+AD216&gt;0),-MIN(Assumptions!$B$36,AD215+AD216),0)</f>
        <v>-112000</v>
      </c>
      <c r="AE217" s="393">
        <f>IF(AND(27&gt;=Assumptions!$B$37,AE215+AE216&gt;0),-MIN(Assumptions!$B$36,AE215+AE216),0)</f>
        <v>-91981.4302785977</v>
      </c>
      <c r="AF217" s="393">
        <f>IF(AND(28&gt;=Assumptions!$B$37,AF215+AF216&gt;0),-MIN(Assumptions!$B$36,AF215+AF216),0)</f>
        <v>0</v>
      </c>
      <c r="AG217" s="393">
        <f>IF(AND(29&gt;=Assumptions!$B$37,AG215+AG216&gt;0),-MIN(Assumptions!$B$36,AG215+AG216),0)</f>
        <v>0</v>
      </c>
      <c r="AH217" s="393">
        <f>IF(AND(30&gt;=Assumptions!$B$37,AH215+AH216&gt;0),-MIN(Assumptions!$B$36,AH215+AH216),0)</f>
        <v>0</v>
      </c>
      <c r="AI217" s="393">
        <f>IF(AND(31&gt;=Assumptions!$B$37,AI215+AI216&gt;0),-MIN(Assumptions!$B$36,AI215+AI216),0)</f>
        <v>0</v>
      </c>
      <c r="AJ217" s="393">
        <f>IF(AND(32&gt;=Assumptions!$B$37,AJ215+AJ216&gt;0),-MIN(Assumptions!$B$36,AJ215+AJ216),0)</f>
        <v>0</v>
      </c>
      <c r="AK217" s="393">
        <f>IF(AND(33&gt;=Assumptions!$B$37,AK215+AK216&gt;0),-MIN(Assumptions!$B$36,AK215+AK216),0)</f>
        <v>0</v>
      </c>
      <c r="AL217" s="393">
        <f>IF(AND(34&gt;=Assumptions!$B$37,AL215+AL216&gt;0),-MIN(Assumptions!$B$36,AL215+AL216),0)</f>
        <v>0</v>
      </c>
      <c r="AM217" s="393">
        <f>IF(AND(35&gt;=Assumptions!$B$37,AM215+AM216&gt;0),-MIN(Assumptions!$B$36,AM215+AM216),0)</f>
        <v>0</v>
      </c>
      <c r="AN217" s="393">
        <f>IF(AND(36&gt;=Assumptions!$B$37,AN215+AN216&gt;0),-MIN(Assumptions!$B$36,AN215+AN216),0)</f>
        <v>0</v>
      </c>
      <c r="AO217" s="393">
        <f>IF(AND(37&gt;=Assumptions!$B$37,AO215+AO216&gt;0),-MIN(Assumptions!$B$36,AO215+AO216),0)</f>
        <v>0</v>
      </c>
      <c r="AP217" s="393">
        <f>IF(AND(38&gt;=Assumptions!$B$37,AP215+AP216&gt;0),-MIN(Assumptions!$B$36,AP215+AP216),0)</f>
        <v>0</v>
      </c>
      <c r="AQ217" s="393">
        <f>IF(AND(39&gt;=Assumptions!$B$37,AQ215+AQ216&gt;0),-MIN(Assumptions!$B$36,AQ215+AQ216),0)</f>
        <v>0</v>
      </c>
      <c r="AR217" s="393">
        <f>IF(AND(40&gt;=Assumptions!$B$37,AR215+AR216&gt;0),-MIN(Assumptions!$B$36,AR215+AR216),0)</f>
        <v>0</v>
      </c>
      <c r="AS217" s="393">
        <f>IF(AND(41&gt;=Assumptions!$B$37,AS215+AS216&gt;0),-MIN(Assumptions!$B$36,AS215+AS216),0)</f>
        <v>0</v>
      </c>
      <c r="AT217" s="393">
        <f>IF(AND(42&gt;=Assumptions!$B$37,AT215+AT216&gt;0),-MIN(Assumptions!$B$36,AT215+AT216),0)</f>
        <v>0</v>
      </c>
      <c r="AU217" s="393">
        <f>IF(AND(43&gt;=Assumptions!$B$37,AU215+AU216&gt;0),-MIN(Assumptions!$B$36,AU215+AU216),0)</f>
        <v>0</v>
      </c>
      <c r="AV217" s="393">
        <f>IF(AND(44&gt;=Assumptions!$B$37,AV215+AV216&gt;0),-MIN(Assumptions!$B$36,AV215+AV216),0)</f>
        <v>0</v>
      </c>
      <c r="AW217" s="393">
        <f>IF(AND(45&gt;=Assumptions!$B$37,AW215+AW216&gt;0),-MIN(Assumptions!$B$36,AW215+AW216),0)</f>
        <v>0</v>
      </c>
      <c r="AX217" s="393">
        <f>IF(AND(46&gt;=Assumptions!$B$37,AX215+AX216&gt;0),-MIN(Assumptions!$B$36,AX215+AX216),0)</f>
        <v>0</v>
      </c>
      <c r="AY217" s="393">
        <f>IF(AND(47&gt;=Assumptions!$B$37,AY215+AY216&gt;0),-MIN(Assumptions!$B$36,AY215+AY216),0)</f>
        <v>0</v>
      </c>
      <c r="AZ217" s="393">
        <f>IF(AND(48&gt;=Assumptions!$B$37,AZ215+AZ216&gt;0),-MIN(Assumptions!$B$36,AZ215+AZ216),0)</f>
        <v>0</v>
      </c>
      <c r="BA217" s="393">
        <f>IF(AND(49&gt;=Assumptions!$B$37,BA215+BA216&gt;0),-MIN(Assumptions!$B$36,BA215+BA216),0)</f>
        <v>0</v>
      </c>
      <c r="BB217" s="393">
        <f>IF(AND(50&gt;=Assumptions!$B$37,BB215+BB216&gt;0),-MIN(Assumptions!$B$36,BB215+BB216),0)</f>
        <v>0</v>
      </c>
      <c r="BC217" s="393">
        <f>IF(AND(51&gt;=Assumptions!$B$37,BC215+BC216&gt;0),-MIN(Assumptions!$B$36,BC215+BC216),0)</f>
        <v>0</v>
      </c>
      <c r="BD217" s="393">
        <f>IF(AND(52&gt;=Assumptions!$B$37,BD215+BD216&gt;0),-MIN(Assumptions!$B$36,BD215+BD216),0)</f>
        <v>0</v>
      </c>
      <c r="BE217" s="393">
        <f>IF(AND(53&gt;=Assumptions!$B$37,BE215+BE216&gt;0),-MIN(Assumptions!$B$36,BE215+BE216),0)</f>
        <v>0</v>
      </c>
      <c r="BF217" s="393">
        <f>IF(AND(54&gt;=Assumptions!$B$37,BF215+BF216&gt;0),-MIN(Assumptions!$B$36,BF215+BF216),0)</f>
        <v>0</v>
      </c>
      <c r="BG217" s="393">
        <f>IF(AND(55&gt;=Assumptions!$B$37,BG215+BG216&gt;0),-MIN(Assumptions!$B$36,BG215+BG216),0)</f>
        <v>0</v>
      </c>
      <c r="BH217" s="393">
        <f>IF(AND(56&gt;=Assumptions!$B$37,BH215+BH216&gt;0),-MIN(Assumptions!$B$36,BH215+BH216),0)</f>
        <v>0</v>
      </c>
      <c r="BI217" s="393">
        <f>IF(AND(57&gt;=Assumptions!$B$37,BI215+BI216&gt;0),-MIN(Assumptions!$B$36,BI215+BI216),0)</f>
        <v>0</v>
      </c>
      <c r="BJ217" s="393">
        <f>IF(AND(58&gt;=Assumptions!$B$37,BJ215+BJ216&gt;0),-MIN(Assumptions!$B$36,BJ215+BJ216),0)</f>
        <v>0</v>
      </c>
      <c r="BK217" s="393">
        <f>IF(AND(59&gt;=Assumptions!$B$37,BK215+BK216&gt;0),-MIN(Assumptions!$B$36,BK215+BK216),0)</f>
        <v>0</v>
      </c>
      <c r="BL217" s="393">
        <f>IF(AND(60&gt;=Assumptions!$B$37,BL215+BL216&gt;0),-MIN(Assumptions!$B$36,BL215+BL216),0)</f>
        <v>0</v>
      </c>
      <c r="BM217" s="393">
        <f>IF(AND(61&gt;=Assumptions!$B$37,BM215+BM216&gt;0),-MIN(Assumptions!$B$36,BM215+BM216),0)</f>
        <v>0</v>
      </c>
      <c r="BN217" s="393">
        <f>IF(AND(62&gt;=Assumptions!$B$37,BN215+BN216&gt;0),-MIN(Assumptions!$B$36,BN215+BN216),0)</f>
        <v>0</v>
      </c>
      <c r="BO217" s="393">
        <f>IF(AND(63&gt;=Assumptions!$B$37,BO215+BO216&gt;0),-MIN(Assumptions!$B$36,BO215+BO216),0)</f>
        <v>0</v>
      </c>
      <c r="BP217" s="393">
        <f>IF(AND(64&gt;=Assumptions!$B$37,BP215+BP216&gt;0),-MIN(Assumptions!$B$36,BP215+BP216),0)</f>
        <v>0</v>
      </c>
      <c r="BQ217" s="393">
        <f>IF(AND(65&gt;=Assumptions!$B$37,BQ215+BQ216&gt;0),-MIN(Assumptions!$B$36,BQ215+BQ216),0)</f>
        <v>0</v>
      </c>
      <c r="BR217" s="393">
        <f>IF(AND(66&gt;=Assumptions!$B$37,BR215+BR216&gt;0),-MIN(Assumptions!$B$36,BR215+BR216),0)</f>
        <v>0</v>
      </c>
      <c r="BS217" s="393">
        <f>IF(AND(67&gt;=Assumptions!$B$37,BS215+BS216&gt;0),-MIN(Assumptions!$B$36,BS215+BS216),0)</f>
        <v>0</v>
      </c>
      <c r="BT217" s="393">
        <f>IF(AND(68&gt;=Assumptions!$B$37,BT215+BT216&gt;0),-MIN(Assumptions!$B$36,BT215+BT216),0)</f>
        <v>0</v>
      </c>
      <c r="BU217" s="393">
        <f>IF(AND(69&gt;=Assumptions!$B$37,BU215+BU216&gt;0),-MIN(Assumptions!$B$36,BU215+BU216),0)</f>
        <v>0</v>
      </c>
      <c r="BV217" s="393">
        <f>IF(AND(70&gt;=Assumptions!$B$37,BV215+BV216&gt;0),-MIN(Assumptions!$B$36,BV215+BV216),0)</f>
        <v>0</v>
      </c>
      <c r="BW217" s="393">
        <f>IF(AND(71&gt;=Assumptions!$B$37,BW215+BW216&gt;0),-MIN(Assumptions!$B$36,BW215+BW216),0)</f>
        <v>0</v>
      </c>
      <c r="BX217" s="393">
        <f>IF(AND(72&gt;=Assumptions!$B$37,BX215+BX216&gt;0),-MIN(Assumptions!$B$36,BX215+BX216),0)</f>
        <v>0</v>
      </c>
      <c r="BY217" s="393">
        <f>IF(AND(73&gt;=Assumptions!$B$37,BY215+BY216&gt;0),-MIN(Assumptions!$B$36,BY215+BY216),0)</f>
        <v>0</v>
      </c>
      <c r="BZ217" s="393">
        <f>IF(AND(74&gt;=Assumptions!$B$37,BZ215+BZ216&gt;0),-MIN(Assumptions!$B$36,BZ215+BZ216),0)</f>
        <v>0</v>
      </c>
      <c r="CA217" s="393">
        <f>IF(AND(75&gt;=Assumptions!$B$37,CA215+CA216&gt;0),-MIN(Assumptions!$B$36,CA215+CA216),0)</f>
        <v>0</v>
      </c>
      <c r="CB217" s="393">
        <f>IF(AND(76&gt;=Assumptions!$B$37,CB215+CB216&gt;0),-MIN(Assumptions!$B$36,CB215+CB216),0)</f>
        <v>0</v>
      </c>
      <c r="CC217" s="393">
        <f>IF(AND(77&gt;=Assumptions!$B$37,CC215+CC216&gt;0),-MIN(Assumptions!$B$36,CC215+CC216),0)</f>
        <v>0</v>
      </c>
      <c r="CD217" s="393">
        <f>IF(AND(78&gt;=Assumptions!$B$37,CD215+CD216&gt;0),-MIN(Assumptions!$B$36,CD215+CD216),0)</f>
        <v>0</v>
      </c>
      <c r="CE217" s="393">
        <f>IF(AND(79&gt;=Assumptions!$B$37,CE215+CE216&gt;0),-MIN(Assumptions!$B$36,CE215+CE216),0)</f>
        <v>0</v>
      </c>
      <c r="CF217" s="393">
        <f>IF(AND(80&gt;=Assumptions!$B$37,CF215+CF216&gt;0),-MIN(Assumptions!$B$36,CF215+CF216),0)</f>
        <v>0</v>
      </c>
      <c r="CG217" s="393">
        <f>IF(AND(81&gt;=Assumptions!$B$37,CG215+CG216&gt;0),-MIN(Assumptions!$B$36,CG215+CG216),0)</f>
        <v>0</v>
      </c>
      <c r="CH217" s="393">
        <f>IF(AND(82&gt;=Assumptions!$B$37,CH215+CH216&gt;0),-MIN(Assumptions!$B$36,CH215+CH216),0)</f>
        <v>0</v>
      </c>
      <c r="CI217" s="393">
        <f>IF(AND(83&gt;=Assumptions!$B$37,CI215+CI216&gt;0),-MIN(Assumptions!$B$36,CI215+CI216),0)</f>
        <v>0</v>
      </c>
      <c r="CJ217" s="393">
        <f>IF(AND(84&gt;=Assumptions!$B$37,CJ215+CJ216&gt;0),-MIN(Assumptions!$B$36,CJ215+CJ216),0)</f>
        <v>0</v>
      </c>
      <c r="CK217" s="393">
        <f>IF(AND(85&gt;=Assumptions!$B$37,CK215+CK216&gt;0),-MIN(Assumptions!$B$36,CK215+CK216),0)</f>
        <v>0</v>
      </c>
      <c r="CL217" s="393">
        <f>IF(AND(86&gt;=Assumptions!$B$37,CL215+CL216&gt;0),-MIN(Assumptions!$B$36,CL215+CL216),0)</f>
        <v>0</v>
      </c>
      <c r="CM217" s="393">
        <f>IF(AND(87&gt;=Assumptions!$B$37,CM215+CM216&gt;0),-MIN(Assumptions!$B$36,CM215+CM216),0)</f>
        <v>0</v>
      </c>
      <c r="CN217" s="393">
        <f>IF(AND(88&gt;=Assumptions!$B$37,CN215+CN216&gt;0),-MIN(Assumptions!$B$36,CN215+CN216),0)</f>
        <v>0</v>
      </c>
      <c r="CO217" s="393">
        <f>IF(AND(89&gt;=Assumptions!$B$37,CO215+CO216&gt;0),-MIN(Assumptions!$B$36,CO215+CO216),0)</f>
        <v>0</v>
      </c>
      <c r="CP217" s="393">
        <f>IF(AND(90&gt;=Assumptions!$B$37,CP215+CP216&gt;0),-MIN(Assumptions!$B$36,CP215+CP216),0)</f>
        <v>0</v>
      </c>
      <c r="CQ217" s="393">
        <f>IF(AND(91&gt;=Assumptions!$B$37,CQ215+CQ216&gt;0),-MIN(Assumptions!$B$36,CQ215+CQ216),0)</f>
        <v>0</v>
      </c>
      <c r="CR217" s="393">
        <f>IF(AND(92&gt;=Assumptions!$B$37,CR215+CR216&gt;0),-MIN(Assumptions!$B$36,CR215+CR216),0)</f>
        <v>0</v>
      </c>
      <c r="CS217" s="393">
        <f>IF(AND(93&gt;=Assumptions!$B$37,CS215+CS216&gt;0),-MIN(Assumptions!$B$36,CS215+CS216),0)</f>
        <v>0</v>
      </c>
      <c r="CT217" s="393">
        <f>IF(AND(94&gt;=Assumptions!$B$37,CT215+CT216&gt;0),-MIN(Assumptions!$B$36,CT215+CT216),0)</f>
        <v>0</v>
      </c>
      <c r="CU217" s="393">
        <f>IF(AND(95&gt;=Assumptions!$B$37,CU215+CU216&gt;0),-MIN(Assumptions!$B$36,CU215+CU216),0)</f>
        <v>0</v>
      </c>
      <c r="CV217" s="393">
        <f>IF(AND(96&gt;=Assumptions!$B$37,CV215+CV216&gt;0),-MIN(Assumptions!$B$36,CV215+CV216),0)</f>
        <v>0</v>
      </c>
      <c r="CW217" s="393">
        <f>IF(AND(97&gt;=Assumptions!$B$37,CW215+CW216&gt;0),-MIN(Assumptions!$B$36,CW215+CW216),0)</f>
        <v>0</v>
      </c>
      <c r="CX217" s="393">
        <f>IF(AND(98&gt;=Assumptions!$B$37,CX215+CX216&gt;0),-MIN(Assumptions!$B$36,CX215+CX216),0)</f>
        <v>0</v>
      </c>
      <c r="CY217" s="393">
        <f>IF(AND(99&gt;=Assumptions!$B$37,CY215+CY216&gt;0),-MIN(Assumptions!$B$36,CY215+CY216),0)</f>
        <v>0</v>
      </c>
      <c r="CZ217" s="393">
        <f>IF(AND(100&gt;=Assumptions!$B$37,CZ215+CZ216&gt;0),-MIN(Assumptions!$B$36,CZ215+CZ216),0)</f>
        <v>0</v>
      </c>
      <c r="DA217" s="393">
        <f>IF(AND(101&gt;=Assumptions!$B$37,DA215+DA216&gt;0),-MIN(Assumptions!$B$36,DA215+DA216),0)</f>
        <v>0</v>
      </c>
      <c r="DB217" s="393">
        <f>IF(AND(102&gt;=Assumptions!$B$37,DB215+DB216&gt;0),-MIN(Assumptions!$B$36,DB215+DB216),0)</f>
        <v>0</v>
      </c>
      <c r="DC217" s="393">
        <f>IF(AND(103&gt;=Assumptions!$B$37,DC215+DC216&gt;0),-MIN(Assumptions!$B$36,DC215+DC216),0)</f>
        <v>0</v>
      </c>
      <c r="DD217" s="393">
        <f>IF(AND(104&gt;=Assumptions!$B$37,DD215+DD216&gt;0),-MIN(Assumptions!$B$36,DD215+DD216),0)</f>
        <v>0</v>
      </c>
      <c r="DE217" s="393">
        <f>IF(AND(105&gt;=Assumptions!$B$37,DE215+DE216&gt;0),-MIN(Assumptions!$B$36,DE215+DE216),0)</f>
        <v>0</v>
      </c>
    </row>
    <row r="218" ht="15" customFormat="1" customHeight="1" s="381">
      <c r="A218" s="425" t="inlineStr">
        <is>
          <t>Ending Balance</t>
        </is>
      </c>
      <c r="B218" s="426" t="n"/>
      <c r="C218" s="426" t="n"/>
      <c r="D218" s="426" t="n"/>
      <c r="E218" s="426">
        <f>MAX(0,E215+E216+E217)</f>
        <v>1615485</v>
      </c>
      <c r="F218" s="426">
        <f>MAX(0,F215+F216+F217)</f>
        <v>1615485</v>
      </c>
      <c r="G218" s="426">
        <f>MAX(0,G215+G216+G217)</f>
        <v>1676065.6875</v>
      </c>
      <c r="H218" s="426">
        <f>MAX(0,H215+H216+H217)</f>
        <v>1676065.6875</v>
      </c>
      <c r="I218" s="426">
        <f>MAX(0,I215+I216+I217)</f>
        <v>1676065.6875</v>
      </c>
      <c r="J218" s="426">
        <f>MAX(0,J215+J216+J217)</f>
        <v>1738918.15078125</v>
      </c>
      <c r="K218" s="426">
        <f>MAX(0,K215+K216+K217)</f>
        <v>1738918.15078125</v>
      </c>
      <c r="L218" s="426">
        <f>MAX(0,L215+L216+L217)</f>
        <v>1738918.15078125</v>
      </c>
      <c r="M218" s="426">
        <f>MAX(0,M215+M216+M217)</f>
        <v>1804127.58143555</v>
      </c>
      <c r="N218" s="426">
        <f>MAX(0,N215+N216+N217)</f>
        <v>1692127.58143555</v>
      </c>
      <c r="O218" s="426">
        <f>MAX(0,O215+O216+O217)</f>
        <v>1580127.58143555</v>
      </c>
      <c r="P218" s="426">
        <f>MAX(0,P215+P216+P217)</f>
        <v>1527382.36573938</v>
      </c>
      <c r="Q218" s="426">
        <f>MAX(0,Q215+Q216+Q217)</f>
        <v>1415382.36573938</v>
      </c>
      <c r="R218" s="426">
        <f>MAX(0,R215+R216+R217)</f>
        <v>1303382.36573938</v>
      </c>
      <c r="S218" s="426">
        <f>MAX(0,S215+S216+S217)</f>
        <v>1240259.20445461</v>
      </c>
      <c r="T218" s="426">
        <f>MAX(0,T215+T216+T217)</f>
        <v>1128259.20445461</v>
      </c>
      <c r="U218" s="426">
        <f>MAX(0,U215+U216+U217)</f>
        <v>1016259.20445461</v>
      </c>
      <c r="V218" s="426">
        <f>MAX(0,V215+V216+V217)</f>
        <v>942368.924621655</v>
      </c>
      <c r="W218" s="426">
        <f>MAX(0,W215+W216+W217)</f>
        <v>830368.924621655</v>
      </c>
      <c r="X218" s="426">
        <f>MAX(0,X215+X216+X217)</f>
        <v>718368.924621655</v>
      </c>
      <c r="Y218" s="426">
        <f>MAX(0,Y215+Y216+Y217)</f>
        <v>633307.759294967</v>
      </c>
      <c r="Z218" s="426">
        <f>MAX(0,Z215+Z216+Z217)</f>
        <v>521307.759294967</v>
      </c>
      <c r="AA218" s="426">
        <f>MAX(0,AA215+AA216+AA217)</f>
        <v>409307.759294967</v>
      </c>
      <c r="AB218" s="426">
        <f>MAX(0,AB215+AB216+AB217)</f>
        <v>312656.800268528</v>
      </c>
      <c r="AC218" s="426">
        <f>MAX(0,AC215+AC216+AC217)</f>
        <v>200656.800268528</v>
      </c>
      <c r="AD218" s="426">
        <f>MAX(0,AD215+AD216+AD217)</f>
        <v>88656.8002685279</v>
      </c>
      <c r="AE218" s="426">
        <f>MAX(0,AE215+AE216+AE217)</f>
        <v>0</v>
      </c>
      <c r="AF218" s="426">
        <f>MAX(0,AF215+AF216+AF217)</f>
        <v>0</v>
      </c>
      <c r="AG218" s="426">
        <f>MAX(0,AG215+AG216+AG217)</f>
        <v>0</v>
      </c>
      <c r="AH218" s="426">
        <f>MAX(0,AH215+AH216+AH217)</f>
        <v>0</v>
      </c>
      <c r="AI218" s="426">
        <f>MAX(0,AI215+AI216+AI217)</f>
        <v>0</v>
      </c>
      <c r="AJ218" s="426">
        <f>MAX(0,AJ215+AJ216+AJ217)</f>
        <v>0</v>
      </c>
      <c r="AK218" s="426">
        <f>MAX(0,AK215+AK216+AK217)</f>
        <v>0</v>
      </c>
      <c r="AL218" s="426">
        <f>MAX(0,AL215+AL216+AL217)</f>
        <v>0</v>
      </c>
      <c r="AM218" s="426">
        <f>MAX(0,AM215+AM216+AM217)</f>
        <v>0</v>
      </c>
      <c r="AN218" s="426">
        <f>MAX(0,AN215+AN216+AN217)</f>
        <v>0</v>
      </c>
      <c r="AO218" s="426">
        <f>MAX(0,AO215+AO216+AO217)</f>
        <v>0</v>
      </c>
      <c r="AP218" s="426">
        <f>MAX(0,AP215+AP216+AP217)</f>
        <v>0</v>
      </c>
      <c r="AQ218" s="426">
        <f>MAX(0,AQ215+AQ216+AQ217)</f>
        <v>0</v>
      </c>
      <c r="AR218" s="426">
        <f>MAX(0,AR215+AR216+AR217)</f>
        <v>0</v>
      </c>
      <c r="AS218" s="426">
        <f>MAX(0,AS215+AS216+AS217)</f>
        <v>0</v>
      </c>
      <c r="AT218" s="426">
        <f>MAX(0,AT215+AT216+AT217)</f>
        <v>0</v>
      </c>
      <c r="AU218" s="426">
        <f>MAX(0,AU215+AU216+AU217)</f>
        <v>0</v>
      </c>
      <c r="AV218" s="426">
        <f>MAX(0,AV215+AV216+AV217)</f>
        <v>0</v>
      </c>
      <c r="AW218" s="426">
        <f>MAX(0,AW215+AW216+AW217)</f>
        <v>0</v>
      </c>
      <c r="AX218" s="426">
        <f>MAX(0,AX215+AX216+AX217)</f>
        <v>0</v>
      </c>
      <c r="AY218" s="426">
        <f>MAX(0,AY215+AY216+AY217)</f>
        <v>0</v>
      </c>
      <c r="AZ218" s="426">
        <f>MAX(0,AZ215+AZ216+AZ217)</f>
        <v>0</v>
      </c>
      <c r="BA218" s="426">
        <f>MAX(0,BA215+BA216+BA217)</f>
        <v>0</v>
      </c>
      <c r="BB218" s="426">
        <f>MAX(0,BB215+BB216+BB217)</f>
        <v>0</v>
      </c>
      <c r="BC218" s="426">
        <f>MAX(0,BC215+BC216+BC217)</f>
        <v>0</v>
      </c>
      <c r="BD218" s="426">
        <f>MAX(0,BD215+BD216+BD217)</f>
        <v>0</v>
      </c>
      <c r="BE218" s="426">
        <f>MAX(0,BE215+BE216+BE217)</f>
        <v>0</v>
      </c>
      <c r="BF218" s="426">
        <f>MAX(0,BF215+BF216+BF217)</f>
        <v>0</v>
      </c>
      <c r="BG218" s="426">
        <f>MAX(0,BG215+BG216+BG217)</f>
        <v>0</v>
      </c>
      <c r="BH218" s="426">
        <f>MAX(0,BH215+BH216+BH217)</f>
        <v>0</v>
      </c>
      <c r="BI218" s="426">
        <f>MAX(0,BI215+BI216+BI217)</f>
        <v>0</v>
      </c>
      <c r="BJ218" s="426">
        <f>MAX(0,BJ215+BJ216+BJ217)</f>
        <v>0</v>
      </c>
      <c r="BK218" s="426">
        <f>MAX(0,BK215+BK216+BK217)</f>
        <v>0</v>
      </c>
      <c r="BL218" s="426">
        <f>MAX(0,BL215+BL216+BL217)</f>
        <v>0</v>
      </c>
      <c r="BM218" s="426">
        <f>MAX(0,BM215+BM216+BM217)</f>
        <v>0</v>
      </c>
      <c r="BN218" s="426">
        <f>MAX(0,BN215+BN216+BN217)</f>
        <v>0</v>
      </c>
      <c r="BO218" s="426">
        <f>MAX(0,BO215+BO216+BO217)</f>
        <v>0</v>
      </c>
      <c r="BP218" s="426">
        <f>MAX(0,BP215+BP216+BP217)</f>
        <v>0</v>
      </c>
      <c r="BQ218" s="426">
        <f>MAX(0,BQ215+BQ216+BQ217)</f>
        <v>0</v>
      </c>
      <c r="BR218" s="426">
        <f>MAX(0,BR215+BR216+BR217)</f>
        <v>0</v>
      </c>
      <c r="BS218" s="426">
        <f>MAX(0,BS215+BS216+BS217)</f>
        <v>0</v>
      </c>
      <c r="BT218" s="426">
        <f>MAX(0,BT215+BT216+BT217)</f>
        <v>0</v>
      </c>
      <c r="BU218" s="426">
        <f>MAX(0,BU215+BU216+BU217)</f>
        <v>0</v>
      </c>
      <c r="BV218" s="426">
        <f>MAX(0,BV215+BV216+BV217)</f>
        <v>0</v>
      </c>
      <c r="BW218" s="426">
        <f>MAX(0,BW215+BW216+BW217)</f>
        <v>0</v>
      </c>
      <c r="BX218" s="426">
        <f>MAX(0,BX215+BX216+BX217)</f>
        <v>0</v>
      </c>
      <c r="BY218" s="426">
        <f>MAX(0,BY215+BY216+BY217)</f>
        <v>0</v>
      </c>
      <c r="BZ218" s="426">
        <f>MAX(0,BZ215+BZ216+BZ217)</f>
        <v>0</v>
      </c>
      <c r="CA218" s="426">
        <f>MAX(0,CA215+CA216+CA217)</f>
        <v>0</v>
      </c>
      <c r="CB218" s="426">
        <f>MAX(0,CB215+CB216+CB217)</f>
        <v>0</v>
      </c>
      <c r="CC218" s="426">
        <f>MAX(0,CC215+CC216+CC217)</f>
        <v>0</v>
      </c>
      <c r="CD218" s="426">
        <f>MAX(0,CD215+CD216+CD217)</f>
        <v>0</v>
      </c>
      <c r="CE218" s="426">
        <f>MAX(0,CE215+CE216+CE217)</f>
        <v>0</v>
      </c>
      <c r="CF218" s="426">
        <f>MAX(0,CF215+CF216+CF217)</f>
        <v>0</v>
      </c>
      <c r="CG218" s="426">
        <f>MAX(0,CG215+CG216+CG217)</f>
        <v>0</v>
      </c>
      <c r="CH218" s="426">
        <f>MAX(0,CH215+CH216+CH217)</f>
        <v>0</v>
      </c>
      <c r="CI218" s="426">
        <f>MAX(0,CI215+CI216+CI217)</f>
        <v>0</v>
      </c>
      <c r="CJ218" s="426">
        <f>MAX(0,CJ215+CJ216+CJ217)</f>
        <v>0</v>
      </c>
      <c r="CK218" s="426">
        <f>MAX(0,CK215+CK216+CK217)</f>
        <v>0</v>
      </c>
      <c r="CL218" s="426">
        <f>MAX(0,CL215+CL216+CL217)</f>
        <v>0</v>
      </c>
      <c r="CM218" s="426">
        <f>MAX(0,CM215+CM216+CM217)</f>
        <v>0</v>
      </c>
      <c r="CN218" s="426">
        <f>MAX(0,CN215+CN216+CN217)</f>
        <v>0</v>
      </c>
      <c r="CO218" s="426">
        <f>MAX(0,CO215+CO216+CO217)</f>
        <v>0</v>
      </c>
      <c r="CP218" s="426">
        <f>MAX(0,CP215+CP216+CP217)</f>
        <v>0</v>
      </c>
      <c r="CQ218" s="426">
        <f>MAX(0,CQ215+CQ216+CQ217)</f>
        <v>0</v>
      </c>
      <c r="CR218" s="426">
        <f>MAX(0,CR215+CR216+CR217)</f>
        <v>0</v>
      </c>
      <c r="CS218" s="426">
        <f>MAX(0,CS215+CS216+CS217)</f>
        <v>0</v>
      </c>
      <c r="CT218" s="426">
        <f>MAX(0,CT215+CT216+CT217)</f>
        <v>0</v>
      </c>
      <c r="CU218" s="426">
        <f>MAX(0,CU215+CU216+CU217)</f>
        <v>0</v>
      </c>
      <c r="CV218" s="426">
        <f>MAX(0,CV215+CV216+CV217)</f>
        <v>0</v>
      </c>
      <c r="CW218" s="426">
        <f>MAX(0,CW215+CW216+CW217)</f>
        <v>0</v>
      </c>
      <c r="CX218" s="426">
        <f>MAX(0,CX215+CX216+CX217)</f>
        <v>0</v>
      </c>
      <c r="CY218" s="426">
        <f>MAX(0,CY215+CY216+CY217)</f>
        <v>0</v>
      </c>
      <c r="CZ218" s="426">
        <f>MAX(0,CZ215+CZ216+CZ217)</f>
        <v>0</v>
      </c>
      <c r="DA218" s="426">
        <f>MAX(0,DA215+DA216+DA217)</f>
        <v>0</v>
      </c>
      <c r="DB218" s="426">
        <f>MAX(0,DB215+DB216+DB217)</f>
        <v>0</v>
      </c>
      <c r="DC218" s="426">
        <f>MAX(0,DC215+DC216+DC217)</f>
        <v>0</v>
      </c>
      <c r="DD218" s="426">
        <f>MAX(0,DD215+DD216+DD217)</f>
        <v>0</v>
      </c>
      <c r="DE218" s="426">
        <f>MAX(0,DE215+DE216+DE217)</f>
        <v>0</v>
      </c>
    </row>
    <row r="219" ht="13.5" customFormat="1" customHeight="1" s="381">
      <c r="A219" s="383" t="n"/>
      <c r="B219" s="393" t="n"/>
      <c r="C219" s="393" t="n"/>
      <c r="D219" s="393" t="n"/>
      <c r="E219" s="393" t="n"/>
      <c r="F219" s="393" t="n"/>
      <c r="G219" s="393" t="n"/>
      <c r="H219" s="393" t="n"/>
      <c r="I219" s="393" t="n"/>
      <c r="J219" s="393" t="n"/>
      <c r="K219" s="393" t="n"/>
      <c r="L219" s="393" t="n"/>
      <c r="M219" s="393" t="n"/>
      <c r="N219" s="393" t="n"/>
      <c r="O219" s="393" t="n"/>
      <c r="P219" s="393" t="n"/>
      <c r="Q219" s="393" t="n"/>
      <c r="R219" s="393" t="n"/>
      <c r="S219" s="393" t="n"/>
      <c r="T219" s="393" t="n"/>
      <c r="U219" s="393" t="n"/>
      <c r="V219" s="393" t="n"/>
      <c r="W219" s="393" t="n"/>
      <c r="X219" s="393" t="n"/>
      <c r="Y219" s="393" t="n"/>
      <c r="Z219" s="393" t="n"/>
      <c r="AA219" s="393" t="n"/>
      <c r="AB219" s="393" t="n"/>
      <c r="AC219" s="393" t="n"/>
      <c r="AD219" s="393" t="n"/>
      <c r="AE219" s="393" t="n"/>
      <c r="AF219" s="393" t="n"/>
      <c r="AG219" s="393" t="n"/>
      <c r="AH219" s="393" t="n"/>
      <c r="AI219" s="393" t="n"/>
      <c r="AJ219" s="393" t="n"/>
      <c r="AK219" s="393" t="n"/>
      <c r="AL219" s="393" t="n"/>
      <c r="AM219" s="393" t="n"/>
      <c r="AN219" s="393" t="n"/>
      <c r="AO219" s="393" t="n"/>
      <c r="AP219" s="393" t="n"/>
      <c r="AQ219" s="393" t="n"/>
      <c r="AR219" s="393" t="n"/>
      <c r="AS219" s="393" t="n"/>
      <c r="AT219" s="393" t="n"/>
      <c r="AU219" s="393" t="n"/>
      <c r="AV219" s="393" t="n"/>
      <c r="AW219" s="393" t="n"/>
      <c r="AX219" s="393" t="n"/>
      <c r="AY219" s="393" t="n"/>
      <c r="AZ219" s="393" t="n"/>
      <c r="BA219" s="393" t="n"/>
      <c r="BB219" s="393" t="n"/>
      <c r="BC219" s="393" t="n"/>
      <c r="BD219" s="393" t="n"/>
      <c r="BE219" s="393" t="n"/>
      <c r="BF219" s="393" t="n"/>
      <c r="BG219" s="393" t="n"/>
      <c r="BH219" s="393" t="n"/>
      <c r="BI219" s="393" t="n"/>
      <c r="BJ219" s="393" t="n"/>
      <c r="BK219" s="393" t="n"/>
      <c r="BL219" s="393" t="n"/>
      <c r="BM219" s="393" t="n"/>
      <c r="BN219" s="393" t="n"/>
      <c r="BO219" s="393" t="n"/>
      <c r="BP219" s="393" t="n"/>
      <c r="BQ219" s="393" t="n"/>
      <c r="BR219" s="393" t="n"/>
      <c r="BS219" s="393" t="n"/>
      <c r="BT219" s="393" t="n"/>
      <c r="BU219" s="393" t="n"/>
      <c r="BV219" s="393" t="n"/>
      <c r="BW219" s="393" t="n"/>
      <c r="BX219" s="393" t="n"/>
      <c r="BY219" s="393" t="n"/>
      <c r="BZ219" s="393" t="n"/>
      <c r="CA219" s="393" t="n"/>
      <c r="CB219" s="393" t="n"/>
      <c r="CC219" s="393" t="n"/>
      <c r="CD219" s="393" t="n"/>
      <c r="CE219" s="393" t="n"/>
      <c r="CF219" s="393" t="n"/>
      <c r="CG219" s="393" t="n"/>
      <c r="CH219" s="393" t="n"/>
      <c r="CI219" s="393" t="n"/>
      <c r="CJ219" s="393" t="n"/>
      <c r="CK219" s="393" t="n"/>
      <c r="CL219" s="393" t="n"/>
      <c r="CM219" s="393" t="n"/>
      <c r="CN219" s="393" t="n"/>
      <c r="CO219" s="393" t="n"/>
      <c r="CP219" s="393" t="n"/>
      <c r="CQ219" s="393" t="n"/>
      <c r="CR219" s="393" t="n"/>
      <c r="CS219" s="393" t="n"/>
      <c r="CT219" s="393" t="n"/>
      <c r="CU219" s="393" t="n"/>
      <c r="CV219" s="393" t="n"/>
      <c r="CW219" s="393" t="n"/>
      <c r="CX219" s="393" t="n"/>
      <c r="CY219" s="393" t="n"/>
      <c r="CZ219" s="393" t="n"/>
      <c r="DA219" s="393" t="n"/>
      <c r="DB219" s="393" t="n"/>
      <c r="DC219" s="393" t="n"/>
      <c r="DD219" s="393" t="n"/>
      <c r="DE219" s="393" t="n"/>
    </row>
    <row r="220" ht="16.5" customFormat="1" customHeight="1" s="381">
      <c r="A220" s="383" t="n"/>
      <c r="B220" s="393" t="n"/>
      <c r="C220" s="393" t="n"/>
      <c r="D220" s="393" t="n"/>
      <c r="E220" s="393" t="n"/>
      <c r="F220" s="393" t="n"/>
      <c r="G220" s="393" t="n"/>
      <c r="H220" s="393" t="n"/>
      <c r="I220" s="393" t="n"/>
      <c r="J220" s="393" t="n"/>
      <c r="K220" s="393" t="n"/>
      <c r="L220" s="393" t="n"/>
      <c r="M220" s="393" t="n"/>
      <c r="N220" s="393" t="n"/>
      <c r="O220" s="393" t="n"/>
      <c r="P220" s="393" t="n"/>
      <c r="Q220" s="393" t="n"/>
      <c r="R220" s="393" t="n"/>
      <c r="S220" s="393" t="n"/>
      <c r="T220" s="393" t="n"/>
      <c r="U220" s="393" t="n"/>
      <c r="V220" s="393" t="n"/>
      <c r="W220" s="393" t="n"/>
      <c r="X220" s="393" t="n"/>
      <c r="Y220" s="393" t="n"/>
      <c r="Z220" s="393" t="n"/>
      <c r="AA220" s="393" t="n"/>
      <c r="AB220" s="393" t="n"/>
      <c r="AC220" s="393" t="n"/>
      <c r="AD220" s="393" t="n"/>
      <c r="AE220" s="393" t="n"/>
      <c r="AF220" s="393" t="n"/>
      <c r="AG220" s="393" t="n"/>
      <c r="AH220" s="393" t="n"/>
      <c r="AI220" s="393" t="n"/>
      <c r="AJ220" s="393" t="n"/>
      <c r="AK220" s="393" t="n"/>
      <c r="AL220" s="393" t="n"/>
      <c r="AM220" s="393" t="n"/>
      <c r="AN220" s="393" t="n"/>
      <c r="AO220" s="393" t="n"/>
      <c r="AP220" s="393" t="n"/>
      <c r="AQ220" s="393" t="n"/>
      <c r="AR220" s="393" t="n"/>
      <c r="AS220" s="393" t="n"/>
      <c r="AT220" s="393" t="n"/>
      <c r="AU220" s="393" t="n"/>
      <c r="AV220" s="393" t="n"/>
      <c r="AW220" s="393" t="n"/>
      <c r="AX220" s="393" t="n"/>
      <c r="AY220" s="393" t="n"/>
      <c r="AZ220" s="393" t="n"/>
      <c r="BA220" s="393" t="n"/>
      <c r="BB220" s="393" t="n"/>
      <c r="BC220" s="393" t="n"/>
      <c r="BD220" s="393" t="n"/>
      <c r="BE220" s="393" t="n"/>
      <c r="BF220" s="393" t="n"/>
      <c r="BG220" s="393" t="n"/>
      <c r="BH220" s="393" t="n"/>
      <c r="BI220" s="393" t="n"/>
      <c r="BJ220" s="393" t="n"/>
      <c r="BK220" s="393" t="n"/>
      <c r="BL220" s="393" t="n"/>
      <c r="BM220" s="393" t="n"/>
      <c r="BN220" s="393" t="n"/>
      <c r="BO220" s="393" t="n"/>
      <c r="BP220" s="393" t="n"/>
      <c r="BQ220" s="393" t="n"/>
      <c r="BR220" s="393" t="n"/>
      <c r="BS220" s="393" t="n"/>
      <c r="BT220" s="393" t="n"/>
      <c r="BU220" s="393" t="n"/>
      <c r="BV220" s="393" t="n"/>
      <c r="BW220" s="393" t="n"/>
      <c r="BX220" s="393" t="n"/>
      <c r="BY220" s="393" t="n"/>
      <c r="BZ220" s="393" t="n"/>
      <c r="CA220" s="393" t="n"/>
      <c r="CB220" s="393" t="n"/>
      <c r="CC220" s="393" t="n"/>
      <c r="CD220" s="393" t="n"/>
      <c r="CE220" s="393" t="n"/>
      <c r="CF220" s="393" t="n"/>
      <c r="CG220" s="393" t="n"/>
      <c r="CH220" s="393" t="n"/>
      <c r="CI220" s="393" t="n"/>
      <c r="CJ220" s="393" t="n"/>
      <c r="CK220" s="393" t="n"/>
      <c r="CL220" s="393" t="n"/>
      <c r="CM220" s="393" t="n"/>
      <c r="CN220" s="393" t="n"/>
      <c r="CO220" s="393" t="n"/>
      <c r="CP220" s="393" t="n"/>
      <c r="CQ220" s="393" t="n"/>
      <c r="CR220" s="393" t="n"/>
      <c r="CS220" s="393" t="n"/>
      <c r="CT220" s="393" t="n"/>
      <c r="CU220" s="393" t="n"/>
      <c r="CV220" s="393" t="n"/>
      <c r="CW220" s="393" t="n"/>
      <c r="CX220" s="393" t="n"/>
      <c r="CY220" s="393" t="n"/>
      <c r="CZ220" s="393" t="n"/>
      <c r="DA220" s="393" t="n"/>
      <c r="DB220" s="393" t="n"/>
      <c r="DC220" s="393" t="n"/>
      <c r="DD220" s="393" t="n"/>
      <c r="DE220" s="393" t="n"/>
    </row>
    <row r="221" ht="15" customFormat="1" customHeight="1" s="381">
      <c r="A221" s="424" t="inlineStr">
        <is>
          <t>ROW RUN CAPITAL LLC - DEBT FACILITY</t>
        </is>
      </c>
      <c r="B221" s="419" t="n"/>
      <c r="C221" s="419" t="n"/>
      <c r="D221" s="419" t="n"/>
      <c r="E221" s="419" t="n"/>
      <c r="F221" s="419" t="n"/>
      <c r="G221" s="419" t="n"/>
      <c r="H221" s="419" t="n"/>
      <c r="I221" s="419" t="n"/>
      <c r="J221" s="419" t="n"/>
      <c r="K221" s="419" t="n"/>
      <c r="L221" s="419" t="n"/>
      <c r="M221" s="419" t="n"/>
      <c r="N221" s="419" t="n"/>
      <c r="O221" s="419" t="n"/>
      <c r="P221" s="419" t="n"/>
      <c r="Q221" s="419" t="n"/>
      <c r="R221" s="419" t="n"/>
      <c r="S221" s="419" t="n"/>
      <c r="T221" s="419" t="n"/>
      <c r="U221" s="419" t="n"/>
      <c r="V221" s="419" t="n"/>
      <c r="W221" s="419" t="n"/>
      <c r="X221" s="419" t="n"/>
      <c r="Y221" s="419" t="n"/>
      <c r="Z221" s="419" t="n"/>
      <c r="AA221" s="419" t="n"/>
      <c r="AB221" s="419" t="n"/>
      <c r="AC221" s="419" t="n"/>
      <c r="AD221" s="419" t="n"/>
      <c r="AE221" s="419" t="n"/>
      <c r="AF221" s="419" t="n"/>
      <c r="AG221" s="419" t="n"/>
      <c r="AH221" s="419" t="n"/>
      <c r="AI221" s="419" t="n"/>
      <c r="AJ221" s="419" t="n"/>
      <c r="AK221" s="419" t="n"/>
      <c r="AL221" s="419" t="n"/>
      <c r="AM221" s="419" t="n"/>
      <c r="AN221" s="419" t="n"/>
      <c r="AO221" s="419" t="n"/>
      <c r="AP221" s="419" t="n"/>
      <c r="AQ221" s="419" t="n"/>
      <c r="AR221" s="419" t="n"/>
      <c r="AS221" s="419" t="n"/>
      <c r="AT221" s="419" t="n"/>
      <c r="AU221" s="419" t="n"/>
      <c r="AV221" s="419" t="n"/>
      <c r="AW221" s="419" t="n"/>
      <c r="AX221" s="419" t="n"/>
      <c r="AY221" s="419" t="n"/>
      <c r="AZ221" s="419" t="n"/>
      <c r="BA221" s="419" t="n"/>
      <c r="BB221" s="419" t="n"/>
      <c r="BC221" s="419" t="n"/>
      <c r="BD221" s="419" t="n"/>
      <c r="BE221" s="419" t="n"/>
      <c r="BF221" s="419" t="n"/>
      <c r="BG221" s="419" t="n"/>
      <c r="BH221" s="419" t="n"/>
      <c r="BI221" s="419" t="n"/>
      <c r="BJ221" s="419" t="n"/>
      <c r="BK221" s="419" t="n"/>
      <c r="BL221" s="419" t="n"/>
      <c r="BM221" s="419" t="n"/>
      <c r="BN221" s="419" t="n"/>
      <c r="BO221" s="419" t="n"/>
      <c r="BP221" s="419" t="n"/>
      <c r="BQ221" s="419" t="n"/>
      <c r="BR221" s="419" t="n"/>
      <c r="BS221" s="419" t="n"/>
      <c r="BT221" s="419" t="n"/>
      <c r="BU221" s="419" t="n"/>
      <c r="BV221" s="419" t="n"/>
      <c r="BW221" s="419" t="n"/>
      <c r="BX221" s="419" t="n"/>
      <c r="BY221" s="419" t="n"/>
      <c r="BZ221" s="419" t="n"/>
      <c r="CA221" s="419" t="n"/>
      <c r="CB221" s="419" t="n"/>
      <c r="CC221" s="419" t="n"/>
      <c r="CD221" s="419" t="n"/>
      <c r="CE221" s="419" t="n"/>
      <c r="CF221" s="419" t="n"/>
      <c r="CG221" s="419" t="n"/>
      <c r="CH221" s="419" t="n"/>
      <c r="CI221" s="419" t="n"/>
      <c r="CJ221" s="419" t="n"/>
      <c r="CK221" s="419" t="n"/>
      <c r="CL221" s="419" t="n"/>
      <c r="CM221" s="419" t="n"/>
      <c r="CN221" s="419" t="n"/>
      <c r="CO221" s="419" t="n"/>
      <c r="CP221" s="419" t="n"/>
      <c r="CQ221" s="419" t="n"/>
      <c r="CR221" s="419" t="n"/>
      <c r="CS221" s="419" t="n"/>
      <c r="CT221" s="419" t="n"/>
      <c r="CU221" s="419" t="n"/>
      <c r="CV221" s="419" t="n"/>
      <c r="CW221" s="419" t="n"/>
      <c r="CX221" s="419" t="n"/>
      <c r="CY221" s="419" t="n"/>
      <c r="CZ221" s="419" t="n"/>
      <c r="DA221" s="419" t="n"/>
      <c r="DB221" s="419" t="n"/>
      <c r="DC221" s="419" t="n"/>
      <c r="DD221" s="419" t="n"/>
      <c r="DE221" s="419" t="n"/>
    </row>
    <row r="222" ht="15" customFormat="1" customHeight="1" s="381">
      <c r="A222" s="398" t="inlineStr">
        <is>
          <t>Beginning Balance</t>
        </is>
      </c>
      <c r="B222" s="393" t="n"/>
      <c r="C222" s="393" t="n"/>
      <c r="D222" s="393" t="n"/>
      <c r="E222" s="393">
        <f>Assumptions!$B$41</f>
        <v>1000000</v>
      </c>
      <c r="F222" s="393">
        <f>E224</f>
        <v>1000000</v>
      </c>
      <c r="G222" s="393">
        <f>F224</f>
        <v>1000000</v>
      </c>
      <c r="H222" s="393">
        <f>G224</f>
        <v>1000000</v>
      </c>
      <c r="I222" s="393">
        <f>H224</f>
        <v>1000000</v>
      </c>
      <c r="J222" s="393">
        <f>I224</f>
        <v>1000000</v>
      </c>
      <c r="K222" s="393">
        <f>J224</f>
        <v>1000000</v>
      </c>
      <c r="L222" s="393">
        <f>K224</f>
        <v>1000000</v>
      </c>
      <c r="M222" s="393">
        <f>L224</f>
        <v>1000000</v>
      </c>
      <c r="N222" s="393">
        <f>M224</f>
        <v>1000000</v>
      </c>
      <c r="O222" s="393">
        <f>N224</f>
        <v>1000000</v>
      </c>
      <c r="P222" s="393">
        <f>O224</f>
        <v>1000000</v>
      </c>
      <c r="Q222" s="393">
        <f>P224</f>
        <v>1000000</v>
      </c>
      <c r="R222" s="393">
        <f>Q224</f>
        <v>1000000</v>
      </c>
      <c r="S222" s="393">
        <f>R224</f>
        <v>1000000</v>
      </c>
      <c r="T222" s="393">
        <f>S224</f>
        <v>1000000</v>
      </c>
      <c r="U222" s="393">
        <f>T224</f>
        <v>1000000</v>
      </c>
      <c r="V222" s="393">
        <f>U224</f>
        <v>1000000</v>
      </c>
      <c r="W222" s="393">
        <f>V224</f>
        <v>1000000</v>
      </c>
      <c r="X222" s="393">
        <f>W224</f>
        <v>1000000</v>
      </c>
      <c r="Y222" s="393">
        <f>X224</f>
        <v>1000000</v>
      </c>
      <c r="Z222" s="393">
        <f>Y224</f>
        <v>1000000</v>
      </c>
      <c r="AA222" s="393">
        <f>Z224</f>
        <v>1000000</v>
      </c>
      <c r="AB222" s="393">
        <f>AA224</f>
        <v>750000</v>
      </c>
      <c r="AC222" s="393">
        <f>AB224</f>
        <v>750000</v>
      </c>
      <c r="AD222" s="393">
        <f>AC224</f>
        <v>750000</v>
      </c>
      <c r="AE222" s="393">
        <f>AD224</f>
        <v>750000</v>
      </c>
      <c r="AF222" s="393">
        <f>AE224</f>
        <v>750000</v>
      </c>
      <c r="AG222" s="393">
        <f>AF224</f>
        <v>750000</v>
      </c>
      <c r="AH222" s="393">
        <f>AG224</f>
        <v>750000</v>
      </c>
      <c r="AI222" s="393">
        <f>AH224</f>
        <v>750000</v>
      </c>
      <c r="AJ222" s="393">
        <f>AI224</f>
        <v>750000</v>
      </c>
      <c r="AK222" s="393">
        <f>AJ224</f>
        <v>750000</v>
      </c>
      <c r="AL222" s="393">
        <f>AK224</f>
        <v>750000</v>
      </c>
      <c r="AM222" s="393">
        <f>AL224</f>
        <v>750000</v>
      </c>
      <c r="AN222" s="393">
        <f>AM224</f>
        <v>500000</v>
      </c>
      <c r="AO222" s="393">
        <f>AN224</f>
        <v>500000</v>
      </c>
      <c r="AP222" s="393">
        <f>AO224</f>
        <v>500000</v>
      </c>
      <c r="AQ222" s="393">
        <f>AP224</f>
        <v>500000</v>
      </c>
      <c r="AR222" s="393">
        <f>AQ224</f>
        <v>500000</v>
      </c>
      <c r="AS222" s="393">
        <f>AR224</f>
        <v>500000</v>
      </c>
      <c r="AT222" s="393">
        <f>AS224</f>
        <v>500000</v>
      </c>
      <c r="AU222" s="393">
        <f>AT224</f>
        <v>500000</v>
      </c>
      <c r="AV222" s="393">
        <f>AU224</f>
        <v>500000</v>
      </c>
      <c r="AW222" s="393">
        <f>AV224</f>
        <v>500000</v>
      </c>
      <c r="AX222" s="393">
        <f>AW224</f>
        <v>500000</v>
      </c>
      <c r="AY222" s="393">
        <f>AX224</f>
        <v>500000</v>
      </c>
      <c r="AZ222" s="393">
        <f>AY224</f>
        <v>250000</v>
      </c>
      <c r="BA222" s="393">
        <f>AZ224</f>
        <v>250000</v>
      </c>
      <c r="BB222" s="393">
        <f>BA224</f>
        <v>250000</v>
      </c>
      <c r="BC222" s="393">
        <f>BB224</f>
        <v>250000</v>
      </c>
      <c r="BD222" s="393">
        <f>BC224</f>
        <v>250000</v>
      </c>
      <c r="BE222" s="393">
        <f>BD224</f>
        <v>250000</v>
      </c>
      <c r="BF222" s="393">
        <f>BE224</f>
        <v>250000</v>
      </c>
      <c r="BG222" s="393">
        <f>BF224</f>
        <v>250000</v>
      </c>
      <c r="BH222" s="393">
        <f>BG224</f>
        <v>250000</v>
      </c>
      <c r="BI222" s="393">
        <f>BH224</f>
        <v>250000</v>
      </c>
      <c r="BJ222" s="393">
        <f>BI224</f>
        <v>250000</v>
      </c>
      <c r="BK222" s="393">
        <f>BJ224</f>
        <v>250000</v>
      </c>
      <c r="BL222" s="393">
        <f>BK224</f>
        <v>0</v>
      </c>
      <c r="BM222" s="393">
        <f>BL224</f>
        <v>0</v>
      </c>
      <c r="BN222" s="393">
        <f>BM224</f>
        <v>0</v>
      </c>
      <c r="BO222" s="393">
        <f>BN224</f>
        <v>0</v>
      </c>
      <c r="BP222" s="393">
        <f>BO224</f>
        <v>0</v>
      </c>
      <c r="BQ222" s="393">
        <f>BP224</f>
        <v>0</v>
      </c>
      <c r="BR222" s="393">
        <f>BQ224</f>
        <v>0</v>
      </c>
      <c r="BS222" s="393">
        <f>BR224</f>
        <v>0</v>
      </c>
      <c r="BT222" s="393">
        <f>BS224</f>
        <v>0</v>
      </c>
      <c r="BU222" s="393">
        <f>BT224</f>
        <v>0</v>
      </c>
      <c r="BV222" s="393">
        <f>BU224</f>
        <v>0</v>
      </c>
      <c r="BW222" s="393">
        <f>BV224</f>
        <v>0</v>
      </c>
      <c r="BX222" s="393">
        <f>BW224</f>
        <v>0</v>
      </c>
      <c r="BY222" s="393">
        <f>BX224</f>
        <v>0</v>
      </c>
      <c r="BZ222" s="393">
        <f>BY224</f>
        <v>0</v>
      </c>
      <c r="CA222" s="393">
        <f>BZ224</f>
        <v>0</v>
      </c>
      <c r="CB222" s="393">
        <f>CA224</f>
        <v>0</v>
      </c>
      <c r="CC222" s="393">
        <f>CB224</f>
        <v>0</v>
      </c>
      <c r="CD222" s="393">
        <f>CC224</f>
        <v>0</v>
      </c>
      <c r="CE222" s="393">
        <f>CD224</f>
        <v>0</v>
      </c>
      <c r="CF222" s="393">
        <f>CE224</f>
        <v>0</v>
      </c>
      <c r="CG222" s="393">
        <f>CF224</f>
        <v>0</v>
      </c>
      <c r="CH222" s="393">
        <f>CG224</f>
        <v>0</v>
      </c>
      <c r="CI222" s="393">
        <f>CH224</f>
        <v>0</v>
      </c>
      <c r="CJ222" s="393">
        <f>CI224</f>
        <v>0</v>
      </c>
      <c r="CK222" s="393">
        <f>CJ224</f>
        <v>0</v>
      </c>
      <c r="CL222" s="393">
        <f>CK224</f>
        <v>0</v>
      </c>
      <c r="CM222" s="393">
        <f>CL224</f>
        <v>0</v>
      </c>
      <c r="CN222" s="393">
        <f>CM224</f>
        <v>0</v>
      </c>
      <c r="CO222" s="393">
        <f>CN224</f>
        <v>0</v>
      </c>
      <c r="CP222" s="393">
        <f>CO224</f>
        <v>0</v>
      </c>
      <c r="CQ222" s="393">
        <f>CP224</f>
        <v>0</v>
      </c>
      <c r="CR222" s="393">
        <f>CQ224</f>
        <v>0</v>
      </c>
      <c r="CS222" s="393">
        <f>CR224</f>
        <v>0</v>
      </c>
      <c r="CT222" s="393">
        <f>CS224</f>
        <v>0</v>
      </c>
      <c r="CU222" s="393">
        <f>CT224</f>
        <v>0</v>
      </c>
      <c r="CV222" s="393">
        <f>CU224</f>
        <v>0</v>
      </c>
      <c r="CW222" s="393">
        <f>CV224</f>
        <v>0</v>
      </c>
      <c r="CX222" s="393">
        <f>CW224</f>
        <v>0</v>
      </c>
      <c r="CY222" s="393">
        <f>CX224</f>
        <v>0</v>
      </c>
      <c r="CZ222" s="393">
        <f>CY224</f>
        <v>0</v>
      </c>
      <c r="DA222" s="393">
        <f>CZ224</f>
        <v>0</v>
      </c>
      <c r="DB222" s="393">
        <f>DA224</f>
        <v>0</v>
      </c>
      <c r="DC222" s="393">
        <f>DB224</f>
        <v>0</v>
      </c>
      <c r="DD222" s="393">
        <f>DC224</f>
        <v>0</v>
      </c>
      <c r="DE222" s="393">
        <f>DD224</f>
        <v>0</v>
      </c>
    </row>
    <row r="223" ht="15" customFormat="1" customHeight="1" s="381">
      <c r="A223" s="398" t="inlineStr">
        <is>
          <t>Annual Payment (25% tranche)</t>
        </is>
      </c>
      <c r="B223" s="393" t="n"/>
      <c r="C223" s="393" t="n"/>
      <c r="D223" s="393" t="n"/>
      <c r="E223" s="393" t="n">
        <v>0</v>
      </c>
      <c r="F223" s="393" t="n">
        <v>0</v>
      </c>
      <c r="G223" s="393" t="n">
        <v>0</v>
      </c>
      <c r="H223" s="393" t="n">
        <v>0</v>
      </c>
      <c r="I223" s="393" t="n">
        <v>0</v>
      </c>
      <c r="J223" s="393" t="n">
        <v>0</v>
      </c>
      <c r="K223" s="393" t="n">
        <v>0</v>
      </c>
      <c r="L223" s="393" t="n">
        <v>0</v>
      </c>
      <c r="M223" s="393" t="n">
        <v>0</v>
      </c>
      <c r="N223" s="393" t="n">
        <v>0</v>
      </c>
      <c r="O223" s="393">
        <f>IF(AND(O222&gt;0,SUM(B209:M209)&gt;=Assumptions!$B$43),-MIN(Assumptions!$B$42,O222),0)</f>
        <v>0</v>
      </c>
      <c r="P223" s="393" t="n">
        <v>0</v>
      </c>
      <c r="Q223" s="393" t="n">
        <v>0</v>
      </c>
      <c r="R223" s="393" t="n">
        <v>0</v>
      </c>
      <c r="S223" s="393" t="n">
        <v>0</v>
      </c>
      <c r="T223" s="393" t="n">
        <v>0</v>
      </c>
      <c r="U223" s="393" t="n">
        <v>0</v>
      </c>
      <c r="V223" s="393" t="n">
        <v>0</v>
      </c>
      <c r="W223" s="393" t="n">
        <v>0</v>
      </c>
      <c r="X223" s="393" t="n">
        <v>0</v>
      </c>
      <c r="Y223" s="393" t="n">
        <v>0</v>
      </c>
      <c r="Z223" s="393" t="n">
        <v>0</v>
      </c>
      <c r="AA223" s="393">
        <f>IF(AND(AA222&gt;0,SUM(N209:Y209)&gt;=Assumptions!$B$43),-MIN(Assumptions!$B$42,AA222),0)</f>
        <v>-250000</v>
      </c>
      <c r="AB223" s="393" t="n">
        <v>0</v>
      </c>
      <c r="AC223" s="393" t="n">
        <v>0</v>
      </c>
      <c r="AD223" s="393" t="n">
        <v>0</v>
      </c>
      <c r="AE223" s="393" t="n">
        <v>0</v>
      </c>
      <c r="AF223" s="393" t="n">
        <v>0</v>
      </c>
      <c r="AG223" s="393" t="n">
        <v>0</v>
      </c>
      <c r="AH223" s="393" t="n">
        <v>0</v>
      </c>
      <c r="AI223" s="393" t="n">
        <v>0</v>
      </c>
      <c r="AJ223" s="393" t="n">
        <v>0</v>
      </c>
      <c r="AK223" s="393" t="n">
        <v>0</v>
      </c>
      <c r="AL223" s="393" t="n">
        <v>0</v>
      </c>
      <c r="AM223" s="393">
        <f>IF(AND(AM222&gt;0,SUM(Z209:AK209)&gt;=Assumptions!$B$43),-MIN(Assumptions!$B$42,AM222),0)</f>
        <v>-250000</v>
      </c>
      <c r="AN223" s="393" t="n">
        <v>0</v>
      </c>
      <c r="AO223" s="393" t="n">
        <v>0</v>
      </c>
      <c r="AP223" s="393" t="n">
        <v>0</v>
      </c>
      <c r="AQ223" s="393" t="n">
        <v>0</v>
      </c>
      <c r="AR223" s="393" t="n">
        <v>0</v>
      </c>
      <c r="AS223" s="393" t="n">
        <v>0</v>
      </c>
      <c r="AT223" s="393" t="n">
        <v>0</v>
      </c>
      <c r="AU223" s="393" t="n">
        <v>0</v>
      </c>
      <c r="AV223" s="393" t="n">
        <v>0</v>
      </c>
      <c r="AW223" s="393" t="n">
        <v>0</v>
      </c>
      <c r="AX223" s="393" t="n">
        <v>0</v>
      </c>
      <c r="AY223" s="393">
        <f>IF(AND(AY222&gt;0,SUM(AL209:AW209)&gt;=Assumptions!$B$43),-MIN(Assumptions!$B$42,AY222),0)</f>
        <v>-250000</v>
      </c>
      <c r="AZ223" s="393" t="n">
        <v>0</v>
      </c>
      <c r="BA223" s="393" t="n">
        <v>0</v>
      </c>
      <c r="BB223" s="393" t="n">
        <v>0</v>
      </c>
      <c r="BC223" s="393" t="n">
        <v>0</v>
      </c>
      <c r="BD223" s="393" t="n">
        <v>0</v>
      </c>
      <c r="BE223" s="393" t="n">
        <v>0</v>
      </c>
      <c r="BF223" s="393" t="n">
        <v>0</v>
      </c>
      <c r="BG223" s="393" t="n">
        <v>0</v>
      </c>
      <c r="BH223" s="393" t="n">
        <v>0</v>
      </c>
      <c r="BI223" s="393" t="n">
        <v>0</v>
      </c>
      <c r="BJ223" s="393" t="n">
        <v>0</v>
      </c>
      <c r="BK223" s="393">
        <f>IF(AND(BK222&gt;0,SUM(AX209:BI209)&gt;=Assumptions!$B$43),-MIN(Assumptions!$B$42,BK222),0)</f>
        <v>-250000</v>
      </c>
      <c r="BL223" s="393" t="n">
        <v>0</v>
      </c>
      <c r="BM223" s="393" t="n">
        <v>0</v>
      </c>
      <c r="BN223" s="393" t="n">
        <v>0</v>
      </c>
      <c r="BO223" s="393" t="n">
        <v>0</v>
      </c>
      <c r="BP223" s="393" t="n">
        <v>0</v>
      </c>
      <c r="BQ223" s="393" t="n">
        <v>0</v>
      </c>
      <c r="BR223" s="393" t="n">
        <v>0</v>
      </c>
      <c r="BS223" s="393" t="n">
        <v>0</v>
      </c>
      <c r="BT223" s="393" t="n">
        <v>0</v>
      </c>
      <c r="BU223" s="393" t="n">
        <v>0</v>
      </c>
      <c r="BV223" s="393" t="n">
        <v>0</v>
      </c>
      <c r="BW223" s="393">
        <f>IF(AND(BW222&gt;0,SUM(BJ209:BU209)&gt;=Assumptions!$B$43),-MIN(Assumptions!$B$42,BW222),0)</f>
        <v>0</v>
      </c>
      <c r="BX223" s="393" t="n">
        <v>0</v>
      </c>
      <c r="BY223" s="393" t="n">
        <v>0</v>
      </c>
      <c r="BZ223" s="393" t="n">
        <v>0</v>
      </c>
      <c r="CA223" s="393" t="n">
        <v>0</v>
      </c>
      <c r="CB223" s="393" t="n">
        <v>0</v>
      </c>
      <c r="CC223" s="393" t="n">
        <v>0</v>
      </c>
      <c r="CD223" s="393" t="n">
        <v>0</v>
      </c>
      <c r="CE223" s="393" t="n">
        <v>0</v>
      </c>
      <c r="CF223" s="393" t="n">
        <v>0</v>
      </c>
      <c r="CG223" s="393" t="n">
        <v>0</v>
      </c>
      <c r="CH223" s="393" t="n">
        <v>0</v>
      </c>
      <c r="CI223" s="393">
        <f>IF(AND(CI222&gt;0,SUM(BV209:CG209)&gt;=Assumptions!$B$43),-MIN(Assumptions!$B$42,CI222),0)</f>
        <v>0</v>
      </c>
      <c r="CJ223" s="393" t="n">
        <v>0</v>
      </c>
      <c r="CK223" s="393" t="n">
        <v>0</v>
      </c>
      <c r="CL223" s="393" t="n">
        <v>0</v>
      </c>
      <c r="CM223" s="393" t="n">
        <v>0</v>
      </c>
      <c r="CN223" s="393" t="n">
        <v>0</v>
      </c>
      <c r="CO223" s="393" t="n">
        <v>0</v>
      </c>
      <c r="CP223" s="393" t="n">
        <v>0</v>
      </c>
      <c r="CQ223" s="393" t="n">
        <v>0</v>
      </c>
      <c r="CR223" s="393" t="n">
        <v>0</v>
      </c>
      <c r="CS223" s="393" t="n">
        <v>0</v>
      </c>
      <c r="CT223" s="393" t="n"/>
      <c r="CU223" s="393" t="n"/>
      <c r="CV223" s="393" t="n"/>
      <c r="CW223" s="393" t="n"/>
      <c r="CX223" s="393" t="n"/>
      <c r="CY223" s="393" t="n"/>
      <c r="CZ223" s="393" t="n"/>
      <c r="DA223" s="393" t="n"/>
      <c r="DB223" s="393" t="n"/>
      <c r="DC223" s="393" t="n"/>
      <c r="DD223" s="393" t="n"/>
      <c r="DE223" s="393" t="n"/>
    </row>
    <row r="224" ht="15" customFormat="1" customHeight="1" s="381">
      <c r="A224" s="425" t="inlineStr">
        <is>
          <t>Ending Balance</t>
        </is>
      </c>
      <c r="B224" s="426" t="n"/>
      <c r="C224" s="426" t="n"/>
      <c r="D224" s="426" t="n"/>
      <c r="E224" s="426">
        <f>MAX(0,E222+E223)</f>
        <v>1000000</v>
      </c>
      <c r="F224" s="426">
        <f>MAX(0,F222+F223)</f>
        <v>1000000</v>
      </c>
      <c r="G224" s="426">
        <f>MAX(0,G222+G223)</f>
        <v>1000000</v>
      </c>
      <c r="H224" s="426">
        <f>MAX(0,H222+H223)</f>
        <v>1000000</v>
      </c>
      <c r="I224" s="426">
        <f>MAX(0,I222+I223)</f>
        <v>1000000</v>
      </c>
      <c r="J224" s="426">
        <f>MAX(0,J222+J223)</f>
        <v>1000000</v>
      </c>
      <c r="K224" s="426">
        <f>MAX(0,K222+K223)</f>
        <v>1000000</v>
      </c>
      <c r="L224" s="426">
        <f>MAX(0,L222+L223)</f>
        <v>1000000</v>
      </c>
      <c r="M224" s="426">
        <f>MAX(0,M222+M223)</f>
        <v>1000000</v>
      </c>
      <c r="N224" s="426">
        <f>MAX(0,N222+N223)</f>
        <v>1000000</v>
      </c>
      <c r="O224" s="426">
        <f>MAX(0,O222+O223)</f>
        <v>1000000</v>
      </c>
      <c r="P224" s="426">
        <f>MAX(0,P222+P223)</f>
        <v>1000000</v>
      </c>
      <c r="Q224" s="426">
        <f>MAX(0,Q222+Q223)</f>
        <v>1000000</v>
      </c>
      <c r="R224" s="426">
        <f>MAX(0,R222+R223)</f>
        <v>1000000</v>
      </c>
      <c r="S224" s="426">
        <f>MAX(0,S222+S223)</f>
        <v>1000000</v>
      </c>
      <c r="T224" s="426">
        <f>MAX(0,T222+T223)</f>
        <v>1000000</v>
      </c>
      <c r="U224" s="426">
        <f>MAX(0,U222+U223)</f>
        <v>1000000</v>
      </c>
      <c r="V224" s="426">
        <f>MAX(0,V222+V223)</f>
        <v>1000000</v>
      </c>
      <c r="W224" s="426">
        <f>MAX(0,W222+W223)</f>
        <v>1000000</v>
      </c>
      <c r="X224" s="426">
        <f>MAX(0,X222+X223)</f>
        <v>1000000</v>
      </c>
      <c r="Y224" s="426">
        <f>MAX(0,Y222+Y223)</f>
        <v>1000000</v>
      </c>
      <c r="Z224" s="426">
        <f>MAX(0,Z222+Z223)</f>
        <v>1000000</v>
      </c>
      <c r="AA224" s="426">
        <f>MAX(0,AA222+AA223)</f>
        <v>750000</v>
      </c>
      <c r="AB224" s="426">
        <f>MAX(0,AB222+AB223)</f>
        <v>750000</v>
      </c>
      <c r="AC224" s="426">
        <f>MAX(0,AC222+AC223)</f>
        <v>750000</v>
      </c>
      <c r="AD224" s="426">
        <f>MAX(0,AD222+AD223)</f>
        <v>750000</v>
      </c>
      <c r="AE224" s="426">
        <f>MAX(0,AE222+AE223)</f>
        <v>750000</v>
      </c>
      <c r="AF224" s="426">
        <f>MAX(0,AF222+AF223)</f>
        <v>750000</v>
      </c>
      <c r="AG224" s="426">
        <f>MAX(0,AG222+AG223)</f>
        <v>750000</v>
      </c>
      <c r="AH224" s="426">
        <f>MAX(0,AH222+AH223)</f>
        <v>750000</v>
      </c>
      <c r="AI224" s="426">
        <f>MAX(0,AI222+AI223)</f>
        <v>750000</v>
      </c>
      <c r="AJ224" s="426">
        <f>MAX(0,AJ222+AJ223)</f>
        <v>750000</v>
      </c>
      <c r="AK224" s="426">
        <f>MAX(0,AK222+AK223)</f>
        <v>750000</v>
      </c>
      <c r="AL224" s="426">
        <f>MAX(0,AL222+AL223)</f>
        <v>750000</v>
      </c>
      <c r="AM224" s="426">
        <f>MAX(0,AM222+AM223)</f>
        <v>500000</v>
      </c>
      <c r="AN224" s="426">
        <f>MAX(0,AN222+AN223)</f>
        <v>500000</v>
      </c>
      <c r="AO224" s="426">
        <f>MAX(0,AO222+AO223)</f>
        <v>500000</v>
      </c>
      <c r="AP224" s="426">
        <f>MAX(0,AP222+AP223)</f>
        <v>500000</v>
      </c>
      <c r="AQ224" s="426">
        <f>MAX(0,AQ222+AQ223)</f>
        <v>500000</v>
      </c>
      <c r="AR224" s="426">
        <f>MAX(0,AR222+AR223)</f>
        <v>500000</v>
      </c>
      <c r="AS224" s="426">
        <f>MAX(0,AS222+AS223)</f>
        <v>500000</v>
      </c>
      <c r="AT224" s="426">
        <f>MAX(0,AT222+AT223)</f>
        <v>500000</v>
      </c>
      <c r="AU224" s="426">
        <f>MAX(0,AU222+AU223)</f>
        <v>500000</v>
      </c>
      <c r="AV224" s="426">
        <f>MAX(0,AV222+AV223)</f>
        <v>500000</v>
      </c>
      <c r="AW224" s="426">
        <f>MAX(0,AW222+AW223)</f>
        <v>500000</v>
      </c>
      <c r="AX224" s="426">
        <f>MAX(0,AX222+AX223)</f>
        <v>500000</v>
      </c>
      <c r="AY224" s="426">
        <f>MAX(0,AY222+AY223)</f>
        <v>250000</v>
      </c>
      <c r="AZ224" s="426">
        <f>MAX(0,AZ222+AZ223)</f>
        <v>250000</v>
      </c>
      <c r="BA224" s="426">
        <f>MAX(0,BA222+BA223)</f>
        <v>250000</v>
      </c>
      <c r="BB224" s="426">
        <f>MAX(0,BB222+BB223)</f>
        <v>250000</v>
      </c>
      <c r="BC224" s="426">
        <f>MAX(0,BC222+BC223)</f>
        <v>250000</v>
      </c>
      <c r="BD224" s="426">
        <f>MAX(0,BD222+BD223)</f>
        <v>250000</v>
      </c>
      <c r="BE224" s="426">
        <f>MAX(0,BE222+BE223)</f>
        <v>250000</v>
      </c>
      <c r="BF224" s="426">
        <f>MAX(0,BF222+BF223)</f>
        <v>250000</v>
      </c>
      <c r="BG224" s="426">
        <f>MAX(0,BG222+BG223)</f>
        <v>250000</v>
      </c>
      <c r="BH224" s="426">
        <f>MAX(0,BH222+BH223)</f>
        <v>250000</v>
      </c>
      <c r="BI224" s="426">
        <f>MAX(0,BI222+BI223)</f>
        <v>250000</v>
      </c>
      <c r="BJ224" s="426">
        <f>MAX(0,BJ222+BJ223)</f>
        <v>250000</v>
      </c>
      <c r="BK224" s="426">
        <f>MAX(0,BK222+BK223)</f>
        <v>0</v>
      </c>
      <c r="BL224" s="426">
        <f>MAX(0,BL222+BL223)</f>
        <v>0</v>
      </c>
      <c r="BM224" s="426">
        <f>MAX(0,BM222+BM223)</f>
        <v>0</v>
      </c>
      <c r="BN224" s="426">
        <f>MAX(0,BN222+BN223)</f>
        <v>0</v>
      </c>
      <c r="BO224" s="426">
        <f>MAX(0,BO222+BO223)</f>
        <v>0</v>
      </c>
      <c r="BP224" s="426">
        <f>MAX(0,BP222+BP223)</f>
        <v>0</v>
      </c>
      <c r="BQ224" s="426">
        <f>MAX(0,BQ222+BQ223)</f>
        <v>0</v>
      </c>
      <c r="BR224" s="426">
        <f>MAX(0,BR222+BR223)</f>
        <v>0</v>
      </c>
      <c r="BS224" s="426">
        <f>MAX(0,BS222+BS223)</f>
        <v>0</v>
      </c>
      <c r="BT224" s="426">
        <f>MAX(0,BT222+BT223)</f>
        <v>0</v>
      </c>
      <c r="BU224" s="426">
        <f>MAX(0,BU222+BU223)</f>
        <v>0</v>
      </c>
      <c r="BV224" s="426">
        <f>MAX(0,BV222+BV223)</f>
        <v>0</v>
      </c>
      <c r="BW224" s="426">
        <f>MAX(0,BW222+BW223)</f>
        <v>0</v>
      </c>
      <c r="BX224" s="426">
        <f>MAX(0,BX222+BX223)</f>
        <v>0</v>
      </c>
      <c r="BY224" s="426">
        <f>MAX(0,BY222+BY223)</f>
        <v>0</v>
      </c>
      <c r="BZ224" s="426">
        <f>MAX(0,BZ222+BZ223)</f>
        <v>0</v>
      </c>
      <c r="CA224" s="426">
        <f>MAX(0,CA222+CA223)</f>
        <v>0</v>
      </c>
      <c r="CB224" s="426">
        <f>MAX(0,CB222+CB223)</f>
        <v>0</v>
      </c>
      <c r="CC224" s="426">
        <f>MAX(0,CC222+CC223)</f>
        <v>0</v>
      </c>
      <c r="CD224" s="426">
        <f>MAX(0,CD222+CD223)</f>
        <v>0</v>
      </c>
      <c r="CE224" s="426">
        <f>MAX(0,CE222+CE223)</f>
        <v>0</v>
      </c>
      <c r="CF224" s="426">
        <f>MAX(0,CF222+CF223)</f>
        <v>0</v>
      </c>
      <c r="CG224" s="426">
        <f>MAX(0,CG222+CG223)</f>
        <v>0</v>
      </c>
      <c r="CH224" s="426">
        <f>MAX(0,CH222+CH223)</f>
        <v>0</v>
      </c>
      <c r="CI224" s="426">
        <f>MAX(0,CI222+CI223)</f>
        <v>0</v>
      </c>
      <c r="CJ224" s="426">
        <f>MAX(0,CJ222+CJ223)</f>
        <v>0</v>
      </c>
      <c r="CK224" s="426">
        <f>MAX(0,CK222+CK223)</f>
        <v>0</v>
      </c>
      <c r="CL224" s="426">
        <f>MAX(0,CL222+CL223)</f>
        <v>0</v>
      </c>
      <c r="CM224" s="426">
        <f>MAX(0,CM222+CM223)</f>
        <v>0</v>
      </c>
      <c r="CN224" s="426">
        <f>MAX(0,CN222+CN223)</f>
        <v>0</v>
      </c>
      <c r="CO224" s="426">
        <f>MAX(0,CO222+CO223)</f>
        <v>0</v>
      </c>
      <c r="CP224" s="426">
        <f>MAX(0,CP222+CP223)</f>
        <v>0</v>
      </c>
      <c r="CQ224" s="426">
        <f>MAX(0,CQ222+CQ223)</f>
        <v>0</v>
      </c>
      <c r="CR224" s="426">
        <f>MAX(0,CR222+CR223)</f>
        <v>0</v>
      </c>
      <c r="CS224" s="426">
        <f>MAX(0,CS222+CS223)</f>
        <v>0</v>
      </c>
      <c r="CT224" s="426">
        <f>MAX(0,CT222+CT223)</f>
        <v>0</v>
      </c>
      <c r="CU224" s="426">
        <f>MAX(0,CU222+CU223)</f>
        <v>0</v>
      </c>
      <c r="CV224" s="426">
        <f>MAX(0,CV222+CV223)</f>
        <v>0</v>
      </c>
      <c r="CW224" s="426">
        <f>MAX(0,CW222+CW223)</f>
        <v>0</v>
      </c>
      <c r="CX224" s="426">
        <f>MAX(0,CX222+CX223)</f>
        <v>0</v>
      </c>
      <c r="CY224" s="426">
        <f>MAX(0,CY222+CY223)</f>
        <v>0</v>
      </c>
      <c r="CZ224" s="426">
        <f>MAX(0,CZ222+CZ223)</f>
        <v>0</v>
      </c>
      <c r="DA224" s="426">
        <f>MAX(0,DA222+DA223)</f>
        <v>0</v>
      </c>
      <c r="DB224" s="426">
        <f>MAX(0,DB222+DB223)</f>
        <v>0</v>
      </c>
      <c r="DC224" s="426">
        <f>MAX(0,DC222+DC223)</f>
        <v>0</v>
      </c>
      <c r="DD224" s="426">
        <f>MAX(0,DD222+DD223)</f>
        <v>0</v>
      </c>
      <c r="DE224" s="426">
        <f>MAX(0,DE222+DE223)</f>
        <v>0</v>
      </c>
    </row>
    <row r="225" ht="15" customFormat="1" customHeight="1" s="381">
      <c r="A225" s="427" t="n"/>
      <c r="B225" s="428" t="n"/>
      <c r="C225" s="428" t="n"/>
      <c r="D225" s="428" t="n"/>
      <c r="E225" s="428" t="n"/>
      <c r="F225" s="428" t="n"/>
      <c r="G225" s="428" t="n"/>
      <c r="H225" s="428" t="n"/>
      <c r="I225" s="428" t="n"/>
      <c r="J225" s="428" t="n"/>
      <c r="K225" s="428" t="n"/>
      <c r="L225" s="428" t="n"/>
      <c r="M225" s="428" t="n"/>
      <c r="N225" s="428" t="n"/>
      <c r="O225" s="428" t="n"/>
      <c r="P225" s="428" t="n"/>
      <c r="Q225" s="428" t="n"/>
      <c r="R225" s="428" t="n"/>
      <c r="S225" s="428" t="n"/>
      <c r="T225" s="428" t="n"/>
      <c r="U225" s="428" t="n"/>
      <c r="V225" s="428" t="n"/>
      <c r="W225" s="428" t="n"/>
      <c r="X225" s="428" t="n"/>
      <c r="Y225" s="428" t="n"/>
      <c r="Z225" s="428" t="n"/>
      <c r="AA225" s="428" t="n"/>
      <c r="AB225" s="428" t="n"/>
      <c r="AC225" s="428" t="n"/>
      <c r="AD225" s="428" t="n"/>
      <c r="AE225" s="428" t="n"/>
      <c r="AF225" s="428" t="n"/>
      <c r="AG225" s="428" t="n"/>
      <c r="AH225" s="428" t="n"/>
      <c r="AI225" s="428" t="n"/>
      <c r="AJ225" s="428" t="n"/>
      <c r="AK225" s="428" t="n"/>
      <c r="AL225" s="428" t="n"/>
      <c r="AM225" s="428" t="n"/>
      <c r="AN225" s="428" t="n"/>
      <c r="AO225" s="428" t="n"/>
      <c r="AP225" s="428" t="n"/>
      <c r="AQ225" s="428" t="n"/>
      <c r="AR225" s="428" t="n"/>
      <c r="AS225" s="428" t="n"/>
      <c r="AT225" s="428" t="n"/>
      <c r="AU225" s="428" t="n"/>
      <c r="AV225" s="428" t="n"/>
      <c r="AW225" s="428" t="n"/>
      <c r="AX225" s="428" t="n"/>
      <c r="AY225" s="428" t="n"/>
      <c r="AZ225" s="428" t="n"/>
      <c r="BA225" s="428" t="n"/>
      <c r="BB225" s="428" t="n"/>
      <c r="BC225" s="428" t="n"/>
      <c r="BD225" s="428" t="n"/>
      <c r="BE225" s="428" t="n"/>
      <c r="BF225" s="428" t="n"/>
      <c r="BG225" s="428" t="n"/>
      <c r="BH225" s="428" t="n"/>
      <c r="BI225" s="428" t="n"/>
      <c r="BJ225" s="428" t="n"/>
      <c r="BK225" s="428" t="n"/>
      <c r="BL225" s="428" t="n"/>
      <c r="BM225" s="428" t="n"/>
      <c r="BN225" s="428" t="n"/>
      <c r="BO225" s="428" t="n"/>
      <c r="BP225" s="428" t="n"/>
      <c r="BQ225" s="428" t="n"/>
      <c r="BR225" s="428" t="n"/>
      <c r="BS225" s="428" t="n"/>
      <c r="BT225" s="428" t="n"/>
      <c r="BU225" s="428" t="n"/>
      <c r="BV225" s="428" t="n"/>
      <c r="BW225" s="428" t="n"/>
      <c r="BX225" s="428" t="n"/>
      <c r="BY225" s="428" t="n"/>
      <c r="BZ225" s="428" t="n"/>
      <c r="CA225" s="428" t="n"/>
      <c r="CB225" s="428" t="n"/>
      <c r="CC225" s="428" t="n"/>
      <c r="CD225" s="428" t="n"/>
      <c r="CE225" s="428" t="n"/>
      <c r="CF225" s="428" t="n"/>
      <c r="CG225" s="428" t="n"/>
      <c r="CH225" s="428" t="n"/>
      <c r="CI225" s="428" t="n"/>
      <c r="CJ225" s="428" t="n"/>
      <c r="CK225" s="428" t="n"/>
      <c r="CL225" s="428" t="n"/>
      <c r="CM225" s="428" t="n"/>
      <c r="CN225" s="428" t="n"/>
      <c r="CO225" s="428" t="n"/>
      <c r="CP225" s="428" t="n"/>
      <c r="CQ225" s="428" t="n"/>
      <c r="CR225" s="428" t="n"/>
      <c r="CS225" s="428" t="n"/>
      <c r="CT225" s="428" t="n"/>
      <c r="CU225" s="428" t="n"/>
      <c r="CV225" s="428" t="n"/>
      <c r="CW225" s="428" t="n"/>
      <c r="CX225" s="428" t="n"/>
      <c r="CY225" s="428" t="n"/>
      <c r="CZ225" s="428" t="n"/>
      <c r="DA225" s="428" t="n"/>
      <c r="DB225" s="428" t="n"/>
      <c r="DC225" s="428" t="n"/>
      <c r="DD225" s="428" t="n"/>
      <c r="DE225" s="428" t="n"/>
    </row>
    <row r="226" ht="15" customFormat="1" customHeight="1" s="381">
      <c r="A226" s="429" t="inlineStr">
        <is>
          <t>PROJECT INVESTMENT CAPITAL - DEBT FACILITY</t>
        </is>
      </c>
      <c r="B226" s="430" t="n"/>
      <c r="C226" s="430" t="n"/>
      <c r="D226" s="430" t="n"/>
      <c r="E226" s="430" t="n"/>
      <c r="F226" s="430" t="n"/>
      <c r="G226" s="430" t="n"/>
      <c r="H226" s="430" t="n"/>
      <c r="I226" s="430" t="n"/>
      <c r="J226" s="430" t="n"/>
      <c r="K226" s="430" t="n"/>
      <c r="L226" s="430" t="n"/>
      <c r="M226" s="430" t="n"/>
      <c r="N226" s="430" t="n"/>
      <c r="O226" s="430" t="n"/>
      <c r="P226" s="430" t="n"/>
      <c r="Q226" s="430" t="n"/>
      <c r="R226" s="430" t="n"/>
      <c r="S226" s="430" t="n"/>
      <c r="T226" s="430" t="n"/>
      <c r="U226" s="430" t="n"/>
      <c r="V226" s="430" t="n"/>
      <c r="W226" s="430" t="n"/>
      <c r="X226" s="430" t="n"/>
      <c r="Y226" s="430" t="n"/>
      <c r="Z226" s="430" t="n"/>
      <c r="AA226" s="430" t="n"/>
      <c r="AB226" s="430" t="n"/>
      <c r="AC226" s="430" t="n"/>
      <c r="AD226" s="430" t="n"/>
      <c r="AE226" s="430" t="n"/>
      <c r="AF226" s="430" t="n"/>
      <c r="AG226" s="430" t="n"/>
      <c r="AH226" s="430" t="n"/>
      <c r="AI226" s="430" t="n"/>
      <c r="AJ226" s="430" t="n"/>
      <c r="AK226" s="430" t="n"/>
      <c r="AL226" s="430" t="n"/>
      <c r="AM226" s="430" t="n"/>
      <c r="AN226" s="430" t="n"/>
      <c r="AO226" s="430" t="n"/>
      <c r="AP226" s="430" t="n"/>
      <c r="AQ226" s="430" t="n"/>
      <c r="AR226" s="430" t="n"/>
      <c r="AS226" s="430" t="n"/>
      <c r="AT226" s="430" t="n"/>
      <c r="AU226" s="430" t="n"/>
      <c r="AV226" s="430" t="n"/>
      <c r="AW226" s="430" t="n"/>
      <c r="AX226" s="430" t="n"/>
      <c r="AY226" s="430" t="n"/>
      <c r="AZ226" s="430" t="n"/>
      <c r="BA226" s="430" t="n"/>
      <c r="BB226" s="430" t="n"/>
      <c r="BC226" s="430" t="n"/>
      <c r="BD226" s="430" t="n"/>
      <c r="BE226" s="430" t="n"/>
      <c r="BF226" s="430" t="n"/>
      <c r="BG226" s="430" t="n"/>
      <c r="BH226" s="430" t="n"/>
      <c r="BI226" s="430" t="n"/>
      <c r="BJ226" s="430" t="n"/>
      <c r="BK226" s="430" t="n"/>
      <c r="BL226" s="430" t="n"/>
      <c r="BM226" s="430" t="n"/>
      <c r="BN226" s="430" t="n"/>
      <c r="BO226" s="430" t="n"/>
      <c r="BP226" s="430" t="n"/>
      <c r="BQ226" s="430" t="n"/>
      <c r="BR226" s="430" t="n"/>
      <c r="BS226" s="430" t="n"/>
      <c r="BT226" s="430" t="n"/>
      <c r="BU226" s="430" t="n"/>
      <c r="BV226" s="430" t="n"/>
      <c r="BW226" s="430" t="n"/>
      <c r="BX226" s="430" t="n"/>
      <c r="BY226" s="430" t="n"/>
      <c r="BZ226" s="430" t="n"/>
      <c r="CA226" s="430" t="n"/>
      <c r="CB226" s="430" t="n"/>
      <c r="CC226" s="430" t="n"/>
      <c r="CD226" s="430" t="n"/>
      <c r="CE226" s="430" t="n"/>
      <c r="CF226" s="430" t="n"/>
      <c r="CG226" s="430" t="n"/>
      <c r="CH226" s="430" t="n"/>
      <c r="CI226" s="430" t="n"/>
      <c r="CJ226" s="430" t="n"/>
      <c r="CK226" s="430" t="n"/>
      <c r="CL226" s="430" t="n"/>
      <c r="CM226" s="430" t="n"/>
      <c r="CN226" s="430" t="n"/>
      <c r="CO226" s="430" t="n"/>
      <c r="CP226" s="430" t="n"/>
      <c r="CQ226" s="430" t="n"/>
      <c r="CR226" s="430" t="n"/>
      <c r="CS226" s="430" t="n"/>
      <c r="CT226" s="430" t="n"/>
      <c r="CU226" s="430" t="n"/>
      <c r="CV226" s="430" t="n"/>
      <c r="CW226" s="430" t="n"/>
      <c r="CX226" s="430" t="n"/>
      <c r="CY226" s="430" t="n"/>
      <c r="CZ226" s="430" t="n"/>
      <c r="DA226" s="430" t="n"/>
      <c r="DB226" s="430" t="n"/>
      <c r="DC226" s="430" t="n"/>
      <c r="DD226" s="430" t="n"/>
      <c r="DE226" s="430" t="n"/>
    </row>
    <row r="227" ht="15" customFormat="1" customHeight="1" s="381">
      <c r="A227" s="398" t="inlineStr">
        <is>
          <t>Klump - Beginning Balance</t>
        </is>
      </c>
      <c r="B227" s="402" t="n"/>
      <c r="C227" s="402" t="n"/>
      <c r="D227" s="402" t="n"/>
      <c r="E227" s="402">
        <f>IF(AND(Projects!$G$11="Yes",Projects!$C$11&lt;=1),Assumptions!$B$60,0)</f>
        <v>0</v>
      </c>
      <c r="F227" s="402">
        <f>IF(AND(Projects!$G$11="Yes",2=Projects!$C$11),Assumptions!$B$60,E231)</f>
        <v>0</v>
      </c>
      <c r="G227" s="402">
        <f>IF(AND(Projects!$G$11="Yes",3=Projects!$C$11),Assumptions!$B$60,F231)</f>
        <v>0</v>
      </c>
      <c r="H227" s="402">
        <f>IF(AND(Projects!$G$11="Yes",4=Projects!$C$11),Assumptions!$B$60,G231)</f>
        <v>0</v>
      </c>
      <c r="I227" s="402">
        <f>IF(AND(Projects!$G$11="Yes",5=Projects!$C$11),Assumptions!$B$60,H231)</f>
        <v>0</v>
      </c>
      <c r="J227" s="402">
        <f>IF(AND(Projects!$G$11="Yes",6=Projects!$C$11),Assumptions!$B$60,I231)</f>
        <v>0</v>
      </c>
      <c r="K227" s="402">
        <f>IF(AND(Projects!$G$11="Yes",7=Projects!$C$11),Assumptions!$B$60,J231)</f>
        <v>0</v>
      </c>
      <c r="L227" s="402">
        <f>IF(AND(Projects!$G$11="Yes",8=Projects!$C$11),Assumptions!$B$60,K231)</f>
        <v>0</v>
      </c>
      <c r="M227" s="402">
        <f>IF(AND(Projects!$G$11="Yes",9=Projects!$C$11),Assumptions!$B$60,L231)</f>
        <v>0</v>
      </c>
      <c r="N227" s="402">
        <f>IF(AND(Projects!$G$11="Yes",10=Projects!$C$11),Assumptions!$B$60,M231)</f>
        <v>0</v>
      </c>
      <c r="O227" s="402">
        <f>IF(AND(Projects!$G$11="Yes",11=Projects!$C$11),Assumptions!$B$60,N231)</f>
        <v>0</v>
      </c>
      <c r="P227" s="402">
        <f>IF(AND(Projects!$G$11="Yes",12=Projects!$C$11),Assumptions!$B$60,O231)</f>
        <v>0</v>
      </c>
      <c r="Q227" s="402">
        <f>IF(AND(Projects!$G$11="Yes",13=Projects!$C$11),Assumptions!$B$60,P231)</f>
        <v>0</v>
      </c>
      <c r="R227" s="402">
        <f>IF(AND(Projects!$G$11="Yes",14=Projects!$C$11),Assumptions!$B$60,Q231)</f>
        <v>0</v>
      </c>
      <c r="S227" s="402">
        <f>IF(AND(Projects!$G$11="Yes",15=Projects!$C$11),Assumptions!$B$60,R231)</f>
        <v>0</v>
      </c>
      <c r="T227" s="402">
        <f>IF(AND(Projects!$G$11="Yes",16=Projects!$C$11),Assumptions!$B$60,S231)</f>
        <v>0</v>
      </c>
      <c r="U227" s="402">
        <f>IF(AND(Projects!$G$11="Yes",17=Projects!$C$11),Assumptions!$B$60,T231)</f>
        <v>0</v>
      </c>
      <c r="V227" s="402">
        <f>IF(AND(Projects!$G$11="Yes",18=Projects!$C$11),Assumptions!$B$60,U231)</f>
        <v>0</v>
      </c>
      <c r="W227" s="402">
        <f>IF(AND(Projects!$G$11="Yes",19=Projects!$C$11),Assumptions!$B$60,V231)</f>
        <v>0</v>
      </c>
      <c r="X227" s="402">
        <f>IF(AND(Projects!$G$11="Yes",20=Projects!$C$11),Assumptions!$B$60,W231)</f>
        <v>0</v>
      </c>
      <c r="Y227" s="402">
        <f>IF(AND(Projects!$G$11="Yes",21=Projects!$C$11),Assumptions!$B$60,X231)</f>
        <v>0</v>
      </c>
      <c r="Z227" s="402">
        <f>IF(AND(Projects!$G$11="Yes",22=Projects!$C$11),Assumptions!$B$60,Y231)</f>
        <v>0</v>
      </c>
      <c r="AA227" s="402">
        <f>IF(AND(Projects!$G$11="Yes",23=Projects!$C$11),Assumptions!$B$60,Z231)</f>
        <v>0</v>
      </c>
      <c r="AB227" s="402">
        <f>IF(AND(Projects!$G$11="Yes",24=Projects!$C$11),Assumptions!$B$60,AA231)</f>
        <v>0</v>
      </c>
      <c r="AC227" s="402">
        <f>IF(AND(Projects!$G$11="Yes",25=Projects!$C$11),Assumptions!$B$60,AB231)</f>
        <v>0</v>
      </c>
      <c r="AD227" s="402">
        <f>IF(AND(Projects!$G$11="Yes",26=Projects!$C$11),Assumptions!$B$60,AC231)</f>
        <v>0</v>
      </c>
      <c r="AE227" s="402">
        <f>IF(AND(Projects!$G$11="Yes",27=Projects!$C$11),Assumptions!$B$60,AD231)</f>
        <v>0</v>
      </c>
      <c r="AF227" s="402">
        <f>IF(AND(Projects!$G$11="Yes",28=Projects!$C$11),Assumptions!$B$60,AE231)</f>
        <v>0</v>
      </c>
      <c r="AG227" s="402">
        <f>IF(AND(Projects!$G$11="Yes",29=Projects!$C$11),Assumptions!$B$60,AF231)</f>
        <v>0</v>
      </c>
      <c r="AH227" s="402">
        <f>IF(AND(Projects!$G$11="Yes",30=Projects!$C$11),Assumptions!$B$60,AG231)</f>
        <v>0</v>
      </c>
      <c r="AI227" s="402">
        <f>IF(AND(Projects!$G$11="Yes",31=Projects!$C$11),Assumptions!$B$60,AH231)</f>
        <v>0</v>
      </c>
      <c r="AJ227" s="402">
        <f>IF(AND(Projects!$G$11="Yes",32=Projects!$C$11),Assumptions!$B$60,AI231)</f>
        <v>0</v>
      </c>
      <c r="AK227" s="402">
        <f>IF(AND(Projects!$G$11="Yes",33=Projects!$C$11),Assumptions!$B$60,AJ231)</f>
        <v>0</v>
      </c>
      <c r="AL227" s="402">
        <f>IF(AND(Projects!$G$11="Yes",34=Projects!$C$11),Assumptions!$B$60,AK231)</f>
        <v>0</v>
      </c>
      <c r="AM227" s="402">
        <f>IF(AND(Projects!$G$11="Yes",35=Projects!$C$11),Assumptions!$B$60,AL231)</f>
        <v>0</v>
      </c>
      <c r="AN227" s="402">
        <f>IF(AND(Projects!$G$11="Yes",36=Projects!$C$11),Assumptions!$B$60,AM231)</f>
        <v>0</v>
      </c>
      <c r="AO227" s="402">
        <f>IF(AND(Projects!$G$11="Yes",37=Projects!$C$11),Assumptions!$B$60,AN231)</f>
        <v>0</v>
      </c>
      <c r="AP227" s="402">
        <f>IF(AND(Projects!$G$11="Yes",38=Projects!$C$11),Assumptions!$B$60,AO231)</f>
        <v>0</v>
      </c>
      <c r="AQ227" s="402">
        <f>IF(AND(Projects!$G$11="Yes",39=Projects!$C$11),Assumptions!$B$60,AP231)</f>
        <v>0</v>
      </c>
      <c r="AR227" s="402">
        <f>IF(AND(Projects!$G$11="Yes",40=Projects!$C$11),Assumptions!$B$60,AQ231)</f>
        <v>0</v>
      </c>
      <c r="AS227" s="402">
        <f>IF(AND(Projects!$G$11="Yes",41=Projects!$C$11),Assumptions!$B$60,AR231)</f>
        <v>0</v>
      </c>
      <c r="AT227" s="402">
        <f>IF(AND(Projects!$G$11="Yes",42=Projects!$C$11),Assumptions!$B$60,AS231)</f>
        <v>0</v>
      </c>
      <c r="AU227" s="402">
        <f>IF(AND(Projects!$G$11="Yes",43=Projects!$C$11),Assumptions!$B$60,AT231)</f>
        <v>0</v>
      </c>
      <c r="AV227" s="402">
        <f>IF(AND(Projects!$G$11="Yes",44=Projects!$C$11),Assumptions!$B$60,AU231)</f>
        <v>0</v>
      </c>
      <c r="AW227" s="402">
        <f>IF(AND(Projects!$G$11="Yes",45=Projects!$C$11),Assumptions!$B$60,AV231)</f>
        <v>0</v>
      </c>
      <c r="AX227" s="402">
        <f>IF(AND(Projects!$G$11="Yes",46=Projects!$C$11),Assumptions!$B$60,AW231)</f>
        <v>0</v>
      </c>
      <c r="AY227" s="402">
        <f>IF(AND(Projects!$G$11="Yes",47=Projects!$C$11),Assumptions!$B$60,AX231)</f>
        <v>0</v>
      </c>
      <c r="AZ227" s="402">
        <f>IF(AND(Projects!$G$11="Yes",48=Projects!$C$11),Assumptions!$B$60,AY231)</f>
        <v>0</v>
      </c>
      <c r="BA227" s="402">
        <f>IF(AND(Projects!$G$11="Yes",49=Projects!$C$11),Assumptions!$B$60,AZ231)</f>
        <v>0</v>
      </c>
      <c r="BB227" s="402">
        <f>IF(AND(Projects!$G$11="Yes",50=Projects!$C$11),Assumptions!$B$60,BA231)</f>
        <v>0</v>
      </c>
      <c r="BC227" s="402">
        <f>IF(AND(Projects!$G$11="Yes",51=Projects!$C$11),Assumptions!$B$60,BB231)</f>
        <v>0</v>
      </c>
      <c r="BD227" s="402">
        <f>IF(AND(Projects!$G$11="Yes",52=Projects!$C$11),Assumptions!$B$60,BC231)</f>
        <v>0</v>
      </c>
      <c r="BE227" s="402">
        <f>IF(AND(Projects!$G$11="Yes",53=Projects!$C$11),Assumptions!$B$60,BD231)</f>
        <v>0</v>
      </c>
      <c r="BF227" s="402">
        <f>IF(AND(Projects!$G$11="Yes",54=Projects!$C$11),Assumptions!$B$60,BE231)</f>
        <v>0</v>
      </c>
      <c r="BG227" s="402">
        <f>IF(AND(Projects!$G$11="Yes",55=Projects!$C$11),Assumptions!$B$60,BF231)</f>
        <v>0</v>
      </c>
      <c r="BH227" s="402">
        <f>IF(AND(Projects!$G$11="Yes",56=Projects!$C$11),Assumptions!$B$60,BG231)</f>
        <v>0</v>
      </c>
      <c r="BI227" s="402">
        <f>IF(AND(Projects!$G$11="Yes",57=Projects!$C$11),Assumptions!$B$60,BH231)</f>
        <v>0</v>
      </c>
      <c r="BJ227" s="402">
        <f>IF(AND(Projects!$G$11="Yes",58=Projects!$C$11),Assumptions!$B$60,BI231)</f>
        <v>0</v>
      </c>
      <c r="BK227" s="402">
        <f>IF(AND(Projects!$G$11="Yes",59=Projects!$C$11),Assumptions!$B$60,BJ231)</f>
        <v>0</v>
      </c>
      <c r="BL227" s="402">
        <f>IF(AND(Projects!$G$11="Yes",60=Projects!$C$11),Assumptions!$B$60,BK231)</f>
        <v>0</v>
      </c>
      <c r="BM227" s="402">
        <f>IF(AND(Projects!$G$11="Yes",61=Projects!$C$11),Assumptions!$B$60,BL231)</f>
        <v>0</v>
      </c>
      <c r="BN227" s="402">
        <f>IF(AND(Projects!$G$11="Yes",62=Projects!$C$11),Assumptions!$B$60,BM231)</f>
        <v>0</v>
      </c>
      <c r="BO227" s="402">
        <f>IF(AND(Projects!$G$11="Yes",63=Projects!$C$11),Assumptions!$B$60,BN231)</f>
        <v>0</v>
      </c>
      <c r="BP227" s="402">
        <f>IF(AND(Projects!$G$11="Yes",64=Projects!$C$11),Assumptions!$B$60,BO231)</f>
        <v>0</v>
      </c>
      <c r="BQ227" s="402">
        <f>IF(AND(Projects!$G$11="Yes",65=Projects!$C$11),Assumptions!$B$60,BP231)</f>
        <v>0</v>
      </c>
      <c r="BR227" s="402">
        <f>IF(AND(Projects!$G$11="Yes",66=Projects!$C$11),Assumptions!$B$60,BQ231)</f>
        <v>0</v>
      </c>
      <c r="BS227" s="402">
        <f>IF(AND(Projects!$G$11="Yes",67=Projects!$C$11),Assumptions!$B$60,BR231)</f>
        <v>0</v>
      </c>
      <c r="BT227" s="402">
        <f>IF(AND(Projects!$G$11="Yes",68=Projects!$C$11),Assumptions!$B$60,BS231)</f>
        <v>0</v>
      </c>
      <c r="BU227" s="402">
        <f>IF(AND(Projects!$G$11="Yes",69=Projects!$C$11),Assumptions!$B$60,BT231)</f>
        <v>0</v>
      </c>
      <c r="BV227" s="402">
        <f>IF(AND(Projects!$G$11="Yes",70=Projects!$C$11),Assumptions!$B$60,BU231)</f>
        <v>0</v>
      </c>
      <c r="BW227" s="402">
        <f>IF(AND(Projects!$G$11="Yes",71=Projects!$C$11),Assumptions!$B$60,BV231)</f>
        <v>0</v>
      </c>
      <c r="BX227" s="402">
        <f>IF(AND(Projects!$G$11="Yes",72=Projects!$C$11),Assumptions!$B$60,BW231)</f>
        <v>0</v>
      </c>
      <c r="BY227" s="402">
        <f>IF(AND(Projects!$G$11="Yes",73=Projects!$C$11),Assumptions!$B$60,BX231)</f>
        <v>0</v>
      </c>
      <c r="BZ227" s="402">
        <f>IF(AND(Projects!$G$11="Yes",74=Projects!$C$11),Assumptions!$B$60,BY231)</f>
        <v>0</v>
      </c>
      <c r="CA227" s="402">
        <f>IF(AND(Projects!$G$11="Yes",75=Projects!$C$11),Assumptions!$B$60,BZ231)</f>
        <v>0</v>
      </c>
      <c r="CB227" s="402">
        <f>IF(AND(Projects!$G$11="Yes",76=Projects!$C$11),Assumptions!$B$60,CA231)</f>
        <v>0</v>
      </c>
      <c r="CC227" s="402">
        <f>IF(AND(Projects!$G$11="Yes",77=Projects!$C$11),Assumptions!$B$60,CB231)</f>
        <v>0</v>
      </c>
      <c r="CD227" s="402">
        <f>IF(AND(Projects!$G$11="Yes",78=Projects!$C$11),Assumptions!$B$60,CC231)</f>
        <v>0</v>
      </c>
      <c r="CE227" s="402">
        <f>IF(AND(Projects!$G$11="Yes",79=Projects!$C$11),Assumptions!$B$60,CD231)</f>
        <v>0</v>
      </c>
      <c r="CF227" s="402">
        <f>IF(AND(Projects!$G$11="Yes",80=Projects!$C$11),Assumptions!$B$60,CE231)</f>
        <v>0</v>
      </c>
      <c r="CG227" s="402">
        <f>IF(AND(Projects!$G$11="Yes",81=Projects!$C$11),Assumptions!$B$60,CF231)</f>
        <v>0</v>
      </c>
      <c r="CH227" s="402">
        <f>IF(AND(Projects!$G$11="Yes",82=Projects!$C$11),Assumptions!$B$60,CG231)</f>
        <v>0</v>
      </c>
      <c r="CI227" s="402">
        <f>IF(AND(Projects!$G$11="Yes",83=Projects!$C$11),Assumptions!$B$60,CH231)</f>
        <v>0</v>
      </c>
      <c r="CJ227" s="402">
        <f>IF(AND(Projects!$G$11="Yes",84=Projects!$C$11),Assumptions!$B$60,CI231)</f>
        <v>0</v>
      </c>
      <c r="CK227" s="402">
        <f>IF(AND(Projects!$G$11="Yes",85=Projects!$C$11),Assumptions!$B$60,CJ231)</f>
        <v>0</v>
      </c>
      <c r="CL227" s="402">
        <f>IF(AND(Projects!$G$11="Yes",86=Projects!$C$11),Assumptions!$B$60,CK231)</f>
        <v>0</v>
      </c>
      <c r="CM227" s="402">
        <f>IF(AND(Projects!$G$11="Yes",87=Projects!$C$11),Assumptions!$B$60,CL231)</f>
        <v>0</v>
      </c>
      <c r="CN227" s="402">
        <f>IF(AND(Projects!$G$11="Yes",88=Projects!$C$11),Assumptions!$B$60,CM231)</f>
        <v>0</v>
      </c>
      <c r="CO227" s="402">
        <f>IF(AND(Projects!$G$11="Yes",89=Projects!$C$11),Assumptions!$B$60,CN231)</f>
        <v>0</v>
      </c>
      <c r="CP227" s="402">
        <f>IF(AND(Projects!$G$11="Yes",90=Projects!$C$11),Assumptions!$B$60,CO231)</f>
        <v>0</v>
      </c>
      <c r="CQ227" s="402">
        <f>IF(AND(Projects!$G$11="Yes",91=Projects!$C$11),Assumptions!$B$60,CP231)</f>
        <v>0</v>
      </c>
      <c r="CR227" s="402">
        <f>IF(AND(Projects!$G$11="Yes",92=Projects!$C$11),Assumptions!$B$60,CQ231)</f>
        <v>0</v>
      </c>
      <c r="CS227" s="402">
        <f>IF(AND(Projects!$G$11="Yes",93=Projects!$C$11),Assumptions!$B$60,CR231)</f>
        <v>0</v>
      </c>
      <c r="CT227" s="402">
        <f>IF(AND(Projects!$G$11="Yes",94=Projects!$C$11),Assumptions!$B$60,CS231)</f>
        <v>0</v>
      </c>
      <c r="CU227" s="402">
        <f>IF(AND(Projects!$G$11="Yes",95=Projects!$C$11),Assumptions!$B$60,CT231)</f>
        <v>0</v>
      </c>
      <c r="CV227" s="402">
        <f>IF(AND(Projects!$G$11="Yes",96=Projects!$C$11),Assumptions!$B$60,CU231)</f>
        <v>0</v>
      </c>
      <c r="CW227" s="402">
        <f>IF(AND(Projects!$G$11="Yes",97=Projects!$C$11),Assumptions!$B$60,CV231)</f>
        <v>0</v>
      </c>
      <c r="CX227" s="402">
        <f>IF(AND(Projects!$G$11="Yes",98=Projects!$C$11),Assumptions!$B$60,CW231)</f>
        <v>0</v>
      </c>
      <c r="CY227" s="402">
        <f>IF(AND(Projects!$G$11="Yes",99=Projects!$C$11),Assumptions!$B$60,CX231)</f>
        <v>0</v>
      </c>
      <c r="CZ227" s="402">
        <f>IF(AND(Projects!$G$11="Yes",100=Projects!$C$11),Assumptions!$B$60,CY231)</f>
        <v>0</v>
      </c>
      <c r="DA227" s="402">
        <f>IF(AND(Projects!$G$11="Yes",101=Projects!$C$11),Assumptions!$B$60,CZ231)</f>
        <v>0</v>
      </c>
      <c r="DB227" s="402">
        <f>IF(AND(Projects!$G$11="Yes",102=Projects!$C$11),Assumptions!$B$60,DA231)</f>
        <v>0</v>
      </c>
      <c r="DC227" s="402">
        <f>IF(AND(Projects!$G$11="Yes",103=Projects!$C$11),Assumptions!$B$60,DB231)</f>
        <v>0</v>
      </c>
      <c r="DD227" s="402">
        <f>IF(AND(Projects!$G$11="Yes",104=Projects!$C$11),Assumptions!$B$60,DC231)</f>
        <v>0</v>
      </c>
      <c r="DE227" s="402">
        <f>IF(AND(Projects!$G$11="Yes",105=Projects!$C$11),Assumptions!$B$60,DD231)</f>
        <v>0</v>
      </c>
    </row>
    <row r="228" ht="15" customFormat="1" customHeight="1" s="381">
      <c r="A228" s="398" t="inlineStr">
        <is>
          <t>Klump - Quarterly Interest</t>
        </is>
      </c>
      <c r="B228" s="402" t="n"/>
      <c r="C228" s="402" t="n"/>
      <c r="D228" s="402" t="n"/>
      <c r="E228" s="402">
        <f>IF(AND(MOD(1,3)=0,E227&gt;0),E227*Assumptions!$B$59,0)</f>
        <v>0</v>
      </c>
      <c r="F228" s="402">
        <f>IF(AND(MOD(2,3)=0,F227&gt;0),F227*Assumptions!$B$59,0)</f>
        <v>0</v>
      </c>
      <c r="G228" s="402">
        <f>IF(AND(MOD(3,3)=0,G227&gt;0),G227*Assumptions!$B$59,0)</f>
        <v>0</v>
      </c>
      <c r="H228" s="402">
        <f>IF(AND(MOD(4,3)=0,H227&gt;0),H227*Assumptions!$B$59,0)</f>
        <v>0</v>
      </c>
      <c r="I228" s="402">
        <f>IF(AND(MOD(5,3)=0,I227&gt;0),I227*Assumptions!$B$59,0)</f>
        <v>0</v>
      </c>
      <c r="J228" s="402">
        <f>IF(AND(MOD(6,3)=0,J227&gt;0),J227*Assumptions!$B$59,0)</f>
        <v>0</v>
      </c>
      <c r="K228" s="402">
        <f>IF(AND(MOD(7,3)=0,K227&gt;0),K227*Assumptions!$B$59,0)</f>
        <v>0</v>
      </c>
      <c r="L228" s="402">
        <f>IF(AND(MOD(8,3)=0,L227&gt;0),L227*Assumptions!$B$59,0)</f>
        <v>0</v>
      </c>
      <c r="M228" s="402">
        <f>IF(AND(MOD(9,3)=0,M227&gt;0),M227*Assumptions!$B$59,0)</f>
        <v>0</v>
      </c>
      <c r="N228" s="402">
        <f>IF(AND(MOD(10,3)=0,N227&gt;0),N227*Assumptions!$B$59,0)</f>
        <v>0</v>
      </c>
      <c r="O228" s="402">
        <f>IF(AND(MOD(11,3)=0,O227&gt;0),O227*Assumptions!$B$59,0)</f>
        <v>0</v>
      </c>
      <c r="P228" s="402">
        <f>IF(AND(MOD(12,3)=0,P227&gt;0),P227*Assumptions!$B$59,0)</f>
        <v>0</v>
      </c>
      <c r="Q228" s="402">
        <f>IF(AND(MOD(13,3)=0,Q227&gt;0),Q227*Assumptions!$B$59,0)</f>
        <v>0</v>
      </c>
      <c r="R228" s="402">
        <f>IF(AND(MOD(14,3)=0,R227&gt;0),R227*Assumptions!$B$59,0)</f>
        <v>0</v>
      </c>
      <c r="S228" s="402">
        <f>IF(AND(MOD(15,3)=0,S227&gt;0),S227*Assumptions!$B$59,0)</f>
        <v>0</v>
      </c>
      <c r="T228" s="402">
        <f>IF(AND(MOD(16,3)=0,T227&gt;0),T227*Assumptions!$B$59,0)</f>
        <v>0</v>
      </c>
      <c r="U228" s="402">
        <f>IF(AND(MOD(17,3)=0,U227&gt;0),U227*Assumptions!$B$59,0)</f>
        <v>0</v>
      </c>
      <c r="V228" s="402">
        <f>IF(AND(MOD(18,3)=0,V227&gt;0),V227*Assumptions!$B$59,0)</f>
        <v>0</v>
      </c>
      <c r="W228" s="402">
        <f>IF(AND(MOD(19,3)=0,W227&gt;0),W227*Assumptions!$B$59,0)</f>
        <v>0</v>
      </c>
      <c r="X228" s="402">
        <f>IF(AND(MOD(20,3)=0,X227&gt;0),X227*Assumptions!$B$59,0)</f>
        <v>0</v>
      </c>
      <c r="Y228" s="402">
        <f>IF(AND(MOD(21,3)=0,Y227&gt;0),Y227*Assumptions!$B$59,0)</f>
        <v>0</v>
      </c>
      <c r="Z228" s="402">
        <f>IF(AND(MOD(22,3)=0,Z227&gt;0),Z227*Assumptions!$B$59,0)</f>
        <v>0</v>
      </c>
      <c r="AA228" s="402">
        <f>IF(AND(MOD(23,3)=0,AA227&gt;0),AA227*Assumptions!$B$59,0)</f>
        <v>0</v>
      </c>
      <c r="AB228" s="402">
        <f>IF(AND(MOD(24,3)=0,AB227&gt;0),AB227*Assumptions!$B$59,0)</f>
        <v>0</v>
      </c>
      <c r="AC228" s="402">
        <f>IF(AND(MOD(25,3)=0,AC227&gt;0),AC227*Assumptions!$B$59,0)</f>
        <v>0</v>
      </c>
      <c r="AD228" s="402">
        <f>IF(AND(MOD(26,3)=0,AD227&gt;0),AD227*Assumptions!$B$59,0)</f>
        <v>0</v>
      </c>
      <c r="AE228" s="402">
        <f>IF(AND(MOD(27,3)=0,AE227&gt;0),AE227*Assumptions!$B$59,0)</f>
        <v>0</v>
      </c>
      <c r="AF228" s="402">
        <f>IF(AND(MOD(28,3)=0,AF227&gt;0),AF227*Assumptions!$B$59,0)</f>
        <v>0</v>
      </c>
      <c r="AG228" s="402">
        <f>IF(AND(MOD(29,3)=0,AG227&gt;0),AG227*Assumptions!$B$59,0)</f>
        <v>0</v>
      </c>
      <c r="AH228" s="402">
        <f>IF(AND(MOD(30,3)=0,AH227&gt;0),AH227*Assumptions!$B$59,0)</f>
        <v>0</v>
      </c>
      <c r="AI228" s="402">
        <f>IF(AND(MOD(31,3)=0,AI227&gt;0),AI227*Assumptions!$B$59,0)</f>
        <v>0</v>
      </c>
      <c r="AJ228" s="402">
        <f>IF(AND(MOD(32,3)=0,AJ227&gt;0),AJ227*Assumptions!$B$59,0)</f>
        <v>0</v>
      </c>
      <c r="AK228" s="402">
        <f>IF(AND(MOD(33,3)=0,AK227&gt;0),AK227*Assumptions!$B$59,0)</f>
        <v>0</v>
      </c>
      <c r="AL228" s="402">
        <f>IF(AND(MOD(34,3)=0,AL227&gt;0),AL227*Assumptions!$B$59,0)</f>
        <v>0</v>
      </c>
      <c r="AM228" s="402">
        <f>IF(AND(MOD(35,3)=0,AM227&gt;0),AM227*Assumptions!$B$59,0)</f>
        <v>0</v>
      </c>
      <c r="AN228" s="402">
        <f>IF(AND(MOD(36,3)=0,AN227&gt;0),AN227*Assumptions!$B$59,0)</f>
        <v>0</v>
      </c>
      <c r="AO228" s="402">
        <f>IF(AND(MOD(37,3)=0,AO227&gt;0),AO227*Assumptions!$B$59,0)</f>
        <v>0</v>
      </c>
      <c r="AP228" s="402">
        <f>IF(AND(MOD(38,3)=0,AP227&gt;0),AP227*Assumptions!$B$59,0)</f>
        <v>0</v>
      </c>
      <c r="AQ228" s="402">
        <f>IF(AND(MOD(39,3)=0,AQ227&gt;0),AQ227*Assumptions!$B$59,0)</f>
        <v>0</v>
      </c>
      <c r="AR228" s="402">
        <f>IF(AND(MOD(40,3)=0,AR227&gt;0),AR227*Assumptions!$B$59,0)</f>
        <v>0</v>
      </c>
      <c r="AS228" s="402">
        <f>IF(AND(MOD(41,3)=0,AS227&gt;0),AS227*Assumptions!$B$59,0)</f>
        <v>0</v>
      </c>
      <c r="AT228" s="402">
        <f>IF(AND(MOD(42,3)=0,AT227&gt;0),AT227*Assumptions!$B$59,0)</f>
        <v>0</v>
      </c>
      <c r="AU228" s="402">
        <f>IF(AND(MOD(43,3)=0,AU227&gt;0),AU227*Assumptions!$B$59,0)</f>
        <v>0</v>
      </c>
      <c r="AV228" s="402">
        <f>IF(AND(MOD(44,3)=0,AV227&gt;0),AV227*Assumptions!$B$59,0)</f>
        <v>0</v>
      </c>
      <c r="AW228" s="402">
        <f>IF(AND(MOD(45,3)=0,AW227&gt;0),AW227*Assumptions!$B$59,0)</f>
        <v>0</v>
      </c>
      <c r="AX228" s="402">
        <f>IF(AND(MOD(46,3)=0,AX227&gt;0),AX227*Assumptions!$B$59,0)</f>
        <v>0</v>
      </c>
      <c r="AY228" s="402">
        <f>IF(AND(MOD(47,3)=0,AY227&gt;0),AY227*Assumptions!$B$59,0)</f>
        <v>0</v>
      </c>
      <c r="AZ228" s="402">
        <f>IF(AND(MOD(48,3)=0,AZ227&gt;0),AZ227*Assumptions!$B$59,0)</f>
        <v>0</v>
      </c>
      <c r="BA228" s="402">
        <f>IF(AND(MOD(49,3)=0,BA227&gt;0),BA227*Assumptions!$B$59,0)</f>
        <v>0</v>
      </c>
      <c r="BB228" s="402">
        <f>IF(AND(MOD(50,3)=0,BB227&gt;0),BB227*Assumptions!$B$59,0)</f>
        <v>0</v>
      </c>
      <c r="BC228" s="402">
        <f>IF(AND(MOD(51,3)=0,BC227&gt;0),BC227*Assumptions!$B$59,0)</f>
        <v>0</v>
      </c>
      <c r="BD228" s="402">
        <f>IF(AND(MOD(52,3)=0,BD227&gt;0),BD227*Assumptions!$B$59,0)</f>
        <v>0</v>
      </c>
      <c r="BE228" s="402">
        <f>IF(AND(MOD(53,3)=0,BE227&gt;0),BE227*Assumptions!$B$59,0)</f>
        <v>0</v>
      </c>
      <c r="BF228" s="402">
        <f>IF(AND(MOD(54,3)=0,BF227&gt;0),BF227*Assumptions!$B$59,0)</f>
        <v>0</v>
      </c>
      <c r="BG228" s="402">
        <f>IF(AND(MOD(55,3)=0,BG227&gt;0),BG227*Assumptions!$B$59,0)</f>
        <v>0</v>
      </c>
      <c r="BH228" s="402">
        <f>IF(AND(MOD(56,3)=0,BH227&gt;0),BH227*Assumptions!$B$59,0)</f>
        <v>0</v>
      </c>
      <c r="BI228" s="402">
        <f>IF(AND(MOD(57,3)=0,BI227&gt;0),BI227*Assumptions!$B$59,0)</f>
        <v>0</v>
      </c>
      <c r="BJ228" s="402">
        <f>IF(AND(MOD(58,3)=0,BJ227&gt;0),BJ227*Assumptions!$B$59,0)</f>
        <v>0</v>
      </c>
      <c r="BK228" s="402">
        <f>IF(AND(MOD(59,3)=0,BK227&gt;0),BK227*Assumptions!$B$59,0)</f>
        <v>0</v>
      </c>
      <c r="BL228" s="402">
        <f>IF(AND(MOD(60,3)=0,BL227&gt;0),BL227*Assumptions!$B$59,0)</f>
        <v>0</v>
      </c>
      <c r="BM228" s="402">
        <f>IF(AND(MOD(61,3)=0,BM227&gt;0),BM227*Assumptions!$B$59,0)</f>
        <v>0</v>
      </c>
      <c r="BN228" s="402">
        <f>IF(AND(MOD(62,3)=0,BN227&gt;0),BN227*Assumptions!$B$59,0)</f>
        <v>0</v>
      </c>
      <c r="BO228" s="402">
        <f>IF(AND(MOD(63,3)=0,BO227&gt;0),BO227*Assumptions!$B$59,0)</f>
        <v>0</v>
      </c>
      <c r="BP228" s="402">
        <f>IF(AND(MOD(64,3)=0,BP227&gt;0),BP227*Assumptions!$B$59,0)</f>
        <v>0</v>
      </c>
      <c r="BQ228" s="402">
        <f>IF(AND(MOD(65,3)=0,BQ227&gt;0),BQ227*Assumptions!$B$59,0)</f>
        <v>0</v>
      </c>
      <c r="BR228" s="402">
        <f>IF(AND(MOD(66,3)=0,BR227&gt;0),BR227*Assumptions!$B$59,0)</f>
        <v>0</v>
      </c>
      <c r="BS228" s="402">
        <f>IF(AND(MOD(67,3)=0,BS227&gt;0),BS227*Assumptions!$B$59,0)</f>
        <v>0</v>
      </c>
      <c r="BT228" s="402">
        <f>IF(AND(MOD(68,3)=0,BT227&gt;0),BT227*Assumptions!$B$59,0)</f>
        <v>0</v>
      </c>
      <c r="BU228" s="402">
        <f>IF(AND(MOD(69,3)=0,BU227&gt;0),BU227*Assumptions!$B$59,0)</f>
        <v>0</v>
      </c>
      <c r="BV228" s="402">
        <f>IF(AND(MOD(70,3)=0,BV227&gt;0),BV227*Assumptions!$B$59,0)</f>
        <v>0</v>
      </c>
      <c r="BW228" s="402">
        <f>IF(AND(MOD(71,3)=0,BW227&gt;0),BW227*Assumptions!$B$59,0)</f>
        <v>0</v>
      </c>
      <c r="BX228" s="402">
        <f>IF(AND(MOD(72,3)=0,BX227&gt;0),BX227*Assumptions!$B$59,0)</f>
        <v>0</v>
      </c>
      <c r="BY228" s="402">
        <f>IF(AND(MOD(73,3)=0,BY227&gt;0),BY227*Assumptions!$B$59,0)</f>
        <v>0</v>
      </c>
      <c r="BZ228" s="402">
        <f>IF(AND(MOD(74,3)=0,BZ227&gt;0),BZ227*Assumptions!$B$59,0)</f>
        <v>0</v>
      </c>
      <c r="CA228" s="402">
        <f>IF(AND(MOD(75,3)=0,CA227&gt;0),CA227*Assumptions!$B$59,0)</f>
        <v>0</v>
      </c>
      <c r="CB228" s="402">
        <f>IF(AND(MOD(76,3)=0,CB227&gt;0),CB227*Assumptions!$B$59,0)</f>
        <v>0</v>
      </c>
      <c r="CC228" s="402">
        <f>IF(AND(MOD(77,3)=0,CC227&gt;0),CC227*Assumptions!$B$59,0)</f>
        <v>0</v>
      </c>
      <c r="CD228" s="402">
        <f>IF(AND(MOD(78,3)=0,CD227&gt;0),CD227*Assumptions!$B$59,0)</f>
        <v>0</v>
      </c>
      <c r="CE228" s="402">
        <f>IF(AND(MOD(79,3)=0,CE227&gt;0),CE227*Assumptions!$B$59,0)</f>
        <v>0</v>
      </c>
      <c r="CF228" s="402">
        <f>IF(AND(MOD(80,3)=0,CF227&gt;0),CF227*Assumptions!$B$59,0)</f>
        <v>0</v>
      </c>
      <c r="CG228" s="402">
        <f>IF(AND(MOD(81,3)=0,CG227&gt;0),CG227*Assumptions!$B$59,0)</f>
        <v>0</v>
      </c>
      <c r="CH228" s="402">
        <f>IF(AND(MOD(82,3)=0,CH227&gt;0),CH227*Assumptions!$B$59,0)</f>
        <v>0</v>
      </c>
      <c r="CI228" s="402">
        <f>IF(AND(MOD(83,3)=0,CI227&gt;0),CI227*Assumptions!$B$59,0)</f>
        <v>0</v>
      </c>
      <c r="CJ228" s="402">
        <f>IF(AND(MOD(84,3)=0,CJ227&gt;0),CJ227*Assumptions!$B$59,0)</f>
        <v>0</v>
      </c>
      <c r="CK228" s="402">
        <f>IF(AND(MOD(85,3)=0,CK227&gt;0),CK227*Assumptions!$B$59,0)</f>
        <v>0</v>
      </c>
      <c r="CL228" s="402">
        <f>IF(AND(MOD(86,3)=0,CL227&gt;0),CL227*Assumptions!$B$59,0)</f>
        <v>0</v>
      </c>
      <c r="CM228" s="402">
        <f>IF(AND(MOD(87,3)=0,CM227&gt;0),CM227*Assumptions!$B$59,0)</f>
        <v>0</v>
      </c>
      <c r="CN228" s="402">
        <f>IF(AND(MOD(88,3)=0,CN227&gt;0),CN227*Assumptions!$B$59,0)</f>
        <v>0</v>
      </c>
      <c r="CO228" s="402">
        <f>IF(AND(MOD(89,3)=0,CO227&gt;0),CO227*Assumptions!$B$59,0)</f>
        <v>0</v>
      </c>
      <c r="CP228" s="402">
        <f>IF(AND(MOD(90,3)=0,CP227&gt;0),CP227*Assumptions!$B$59,0)</f>
        <v>0</v>
      </c>
      <c r="CQ228" s="402">
        <f>IF(AND(MOD(91,3)=0,CQ227&gt;0),CQ227*Assumptions!$B$59,0)</f>
        <v>0</v>
      </c>
      <c r="CR228" s="402">
        <f>IF(AND(MOD(92,3)=0,CR227&gt;0),CR227*Assumptions!$B$59,0)</f>
        <v>0</v>
      </c>
      <c r="CS228" s="402">
        <f>IF(AND(MOD(93,3)=0,CS227&gt;0),CS227*Assumptions!$B$59,0)</f>
        <v>0</v>
      </c>
      <c r="CT228" s="402">
        <f>IF(AND(MOD(94,3)=0,CT227&gt;0),CT227*Assumptions!$B$59,0)</f>
        <v>0</v>
      </c>
      <c r="CU228" s="402">
        <f>IF(AND(MOD(95,3)=0,CU227&gt;0),CU227*Assumptions!$B$59,0)</f>
        <v>0</v>
      </c>
      <c r="CV228" s="402">
        <f>IF(AND(MOD(96,3)=0,CV227&gt;0),CV227*Assumptions!$B$59,0)</f>
        <v>0</v>
      </c>
      <c r="CW228" s="402">
        <f>IF(AND(MOD(97,3)=0,CW227&gt;0),CW227*Assumptions!$B$59,0)</f>
        <v>0</v>
      </c>
      <c r="CX228" s="402">
        <f>IF(AND(MOD(98,3)=0,CX227&gt;0),CX227*Assumptions!$B$59,0)</f>
        <v>0</v>
      </c>
      <c r="CY228" s="402">
        <f>IF(AND(MOD(99,3)=0,CY227&gt;0),CY227*Assumptions!$B$59,0)</f>
        <v>0</v>
      </c>
      <c r="CZ228" s="402">
        <f>IF(AND(MOD(100,3)=0,CZ227&gt;0),CZ227*Assumptions!$B$59,0)</f>
        <v>0</v>
      </c>
      <c r="DA228" s="402">
        <f>IF(AND(MOD(101,3)=0,DA227&gt;0),DA227*Assumptions!$B$59,0)</f>
        <v>0</v>
      </c>
      <c r="DB228" s="402">
        <f>IF(AND(MOD(102,3)=0,DB227&gt;0),DB227*Assumptions!$B$59,0)</f>
        <v>0</v>
      </c>
      <c r="DC228" s="402">
        <f>IF(AND(MOD(103,3)=0,DC227&gt;0),DC227*Assumptions!$B$59,0)</f>
        <v>0</v>
      </c>
      <c r="DD228" s="402">
        <f>IF(AND(MOD(104,3)=0,DD227&gt;0),DD227*Assumptions!$B$59,0)</f>
        <v>0</v>
      </c>
      <c r="DE228" s="402">
        <f>IF(AND(MOD(105,3)=0,DE227&gt;0),DE227*Assumptions!$B$59,0)</f>
        <v>0</v>
      </c>
    </row>
    <row r="229" ht="15" customFormat="1" customHeight="1" s="381">
      <c r="A229" s="398" t="inlineStr">
        <is>
          <t>Klump - Deal Distribution</t>
        </is>
      </c>
      <c r="B229" s="402" t="n"/>
      <c r="C229" s="402" t="n"/>
      <c r="D229" s="402" t="n"/>
      <c r="E229" s="402" t="n">
        <v>0</v>
      </c>
      <c r="F229" s="402" t="n">
        <v>0</v>
      </c>
      <c r="G229" s="402" t="n">
        <v>0</v>
      </c>
      <c r="H229" s="402" t="n">
        <v>0</v>
      </c>
      <c r="I229" s="402" t="n">
        <v>0</v>
      </c>
      <c r="J229" s="402" t="n">
        <v>0</v>
      </c>
      <c r="K229" s="402" t="n">
        <v>0</v>
      </c>
      <c r="L229" s="402" t="n">
        <v>0</v>
      </c>
      <c r="M229" s="402" t="n">
        <v>0</v>
      </c>
      <c r="N229" s="402" t="n">
        <v>0</v>
      </c>
      <c r="O229" s="402" t="n">
        <v>0</v>
      </c>
      <c r="P229" s="402" t="n">
        <v>0</v>
      </c>
      <c r="Q229" s="402" t="n">
        <v>0</v>
      </c>
      <c r="R229" s="402" t="n">
        <v>0</v>
      </c>
      <c r="S229" s="402" t="n">
        <v>0</v>
      </c>
      <c r="T229" s="402" t="n">
        <v>0</v>
      </c>
      <c r="U229" s="402" t="n">
        <v>0</v>
      </c>
      <c r="V229" s="402" t="n">
        <v>0</v>
      </c>
      <c r="W229" s="402" t="n">
        <v>0</v>
      </c>
      <c r="X229" s="402" t="n">
        <v>0</v>
      </c>
      <c r="Y229" s="402" t="n">
        <v>0</v>
      </c>
      <c r="Z229" s="402" t="n">
        <v>0</v>
      </c>
      <c r="AA229" s="402" t="n">
        <v>0</v>
      </c>
      <c r="AB229" s="402" t="n">
        <v>0</v>
      </c>
      <c r="AC229" s="402" t="n">
        <v>0</v>
      </c>
      <c r="AD229" s="402" t="n">
        <v>0</v>
      </c>
      <c r="AE229" s="402" t="n">
        <v>0</v>
      </c>
      <c r="AF229" s="402" t="n">
        <v>0</v>
      </c>
      <c r="AG229" s="402" t="n">
        <v>0</v>
      </c>
      <c r="AH229" s="402" t="n">
        <v>0</v>
      </c>
      <c r="AI229" s="402" t="n">
        <v>0</v>
      </c>
      <c r="AJ229" s="402" t="n">
        <v>0</v>
      </c>
      <c r="AK229" s="402" t="n">
        <v>0</v>
      </c>
      <c r="AL229" s="402" t="n">
        <v>0</v>
      </c>
      <c r="AM229" s="402" t="n">
        <v>0</v>
      </c>
      <c r="AN229" s="402" t="n">
        <v>0</v>
      </c>
      <c r="AO229" s="402" t="n">
        <v>0</v>
      </c>
      <c r="AP229" s="402" t="n">
        <v>0</v>
      </c>
      <c r="AQ229" s="402" t="n">
        <v>0</v>
      </c>
      <c r="AR229" s="402" t="n">
        <v>0</v>
      </c>
      <c r="AS229" s="402" t="n">
        <v>0</v>
      </c>
      <c r="AT229" s="402" t="n">
        <v>0</v>
      </c>
      <c r="AU229" s="402" t="n">
        <v>0</v>
      </c>
      <c r="AV229" s="402" t="n">
        <v>0</v>
      </c>
      <c r="AW229" s="402" t="n">
        <v>0</v>
      </c>
      <c r="AX229" s="402" t="n">
        <v>0</v>
      </c>
      <c r="AY229" s="402" t="n">
        <v>0</v>
      </c>
      <c r="AZ229" s="402" t="n">
        <v>0</v>
      </c>
      <c r="BA229" s="402" t="n">
        <v>0</v>
      </c>
      <c r="BB229" s="402" t="n">
        <v>0</v>
      </c>
      <c r="BC229" s="402" t="n">
        <v>0</v>
      </c>
      <c r="BD229" s="402" t="n">
        <v>0</v>
      </c>
      <c r="BE229" s="402" t="n">
        <v>0</v>
      </c>
      <c r="BF229" s="402" t="n">
        <v>0</v>
      </c>
      <c r="BG229" s="402" t="n">
        <v>0</v>
      </c>
      <c r="BH229" s="402" t="n">
        <v>0</v>
      </c>
      <c r="BI229" s="402" t="n">
        <v>0</v>
      </c>
      <c r="BJ229" s="402" t="n">
        <v>0</v>
      </c>
      <c r="BK229" s="402" t="n">
        <v>0</v>
      </c>
      <c r="BL229" s="402" t="n">
        <v>0</v>
      </c>
      <c r="BM229" s="402" t="n">
        <v>0</v>
      </c>
      <c r="BN229" s="402" t="n">
        <v>0</v>
      </c>
      <c r="BO229" s="402" t="n">
        <v>0</v>
      </c>
      <c r="BP229" s="402" t="n">
        <v>0</v>
      </c>
      <c r="BQ229" s="402" t="n">
        <v>0</v>
      </c>
      <c r="BR229" s="402" t="n">
        <v>0</v>
      </c>
      <c r="BS229" s="402" t="n">
        <v>0</v>
      </c>
      <c r="BT229" s="402" t="n">
        <v>0</v>
      </c>
      <c r="BU229" s="402" t="n">
        <v>0</v>
      </c>
      <c r="BV229" s="402" t="n">
        <v>0</v>
      </c>
      <c r="BW229" s="402" t="n">
        <v>0</v>
      </c>
      <c r="BX229" s="402" t="n">
        <v>0</v>
      </c>
      <c r="BY229" s="402" t="n">
        <v>0</v>
      </c>
      <c r="BZ229" s="402" t="n">
        <v>0</v>
      </c>
      <c r="CA229" s="402" t="n">
        <v>0</v>
      </c>
      <c r="CB229" s="402" t="n">
        <v>0</v>
      </c>
      <c r="CC229" s="402" t="n">
        <v>0</v>
      </c>
      <c r="CD229" s="402" t="n">
        <v>0</v>
      </c>
      <c r="CE229" s="402" t="n">
        <v>0</v>
      </c>
      <c r="CF229" s="402" t="n">
        <v>0</v>
      </c>
      <c r="CG229" s="402" t="n">
        <v>0</v>
      </c>
      <c r="CH229" s="402" t="n">
        <v>0</v>
      </c>
      <c r="CI229" s="402" t="n">
        <v>0</v>
      </c>
      <c r="CJ229" s="402" t="n">
        <v>0</v>
      </c>
      <c r="CK229" s="402" t="n">
        <v>0</v>
      </c>
      <c r="CL229" s="402" t="n">
        <v>0</v>
      </c>
      <c r="CM229" s="402" t="n">
        <v>0</v>
      </c>
      <c r="CN229" s="402" t="n">
        <v>0</v>
      </c>
      <c r="CO229" s="402" t="n">
        <v>0</v>
      </c>
      <c r="CP229" s="402" t="n">
        <v>0</v>
      </c>
      <c r="CQ229" s="402" t="n">
        <v>0</v>
      </c>
      <c r="CR229" s="402" t="n">
        <v>0</v>
      </c>
      <c r="CS229" s="402" t="n">
        <v>0</v>
      </c>
      <c r="CT229" s="402" t="n"/>
      <c r="CU229" s="402" t="n"/>
      <c r="CV229" s="402" t="n"/>
      <c r="CW229" s="402" t="n"/>
      <c r="CX229" s="402" t="n"/>
      <c r="CY229" s="402" t="n"/>
      <c r="CZ229" s="402" t="n"/>
      <c r="DA229" s="402" t="n"/>
      <c r="DB229" s="402" t="n"/>
      <c r="DC229" s="402" t="n"/>
      <c r="DD229" s="402" t="n"/>
      <c r="DE229" s="402" t="n"/>
    </row>
    <row r="230" ht="15" customFormat="1" customHeight="1" s="381">
      <c r="A230" s="431" t="inlineStr">
        <is>
          <t>Klump - PIK Payment (LIHTC)</t>
        </is>
      </c>
      <c r="B230" s="432" t="n"/>
      <c r="C230" s="432" t="n"/>
      <c r="D230" s="432" t="n"/>
      <c r="E230" s="432" t="n">
        <v>0</v>
      </c>
      <c r="F230" s="432" t="n">
        <v>0</v>
      </c>
      <c r="G230" s="432" t="n">
        <v>0</v>
      </c>
      <c r="H230" s="432" t="n">
        <v>0</v>
      </c>
      <c r="I230" s="432" t="n">
        <v>0</v>
      </c>
      <c r="J230" s="432" t="n">
        <v>0</v>
      </c>
      <c r="K230" s="432" t="n">
        <v>0</v>
      </c>
      <c r="L230" s="432" t="n">
        <v>0</v>
      </c>
      <c r="M230" s="432" t="n">
        <v>0</v>
      </c>
      <c r="N230" s="432" t="n">
        <v>0</v>
      </c>
      <c r="O230" s="432" t="n">
        <v>0</v>
      </c>
      <c r="P230" s="432" t="n">
        <v>0</v>
      </c>
      <c r="Q230" s="432" t="n">
        <v>0</v>
      </c>
      <c r="R230" s="432" t="n">
        <v>0</v>
      </c>
      <c r="S230" s="432" t="n">
        <v>0</v>
      </c>
      <c r="T230" s="432" t="n">
        <v>0</v>
      </c>
      <c r="U230" s="432" t="n">
        <v>0</v>
      </c>
      <c r="V230" s="432" t="n">
        <v>0</v>
      </c>
      <c r="W230" s="432" t="n">
        <v>0</v>
      </c>
      <c r="X230" s="432" t="n">
        <v>0</v>
      </c>
      <c r="Y230" s="432" t="n">
        <v>0</v>
      </c>
      <c r="Z230" s="432" t="n">
        <v>0</v>
      </c>
      <c r="AA230" s="432" t="n">
        <v>0</v>
      </c>
      <c r="AB230" s="432" t="n">
        <v>0</v>
      </c>
      <c r="AC230" s="432" t="n">
        <v>0</v>
      </c>
      <c r="AD230" s="432" t="n">
        <v>0</v>
      </c>
      <c r="AE230" s="432" t="n">
        <v>0</v>
      </c>
      <c r="AF230" s="432" t="n">
        <v>0</v>
      </c>
      <c r="AG230" s="432" t="n">
        <v>0</v>
      </c>
      <c r="AH230" s="432" t="n">
        <v>0</v>
      </c>
      <c r="AI230" s="432" t="n">
        <v>0</v>
      </c>
      <c r="AJ230" s="432" t="n">
        <v>0</v>
      </c>
      <c r="AK230" s="432" t="n">
        <v>0</v>
      </c>
      <c r="AL230" s="432" t="n">
        <v>0</v>
      </c>
      <c r="AM230" s="432" t="n">
        <v>0</v>
      </c>
      <c r="AN230" s="432" t="n">
        <v>0</v>
      </c>
      <c r="AO230" s="432" t="n">
        <v>0</v>
      </c>
      <c r="AP230" s="432" t="n">
        <v>0</v>
      </c>
      <c r="AQ230" s="432" t="n">
        <v>0</v>
      </c>
      <c r="AR230" s="432" t="n">
        <v>0</v>
      </c>
      <c r="AS230" s="432" t="n">
        <v>0</v>
      </c>
      <c r="AT230" s="432" t="n">
        <v>0</v>
      </c>
      <c r="AU230" s="432" t="n">
        <v>0</v>
      </c>
      <c r="AV230" s="432" t="n">
        <v>0</v>
      </c>
      <c r="AW230" s="432" t="n">
        <v>0</v>
      </c>
      <c r="AX230" s="432" t="n">
        <v>0</v>
      </c>
      <c r="AY230" s="432" t="n">
        <v>0</v>
      </c>
      <c r="AZ230" s="432" t="n">
        <v>0</v>
      </c>
      <c r="BA230" s="432" t="n">
        <v>0</v>
      </c>
      <c r="BB230" s="432" t="n">
        <v>0</v>
      </c>
      <c r="BC230" s="432" t="n">
        <v>0</v>
      </c>
      <c r="BD230" s="432" t="n">
        <v>0</v>
      </c>
      <c r="BE230" s="432" t="n">
        <v>0</v>
      </c>
      <c r="BF230" s="432" t="n">
        <v>0</v>
      </c>
      <c r="BG230" s="432" t="n">
        <v>0</v>
      </c>
      <c r="BH230" s="432" t="n">
        <v>0</v>
      </c>
      <c r="BI230" s="432" t="n">
        <v>0</v>
      </c>
      <c r="BJ230" s="432" t="n">
        <v>0</v>
      </c>
      <c r="BK230" s="432" t="n">
        <v>0</v>
      </c>
      <c r="BL230" s="432" t="n">
        <v>0</v>
      </c>
      <c r="BM230" s="432" t="n">
        <v>0</v>
      </c>
      <c r="BN230" s="432" t="n">
        <v>0</v>
      </c>
      <c r="BO230" s="432" t="n">
        <v>0</v>
      </c>
      <c r="BP230" s="432" t="n">
        <v>0</v>
      </c>
      <c r="BQ230" s="432" t="n">
        <v>0</v>
      </c>
      <c r="BR230" s="432" t="n">
        <v>0</v>
      </c>
      <c r="BS230" s="432" t="n">
        <v>0</v>
      </c>
      <c r="BT230" s="432" t="n">
        <v>0</v>
      </c>
      <c r="BU230" s="432" t="n">
        <v>0</v>
      </c>
      <c r="BV230" s="432" t="n">
        <v>0</v>
      </c>
      <c r="BW230" s="432" t="n">
        <v>0</v>
      </c>
      <c r="BX230" s="432" t="n">
        <v>0</v>
      </c>
      <c r="BY230" s="432" t="n">
        <v>0</v>
      </c>
      <c r="BZ230" s="432" t="n">
        <v>0</v>
      </c>
      <c r="CA230" s="432" t="n">
        <v>0</v>
      </c>
      <c r="CB230" s="432" t="n">
        <v>0</v>
      </c>
      <c r="CC230" s="432" t="n">
        <v>0</v>
      </c>
      <c r="CD230" s="432" t="n">
        <v>0</v>
      </c>
      <c r="CE230" s="432" t="n">
        <v>0</v>
      </c>
      <c r="CF230" s="432" t="n">
        <v>0</v>
      </c>
      <c r="CG230" s="432" t="n">
        <v>0</v>
      </c>
      <c r="CH230" s="432" t="n">
        <v>0</v>
      </c>
      <c r="CI230" s="432" t="n">
        <v>0</v>
      </c>
      <c r="CJ230" s="432" t="n">
        <v>0</v>
      </c>
      <c r="CK230" s="432" t="n">
        <v>0</v>
      </c>
      <c r="CL230" s="432" t="n">
        <v>0</v>
      </c>
      <c r="CM230" s="432" t="n">
        <v>0</v>
      </c>
      <c r="CN230" s="432" t="n">
        <v>0</v>
      </c>
      <c r="CO230" s="432" t="n">
        <v>0</v>
      </c>
      <c r="CP230" s="432" t="n">
        <v>0</v>
      </c>
      <c r="CQ230" s="432" t="n">
        <v>0</v>
      </c>
      <c r="CR230" s="432" t="n">
        <v>0</v>
      </c>
      <c r="CS230" s="432" t="n">
        <v>0</v>
      </c>
      <c r="CT230" s="432" t="n"/>
      <c r="CU230" s="432" t="n"/>
      <c r="CV230" s="432" t="n"/>
      <c r="CW230" s="432" t="n"/>
      <c r="CX230" s="432" t="n"/>
      <c r="CY230" s="432" t="n"/>
      <c r="CZ230" s="432" t="n"/>
      <c r="DA230" s="432" t="n"/>
      <c r="DB230" s="432" t="n"/>
      <c r="DC230" s="432" t="n"/>
      <c r="DD230" s="432" t="n"/>
      <c r="DE230" s="432" t="n"/>
    </row>
    <row r="231" ht="15" customFormat="1" customHeight="1" s="381">
      <c r="A231" s="433" t="inlineStr">
        <is>
          <t>Klump - Ending Balance</t>
        </is>
      </c>
      <c r="B231" s="434" t="n"/>
      <c r="C231" s="434" t="n"/>
      <c r="D231" s="434" t="n"/>
      <c r="E231" s="434">
        <f>MAX(0,E227+E228+E229+E230)</f>
        <v>0</v>
      </c>
      <c r="F231" s="434">
        <f>MAX(0,F227+F228+F229+F230)</f>
        <v>0</v>
      </c>
      <c r="G231" s="434">
        <f>MAX(0,G227+G228+G229+G230)</f>
        <v>0</v>
      </c>
      <c r="H231" s="434">
        <f>MAX(0,H227+H228+H229+H230)</f>
        <v>0</v>
      </c>
      <c r="I231" s="434">
        <f>MAX(0,I227+I228+I229+I230)</f>
        <v>0</v>
      </c>
      <c r="J231" s="434">
        <f>MAX(0,J227+J228+J229+J230)</f>
        <v>0</v>
      </c>
      <c r="K231" s="434">
        <f>MAX(0,K227+K228+K229+K230)</f>
        <v>0</v>
      </c>
      <c r="L231" s="434">
        <f>MAX(0,L227+L228+L229+L230)</f>
        <v>0</v>
      </c>
      <c r="M231" s="434">
        <f>MAX(0,M227+M228+M229+M230)</f>
        <v>0</v>
      </c>
      <c r="N231" s="434">
        <f>MAX(0,N227+N228+N229+N230)</f>
        <v>0</v>
      </c>
      <c r="O231" s="434">
        <f>MAX(0,O227+O228+O229+O230)</f>
        <v>0</v>
      </c>
      <c r="P231" s="434">
        <f>MAX(0,P227+P228+P229+P230)</f>
        <v>0</v>
      </c>
      <c r="Q231" s="434">
        <f>MAX(0,Q227+Q228+Q229+Q230)</f>
        <v>0</v>
      </c>
      <c r="R231" s="434">
        <f>MAX(0,R227+R228+R229+R230)</f>
        <v>0</v>
      </c>
      <c r="S231" s="434">
        <f>MAX(0,S227+S228+S229+S230)</f>
        <v>0</v>
      </c>
      <c r="T231" s="434">
        <f>MAX(0,T227+T228+T229+T230)</f>
        <v>0</v>
      </c>
      <c r="U231" s="434">
        <f>MAX(0,U227+U228+U229+U230)</f>
        <v>0</v>
      </c>
      <c r="V231" s="434">
        <f>MAX(0,V227+V228+V229+V230)</f>
        <v>0</v>
      </c>
      <c r="W231" s="434">
        <f>MAX(0,W227+W228+W229+W230)</f>
        <v>0</v>
      </c>
      <c r="X231" s="434">
        <f>MAX(0,X227+X228+X229+X230)</f>
        <v>0</v>
      </c>
      <c r="Y231" s="434">
        <f>MAX(0,Y227+Y228+Y229+Y230)</f>
        <v>0</v>
      </c>
      <c r="Z231" s="434">
        <f>MAX(0,Z227+Z228+Z229+Z230)</f>
        <v>0</v>
      </c>
      <c r="AA231" s="434">
        <f>MAX(0,AA227+AA228+AA229+AA230)</f>
        <v>0</v>
      </c>
      <c r="AB231" s="434">
        <f>MAX(0,AB227+AB228+AB229+AB230)</f>
        <v>0</v>
      </c>
      <c r="AC231" s="434">
        <f>MAX(0,AC227+AC228+AC229+AC230)</f>
        <v>0</v>
      </c>
      <c r="AD231" s="434">
        <f>MAX(0,AD227+AD228+AD229+AD230)</f>
        <v>0</v>
      </c>
      <c r="AE231" s="434">
        <f>MAX(0,AE227+AE228+AE229+AE230)</f>
        <v>0</v>
      </c>
      <c r="AF231" s="434">
        <f>MAX(0,AF227+AF228+AF229+AF230)</f>
        <v>0</v>
      </c>
      <c r="AG231" s="434">
        <f>MAX(0,AG227+AG228+AG229+AG230)</f>
        <v>0</v>
      </c>
      <c r="AH231" s="434">
        <f>MAX(0,AH227+AH228+AH229+AH230)</f>
        <v>0</v>
      </c>
      <c r="AI231" s="434">
        <f>MAX(0,AI227+AI228+AI229+AI230)</f>
        <v>0</v>
      </c>
      <c r="AJ231" s="434">
        <f>MAX(0,AJ227+AJ228+AJ229+AJ230)</f>
        <v>0</v>
      </c>
      <c r="AK231" s="434">
        <f>MAX(0,AK227+AK228+AK229+AK230)</f>
        <v>0</v>
      </c>
      <c r="AL231" s="434">
        <f>MAX(0,AL227+AL228+AL229+AL230)</f>
        <v>0</v>
      </c>
      <c r="AM231" s="434">
        <f>MAX(0,AM227+AM228+AM229+AM230)</f>
        <v>0</v>
      </c>
      <c r="AN231" s="434">
        <f>MAX(0,AN227+AN228+AN229+AN230)</f>
        <v>0</v>
      </c>
      <c r="AO231" s="434">
        <f>MAX(0,AO227+AO228+AO229+AO230)</f>
        <v>0</v>
      </c>
      <c r="AP231" s="434">
        <f>MAX(0,AP227+AP228+AP229+AP230)</f>
        <v>0</v>
      </c>
      <c r="AQ231" s="434">
        <f>MAX(0,AQ227+AQ228+AQ229+AQ230)</f>
        <v>0</v>
      </c>
      <c r="AR231" s="434">
        <f>MAX(0,AR227+AR228+AR229+AR230)</f>
        <v>0</v>
      </c>
      <c r="AS231" s="434">
        <f>MAX(0,AS227+AS228+AS229+AS230)</f>
        <v>0</v>
      </c>
      <c r="AT231" s="434">
        <f>MAX(0,AT227+AT228+AT229+AT230)</f>
        <v>0</v>
      </c>
      <c r="AU231" s="434">
        <f>MAX(0,AU227+AU228+AU229+AU230)</f>
        <v>0</v>
      </c>
      <c r="AV231" s="434">
        <f>MAX(0,AV227+AV228+AV229+AV230)</f>
        <v>0</v>
      </c>
      <c r="AW231" s="434">
        <f>MAX(0,AW227+AW228+AW229+AW230)</f>
        <v>0</v>
      </c>
      <c r="AX231" s="434">
        <f>MAX(0,AX227+AX228+AX229+AX230)</f>
        <v>0</v>
      </c>
      <c r="AY231" s="434">
        <f>MAX(0,AY227+AY228+AY229+AY230)</f>
        <v>0</v>
      </c>
      <c r="AZ231" s="434">
        <f>MAX(0,AZ227+AZ228+AZ229+AZ230)</f>
        <v>0</v>
      </c>
      <c r="BA231" s="434">
        <f>MAX(0,BA227+BA228+BA229+BA230)</f>
        <v>0</v>
      </c>
      <c r="BB231" s="434">
        <f>MAX(0,BB227+BB228+BB229+BB230)</f>
        <v>0</v>
      </c>
      <c r="BC231" s="434">
        <f>MAX(0,BC227+BC228+BC229+BC230)</f>
        <v>0</v>
      </c>
      <c r="BD231" s="434">
        <f>MAX(0,BD227+BD228+BD229+BD230)</f>
        <v>0</v>
      </c>
      <c r="BE231" s="434">
        <f>MAX(0,BE227+BE228+BE229+BE230)</f>
        <v>0</v>
      </c>
      <c r="BF231" s="434">
        <f>MAX(0,BF227+BF228+BF229+BF230)</f>
        <v>0</v>
      </c>
      <c r="BG231" s="434">
        <f>MAX(0,BG227+BG228+BG229+BG230)</f>
        <v>0</v>
      </c>
      <c r="BH231" s="434">
        <f>MAX(0,BH227+BH228+BH229+BH230)</f>
        <v>0</v>
      </c>
      <c r="BI231" s="434">
        <f>MAX(0,BI227+BI228+BI229+BI230)</f>
        <v>0</v>
      </c>
      <c r="BJ231" s="434">
        <f>MAX(0,BJ227+BJ228+BJ229+BJ230)</f>
        <v>0</v>
      </c>
      <c r="BK231" s="434">
        <f>MAX(0,BK227+BK228+BK229+BK230)</f>
        <v>0</v>
      </c>
      <c r="BL231" s="434">
        <f>MAX(0,BL227+BL228+BL229+BL230)</f>
        <v>0</v>
      </c>
      <c r="BM231" s="434">
        <f>MAX(0,BM227+BM228+BM229+BM230)</f>
        <v>0</v>
      </c>
      <c r="BN231" s="434">
        <f>MAX(0,BN227+BN228+BN229+BN230)</f>
        <v>0</v>
      </c>
      <c r="BO231" s="434">
        <f>MAX(0,BO227+BO228+BO229+BO230)</f>
        <v>0</v>
      </c>
      <c r="BP231" s="434">
        <f>MAX(0,BP227+BP228+BP229+BP230)</f>
        <v>0</v>
      </c>
      <c r="BQ231" s="434">
        <f>MAX(0,BQ227+BQ228+BQ229+BQ230)</f>
        <v>0</v>
      </c>
      <c r="BR231" s="434">
        <f>MAX(0,BR227+BR228+BR229+BR230)</f>
        <v>0</v>
      </c>
      <c r="BS231" s="434">
        <f>MAX(0,BS227+BS228+BS229+BS230)</f>
        <v>0</v>
      </c>
      <c r="BT231" s="434">
        <f>MAX(0,BT227+BT228+BT229+BT230)</f>
        <v>0</v>
      </c>
      <c r="BU231" s="434">
        <f>MAX(0,BU227+BU228+BU229+BU230)</f>
        <v>0</v>
      </c>
      <c r="BV231" s="434">
        <f>MAX(0,BV227+BV228+BV229+BV230)</f>
        <v>0</v>
      </c>
      <c r="BW231" s="434">
        <f>MAX(0,BW227+BW228+BW229+BW230)</f>
        <v>0</v>
      </c>
      <c r="BX231" s="434">
        <f>MAX(0,BX227+BX228+BX229+BX230)</f>
        <v>0</v>
      </c>
      <c r="BY231" s="434">
        <f>MAX(0,BY227+BY228+BY229+BY230)</f>
        <v>0</v>
      </c>
      <c r="BZ231" s="434">
        <f>MAX(0,BZ227+BZ228+BZ229+BZ230)</f>
        <v>0</v>
      </c>
      <c r="CA231" s="434">
        <f>MAX(0,CA227+CA228+CA229+CA230)</f>
        <v>0</v>
      </c>
      <c r="CB231" s="434">
        <f>MAX(0,CB227+CB228+CB229+CB230)</f>
        <v>0</v>
      </c>
      <c r="CC231" s="434">
        <f>MAX(0,CC227+CC228+CC229+CC230)</f>
        <v>0</v>
      </c>
      <c r="CD231" s="434">
        <f>MAX(0,CD227+CD228+CD229+CD230)</f>
        <v>0</v>
      </c>
      <c r="CE231" s="434">
        <f>MAX(0,CE227+CE228+CE229+CE230)</f>
        <v>0</v>
      </c>
      <c r="CF231" s="434">
        <f>MAX(0,CF227+CF228+CF229+CF230)</f>
        <v>0</v>
      </c>
      <c r="CG231" s="434">
        <f>MAX(0,CG227+CG228+CG229+CG230)</f>
        <v>0</v>
      </c>
      <c r="CH231" s="434">
        <f>MAX(0,CH227+CH228+CH229+CH230)</f>
        <v>0</v>
      </c>
      <c r="CI231" s="434">
        <f>MAX(0,CI227+CI228+CI229+CI230)</f>
        <v>0</v>
      </c>
      <c r="CJ231" s="434">
        <f>MAX(0,CJ227+CJ228+CJ229+CJ230)</f>
        <v>0</v>
      </c>
      <c r="CK231" s="434">
        <f>MAX(0,CK227+CK228+CK229+CK230)</f>
        <v>0</v>
      </c>
      <c r="CL231" s="434">
        <f>MAX(0,CL227+CL228+CL229+CL230)</f>
        <v>0</v>
      </c>
      <c r="CM231" s="434">
        <f>MAX(0,CM227+CM228+CM229+CM230)</f>
        <v>0</v>
      </c>
      <c r="CN231" s="434">
        <f>MAX(0,CN227+CN228+CN229+CN230)</f>
        <v>0</v>
      </c>
      <c r="CO231" s="434">
        <f>MAX(0,CO227+CO228+CO229+CO230)</f>
        <v>0</v>
      </c>
      <c r="CP231" s="434">
        <f>MAX(0,CP227+CP228+CP229+CP230)</f>
        <v>0</v>
      </c>
      <c r="CQ231" s="434">
        <f>MAX(0,CQ227+CQ228+CQ229+CQ230)</f>
        <v>0</v>
      </c>
      <c r="CR231" s="434">
        <f>MAX(0,CR227+CR228+CR229+CR230)</f>
        <v>0</v>
      </c>
      <c r="CS231" s="434">
        <f>MAX(0,CS227+CS228+CS229+CS230)</f>
        <v>0</v>
      </c>
      <c r="CT231" s="434">
        <f>MAX(0,CT227+CT228+CT229+CT230)</f>
        <v>0</v>
      </c>
      <c r="CU231" s="434">
        <f>MAX(0,CU227+CU228+CU229+CU230)</f>
        <v>0</v>
      </c>
      <c r="CV231" s="434">
        <f>MAX(0,CV227+CV228+CV229+CV230)</f>
        <v>0</v>
      </c>
      <c r="CW231" s="434">
        <f>MAX(0,CW227+CW228+CW229+CW230)</f>
        <v>0</v>
      </c>
      <c r="CX231" s="434">
        <f>MAX(0,CX227+CX228+CX229+CX230)</f>
        <v>0</v>
      </c>
      <c r="CY231" s="434">
        <f>MAX(0,CY227+CY228+CY229+CY230)</f>
        <v>0</v>
      </c>
      <c r="CZ231" s="434">
        <f>MAX(0,CZ227+CZ228+CZ229+CZ230)</f>
        <v>0</v>
      </c>
      <c r="DA231" s="434">
        <f>MAX(0,DA227+DA228+DA229+DA230)</f>
        <v>0</v>
      </c>
      <c r="DB231" s="434">
        <f>MAX(0,DB227+DB228+DB229+DB230)</f>
        <v>0</v>
      </c>
      <c r="DC231" s="434">
        <f>MAX(0,DC227+DC228+DC229+DC230)</f>
        <v>0</v>
      </c>
      <c r="DD231" s="434">
        <f>MAX(0,DD227+DD228+DD229+DD230)</f>
        <v>0</v>
      </c>
      <c r="DE231" s="434">
        <f>MAX(0,DE227+DE228+DE229+DE230)</f>
        <v>0</v>
      </c>
    </row>
    <row r="232" ht="15" customFormat="1" customHeight="1" s="381">
      <c r="A232" s="398" t="inlineStr">
        <is>
          <t>Scott - Beginning Balance</t>
        </is>
      </c>
      <c r="B232" s="402" t="n"/>
      <c r="C232" s="402" t="n"/>
      <c r="D232" s="402" t="n"/>
      <c r="E232" s="402">
        <f>IF(AND(Projects!$G$12="Yes",Projects!$C$12&lt;=1),Assumptions!$B$61,0)</f>
        <v>0</v>
      </c>
      <c r="F232" s="402">
        <f>IF(AND(Projects!$G$12="Yes",2=Projects!$C$12),Assumptions!$B$61,E236)</f>
        <v>0</v>
      </c>
      <c r="G232" s="402">
        <f>IF(AND(Projects!$G$12="Yes",3=Projects!$C$12),Assumptions!$B$61,F236)</f>
        <v>0</v>
      </c>
      <c r="H232" s="402">
        <f>IF(AND(Projects!$G$12="Yes",4=Projects!$C$12),Assumptions!$B$61,G236)</f>
        <v>0</v>
      </c>
      <c r="I232" s="402">
        <f>IF(AND(Projects!$G$12="Yes",5=Projects!$C$12),Assumptions!$B$61,H236)</f>
        <v>0</v>
      </c>
      <c r="J232" s="402">
        <f>IF(AND(Projects!$G$12="Yes",6=Projects!$C$12),Assumptions!$B$61,I236)</f>
        <v>0</v>
      </c>
      <c r="K232" s="402">
        <f>IF(AND(Projects!$G$12="Yes",7=Projects!$C$12),Assumptions!$B$61,J236)</f>
        <v>0</v>
      </c>
      <c r="L232" s="402">
        <f>IF(AND(Projects!$G$12="Yes",8=Projects!$C$12),Assumptions!$B$61,K236)</f>
        <v>0</v>
      </c>
      <c r="M232" s="402">
        <f>IF(AND(Projects!$G$12="Yes",9=Projects!$C$12),Assumptions!$B$61,L236)</f>
        <v>0</v>
      </c>
      <c r="N232" s="402">
        <f>IF(AND(Projects!$G$12="Yes",10=Projects!$C$12),Assumptions!$B$61,M236)</f>
        <v>0</v>
      </c>
      <c r="O232" s="402">
        <f>IF(AND(Projects!$G$12="Yes",11=Projects!$C$12),Assumptions!$B$61,N236)</f>
        <v>0</v>
      </c>
      <c r="P232" s="402">
        <f>IF(AND(Projects!$G$12="Yes",12=Projects!$C$12),Assumptions!$B$61,O236)</f>
        <v>0</v>
      </c>
      <c r="Q232" s="402">
        <f>IF(AND(Projects!$G$12="Yes",13=Projects!$C$12),Assumptions!$B$61,P236)</f>
        <v>0</v>
      </c>
      <c r="R232" s="402">
        <f>IF(AND(Projects!$G$12="Yes",14=Projects!$C$12),Assumptions!$B$61,Q236)</f>
        <v>0</v>
      </c>
      <c r="S232" s="402">
        <f>IF(AND(Projects!$G$12="Yes",15=Projects!$C$12),Assumptions!$B$61,R236)</f>
        <v>0</v>
      </c>
      <c r="T232" s="402">
        <f>IF(AND(Projects!$G$12="Yes",16=Projects!$C$12),Assumptions!$B$61,S236)</f>
        <v>0</v>
      </c>
      <c r="U232" s="402">
        <f>IF(AND(Projects!$G$12="Yes",17=Projects!$C$12),Assumptions!$B$61,T236)</f>
        <v>0</v>
      </c>
      <c r="V232" s="402">
        <f>IF(AND(Projects!$G$12="Yes",18=Projects!$C$12),Assumptions!$B$61,U236)</f>
        <v>0</v>
      </c>
      <c r="W232" s="402">
        <f>IF(AND(Projects!$G$12="Yes",19=Projects!$C$12),Assumptions!$B$61,V236)</f>
        <v>0</v>
      </c>
      <c r="X232" s="402">
        <f>IF(AND(Projects!$G$12="Yes",20=Projects!$C$12),Assumptions!$B$61,W236)</f>
        <v>0</v>
      </c>
      <c r="Y232" s="402">
        <f>IF(AND(Projects!$G$12="Yes",21=Projects!$C$12),Assumptions!$B$61,X236)</f>
        <v>0</v>
      </c>
      <c r="Z232" s="402">
        <f>IF(AND(Projects!$G$12="Yes",22=Projects!$C$12),Assumptions!$B$61,Y236)</f>
        <v>0</v>
      </c>
      <c r="AA232" s="402">
        <f>IF(AND(Projects!$G$12="Yes",23=Projects!$C$12),Assumptions!$B$61,Z236)</f>
        <v>0</v>
      </c>
      <c r="AB232" s="402">
        <f>IF(AND(Projects!$G$12="Yes",24=Projects!$C$12),Assumptions!$B$61,AA236)</f>
        <v>0</v>
      </c>
      <c r="AC232" s="402">
        <f>IF(AND(Projects!$G$12="Yes",25=Projects!$C$12),Assumptions!$B$61,AB236)</f>
        <v>0</v>
      </c>
      <c r="AD232" s="402">
        <f>IF(AND(Projects!$G$12="Yes",26=Projects!$C$12),Assumptions!$B$61,AC236)</f>
        <v>0</v>
      </c>
      <c r="AE232" s="402">
        <f>IF(AND(Projects!$G$12="Yes",27=Projects!$C$12),Assumptions!$B$61,AD236)</f>
        <v>0</v>
      </c>
      <c r="AF232" s="402">
        <f>IF(AND(Projects!$G$12="Yes",28=Projects!$C$12),Assumptions!$B$61,AE236)</f>
        <v>0</v>
      </c>
      <c r="AG232" s="402">
        <f>IF(AND(Projects!$G$12="Yes",29=Projects!$C$12),Assumptions!$B$61,AF236)</f>
        <v>0</v>
      </c>
      <c r="AH232" s="402">
        <f>IF(AND(Projects!$G$12="Yes",30=Projects!$C$12),Assumptions!$B$61,AG236)</f>
        <v>0</v>
      </c>
      <c r="AI232" s="402">
        <f>IF(AND(Projects!$G$12="Yes",31=Projects!$C$12),Assumptions!$B$61,AH236)</f>
        <v>0</v>
      </c>
      <c r="AJ232" s="402">
        <f>IF(AND(Projects!$G$12="Yes",32=Projects!$C$12),Assumptions!$B$61,AI236)</f>
        <v>0</v>
      </c>
      <c r="AK232" s="402">
        <f>IF(AND(Projects!$G$12="Yes",33=Projects!$C$12),Assumptions!$B$61,AJ236)</f>
        <v>0</v>
      </c>
      <c r="AL232" s="402">
        <f>IF(AND(Projects!$G$12="Yes",34=Projects!$C$12),Assumptions!$B$61,AK236)</f>
        <v>0</v>
      </c>
      <c r="AM232" s="402">
        <f>IF(AND(Projects!$G$12="Yes",35=Projects!$C$12),Assumptions!$B$61,AL236)</f>
        <v>0</v>
      </c>
      <c r="AN232" s="402">
        <f>IF(AND(Projects!$G$12="Yes",36=Projects!$C$12),Assumptions!$B$61,AM236)</f>
        <v>0</v>
      </c>
      <c r="AO232" s="402">
        <f>IF(AND(Projects!$G$12="Yes",37=Projects!$C$12),Assumptions!$B$61,AN236)</f>
        <v>0</v>
      </c>
      <c r="AP232" s="402">
        <f>IF(AND(Projects!$G$12="Yes",38=Projects!$C$12),Assumptions!$B$61,AO236)</f>
        <v>0</v>
      </c>
      <c r="AQ232" s="402">
        <f>IF(AND(Projects!$G$12="Yes",39=Projects!$C$12),Assumptions!$B$61,AP236)</f>
        <v>0</v>
      </c>
      <c r="AR232" s="402">
        <f>IF(AND(Projects!$G$12="Yes",40=Projects!$C$12),Assumptions!$B$61,AQ236)</f>
        <v>0</v>
      </c>
      <c r="AS232" s="402">
        <f>IF(AND(Projects!$G$12="Yes",41=Projects!$C$12),Assumptions!$B$61,AR236)</f>
        <v>0</v>
      </c>
      <c r="AT232" s="402">
        <f>IF(AND(Projects!$G$12="Yes",42=Projects!$C$12),Assumptions!$B$61,AS236)</f>
        <v>0</v>
      </c>
      <c r="AU232" s="402">
        <f>IF(AND(Projects!$G$12="Yes",43=Projects!$C$12),Assumptions!$B$61,AT236)</f>
        <v>0</v>
      </c>
      <c r="AV232" s="402">
        <f>IF(AND(Projects!$G$12="Yes",44=Projects!$C$12),Assumptions!$B$61,AU236)</f>
        <v>0</v>
      </c>
      <c r="AW232" s="402">
        <f>IF(AND(Projects!$G$12="Yes",45=Projects!$C$12),Assumptions!$B$61,AV236)</f>
        <v>0</v>
      </c>
      <c r="AX232" s="402">
        <f>IF(AND(Projects!$G$12="Yes",46=Projects!$C$12),Assumptions!$B$61,AW236)</f>
        <v>0</v>
      </c>
      <c r="AY232" s="402">
        <f>IF(AND(Projects!$G$12="Yes",47=Projects!$C$12),Assumptions!$B$61,AX236)</f>
        <v>0</v>
      </c>
      <c r="AZ232" s="402">
        <f>IF(AND(Projects!$G$12="Yes",48=Projects!$C$12),Assumptions!$B$61,AY236)</f>
        <v>0</v>
      </c>
      <c r="BA232" s="402">
        <f>IF(AND(Projects!$G$12="Yes",49=Projects!$C$12),Assumptions!$B$61,AZ236)</f>
        <v>0</v>
      </c>
      <c r="BB232" s="402">
        <f>IF(AND(Projects!$G$12="Yes",50=Projects!$C$12),Assumptions!$B$61,BA236)</f>
        <v>0</v>
      </c>
      <c r="BC232" s="402">
        <f>IF(AND(Projects!$G$12="Yes",51=Projects!$C$12),Assumptions!$B$61,BB236)</f>
        <v>0</v>
      </c>
      <c r="BD232" s="402">
        <f>IF(AND(Projects!$G$12="Yes",52=Projects!$C$12),Assumptions!$B$61,BC236)</f>
        <v>0</v>
      </c>
      <c r="BE232" s="402">
        <f>IF(AND(Projects!$G$12="Yes",53=Projects!$C$12),Assumptions!$B$61,BD236)</f>
        <v>0</v>
      </c>
      <c r="BF232" s="402">
        <f>IF(AND(Projects!$G$12="Yes",54=Projects!$C$12),Assumptions!$B$61,BE236)</f>
        <v>0</v>
      </c>
      <c r="BG232" s="402">
        <f>IF(AND(Projects!$G$12="Yes",55=Projects!$C$12),Assumptions!$B$61,BF236)</f>
        <v>0</v>
      </c>
      <c r="BH232" s="402">
        <f>IF(AND(Projects!$G$12="Yes",56=Projects!$C$12),Assumptions!$B$61,BG236)</f>
        <v>0</v>
      </c>
      <c r="BI232" s="402">
        <f>IF(AND(Projects!$G$12="Yes",57=Projects!$C$12),Assumptions!$B$61,BH236)</f>
        <v>0</v>
      </c>
      <c r="BJ232" s="402">
        <f>IF(AND(Projects!$G$12="Yes",58=Projects!$C$12),Assumptions!$B$61,BI236)</f>
        <v>0</v>
      </c>
      <c r="BK232" s="402">
        <f>IF(AND(Projects!$G$12="Yes",59=Projects!$C$12),Assumptions!$B$61,BJ236)</f>
        <v>0</v>
      </c>
      <c r="BL232" s="402">
        <f>IF(AND(Projects!$G$12="Yes",60=Projects!$C$12),Assumptions!$B$61,BK236)</f>
        <v>0</v>
      </c>
      <c r="BM232" s="402">
        <f>IF(AND(Projects!$G$12="Yes",61=Projects!$C$12),Assumptions!$B$61,BL236)</f>
        <v>0</v>
      </c>
      <c r="BN232" s="402">
        <f>IF(AND(Projects!$G$12="Yes",62=Projects!$C$12),Assumptions!$B$61,BM236)</f>
        <v>0</v>
      </c>
      <c r="BO232" s="402">
        <f>IF(AND(Projects!$G$12="Yes",63=Projects!$C$12),Assumptions!$B$61,BN236)</f>
        <v>0</v>
      </c>
      <c r="BP232" s="402">
        <f>IF(AND(Projects!$G$12="Yes",64=Projects!$C$12),Assumptions!$B$61,BO236)</f>
        <v>0</v>
      </c>
      <c r="BQ232" s="402">
        <f>IF(AND(Projects!$G$12="Yes",65=Projects!$C$12),Assumptions!$B$61,BP236)</f>
        <v>0</v>
      </c>
      <c r="BR232" s="402">
        <f>IF(AND(Projects!$G$12="Yes",66=Projects!$C$12),Assumptions!$B$61,BQ236)</f>
        <v>0</v>
      </c>
      <c r="BS232" s="402">
        <f>IF(AND(Projects!$G$12="Yes",67=Projects!$C$12),Assumptions!$B$61,BR236)</f>
        <v>0</v>
      </c>
      <c r="BT232" s="402">
        <f>IF(AND(Projects!$G$12="Yes",68=Projects!$C$12),Assumptions!$B$61,BS236)</f>
        <v>0</v>
      </c>
      <c r="BU232" s="402">
        <f>IF(AND(Projects!$G$12="Yes",69=Projects!$C$12),Assumptions!$B$61,BT236)</f>
        <v>0</v>
      </c>
      <c r="BV232" s="402">
        <f>IF(AND(Projects!$G$12="Yes",70=Projects!$C$12),Assumptions!$B$61,BU236)</f>
        <v>0</v>
      </c>
      <c r="BW232" s="402">
        <f>IF(AND(Projects!$G$12="Yes",71=Projects!$C$12),Assumptions!$B$61,BV236)</f>
        <v>0</v>
      </c>
      <c r="BX232" s="402">
        <f>IF(AND(Projects!$G$12="Yes",72=Projects!$C$12),Assumptions!$B$61,BW236)</f>
        <v>0</v>
      </c>
      <c r="BY232" s="402">
        <f>IF(AND(Projects!$G$12="Yes",73=Projects!$C$12),Assumptions!$B$61,BX236)</f>
        <v>0</v>
      </c>
      <c r="BZ232" s="402">
        <f>IF(AND(Projects!$G$12="Yes",74=Projects!$C$12),Assumptions!$B$61,BY236)</f>
        <v>0</v>
      </c>
      <c r="CA232" s="402">
        <f>IF(AND(Projects!$G$12="Yes",75=Projects!$C$12),Assumptions!$B$61,BZ236)</f>
        <v>0</v>
      </c>
      <c r="CB232" s="402">
        <f>IF(AND(Projects!$G$12="Yes",76=Projects!$C$12),Assumptions!$B$61,CA236)</f>
        <v>0</v>
      </c>
      <c r="CC232" s="402">
        <f>IF(AND(Projects!$G$12="Yes",77=Projects!$C$12),Assumptions!$B$61,CB236)</f>
        <v>0</v>
      </c>
      <c r="CD232" s="402">
        <f>IF(AND(Projects!$G$12="Yes",78=Projects!$C$12),Assumptions!$B$61,CC236)</f>
        <v>0</v>
      </c>
      <c r="CE232" s="402">
        <f>IF(AND(Projects!$G$12="Yes",79=Projects!$C$12),Assumptions!$B$61,CD236)</f>
        <v>0</v>
      </c>
      <c r="CF232" s="402">
        <f>IF(AND(Projects!$G$12="Yes",80=Projects!$C$12),Assumptions!$B$61,CE236)</f>
        <v>0</v>
      </c>
      <c r="CG232" s="402">
        <f>IF(AND(Projects!$G$12="Yes",81=Projects!$C$12),Assumptions!$B$61,CF236)</f>
        <v>0</v>
      </c>
      <c r="CH232" s="402">
        <f>IF(AND(Projects!$G$12="Yes",82=Projects!$C$12),Assumptions!$B$61,CG236)</f>
        <v>0</v>
      </c>
      <c r="CI232" s="402">
        <f>IF(AND(Projects!$G$12="Yes",83=Projects!$C$12),Assumptions!$B$61,CH236)</f>
        <v>0</v>
      </c>
      <c r="CJ232" s="402">
        <f>IF(AND(Projects!$G$12="Yes",84=Projects!$C$12),Assumptions!$B$61,CI236)</f>
        <v>0</v>
      </c>
      <c r="CK232" s="402">
        <f>IF(AND(Projects!$G$12="Yes",85=Projects!$C$12),Assumptions!$B$61,CJ236)</f>
        <v>0</v>
      </c>
      <c r="CL232" s="402">
        <f>IF(AND(Projects!$G$12="Yes",86=Projects!$C$12),Assumptions!$B$61,CK236)</f>
        <v>0</v>
      </c>
      <c r="CM232" s="402">
        <f>IF(AND(Projects!$G$12="Yes",87=Projects!$C$12),Assumptions!$B$61,CL236)</f>
        <v>0</v>
      </c>
      <c r="CN232" s="402">
        <f>IF(AND(Projects!$G$12="Yes",88=Projects!$C$12),Assumptions!$B$61,CM236)</f>
        <v>0</v>
      </c>
      <c r="CO232" s="402">
        <f>IF(AND(Projects!$G$12="Yes",89=Projects!$C$12),Assumptions!$B$61,CN236)</f>
        <v>0</v>
      </c>
      <c r="CP232" s="402">
        <f>IF(AND(Projects!$G$12="Yes",90=Projects!$C$12),Assumptions!$B$61,CO236)</f>
        <v>0</v>
      </c>
      <c r="CQ232" s="402">
        <f>IF(AND(Projects!$G$12="Yes",91=Projects!$C$12),Assumptions!$B$61,CP236)</f>
        <v>0</v>
      </c>
      <c r="CR232" s="402">
        <f>IF(AND(Projects!$G$12="Yes",92=Projects!$C$12),Assumptions!$B$61,CQ236)</f>
        <v>0</v>
      </c>
      <c r="CS232" s="402">
        <f>IF(AND(Projects!$G$12="Yes",93=Projects!$C$12),Assumptions!$B$61,CR236)</f>
        <v>0</v>
      </c>
      <c r="CT232" s="402">
        <f>IF(AND(Projects!$G$12="Yes",94=Projects!$C$12),Assumptions!$B$61,CS236)</f>
        <v>0</v>
      </c>
      <c r="CU232" s="402">
        <f>IF(AND(Projects!$G$12="Yes",95=Projects!$C$12),Assumptions!$B$61,CT236)</f>
        <v>0</v>
      </c>
      <c r="CV232" s="402">
        <f>IF(AND(Projects!$G$12="Yes",96=Projects!$C$12),Assumptions!$B$61,CU236)</f>
        <v>0</v>
      </c>
      <c r="CW232" s="402">
        <f>IF(AND(Projects!$G$12="Yes",97=Projects!$C$12),Assumptions!$B$61,CV236)</f>
        <v>0</v>
      </c>
      <c r="CX232" s="402">
        <f>IF(AND(Projects!$G$12="Yes",98=Projects!$C$12),Assumptions!$B$61,CW236)</f>
        <v>0</v>
      </c>
      <c r="CY232" s="402">
        <f>IF(AND(Projects!$G$12="Yes",99=Projects!$C$12),Assumptions!$B$61,CX236)</f>
        <v>0</v>
      </c>
      <c r="CZ232" s="402">
        <f>IF(AND(Projects!$G$12="Yes",100=Projects!$C$12),Assumptions!$B$61,CY236)</f>
        <v>0</v>
      </c>
      <c r="DA232" s="402">
        <f>IF(AND(Projects!$G$12="Yes",101=Projects!$C$12),Assumptions!$B$61,CZ236)</f>
        <v>0</v>
      </c>
      <c r="DB232" s="402">
        <f>IF(AND(Projects!$G$12="Yes",102=Projects!$C$12),Assumptions!$B$61,DA236)</f>
        <v>0</v>
      </c>
      <c r="DC232" s="402">
        <f>IF(AND(Projects!$G$12="Yes",103=Projects!$C$12),Assumptions!$B$61,DB236)</f>
        <v>0</v>
      </c>
      <c r="DD232" s="402">
        <f>IF(AND(Projects!$G$12="Yes",104=Projects!$C$12),Assumptions!$B$61,DC236)</f>
        <v>0</v>
      </c>
      <c r="DE232" s="402">
        <f>IF(AND(Projects!$G$12="Yes",105=Projects!$C$12),Assumptions!$B$61,DD236)</f>
        <v>0</v>
      </c>
    </row>
    <row r="233" ht="21.75" customFormat="1" customHeight="1" s="381">
      <c r="A233" s="398" t="inlineStr">
        <is>
          <t>Scott - Quarterly Interest</t>
        </is>
      </c>
      <c r="B233" s="402" t="n"/>
      <c r="C233" s="402" t="n"/>
      <c r="D233" s="402" t="n"/>
      <c r="E233" s="402">
        <f>IF(AND(MOD(1,3)=0,E232&gt;0),E232*Assumptions!$B$59,0)</f>
        <v>0</v>
      </c>
      <c r="F233" s="402">
        <f>IF(AND(MOD(2,3)=0,F232&gt;0),F232*Assumptions!$B$59,0)</f>
        <v>0</v>
      </c>
      <c r="G233" s="402">
        <f>IF(AND(MOD(3,3)=0,G232&gt;0),G232*Assumptions!$B$59,0)</f>
        <v>0</v>
      </c>
      <c r="H233" s="402">
        <f>IF(AND(MOD(4,3)=0,H232&gt;0),H232*Assumptions!$B$59,0)</f>
        <v>0</v>
      </c>
      <c r="I233" s="402">
        <f>IF(AND(MOD(5,3)=0,I232&gt;0),I232*Assumptions!$B$59,0)</f>
        <v>0</v>
      </c>
      <c r="J233" s="402">
        <f>IF(AND(MOD(6,3)=0,J232&gt;0),J232*Assumptions!$B$59,0)</f>
        <v>0</v>
      </c>
      <c r="K233" s="402">
        <f>IF(AND(MOD(7,3)=0,K232&gt;0),K232*Assumptions!$B$59,0)</f>
        <v>0</v>
      </c>
      <c r="L233" s="402">
        <f>IF(AND(MOD(8,3)=0,L232&gt;0),L232*Assumptions!$B$59,0)</f>
        <v>0</v>
      </c>
      <c r="M233" s="402">
        <f>IF(AND(MOD(9,3)=0,M232&gt;0),M232*Assumptions!$B$59,0)</f>
        <v>0</v>
      </c>
      <c r="N233" s="402">
        <f>IF(AND(MOD(10,3)=0,N232&gt;0),N232*Assumptions!$B$59,0)</f>
        <v>0</v>
      </c>
      <c r="O233" s="402">
        <f>IF(AND(MOD(11,3)=0,O232&gt;0),O232*Assumptions!$B$59,0)</f>
        <v>0</v>
      </c>
      <c r="P233" s="402">
        <f>IF(AND(MOD(12,3)=0,P232&gt;0),P232*Assumptions!$B$59,0)</f>
        <v>0</v>
      </c>
      <c r="Q233" s="402">
        <f>IF(AND(MOD(13,3)=0,Q232&gt;0),Q232*Assumptions!$B$59,0)</f>
        <v>0</v>
      </c>
      <c r="R233" s="402">
        <f>IF(AND(MOD(14,3)=0,R232&gt;0),R232*Assumptions!$B$59,0)</f>
        <v>0</v>
      </c>
      <c r="S233" s="402">
        <f>IF(AND(MOD(15,3)=0,S232&gt;0),S232*Assumptions!$B$59,0)</f>
        <v>0</v>
      </c>
      <c r="T233" s="402">
        <f>IF(AND(MOD(16,3)=0,T232&gt;0),T232*Assumptions!$B$59,0)</f>
        <v>0</v>
      </c>
      <c r="U233" s="402">
        <f>IF(AND(MOD(17,3)=0,U232&gt;0),U232*Assumptions!$B$59,0)</f>
        <v>0</v>
      </c>
      <c r="V233" s="402">
        <f>IF(AND(MOD(18,3)=0,V232&gt;0),V232*Assumptions!$B$59,0)</f>
        <v>0</v>
      </c>
      <c r="W233" s="402">
        <f>IF(AND(MOD(19,3)=0,W232&gt;0),W232*Assumptions!$B$59,0)</f>
        <v>0</v>
      </c>
      <c r="X233" s="402">
        <f>IF(AND(MOD(20,3)=0,X232&gt;0),X232*Assumptions!$B$59,0)</f>
        <v>0</v>
      </c>
      <c r="Y233" s="402">
        <f>IF(AND(MOD(21,3)=0,Y232&gt;0),Y232*Assumptions!$B$59,0)</f>
        <v>0</v>
      </c>
      <c r="Z233" s="402">
        <f>IF(AND(MOD(22,3)=0,Z232&gt;0),Z232*Assumptions!$B$59,0)</f>
        <v>0</v>
      </c>
      <c r="AA233" s="402">
        <f>IF(AND(MOD(23,3)=0,AA232&gt;0),AA232*Assumptions!$B$59,0)</f>
        <v>0</v>
      </c>
      <c r="AB233" s="402">
        <f>IF(AND(MOD(24,3)=0,AB232&gt;0),AB232*Assumptions!$B$59,0)</f>
        <v>0</v>
      </c>
      <c r="AC233" s="402">
        <f>IF(AND(MOD(25,3)=0,AC232&gt;0),AC232*Assumptions!$B$59,0)</f>
        <v>0</v>
      </c>
      <c r="AD233" s="402">
        <f>IF(AND(MOD(26,3)=0,AD232&gt;0),AD232*Assumptions!$B$59,0)</f>
        <v>0</v>
      </c>
      <c r="AE233" s="402">
        <f>IF(AND(MOD(27,3)=0,AE232&gt;0),AE232*Assumptions!$B$59,0)</f>
        <v>0</v>
      </c>
      <c r="AF233" s="402">
        <f>IF(AND(MOD(28,3)=0,AF232&gt;0),AF232*Assumptions!$B$59,0)</f>
        <v>0</v>
      </c>
      <c r="AG233" s="402">
        <f>IF(AND(MOD(29,3)=0,AG232&gt;0),AG232*Assumptions!$B$59,0)</f>
        <v>0</v>
      </c>
      <c r="AH233" s="402">
        <f>IF(AND(MOD(30,3)=0,AH232&gt;0),AH232*Assumptions!$B$59,0)</f>
        <v>0</v>
      </c>
      <c r="AI233" s="402">
        <f>IF(AND(MOD(31,3)=0,AI232&gt;0),AI232*Assumptions!$B$59,0)</f>
        <v>0</v>
      </c>
      <c r="AJ233" s="402">
        <f>IF(AND(MOD(32,3)=0,AJ232&gt;0),AJ232*Assumptions!$B$59,0)</f>
        <v>0</v>
      </c>
      <c r="AK233" s="402">
        <f>IF(AND(MOD(33,3)=0,AK232&gt;0),AK232*Assumptions!$B$59,0)</f>
        <v>0</v>
      </c>
      <c r="AL233" s="402">
        <f>IF(AND(MOD(34,3)=0,AL232&gt;0),AL232*Assumptions!$B$59,0)</f>
        <v>0</v>
      </c>
      <c r="AM233" s="402">
        <f>IF(AND(MOD(35,3)=0,AM232&gt;0),AM232*Assumptions!$B$59,0)</f>
        <v>0</v>
      </c>
      <c r="AN233" s="402">
        <f>IF(AND(MOD(36,3)=0,AN232&gt;0),AN232*Assumptions!$B$59,0)</f>
        <v>0</v>
      </c>
      <c r="AO233" s="402">
        <f>IF(AND(MOD(37,3)=0,AO232&gt;0),AO232*Assumptions!$B$59,0)</f>
        <v>0</v>
      </c>
      <c r="AP233" s="402">
        <f>IF(AND(MOD(38,3)=0,AP232&gt;0),AP232*Assumptions!$B$59,0)</f>
        <v>0</v>
      </c>
      <c r="AQ233" s="402">
        <f>IF(AND(MOD(39,3)=0,AQ232&gt;0),AQ232*Assumptions!$B$59,0)</f>
        <v>0</v>
      </c>
      <c r="AR233" s="402">
        <f>IF(AND(MOD(40,3)=0,AR232&gt;0),AR232*Assumptions!$B$59,0)</f>
        <v>0</v>
      </c>
      <c r="AS233" s="402">
        <f>IF(AND(MOD(41,3)=0,AS232&gt;0),AS232*Assumptions!$B$59,0)</f>
        <v>0</v>
      </c>
      <c r="AT233" s="402">
        <f>IF(AND(MOD(42,3)=0,AT232&gt;0),AT232*Assumptions!$B$59,0)</f>
        <v>0</v>
      </c>
      <c r="AU233" s="402">
        <f>IF(AND(MOD(43,3)=0,AU232&gt;0),AU232*Assumptions!$B$59,0)</f>
        <v>0</v>
      </c>
      <c r="AV233" s="402">
        <f>IF(AND(MOD(44,3)=0,AV232&gt;0),AV232*Assumptions!$B$59,0)</f>
        <v>0</v>
      </c>
      <c r="AW233" s="402">
        <f>IF(AND(MOD(45,3)=0,AW232&gt;0),AW232*Assumptions!$B$59,0)</f>
        <v>0</v>
      </c>
      <c r="AX233" s="402">
        <f>IF(AND(MOD(46,3)=0,AX232&gt;0),AX232*Assumptions!$B$59,0)</f>
        <v>0</v>
      </c>
      <c r="AY233" s="402">
        <f>IF(AND(MOD(47,3)=0,AY232&gt;0),AY232*Assumptions!$B$59,0)</f>
        <v>0</v>
      </c>
      <c r="AZ233" s="402">
        <f>IF(AND(MOD(48,3)=0,AZ232&gt;0),AZ232*Assumptions!$B$59,0)</f>
        <v>0</v>
      </c>
      <c r="BA233" s="402">
        <f>IF(AND(MOD(49,3)=0,BA232&gt;0),BA232*Assumptions!$B$59,0)</f>
        <v>0</v>
      </c>
      <c r="BB233" s="402">
        <f>IF(AND(MOD(50,3)=0,BB232&gt;0),BB232*Assumptions!$B$59,0)</f>
        <v>0</v>
      </c>
      <c r="BC233" s="402">
        <f>IF(AND(MOD(51,3)=0,BC232&gt;0),BC232*Assumptions!$B$59,0)</f>
        <v>0</v>
      </c>
      <c r="BD233" s="402">
        <f>IF(AND(MOD(52,3)=0,BD232&gt;0),BD232*Assumptions!$B$59,0)</f>
        <v>0</v>
      </c>
      <c r="BE233" s="402">
        <f>IF(AND(MOD(53,3)=0,BE232&gt;0),BE232*Assumptions!$B$59,0)</f>
        <v>0</v>
      </c>
      <c r="BF233" s="402">
        <f>IF(AND(MOD(54,3)=0,BF232&gt;0),BF232*Assumptions!$B$59,0)</f>
        <v>0</v>
      </c>
      <c r="BG233" s="402">
        <f>IF(AND(MOD(55,3)=0,BG232&gt;0),BG232*Assumptions!$B$59,0)</f>
        <v>0</v>
      </c>
      <c r="BH233" s="402">
        <f>IF(AND(MOD(56,3)=0,BH232&gt;0),BH232*Assumptions!$B$59,0)</f>
        <v>0</v>
      </c>
      <c r="BI233" s="402">
        <f>IF(AND(MOD(57,3)=0,BI232&gt;0),BI232*Assumptions!$B$59,0)</f>
        <v>0</v>
      </c>
      <c r="BJ233" s="402">
        <f>IF(AND(MOD(58,3)=0,BJ232&gt;0),BJ232*Assumptions!$B$59,0)</f>
        <v>0</v>
      </c>
      <c r="BK233" s="402">
        <f>IF(AND(MOD(59,3)=0,BK232&gt;0),BK232*Assumptions!$B$59,0)</f>
        <v>0</v>
      </c>
      <c r="BL233" s="402">
        <f>IF(AND(MOD(60,3)=0,BL232&gt;0),BL232*Assumptions!$B$59,0)</f>
        <v>0</v>
      </c>
      <c r="BM233" s="402">
        <f>IF(AND(MOD(61,3)=0,BM232&gt;0),BM232*Assumptions!$B$59,0)</f>
        <v>0</v>
      </c>
      <c r="BN233" s="402">
        <f>IF(AND(MOD(62,3)=0,BN232&gt;0),BN232*Assumptions!$B$59,0)</f>
        <v>0</v>
      </c>
      <c r="BO233" s="402">
        <f>IF(AND(MOD(63,3)=0,BO232&gt;0),BO232*Assumptions!$B$59,0)</f>
        <v>0</v>
      </c>
      <c r="BP233" s="402">
        <f>IF(AND(MOD(64,3)=0,BP232&gt;0),BP232*Assumptions!$B$59,0)</f>
        <v>0</v>
      </c>
      <c r="BQ233" s="402">
        <f>IF(AND(MOD(65,3)=0,BQ232&gt;0),BQ232*Assumptions!$B$59,0)</f>
        <v>0</v>
      </c>
      <c r="BR233" s="402">
        <f>IF(AND(MOD(66,3)=0,BR232&gt;0),BR232*Assumptions!$B$59,0)</f>
        <v>0</v>
      </c>
      <c r="BS233" s="402">
        <f>IF(AND(MOD(67,3)=0,BS232&gt;0),BS232*Assumptions!$B$59,0)</f>
        <v>0</v>
      </c>
      <c r="BT233" s="402">
        <f>IF(AND(MOD(68,3)=0,BT232&gt;0),BT232*Assumptions!$B$59,0)</f>
        <v>0</v>
      </c>
      <c r="BU233" s="402">
        <f>IF(AND(MOD(69,3)=0,BU232&gt;0),BU232*Assumptions!$B$59,0)</f>
        <v>0</v>
      </c>
      <c r="BV233" s="402">
        <f>IF(AND(MOD(70,3)=0,BV232&gt;0),BV232*Assumptions!$B$59,0)</f>
        <v>0</v>
      </c>
      <c r="BW233" s="402">
        <f>IF(AND(MOD(71,3)=0,BW232&gt;0),BW232*Assumptions!$B$59,0)</f>
        <v>0</v>
      </c>
      <c r="BX233" s="402">
        <f>IF(AND(MOD(72,3)=0,BX232&gt;0),BX232*Assumptions!$B$59,0)</f>
        <v>0</v>
      </c>
      <c r="BY233" s="402">
        <f>IF(AND(MOD(73,3)=0,BY232&gt;0),BY232*Assumptions!$B$59,0)</f>
        <v>0</v>
      </c>
      <c r="BZ233" s="402">
        <f>IF(AND(MOD(74,3)=0,BZ232&gt;0),BZ232*Assumptions!$B$59,0)</f>
        <v>0</v>
      </c>
      <c r="CA233" s="402">
        <f>IF(AND(MOD(75,3)=0,CA232&gt;0),CA232*Assumptions!$B$59,0)</f>
        <v>0</v>
      </c>
      <c r="CB233" s="402">
        <f>IF(AND(MOD(76,3)=0,CB232&gt;0),CB232*Assumptions!$B$59,0)</f>
        <v>0</v>
      </c>
      <c r="CC233" s="402">
        <f>IF(AND(MOD(77,3)=0,CC232&gt;0),CC232*Assumptions!$B$59,0)</f>
        <v>0</v>
      </c>
      <c r="CD233" s="402">
        <f>IF(AND(MOD(78,3)=0,CD232&gt;0),CD232*Assumptions!$B$59,0)</f>
        <v>0</v>
      </c>
      <c r="CE233" s="402">
        <f>IF(AND(MOD(79,3)=0,CE232&gt;0),CE232*Assumptions!$B$59,0)</f>
        <v>0</v>
      </c>
      <c r="CF233" s="402">
        <f>IF(AND(MOD(80,3)=0,CF232&gt;0),CF232*Assumptions!$B$59,0)</f>
        <v>0</v>
      </c>
      <c r="CG233" s="402">
        <f>IF(AND(MOD(81,3)=0,CG232&gt;0),CG232*Assumptions!$B$59,0)</f>
        <v>0</v>
      </c>
      <c r="CH233" s="402">
        <f>IF(AND(MOD(82,3)=0,CH232&gt;0),CH232*Assumptions!$B$59,0)</f>
        <v>0</v>
      </c>
      <c r="CI233" s="402">
        <f>IF(AND(MOD(83,3)=0,CI232&gt;0),CI232*Assumptions!$B$59,0)</f>
        <v>0</v>
      </c>
      <c r="CJ233" s="402">
        <f>IF(AND(MOD(84,3)=0,CJ232&gt;0),CJ232*Assumptions!$B$59,0)</f>
        <v>0</v>
      </c>
      <c r="CK233" s="402">
        <f>IF(AND(MOD(85,3)=0,CK232&gt;0),CK232*Assumptions!$B$59,0)</f>
        <v>0</v>
      </c>
      <c r="CL233" s="402">
        <f>IF(AND(MOD(86,3)=0,CL232&gt;0),CL232*Assumptions!$B$59,0)</f>
        <v>0</v>
      </c>
      <c r="CM233" s="402">
        <f>IF(AND(MOD(87,3)=0,CM232&gt;0),CM232*Assumptions!$B$59,0)</f>
        <v>0</v>
      </c>
      <c r="CN233" s="402">
        <f>IF(AND(MOD(88,3)=0,CN232&gt;0),CN232*Assumptions!$B$59,0)</f>
        <v>0</v>
      </c>
      <c r="CO233" s="402">
        <f>IF(AND(MOD(89,3)=0,CO232&gt;0),CO232*Assumptions!$B$59,0)</f>
        <v>0</v>
      </c>
      <c r="CP233" s="402">
        <f>IF(AND(MOD(90,3)=0,CP232&gt;0),CP232*Assumptions!$B$59,0)</f>
        <v>0</v>
      </c>
      <c r="CQ233" s="402">
        <f>IF(AND(MOD(91,3)=0,CQ232&gt;0),CQ232*Assumptions!$B$59,0)</f>
        <v>0</v>
      </c>
      <c r="CR233" s="402">
        <f>IF(AND(MOD(92,3)=0,CR232&gt;0),CR232*Assumptions!$B$59,0)</f>
        <v>0</v>
      </c>
      <c r="CS233" s="402">
        <f>IF(AND(MOD(93,3)=0,CS232&gt;0),CS232*Assumptions!$B$59,0)</f>
        <v>0</v>
      </c>
      <c r="CT233" s="402">
        <f>IF(AND(MOD(94,3)=0,CT232&gt;0),CT232*Assumptions!$B$59,0)</f>
        <v>0</v>
      </c>
      <c r="CU233" s="402">
        <f>IF(AND(MOD(95,3)=0,CU232&gt;0),CU232*Assumptions!$B$59,0)</f>
        <v>0</v>
      </c>
      <c r="CV233" s="402">
        <f>IF(AND(MOD(96,3)=0,CV232&gt;0),CV232*Assumptions!$B$59,0)</f>
        <v>0</v>
      </c>
      <c r="CW233" s="402">
        <f>IF(AND(MOD(97,3)=0,CW232&gt;0),CW232*Assumptions!$B$59,0)</f>
        <v>0</v>
      </c>
      <c r="CX233" s="402">
        <f>IF(AND(MOD(98,3)=0,CX232&gt;0),CX232*Assumptions!$B$59,0)</f>
        <v>0</v>
      </c>
      <c r="CY233" s="402">
        <f>IF(AND(MOD(99,3)=0,CY232&gt;0),CY232*Assumptions!$B$59,0)</f>
        <v>0</v>
      </c>
      <c r="CZ233" s="402">
        <f>IF(AND(MOD(100,3)=0,CZ232&gt;0),CZ232*Assumptions!$B$59,0)</f>
        <v>0</v>
      </c>
      <c r="DA233" s="402">
        <f>IF(AND(MOD(101,3)=0,DA232&gt;0),DA232*Assumptions!$B$59,0)</f>
        <v>0</v>
      </c>
      <c r="DB233" s="402">
        <f>IF(AND(MOD(102,3)=0,DB232&gt;0),DB232*Assumptions!$B$59,0)</f>
        <v>0</v>
      </c>
      <c r="DC233" s="402">
        <f>IF(AND(MOD(103,3)=0,DC232&gt;0),DC232*Assumptions!$B$59,0)</f>
        <v>0</v>
      </c>
      <c r="DD233" s="402">
        <f>IF(AND(MOD(104,3)=0,DD232&gt;0),DD232*Assumptions!$B$59,0)</f>
        <v>0</v>
      </c>
      <c r="DE233" s="402">
        <f>IF(AND(MOD(105,3)=0,DE232&gt;0),DE232*Assumptions!$B$59,0)</f>
        <v>0</v>
      </c>
    </row>
    <row r="234" ht="15" customFormat="1" customHeight="1" s="381">
      <c r="A234" s="398" t="inlineStr">
        <is>
          <t>Scott - Deal Distribution</t>
        </is>
      </c>
      <c r="B234" s="402" t="n"/>
      <c r="C234" s="402" t="n"/>
      <c r="D234" s="402" t="n"/>
      <c r="E234" s="402" t="n">
        <v>0</v>
      </c>
      <c r="F234" s="402" t="n">
        <v>0</v>
      </c>
      <c r="G234" s="402" t="n">
        <v>0</v>
      </c>
      <c r="H234" s="402" t="n">
        <v>0</v>
      </c>
      <c r="I234" s="402" t="n">
        <v>0</v>
      </c>
      <c r="J234" s="402" t="n">
        <v>0</v>
      </c>
      <c r="K234" s="402" t="n">
        <v>0</v>
      </c>
      <c r="L234" s="402" t="n">
        <v>0</v>
      </c>
      <c r="M234" s="402" t="n">
        <v>0</v>
      </c>
      <c r="N234" s="402" t="n">
        <v>0</v>
      </c>
      <c r="O234" s="402" t="n">
        <v>0</v>
      </c>
      <c r="P234" s="402" t="n">
        <v>0</v>
      </c>
      <c r="Q234" s="402" t="n">
        <v>0</v>
      </c>
      <c r="R234" s="402" t="n">
        <v>0</v>
      </c>
      <c r="S234" s="402" t="n">
        <v>0</v>
      </c>
      <c r="T234" s="402" t="n">
        <v>0</v>
      </c>
      <c r="U234" s="402" t="n">
        <v>0</v>
      </c>
      <c r="V234" s="402" t="n">
        <v>0</v>
      </c>
      <c r="W234" s="402" t="n">
        <v>0</v>
      </c>
      <c r="X234" s="402" t="n">
        <v>0</v>
      </c>
      <c r="Y234" s="402" t="n">
        <v>0</v>
      </c>
      <c r="Z234" s="402" t="n">
        <v>0</v>
      </c>
      <c r="AA234" s="402" t="n">
        <v>0</v>
      </c>
      <c r="AB234" s="402" t="n">
        <v>0</v>
      </c>
      <c r="AC234" s="402" t="n">
        <v>0</v>
      </c>
      <c r="AD234" s="402" t="n">
        <v>0</v>
      </c>
      <c r="AE234" s="402" t="n">
        <v>0</v>
      </c>
      <c r="AF234" s="402" t="n">
        <v>0</v>
      </c>
      <c r="AG234" s="402" t="n">
        <v>0</v>
      </c>
      <c r="AH234" s="402" t="n">
        <v>0</v>
      </c>
      <c r="AI234" s="402" t="n">
        <v>0</v>
      </c>
      <c r="AJ234" s="402" t="n">
        <v>0</v>
      </c>
      <c r="AK234" s="402" t="n">
        <v>0</v>
      </c>
      <c r="AL234" s="402" t="n">
        <v>0</v>
      </c>
      <c r="AM234" s="402" t="n">
        <v>0</v>
      </c>
      <c r="AN234" s="402" t="n">
        <v>0</v>
      </c>
      <c r="AO234" s="402" t="n">
        <v>0</v>
      </c>
      <c r="AP234" s="402" t="n">
        <v>0</v>
      </c>
      <c r="AQ234" s="402" t="n">
        <v>0</v>
      </c>
      <c r="AR234" s="402" t="n">
        <v>0</v>
      </c>
      <c r="AS234" s="402" t="n">
        <v>0</v>
      </c>
      <c r="AT234" s="402" t="n">
        <v>0</v>
      </c>
      <c r="AU234" s="402" t="n">
        <v>0</v>
      </c>
      <c r="AV234" s="402" t="n">
        <v>0</v>
      </c>
      <c r="AW234" s="402" t="n">
        <v>0</v>
      </c>
      <c r="AX234" s="402" t="n">
        <v>0</v>
      </c>
      <c r="AY234" s="402" t="n">
        <v>0</v>
      </c>
      <c r="AZ234" s="402" t="n">
        <v>0</v>
      </c>
      <c r="BA234" s="402" t="n">
        <v>0</v>
      </c>
      <c r="BB234" s="402" t="n">
        <v>0</v>
      </c>
      <c r="BC234" s="402" t="n">
        <v>0</v>
      </c>
      <c r="BD234" s="402" t="n">
        <v>0</v>
      </c>
      <c r="BE234" s="402" t="n">
        <v>0</v>
      </c>
      <c r="BF234" s="402" t="n">
        <v>0</v>
      </c>
      <c r="BG234" s="402" t="n">
        <v>0</v>
      </c>
      <c r="BH234" s="402" t="n">
        <v>0</v>
      </c>
      <c r="BI234" s="402" t="n">
        <v>0</v>
      </c>
      <c r="BJ234" s="402" t="n">
        <v>0</v>
      </c>
      <c r="BK234" s="402" t="n">
        <v>0</v>
      </c>
      <c r="BL234" s="402" t="n">
        <v>0</v>
      </c>
      <c r="BM234" s="402" t="n">
        <v>0</v>
      </c>
      <c r="BN234" s="402" t="n">
        <v>0</v>
      </c>
      <c r="BO234" s="402" t="n">
        <v>0</v>
      </c>
      <c r="BP234" s="402" t="n">
        <v>0</v>
      </c>
      <c r="BQ234" s="402" t="n">
        <v>0</v>
      </c>
      <c r="BR234" s="402" t="n">
        <v>0</v>
      </c>
      <c r="BS234" s="402" t="n">
        <v>0</v>
      </c>
      <c r="BT234" s="402" t="n">
        <v>0</v>
      </c>
      <c r="BU234" s="402" t="n">
        <v>0</v>
      </c>
      <c r="BV234" s="402" t="n">
        <v>0</v>
      </c>
      <c r="BW234" s="402" t="n">
        <v>0</v>
      </c>
      <c r="BX234" s="402" t="n">
        <v>0</v>
      </c>
      <c r="BY234" s="402" t="n">
        <v>0</v>
      </c>
      <c r="BZ234" s="402" t="n">
        <v>0</v>
      </c>
      <c r="CA234" s="402" t="n">
        <v>0</v>
      </c>
      <c r="CB234" s="402" t="n">
        <v>0</v>
      </c>
      <c r="CC234" s="402" t="n">
        <v>0</v>
      </c>
      <c r="CD234" s="402" t="n">
        <v>0</v>
      </c>
      <c r="CE234" s="402" t="n">
        <v>0</v>
      </c>
      <c r="CF234" s="402" t="n">
        <v>0</v>
      </c>
      <c r="CG234" s="402" t="n">
        <v>0</v>
      </c>
      <c r="CH234" s="402" t="n">
        <v>0</v>
      </c>
      <c r="CI234" s="402" t="n">
        <v>0</v>
      </c>
      <c r="CJ234" s="402" t="n">
        <v>0</v>
      </c>
      <c r="CK234" s="402" t="n">
        <v>0</v>
      </c>
      <c r="CL234" s="402" t="n">
        <v>0</v>
      </c>
      <c r="CM234" s="402" t="n">
        <v>0</v>
      </c>
      <c r="CN234" s="402" t="n">
        <v>0</v>
      </c>
      <c r="CO234" s="402" t="n">
        <v>0</v>
      </c>
      <c r="CP234" s="402" t="n">
        <v>0</v>
      </c>
      <c r="CQ234" s="402" t="n">
        <v>0</v>
      </c>
      <c r="CR234" s="402" t="n">
        <v>0</v>
      </c>
      <c r="CS234" s="402" t="n">
        <v>0</v>
      </c>
      <c r="CT234" s="402" t="n"/>
      <c r="CU234" s="402" t="n"/>
      <c r="CV234" s="402" t="n"/>
      <c r="CW234" s="402" t="n"/>
      <c r="CX234" s="402" t="n"/>
      <c r="CY234" s="402" t="n"/>
      <c r="CZ234" s="402" t="n"/>
      <c r="DA234" s="402" t="n"/>
      <c r="DB234" s="402" t="n"/>
      <c r="DC234" s="402" t="n"/>
      <c r="DD234" s="402" t="n"/>
      <c r="DE234" s="402" t="n"/>
    </row>
    <row r="235" ht="15" customFormat="1" customHeight="1" s="381">
      <c r="A235" s="431" t="inlineStr">
        <is>
          <t>Scott - PIK Payment (LIHTC)</t>
        </is>
      </c>
      <c r="B235" s="432" t="n"/>
      <c r="C235" s="432" t="n"/>
      <c r="D235" s="432" t="n"/>
      <c r="E235" s="432" t="n">
        <v>0</v>
      </c>
      <c r="F235" s="432" t="n">
        <v>0</v>
      </c>
      <c r="G235" s="432" t="n">
        <v>0</v>
      </c>
      <c r="H235" s="432" t="n">
        <v>0</v>
      </c>
      <c r="I235" s="432" t="n">
        <v>0</v>
      </c>
      <c r="J235" s="432" t="n">
        <v>0</v>
      </c>
      <c r="K235" s="432" t="n">
        <v>0</v>
      </c>
      <c r="L235" s="432" t="n">
        <v>0</v>
      </c>
      <c r="M235" s="432" t="n">
        <v>0</v>
      </c>
      <c r="N235" s="432" t="n">
        <v>0</v>
      </c>
      <c r="O235" s="432" t="n">
        <v>0</v>
      </c>
      <c r="P235" s="432" t="n">
        <v>0</v>
      </c>
      <c r="Q235" s="432" t="n">
        <v>0</v>
      </c>
      <c r="R235" s="432" t="n">
        <v>0</v>
      </c>
      <c r="S235" s="432" t="n">
        <v>0</v>
      </c>
      <c r="T235" s="432" t="n">
        <v>0</v>
      </c>
      <c r="U235" s="432" t="n">
        <v>0</v>
      </c>
      <c r="V235" s="432" t="n">
        <v>0</v>
      </c>
      <c r="W235" s="432" t="n">
        <v>0</v>
      </c>
      <c r="X235" s="432" t="n">
        <v>0</v>
      </c>
      <c r="Y235" s="432" t="n">
        <v>0</v>
      </c>
      <c r="Z235" s="432" t="n">
        <v>0</v>
      </c>
      <c r="AA235" s="432" t="n">
        <v>0</v>
      </c>
      <c r="AB235" s="432" t="n">
        <v>0</v>
      </c>
      <c r="AC235" s="432" t="n">
        <v>0</v>
      </c>
      <c r="AD235" s="432" t="n">
        <v>0</v>
      </c>
      <c r="AE235" s="432" t="n">
        <v>0</v>
      </c>
      <c r="AF235" s="432" t="n">
        <v>0</v>
      </c>
      <c r="AG235" s="432" t="n">
        <v>0</v>
      </c>
      <c r="AH235" s="432" t="n">
        <v>0</v>
      </c>
      <c r="AI235" s="432" t="n">
        <v>0</v>
      </c>
      <c r="AJ235" s="432" t="n">
        <v>0</v>
      </c>
      <c r="AK235" s="432" t="n">
        <v>0</v>
      </c>
      <c r="AL235" s="432" t="n">
        <v>0</v>
      </c>
      <c r="AM235" s="432" t="n">
        <v>0</v>
      </c>
      <c r="AN235" s="432" t="n">
        <v>0</v>
      </c>
      <c r="AO235" s="432" t="n">
        <v>0</v>
      </c>
      <c r="AP235" s="432" t="n">
        <v>0</v>
      </c>
      <c r="AQ235" s="432" t="n">
        <v>0</v>
      </c>
      <c r="AR235" s="432" t="n">
        <v>0</v>
      </c>
      <c r="AS235" s="432" t="n">
        <v>0</v>
      </c>
      <c r="AT235" s="432" t="n">
        <v>0</v>
      </c>
      <c r="AU235" s="432" t="n">
        <v>0</v>
      </c>
      <c r="AV235" s="432" t="n">
        <v>0</v>
      </c>
      <c r="AW235" s="432" t="n">
        <v>0</v>
      </c>
      <c r="AX235" s="432" t="n">
        <v>0</v>
      </c>
      <c r="AY235" s="432" t="n">
        <v>0</v>
      </c>
      <c r="AZ235" s="432" t="n">
        <v>0</v>
      </c>
      <c r="BA235" s="432" t="n">
        <v>0</v>
      </c>
      <c r="BB235" s="432" t="n">
        <v>0</v>
      </c>
      <c r="BC235" s="432" t="n">
        <v>0</v>
      </c>
      <c r="BD235" s="432" t="n">
        <v>0</v>
      </c>
      <c r="BE235" s="432" t="n">
        <v>0</v>
      </c>
      <c r="BF235" s="432" t="n">
        <v>0</v>
      </c>
      <c r="BG235" s="432" t="n">
        <v>0</v>
      </c>
      <c r="BH235" s="432" t="n">
        <v>0</v>
      </c>
      <c r="BI235" s="432" t="n">
        <v>0</v>
      </c>
      <c r="BJ235" s="432" t="n">
        <v>0</v>
      </c>
      <c r="BK235" s="432" t="n">
        <v>0</v>
      </c>
      <c r="BL235" s="432" t="n">
        <v>0</v>
      </c>
      <c r="BM235" s="432" t="n">
        <v>0</v>
      </c>
      <c r="BN235" s="432" t="n">
        <v>0</v>
      </c>
      <c r="BO235" s="432" t="n">
        <v>0</v>
      </c>
      <c r="BP235" s="432" t="n">
        <v>0</v>
      </c>
      <c r="BQ235" s="432" t="n">
        <v>0</v>
      </c>
      <c r="BR235" s="432" t="n">
        <v>0</v>
      </c>
      <c r="BS235" s="432" t="n">
        <v>0</v>
      </c>
      <c r="BT235" s="432" t="n">
        <v>0</v>
      </c>
      <c r="BU235" s="432" t="n">
        <v>0</v>
      </c>
      <c r="BV235" s="432" t="n">
        <v>0</v>
      </c>
      <c r="BW235" s="432" t="n">
        <v>0</v>
      </c>
      <c r="BX235" s="432" t="n">
        <v>0</v>
      </c>
      <c r="BY235" s="432" t="n">
        <v>0</v>
      </c>
      <c r="BZ235" s="432" t="n">
        <v>0</v>
      </c>
      <c r="CA235" s="432" t="n">
        <v>0</v>
      </c>
      <c r="CB235" s="432" t="n">
        <v>0</v>
      </c>
      <c r="CC235" s="432" t="n">
        <v>0</v>
      </c>
      <c r="CD235" s="432" t="n">
        <v>0</v>
      </c>
      <c r="CE235" s="432" t="n">
        <v>0</v>
      </c>
      <c r="CF235" s="432" t="n">
        <v>0</v>
      </c>
      <c r="CG235" s="432" t="n">
        <v>0</v>
      </c>
      <c r="CH235" s="432" t="n">
        <v>0</v>
      </c>
      <c r="CI235" s="432" t="n">
        <v>0</v>
      </c>
      <c r="CJ235" s="432" t="n">
        <v>0</v>
      </c>
      <c r="CK235" s="432" t="n">
        <v>0</v>
      </c>
      <c r="CL235" s="432" t="n">
        <v>0</v>
      </c>
      <c r="CM235" s="432" t="n">
        <v>0</v>
      </c>
      <c r="CN235" s="432" t="n">
        <v>0</v>
      </c>
      <c r="CO235" s="432" t="n">
        <v>0</v>
      </c>
      <c r="CP235" s="432" t="n">
        <v>0</v>
      </c>
      <c r="CQ235" s="432" t="n">
        <v>0</v>
      </c>
      <c r="CR235" s="432" t="n">
        <v>0</v>
      </c>
      <c r="CS235" s="432" t="n">
        <v>0</v>
      </c>
      <c r="CT235" s="432" t="n"/>
      <c r="CU235" s="432" t="n"/>
      <c r="CV235" s="432" t="n"/>
      <c r="CW235" s="432" t="n"/>
      <c r="CX235" s="432" t="n"/>
      <c r="CY235" s="432" t="n"/>
      <c r="CZ235" s="432" t="n"/>
      <c r="DA235" s="432" t="n"/>
      <c r="DB235" s="432" t="n"/>
      <c r="DC235" s="432" t="n"/>
      <c r="DD235" s="432" t="n"/>
      <c r="DE235" s="432" t="n"/>
    </row>
    <row r="236" ht="15" customFormat="1" customHeight="1" s="381">
      <c r="A236" s="433" t="inlineStr">
        <is>
          <t>Scott - Ending Balance</t>
        </is>
      </c>
      <c r="B236" s="434" t="n"/>
      <c r="C236" s="434" t="n"/>
      <c r="D236" s="434" t="n"/>
      <c r="E236" s="434">
        <f>MAX(0,E232+E233+E234+E235)</f>
        <v>0</v>
      </c>
      <c r="F236" s="434">
        <f>MAX(0,F232+F233+F234+F235)</f>
        <v>0</v>
      </c>
      <c r="G236" s="434">
        <f>MAX(0,G232+G233+G234+G235)</f>
        <v>0</v>
      </c>
      <c r="H236" s="434">
        <f>MAX(0,H232+H233+H234+H235)</f>
        <v>0</v>
      </c>
      <c r="I236" s="434">
        <f>MAX(0,I232+I233+I234+I235)</f>
        <v>0</v>
      </c>
      <c r="J236" s="434">
        <f>MAX(0,J232+J233+J234+J235)</f>
        <v>0</v>
      </c>
      <c r="K236" s="434">
        <f>MAX(0,K232+K233+K234+K235)</f>
        <v>0</v>
      </c>
      <c r="L236" s="434">
        <f>MAX(0,L232+L233+L234+L235)</f>
        <v>0</v>
      </c>
      <c r="M236" s="434">
        <f>MAX(0,M232+M233+M234+M235)</f>
        <v>0</v>
      </c>
      <c r="N236" s="434">
        <f>MAX(0,N232+N233+N234+N235)</f>
        <v>0</v>
      </c>
      <c r="O236" s="434">
        <f>MAX(0,O232+O233+O234+O235)</f>
        <v>0</v>
      </c>
      <c r="P236" s="434">
        <f>MAX(0,P232+P233+P234+P235)</f>
        <v>0</v>
      </c>
      <c r="Q236" s="434">
        <f>MAX(0,Q232+Q233+Q234+Q235)</f>
        <v>0</v>
      </c>
      <c r="R236" s="434">
        <f>MAX(0,R232+R233+R234+R235)</f>
        <v>0</v>
      </c>
      <c r="S236" s="434">
        <f>MAX(0,S232+S233+S234+S235)</f>
        <v>0</v>
      </c>
      <c r="T236" s="434">
        <f>MAX(0,T232+T233+T234+T235)</f>
        <v>0</v>
      </c>
      <c r="U236" s="434">
        <f>MAX(0,U232+U233+U234+U235)</f>
        <v>0</v>
      </c>
      <c r="V236" s="434">
        <f>MAX(0,V232+V233+V234+V235)</f>
        <v>0</v>
      </c>
      <c r="W236" s="434">
        <f>MAX(0,W232+W233+W234+W235)</f>
        <v>0</v>
      </c>
      <c r="X236" s="434">
        <f>MAX(0,X232+X233+X234+X235)</f>
        <v>0</v>
      </c>
      <c r="Y236" s="434">
        <f>MAX(0,Y232+Y233+Y234+Y235)</f>
        <v>0</v>
      </c>
      <c r="Z236" s="434">
        <f>MAX(0,Z232+Z233+Z234+Z235)</f>
        <v>0</v>
      </c>
      <c r="AA236" s="434">
        <f>MAX(0,AA232+AA233+AA234+AA235)</f>
        <v>0</v>
      </c>
      <c r="AB236" s="434">
        <f>MAX(0,AB232+AB233+AB234+AB235)</f>
        <v>0</v>
      </c>
      <c r="AC236" s="434">
        <f>MAX(0,AC232+AC233+AC234+AC235)</f>
        <v>0</v>
      </c>
      <c r="AD236" s="434">
        <f>MAX(0,AD232+AD233+AD234+AD235)</f>
        <v>0</v>
      </c>
      <c r="AE236" s="434">
        <f>MAX(0,AE232+AE233+AE234+AE235)</f>
        <v>0</v>
      </c>
      <c r="AF236" s="434">
        <f>MAX(0,AF232+AF233+AF234+AF235)</f>
        <v>0</v>
      </c>
      <c r="AG236" s="434">
        <f>MAX(0,AG232+AG233+AG234+AG235)</f>
        <v>0</v>
      </c>
      <c r="AH236" s="434">
        <f>MAX(0,AH232+AH233+AH234+AH235)</f>
        <v>0</v>
      </c>
      <c r="AI236" s="434">
        <f>MAX(0,AI232+AI233+AI234+AI235)</f>
        <v>0</v>
      </c>
      <c r="AJ236" s="434">
        <f>MAX(0,AJ232+AJ233+AJ234+AJ235)</f>
        <v>0</v>
      </c>
      <c r="AK236" s="434">
        <f>MAX(0,AK232+AK233+AK234+AK235)</f>
        <v>0</v>
      </c>
      <c r="AL236" s="434">
        <f>MAX(0,AL232+AL233+AL234+AL235)</f>
        <v>0</v>
      </c>
      <c r="AM236" s="434">
        <f>MAX(0,AM232+AM233+AM234+AM235)</f>
        <v>0</v>
      </c>
      <c r="AN236" s="434">
        <f>MAX(0,AN232+AN233+AN234+AN235)</f>
        <v>0</v>
      </c>
      <c r="AO236" s="434">
        <f>MAX(0,AO232+AO233+AO234+AO235)</f>
        <v>0</v>
      </c>
      <c r="AP236" s="434">
        <f>MAX(0,AP232+AP233+AP234+AP235)</f>
        <v>0</v>
      </c>
      <c r="AQ236" s="434">
        <f>MAX(0,AQ232+AQ233+AQ234+AQ235)</f>
        <v>0</v>
      </c>
      <c r="AR236" s="434">
        <f>MAX(0,AR232+AR233+AR234+AR235)</f>
        <v>0</v>
      </c>
      <c r="AS236" s="434">
        <f>MAX(0,AS232+AS233+AS234+AS235)</f>
        <v>0</v>
      </c>
      <c r="AT236" s="434">
        <f>MAX(0,AT232+AT233+AT234+AT235)</f>
        <v>0</v>
      </c>
      <c r="AU236" s="434">
        <f>MAX(0,AU232+AU233+AU234+AU235)</f>
        <v>0</v>
      </c>
      <c r="AV236" s="434">
        <f>MAX(0,AV232+AV233+AV234+AV235)</f>
        <v>0</v>
      </c>
      <c r="AW236" s="434">
        <f>MAX(0,AW232+AW233+AW234+AW235)</f>
        <v>0</v>
      </c>
      <c r="AX236" s="434">
        <f>MAX(0,AX232+AX233+AX234+AX235)</f>
        <v>0</v>
      </c>
      <c r="AY236" s="434">
        <f>MAX(0,AY232+AY233+AY234+AY235)</f>
        <v>0</v>
      </c>
      <c r="AZ236" s="434">
        <f>MAX(0,AZ232+AZ233+AZ234+AZ235)</f>
        <v>0</v>
      </c>
      <c r="BA236" s="434">
        <f>MAX(0,BA232+BA233+BA234+BA235)</f>
        <v>0</v>
      </c>
      <c r="BB236" s="434">
        <f>MAX(0,BB232+BB233+BB234+BB235)</f>
        <v>0</v>
      </c>
      <c r="BC236" s="434">
        <f>MAX(0,BC232+BC233+BC234+BC235)</f>
        <v>0</v>
      </c>
      <c r="BD236" s="434">
        <f>MAX(0,BD232+BD233+BD234+BD235)</f>
        <v>0</v>
      </c>
      <c r="BE236" s="434">
        <f>MAX(0,BE232+BE233+BE234+BE235)</f>
        <v>0</v>
      </c>
      <c r="BF236" s="434">
        <f>MAX(0,BF232+BF233+BF234+BF235)</f>
        <v>0</v>
      </c>
      <c r="BG236" s="434">
        <f>MAX(0,BG232+BG233+BG234+BG235)</f>
        <v>0</v>
      </c>
      <c r="BH236" s="434">
        <f>MAX(0,BH232+BH233+BH234+BH235)</f>
        <v>0</v>
      </c>
      <c r="BI236" s="434">
        <f>MAX(0,BI232+BI233+BI234+BI235)</f>
        <v>0</v>
      </c>
      <c r="BJ236" s="434">
        <f>MAX(0,BJ232+BJ233+BJ234+BJ235)</f>
        <v>0</v>
      </c>
      <c r="BK236" s="434">
        <f>MAX(0,BK232+BK233+BK234+BK235)</f>
        <v>0</v>
      </c>
      <c r="BL236" s="434">
        <f>MAX(0,BL232+BL233+BL234+BL235)</f>
        <v>0</v>
      </c>
      <c r="BM236" s="434">
        <f>MAX(0,BM232+BM233+BM234+BM235)</f>
        <v>0</v>
      </c>
      <c r="BN236" s="434">
        <f>MAX(0,BN232+BN233+BN234+BN235)</f>
        <v>0</v>
      </c>
      <c r="BO236" s="434">
        <f>MAX(0,BO232+BO233+BO234+BO235)</f>
        <v>0</v>
      </c>
      <c r="BP236" s="434">
        <f>MAX(0,BP232+BP233+BP234+BP235)</f>
        <v>0</v>
      </c>
      <c r="BQ236" s="434">
        <f>MAX(0,BQ232+BQ233+BQ234+BQ235)</f>
        <v>0</v>
      </c>
      <c r="BR236" s="434">
        <f>MAX(0,BR232+BR233+BR234+BR235)</f>
        <v>0</v>
      </c>
      <c r="BS236" s="434">
        <f>MAX(0,BS232+BS233+BS234+BS235)</f>
        <v>0</v>
      </c>
      <c r="BT236" s="434">
        <f>MAX(0,BT232+BT233+BT234+BT235)</f>
        <v>0</v>
      </c>
      <c r="BU236" s="434">
        <f>MAX(0,BU232+BU233+BU234+BU235)</f>
        <v>0</v>
      </c>
      <c r="BV236" s="434">
        <f>MAX(0,BV232+BV233+BV234+BV235)</f>
        <v>0</v>
      </c>
      <c r="BW236" s="434">
        <f>MAX(0,BW232+BW233+BW234+BW235)</f>
        <v>0</v>
      </c>
      <c r="BX236" s="434">
        <f>MAX(0,BX232+BX233+BX234+BX235)</f>
        <v>0</v>
      </c>
      <c r="BY236" s="434">
        <f>MAX(0,BY232+BY233+BY234+BY235)</f>
        <v>0</v>
      </c>
      <c r="BZ236" s="434">
        <f>MAX(0,BZ232+BZ233+BZ234+BZ235)</f>
        <v>0</v>
      </c>
      <c r="CA236" s="434">
        <f>MAX(0,CA232+CA233+CA234+CA235)</f>
        <v>0</v>
      </c>
      <c r="CB236" s="434">
        <f>MAX(0,CB232+CB233+CB234+CB235)</f>
        <v>0</v>
      </c>
      <c r="CC236" s="434">
        <f>MAX(0,CC232+CC233+CC234+CC235)</f>
        <v>0</v>
      </c>
      <c r="CD236" s="434">
        <f>MAX(0,CD232+CD233+CD234+CD235)</f>
        <v>0</v>
      </c>
      <c r="CE236" s="434">
        <f>MAX(0,CE232+CE233+CE234+CE235)</f>
        <v>0</v>
      </c>
      <c r="CF236" s="434">
        <f>MAX(0,CF232+CF233+CF234+CF235)</f>
        <v>0</v>
      </c>
      <c r="CG236" s="434">
        <f>MAX(0,CG232+CG233+CG234+CG235)</f>
        <v>0</v>
      </c>
      <c r="CH236" s="434">
        <f>MAX(0,CH232+CH233+CH234+CH235)</f>
        <v>0</v>
      </c>
      <c r="CI236" s="434">
        <f>MAX(0,CI232+CI233+CI234+CI235)</f>
        <v>0</v>
      </c>
      <c r="CJ236" s="434">
        <f>MAX(0,CJ232+CJ233+CJ234+CJ235)</f>
        <v>0</v>
      </c>
      <c r="CK236" s="434">
        <f>MAX(0,CK232+CK233+CK234+CK235)</f>
        <v>0</v>
      </c>
      <c r="CL236" s="434">
        <f>MAX(0,CL232+CL233+CL234+CL235)</f>
        <v>0</v>
      </c>
      <c r="CM236" s="434">
        <f>MAX(0,CM232+CM233+CM234+CM235)</f>
        <v>0</v>
      </c>
      <c r="CN236" s="434">
        <f>MAX(0,CN232+CN233+CN234+CN235)</f>
        <v>0</v>
      </c>
      <c r="CO236" s="434">
        <f>MAX(0,CO232+CO233+CO234+CO235)</f>
        <v>0</v>
      </c>
      <c r="CP236" s="434">
        <f>MAX(0,CP232+CP233+CP234+CP235)</f>
        <v>0</v>
      </c>
      <c r="CQ236" s="434">
        <f>MAX(0,CQ232+CQ233+CQ234+CQ235)</f>
        <v>0</v>
      </c>
      <c r="CR236" s="434">
        <f>MAX(0,CR232+CR233+CR234+CR235)</f>
        <v>0</v>
      </c>
      <c r="CS236" s="434">
        <f>MAX(0,CS232+CS233+CS234+CS235)</f>
        <v>0</v>
      </c>
      <c r="CT236" s="434">
        <f>MAX(0,CT232+CT233+CT234+CT235)</f>
        <v>0</v>
      </c>
      <c r="CU236" s="434">
        <f>MAX(0,CU232+CU233+CU234+CU235)</f>
        <v>0</v>
      </c>
      <c r="CV236" s="434">
        <f>MAX(0,CV232+CV233+CV234+CV235)</f>
        <v>0</v>
      </c>
      <c r="CW236" s="434">
        <f>MAX(0,CW232+CW233+CW234+CW235)</f>
        <v>0</v>
      </c>
      <c r="CX236" s="434">
        <f>MAX(0,CX232+CX233+CX234+CX235)</f>
        <v>0</v>
      </c>
      <c r="CY236" s="434">
        <f>MAX(0,CY232+CY233+CY234+CY235)</f>
        <v>0</v>
      </c>
      <c r="CZ236" s="434">
        <f>MAX(0,CZ232+CZ233+CZ234+CZ235)</f>
        <v>0</v>
      </c>
      <c r="DA236" s="434">
        <f>MAX(0,DA232+DA233+DA234+DA235)</f>
        <v>0</v>
      </c>
      <c r="DB236" s="434">
        <f>MAX(0,DB232+DB233+DB234+DB235)</f>
        <v>0</v>
      </c>
      <c r="DC236" s="434">
        <f>MAX(0,DC232+DC233+DC234+DC235)</f>
        <v>0</v>
      </c>
      <c r="DD236" s="434">
        <f>MAX(0,DD232+DD233+DD234+DD235)</f>
        <v>0</v>
      </c>
      <c r="DE236" s="434">
        <f>MAX(0,DE232+DE233+DE234+DE235)</f>
        <v>0</v>
      </c>
    </row>
    <row r="237" ht="15" customFormat="1" customHeight="1" s="381">
      <c r="A237" s="435" t="inlineStr">
        <is>
          <t>3rd St - Beginning Balance</t>
        </is>
      </c>
      <c r="B237" s="436" t="n"/>
      <c r="C237" s="436" t="n"/>
      <c r="D237" s="436" t="n"/>
      <c r="E237" s="436">
        <f>IF(Projects!$G$14="Yes",Assumptions!$B$75,0)</f>
        <v>264927.15</v>
      </c>
      <c r="F237" s="436">
        <f>E241</f>
        <v>264927.15</v>
      </c>
      <c r="G237" s="436">
        <f>IF(Projects!$G$14="Yes",F241+Assumptions!$B$76*0.2,F241)</f>
        <v>441545.25</v>
      </c>
      <c r="H237" s="436">
        <f>G241</f>
        <v>458103.196875</v>
      </c>
      <c r="I237" s="436">
        <f>H241</f>
        <v>458103.196875</v>
      </c>
      <c r="J237" s="436">
        <f>IF(Projects!$G$14="Yes",I241+Assumptions!$B$76*0.2,I241)</f>
        <v>634721.296875</v>
      </c>
      <c r="K237" s="436">
        <f>J241</f>
        <v>658523.345507813</v>
      </c>
      <c r="L237" s="436">
        <f>K241</f>
        <v>658523.345507813</v>
      </c>
      <c r="M237" s="436">
        <f>L241</f>
        <v>658523.345507813</v>
      </c>
      <c r="N237" s="436">
        <f>IF(Projects!$G$14="Yes",M241+Assumptions!$B$76*0.1,M241)</f>
        <v>771527.020964355</v>
      </c>
      <c r="O237" s="436">
        <f>N241</f>
        <v>771527.020964355</v>
      </c>
      <c r="P237" s="436">
        <f>O241</f>
        <v>771527.020964355</v>
      </c>
      <c r="Q237" s="436">
        <f>P241</f>
        <v>800459.284250519</v>
      </c>
      <c r="R237" s="436">
        <f>Q241</f>
        <v>800459.284250519</v>
      </c>
      <c r="S237" s="436">
        <f>IF(Projects!$G$14="Yes",R241+Assumptions!$B$76*0.1,R241)</f>
        <v>888768.334250519</v>
      </c>
      <c r="T237" s="436">
        <f>S241</f>
        <v>922097.146784913</v>
      </c>
      <c r="U237" s="436">
        <f>T241</f>
        <v>922097.146784913</v>
      </c>
      <c r="V237" s="436">
        <f>U241</f>
        <v>922097.146784913</v>
      </c>
      <c r="W237" s="436">
        <f>V241</f>
        <v>956675.789789348</v>
      </c>
      <c r="X237" s="436">
        <f>W241</f>
        <v>956675.789789348</v>
      </c>
      <c r="Y237" s="436">
        <f>IF(Projects!$G$14="Yes",X241+Assumptions!$B$76*0.1,X241)</f>
        <v>1044984.83978935</v>
      </c>
      <c r="Z237" s="436">
        <f>Y241</f>
        <v>1084171.77128145</v>
      </c>
      <c r="AA237" s="436">
        <f>Z241</f>
        <v>1084171.77128145</v>
      </c>
      <c r="AB237" s="436">
        <f>AA241</f>
        <v>1084171.77128145</v>
      </c>
      <c r="AC237" s="436">
        <f>AB241</f>
        <v>1124828.2127045</v>
      </c>
      <c r="AD237" s="436">
        <f>AC241</f>
        <v>1124828.2127045</v>
      </c>
      <c r="AE237" s="436">
        <f>IF(Projects!$G$14="Yes",AD241+Assumptions!$B$76,AD241)</f>
        <v>2007918.7127045</v>
      </c>
      <c r="AF237" s="436">
        <f>AE241</f>
        <v>283215.664430921</v>
      </c>
      <c r="AG237" s="436">
        <f>AF241</f>
        <v>283215.664430921</v>
      </c>
      <c r="AH237" s="436">
        <f>AG241</f>
        <v>283215.664430921</v>
      </c>
      <c r="AI237" s="436">
        <f>AH241</f>
        <v>293836.251847081</v>
      </c>
      <c r="AJ237" s="436">
        <f>AI241</f>
        <v>293836.251847081</v>
      </c>
      <c r="AK237" s="436">
        <f>AJ241</f>
        <v>293836.251847081</v>
      </c>
      <c r="AL237" s="436">
        <f>AK241</f>
        <v>304855.111291347</v>
      </c>
      <c r="AM237" s="436">
        <f>AL241</f>
        <v>304855.111291347</v>
      </c>
      <c r="AN237" s="436">
        <f>AM241</f>
        <v>304855.111291347</v>
      </c>
      <c r="AO237" s="436">
        <f>AN241</f>
        <v>316287.177964772</v>
      </c>
      <c r="AP237" s="436">
        <f>AO241</f>
        <v>316287.177964772</v>
      </c>
      <c r="AQ237" s="436">
        <f>AP241</f>
        <v>316287.177964772</v>
      </c>
      <c r="AR237" s="436">
        <f>AQ241</f>
        <v>328147.947138451</v>
      </c>
      <c r="AS237" s="436">
        <f>AR241</f>
        <v>328147.947138451</v>
      </c>
      <c r="AT237" s="436">
        <f>AS241</f>
        <v>328147.947138451</v>
      </c>
      <c r="AU237" s="436">
        <f>AT241</f>
        <v>340453.495156143</v>
      </c>
      <c r="AV237" s="436">
        <f>AU241</f>
        <v>340453.495156143</v>
      </c>
      <c r="AW237" s="436">
        <f>AV241</f>
        <v>340453.495156143</v>
      </c>
      <c r="AX237" s="436">
        <f>AW241</f>
        <v>353220.501224498</v>
      </c>
      <c r="AY237" s="436">
        <f>AX241</f>
        <v>353220.501224498</v>
      </c>
      <c r="AZ237" s="436">
        <f>AY241</f>
        <v>353220.501224498</v>
      </c>
      <c r="BA237" s="436">
        <f>AZ241</f>
        <v>366466.270020417</v>
      </c>
      <c r="BB237" s="436">
        <f>BA241</f>
        <v>366466.270020417</v>
      </c>
      <c r="BC237" s="436">
        <f>BB241</f>
        <v>366466.270020417</v>
      </c>
      <c r="BD237" s="436">
        <f>BC241</f>
        <v>380208.755146183</v>
      </c>
      <c r="BE237" s="436">
        <f>BD241</f>
        <v>380208.755146183</v>
      </c>
      <c r="BF237" s="436">
        <f>BE241</f>
        <v>380208.755146183</v>
      </c>
      <c r="BG237" s="436">
        <f>BF241</f>
        <v>394466.583464164</v>
      </c>
      <c r="BH237" s="436">
        <f>BG241</f>
        <v>394466.583464164</v>
      </c>
      <c r="BI237" s="436">
        <f>BH241</f>
        <v>394466.583464164</v>
      </c>
      <c r="BJ237" s="436">
        <f>BI241</f>
        <v>409259.080344071</v>
      </c>
      <c r="BK237" s="436">
        <f>BJ241</f>
        <v>409259.080344071</v>
      </c>
      <c r="BL237" s="436">
        <f>BK241</f>
        <v>409259.080344071</v>
      </c>
      <c r="BM237" s="436">
        <f>BL241</f>
        <v>424606.295856973</v>
      </c>
      <c r="BN237" s="436">
        <f>BM241</f>
        <v>424606.295856973</v>
      </c>
      <c r="BO237" s="436">
        <f>BN241</f>
        <v>424606.295856973</v>
      </c>
      <c r="BP237" s="436">
        <f>BO241</f>
        <v>440529.03195161</v>
      </c>
      <c r="BQ237" s="436">
        <f>BP241</f>
        <v>440529.03195161</v>
      </c>
      <c r="BR237" s="436">
        <f>BQ241</f>
        <v>440529.03195161</v>
      </c>
      <c r="BS237" s="436">
        <f>BR241</f>
        <v>457048.870649795</v>
      </c>
      <c r="BT237" s="436">
        <f>BS241</f>
        <v>457048.870649795</v>
      </c>
      <c r="BU237" s="436">
        <f>BT241</f>
        <v>457048.870649795</v>
      </c>
      <c r="BV237" s="436">
        <f>BU241</f>
        <v>474188.203299162</v>
      </c>
      <c r="BW237" s="436">
        <f>BV241</f>
        <v>474188.203299162</v>
      </c>
      <c r="BX237" s="436">
        <f>BW241</f>
        <v>474188.203299162</v>
      </c>
      <c r="BY237" s="436">
        <f>BX241</f>
        <v>491970.260922881</v>
      </c>
      <c r="BZ237" s="436">
        <f>BY241</f>
        <v>491970.260922881</v>
      </c>
      <c r="CA237" s="436">
        <f>BZ241</f>
        <v>491970.260922881</v>
      </c>
      <c r="CB237" s="436">
        <f>CA241</f>
        <v>510419.145707489</v>
      </c>
      <c r="CC237" s="436">
        <f>CB241</f>
        <v>510419.145707489</v>
      </c>
      <c r="CD237" s="436">
        <f>CC241</f>
        <v>510419.145707489</v>
      </c>
      <c r="CE237" s="436">
        <f>CD241</f>
        <v>529559.86367152</v>
      </c>
      <c r="CF237" s="436">
        <f>CE241</f>
        <v>529559.86367152</v>
      </c>
      <c r="CG237" s="436">
        <f>CF241</f>
        <v>529559.86367152</v>
      </c>
      <c r="CH237" s="436">
        <f>CG241</f>
        <v>549418.358559202</v>
      </c>
      <c r="CI237" s="436">
        <f>CH241</f>
        <v>549418.358559202</v>
      </c>
      <c r="CJ237" s="436">
        <f>CI241</f>
        <v>549418.358559202</v>
      </c>
      <c r="CK237" s="436">
        <f>CJ241</f>
        <v>570021.547005172</v>
      </c>
      <c r="CL237" s="436">
        <f>CK241</f>
        <v>570021.547005172</v>
      </c>
      <c r="CM237" s="436">
        <f>CL241</f>
        <v>570021.547005172</v>
      </c>
      <c r="CN237" s="436">
        <f>CM241</f>
        <v>591397.355017866</v>
      </c>
      <c r="CO237" s="436">
        <f>CN241</f>
        <v>569702.675017866</v>
      </c>
      <c r="CP237" s="436">
        <f>CO241</f>
        <v>496547.675017866</v>
      </c>
      <c r="CQ237" s="436">
        <f>CP241</f>
        <v>442013.212831036</v>
      </c>
      <c r="CR237" s="436">
        <f>CQ241</f>
        <v>368858.212831036</v>
      </c>
      <c r="CS237" s="436">
        <f>CR241</f>
        <v>295703.212831036</v>
      </c>
      <c r="CT237" s="436">
        <f>CS241</f>
        <v>233637.0833122</v>
      </c>
      <c r="CU237" s="436">
        <f>CT241</f>
        <v>160482.0833122</v>
      </c>
      <c r="CV237" s="436">
        <f>CU241</f>
        <v>87327.0833121997</v>
      </c>
      <c r="CW237" s="436">
        <f>CV241</f>
        <v>17446.8489364072</v>
      </c>
      <c r="CX237" s="436">
        <f>CW241</f>
        <v>0</v>
      </c>
      <c r="CY237" s="436">
        <f>CX241</f>
        <v>0</v>
      </c>
      <c r="CZ237" s="436">
        <f>CY241</f>
        <v>0</v>
      </c>
      <c r="DA237" s="436">
        <f>CZ241</f>
        <v>0</v>
      </c>
      <c r="DB237" s="436">
        <f>DA241</f>
        <v>0</v>
      </c>
      <c r="DC237" s="436">
        <f>DB241</f>
        <v>0</v>
      </c>
      <c r="DD237" s="436">
        <f>DC241</f>
        <v>0</v>
      </c>
      <c r="DE237" s="436">
        <f>DD241</f>
        <v>0</v>
      </c>
    </row>
    <row r="238" ht="15" customFormat="1" customHeight="1" s="381">
      <c r="A238" s="435" t="inlineStr">
        <is>
          <t>3rd St - Quarterly Interest</t>
        </is>
      </c>
      <c r="B238" s="436" t="n"/>
      <c r="C238" s="436" t="n"/>
      <c r="D238" s="436" t="n"/>
      <c r="E238" s="436">
        <f>IF(AND(MOD(1,3)=0,E237&gt;0),E237*Assumptions!$B$59,0)</f>
        <v>0</v>
      </c>
      <c r="F238" s="436">
        <f>IF(AND(MOD(2,3)=0,F237&gt;0),F237*Assumptions!$B$59,0)</f>
        <v>0</v>
      </c>
      <c r="G238" s="436">
        <f>IF(AND(MOD(3,3)=0,G237&gt;0),G237*Assumptions!$B$59,0)</f>
        <v>16557.946875</v>
      </c>
      <c r="H238" s="436">
        <f>IF(AND(MOD(4,3)=0,H237&gt;0),H237*Assumptions!$B$59,0)</f>
        <v>0</v>
      </c>
      <c r="I238" s="436">
        <f>IF(AND(MOD(5,3)=0,I237&gt;0),I237*Assumptions!$B$59,0)</f>
        <v>0</v>
      </c>
      <c r="J238" s="436">
        <f>IF(AND(MOD(6,3)=0,J237&gt;0),J237*Assumptions!$B$59,0)</f>
        <v>23802.0486328125</v>
      </c>
      <c r="K238" s="436">
        <f>IF(AND(MOD(7,3)=0,K237&gt;0),K237*Assumptions!$B$59,0)</f>
        <v>0</v>
      </c>
      <c r="L238" s="436">
        <f>IF(AND(MOD(8,3)=0,L237&gt;0),L237*Assumptions!$B$59,0)</f>
        <v>0</v>
      </c>
      <c r="M238" s="436">
        <f>IF(AND(MOD(9,3)=0,M237&gt;0),M237*Assumptions!$B$59,0)</f>
        <v>24694.625456543</v>
      </c>
      <c r="N238" s="436">
        <f>IF(AND(MOD(10,3)=0,N237&gt;0),N237*Assumptions!$B$59,0)</f>
        <v>0</v>
      </c>
      <c r="O238" s="436">
        <f>IF(AND(MOD(11,3)=0,O237&gt;0),O237*Assumptions!$B$59,0)</f>
        <v>0</v>
      </c>
      <c r="P238" s="436">
        <f>IF(AND(MOD(12,3)=0,P237&gt;0),P237*Assumptions!$B$59,0)</f>
        <v>28932.2632861633</v>
      </c>
      <c r="Q238" s="436">
        <f>IF(AND(MOD(13,3)=0,Q237&gt;0),Q237*Assumptions!$B$59,0)</f>
        <v>0</v>
      </c>
      <c r="R238" s="436">
        <f>IF(AND(MOD(14,3)=0,R237&gt;0),R237*Assumptions!$B$59,0)</f>
        <v>0</v>
      </c>
      <c r="S238" s="436">
        <f>IF(AND(MOD(15,3)=0,S237&gt;0),S237*Assumptions!$B$59,0)</f>
        <v>33328.8125343945</v>
      </c>
      <c r="T238" s="436">
        <f>IF(AND(MOD(16,3)=0,T237&gt;0),T237*Assumptions!$B$59,0)</f>
        <v>0</v>
      </c>
      <c r="U238" s="436">
        <f>IF(AND(MOD(17,3)=0,U237&gt;0),U237*Assumptions!$B$59,0)</f>
        <v>0</v>
      </c>
      <c r="V238" s="436">
        <f>IF(AND(MOD(18,3)=0,V237&gt;0),V237*Assumptions!$B$59,0)</f>
        <v>34578.6430044343</v>
      </c>
      <c r="W238" s="436">
        <f>IF(AND(MOD(19,3)=0,W237&gt;0),W237*Assumptions!$B$59,0)</f>
        <v>0</v>
      </c>
      <c r="X238" s="436">
        <f>IF(AND(MOD(20,3)=0,X237&gt;0),X237*Assumptions!$B$59,0)</f>
        <v>0</v>
      </c>
      <c r="Y238" s="436">
        <f>IF(AND(MOD(21,3)=0,Y237&gt;0),Y237*Assumptions!$B$59,0)</f>
        <v>39186.9314921005</v>
      </c>
      <c r="Z238" s="436">
        <f>IF(AND(MOD(22,3)=0,Z237&gt;0),Z237*Assumptions!$B$59,0)</f>
        <v>0</v>
      </c>
      <c r="AA238" s="436">
        <f>IF(AND(MOD(23,3)=0,AA237&gt;0),AA237*Assumptions!$B$59,0)</f>
        <v>0</v>
      </c>
      <c r="AB238" s="436">
        <f>IF(AND(MOD(24,3)=0,AB237&gt;0),AB237*Assumptions!$B$59,0)</f>
        <v>40656.4414230543</v>
      </c>
      <c r="AC238" s="436">
        <f>IF(AND(MOD(25,3)=0,AC237&gt;0),AC237*Assumptions!$B$59,0)</f>
        <v>0</v>
      </c>
      <c r="AD238" s="436">
        <f>IF(AND(MOD(26,3)=0,AD237&gt;0),AD237*Assumptions!$B$59,0)</f>
        <v>0</v>
      </c>
      <c r="AE238" s="436">
        <f>IF(AND(MOD(27,3)=0,AE237&gt;0),AE237*Assumptions!$B$59,0)</f>
        <v>75296.9517264189</v>
      </c>
      <c r="AF238" s="436">
        <f>IF(AND(MOD(28,3)=0,AF237&gt;0),AF237*Assumptions!$B$59,0)</f>
        <v>0</v>
      </c>
      <c r="AG238" s="436">
        <f>IF(AND(MOD(29,3)=0,AG237&gt;0),AG237*Assumptions!$B$59,0)</f>
        <v>0</v>
      </c>
      <c r="AH238" s="436">
        <f>IF(AND(MOD(30,3)=0,AH237&gt;0),AH237*Assumptions!$B$59,0)</f>
        <v>10620.5874161596</v>
      </c>
      <c r="AI238" s="436">
        <f>IF(AND(MOD(31,3)=0,AI237&gt;0),AI237*Assumptions!$B$59,0)</f>
        <v>0</v>
      </c>
      <c r="AJ238" s="436">
        <f>IF(AND(MOD(32,3)=0,AJ237&gt;0),AJ237*Assumptions!$B$59,0)</f>
        <v>0</v>
      </c>
      <c r="AK238" s="436">
        <f>IF(AND(MOD(33,3)=0,AK237&gt;0),AK237*Assumptions!$B$59,0)</f>
        <v>11018.8594442655</v>
      </c>
      <c r="AL238" s="436">
        <f>IF(AND(MOD(34,3)=0,AL237&gt;0),AL237*Assumptions!$B$59,0)</f>
        <v>0</v>
      </c>
      <c r="AM238" s="436">
        <f>IF(AND(MOD(35,3)=0,AM237&gt;0),AM237*Assumptions!$B$59,0)</f>
        <v>0</v>
      </c>
      <c r="AN238" s="436">
        <f>IF(AND(MOD(36,3)=0,AN237&gt;0),AN237*Assumptions!$B$59,0)</f>
        <v>11432.0666734255</v>
      </c>
      <c r="AO238" s="436">
        <f>IF(AND(MOD(37,3)=0,AO237&gt;0),AO237*Assumptions!$B$59,0)</f>
        <v>0</v>
      </c>
      <c r="AP238" s="436">
        <f>IF(AND(MOD(38,3)=0,AP237&gt;0),AP237*Assumptions!$B$59,0)</f>
        <v>0</v>
      </c>
      <c r="AQ238" s="436">
        <f>IF(AND(MOD(39,3)=0,AQ237&gt;0),AQ237*Assumptions!$B$59,0)</f>
        <v>11860.769173679</v>
      </c>
      <c r="AR238" s="436">
        <f>IF(AND(MOD(40,3)=0,AR237&gt;0),AR237*Assumptions!$B$59,0)</f>
        <v>0</v>
      </c>
      <c r="AS238" s="436">
        <f>IF(AND(MOD(41,3)=0,AS237&gt;0),AS237*Assumptions!$B$59,0)</f>
        <v>0</v>
      </c>
      <c r="AT238" s="436">
        <f>IF(AND(MOD(42,3)=0,AT237&gt;0),AT237*Assumptions!$B$59,0)</f>
        <v>12305.5480176919</v>
      </c>
      <c r="AU238" s="436">
        <f>IF(AND(MOD(43,3)=0,AU237&gt;0),AU237*Assumptions!$B$59,0)</f>
        <v>0</v>
      </c>
      <c r="AV238" s="436">
        <f>IF(AND(MOD(44,3)=0,AV237&gt;0),AV237*Assumptions!$B$59,0)</f>
        <v>0</v>
      </c>
      <c r="AW238" s="436">
        <f>IF(AND(MOD(45,3)=0,AW237&gt;0),AW237*Assumptions!$B$59,0)</f>
        <v>12767.0060683554</v>
      </c>
      <c r="AX238" s="436">
        <f>IF(AND(MOD(46,3)=0,AX237&gt;0),AX237*Assumptions!$B$59,0)</f>
        <v>0</v>
      </c>
      <c r="AY238" s="436">
        <f>IF(AND(MOD(47,3)=0,AY237&gt;0),AY237*Assumptions!$B$59,0)</f>
        <v>0</v>
      </c>
      <c r="AZ238" s="436">
        <f>IF(AND(MOD(48,3)=0,AZ237&gt;0),AZ237*Assumptions!$B$59,0)</f>
        <v>13245.7687959187</v>
      </c>
      <c r="BA238" s="436">
        <f>IF(AND(MOD(49,3)=0,BA237&gt;0),BA237*Assumptions!$B$59,0)</f>
        <v>0</v>
      </c>
      <c r="BB238" s="436">
        <f>IF(AND(MOD(50,3)=0,BB237&gt;0),BB237*Assumptions!$B$59,0)</f>
        <v>0</v>
      </c>
      <c r="BC238" s="436">
        <f>IF(AND(MOD(51,3)=0,BC237&gt;0),BC237*Assumptions!$B$59,0)</f>
        <v>13742.4851257656</v>
      </c>
      <c r="BD238" s="436">
        <f>IF(AND(MOD(52,3)=0,BD237&gt;0),BD237*Assumptions!$B$59,0)</f>
        <v>0</v>
      </c>
      <c r="BE238" s="436">
        <f>IF(AND(MOD(53,3)=0,BE237&gt;0),BE237*Assumptions!$B$59,0)</f>
        <v>0</v>
      </c>
      <c r="BF238" s="436">
        <f>IF(AND(MOD(54,3)=0,BF237&gt;0),BF237*Assumptions!$B$59,0)</f>
        <v>14257.8283179818</v>
      </c>
      <c r="BG238" s="436">
        <f>IF(AND(MOD(55,3)=0,BG237&gt;0),BG237*Assumptions!$B$59,0)</f>
        <v>0</v>
      </c>
      <c r="BH238" s="436">
        <f>IF(AND(MOD(56,3)=0,BH237&gt;0),BH237*Assumptions!$B$59,0)</f>
        <v>0</v>
      </c>
      <c r="BI238" s="436">
        <f>IF(AND(MOD(57,3)=0,BI237&gt;0),BI237*Assumptions!$B$59,0)</f>
        <v>14792.4968799062</v>
      </c>
      <c r="BJ238" s="436">
        <f>IF(AND(MOD(58,3)=0,BJ237&gt;0),BJ237*Assumptions!$B$59,0)</f>
        <v>0</v>
      </c>
      <c r="BK238" s="436">
        <f>IF(AND(MOD(59,3)=0,BK237&gt;0),BK237*Assumptions!$B$59,0)</f>
        <v>0</v>
      </c>
      <c r="BL238" s="436">
        <f>IF(AND(MOD(60,3)=0,BL237&gt;0),BL237*Assumptions!$B$59,0)</f>
        <v>15347.2155129026</v>
      </c>
      <c r="BM238" s="436">
        <f>IF(AND(MOD(61,3)=0,BM237&gt;0),BM237*Assumptions!$B$59,0)</f>
        <v>0</v>
      </c>
      <c r="BN238" s="436">
        <f>IF(AND(MOD(62,3)=0,BN237&gt;0),BN237*Assumptions!$B$59,0)</f>
        <v>0</v>
      </c>
      <c r="BO238" s="436">
        <f>IF(AND(MOD(63,3)=0,BO237&gt;0),BO237*Assumptions!$B$59,0)</f>
        <v>15922.7360946365</v>
      </c>
      <c r="BP238" s="436">
        <f>IF(AND(MOD(64,3)=0,BP237&gt;0),BP237*Assumptions!$B$59,0)</f>
        <v>0</v>
      </c>
      <c r="BQ238" s="436">
        <f>IF(AND(MOD(65,3)=0,BQ237&gt;0),BQ237*Assumptions!$B$59,0)</f>
        <v>0</v>
      </c>
      <c r="BR238" s="436">
        <f>IF(AND(MOD(66,3)=0,BR237&gt;0),BR237*Assumptions!$B$59,0)</f>
        <v>16519.8386981854</v>
      </c>
      <c r="BS238" s="436">
        <f>IF(AND(MOD(67,3)=0,BS237&gt;0),BS237*Assumptions!$B$59,0)</f>
        <v>0</v>
      </c>
      <c r="BT238" s="436">
        <f>IF(AND(MOD(68,3)=0,BT237&gt;0),BT237*Assumptions!$B$59,0)</f>
        <v>0</v>
      </c>
      <c r="BU238" s="436">
        <f>IF(AND(MOD(69,3)=0,BU237&gt;0),BU237*Assumptions!$B$59,0)</f>
        <v>17139.3326493673</v>
      </c>
      <c r="BV238" s="436">
        <f>IF(AND(MOD(70,3)=0,BV237&gt;0),BV237*Assumptions!$B$59,0)</f>
        <v>0</v>
      </c>
      <c r="BW238" s="436">
        <f>IF(AND(MOD(71,3)=0,BW237&gt;0),BW237*Assumptions!$B$59,0)</f>
        <v>0</v>
      </c>
      <c r="BX238" s="436">
        <f>IF(AND(MOD(72,3)=0,BX237&gt;0),BX237*Assumptions!$B$59,0)</f>
        <v>17782.0576237186</v>
      </c>
      <c r="BY238" s="436">
        <f>IF(AND(MOD(73,3)=0,BY237&gt;0),BY237*Assumptions!$B$59,0)</f>
        <v>0</v>
      </c>
      <c r="BZ238" s="436">
        <f>IF(AND(MOD(74,3)=0,BZ237&gt;0),BZ237*Assumptions!$B$59,0)</f>
        <v>0</v>
      </c>
      <c r="CA238" s="436">
        <f>IF(AND(MOD(75,3)=0,CA237&gt;0),CA237*Assumptions!$B$59,0)</f>
        <v>18448.884784608</v>
      </c>
      <c r="CB238" s="436">
        <f>IF(AND(MOD(76,3)=0,CB237&gt;0),CB237*Assumptions!$B$59,0)</f>
        <v>0</v>
      </c>
      <c r="CC238" s="436">
        <f>IF(AND(MOD(77,3)=0,CC237&gt;0),CC237*Assumptions!$B$59,0)</f>
        <v>0</v>
      </c>
      <c r="CD238" s="436">
        <f>IF(AND(MOD(78,3)=0,CD237&gt;0),CD237*Assumptions!$B$59,0)</f>
        <v>19140.7179640308</v>
      </c>
      <c r="CE238" s="436">
        <f>IF(AND(MOD(79,3)=0,CE237&gt;0),CE237*Assumptions!$B$59,0)</f>
        <v>0</v>
      </c>
      <c r="CF238" s="436">
        <f>IF(AND(MOD(80,3)=0,CF237&gt;0),CF237*Assumptions!$B$59,0)</f>
        <v>0</v>
      </c>
      <c r="CG238" s="436">
        <f>IF(AND(MOD(81,3)=0,CG237&gt;0),CG237*Assumptions!$B$59,0)</f>
        <v>19858.494887682</v>
      </c>
      <c r="CH238" s="436">
        <f>IF(AND(MOD(82,3)=0,CH237&gt;0),CH237*Assumptions!$B$59,0)</f>
        <v>0</v>
      </c>
      <c r="CI238" s="436">
        <f>IF(AND(MOD(83,3)=0,CI237&gt;0),CI237*Assumptions!$B$59,0)</f>
        <v>0</v>
      </c>
      <c r="CJ238" s="436">
        <f>IF(AND(MOD(84,3)=0,CJ237&gt;0),CJ237*Assumptions!$B$59,0)</f>
        <v>20603.1884459701</v>
      </c>
      <c r="CK238" s="436">
        <f>IF(AND(MOD(85,3)=0,CK237&gt;0),CK237*Assumptions!$B$59,0)</f>
        <v>0</v>
      </c>
      <c r="CL238" s="436">
        <f>IF(AND(MOD(86,3)=0,CL237&gt;0),CL237*Assumptions!$B$59,0)</f>
        <v>0</v>
      </c>
      <c r="CM238" s="436">
        <f>IF(AND(MOD(87,3)=0,CM237&gt;0),CM237*Assumptions!$B$59,0)</f>
        <v>21375.8080126939</v>
      </c>
      <c r="CN238" s="436">
        <f>IF(AND(MOD(88,3)=0,CN237&gt;0),CN237*Assumptions!$B$59,0)</f>
        <v>0</v>
      </c>
      <c r="CO238" s="436">
        <f>IF(AND(MOD(89,3)=0,CO237&gt;0),CO237*Assumptions!$B$59,0)</f>
        <v>0</v>
      </c>
      <c r="CP238" s="436">
        <f>IF(AND(MOD(90,3)=0,CP237&gt;0),CP237*Assumptions!$B$59,0)</f>
        <v>18620.53781317</v>
      </c>
      <c r="CQ238" s="436">
        <f>IF(AND(MOD(91,3)=0,CQ237&gt;0),CQ237*Assumptions!$B$59,0)</f>
        <v>0</v>
      </c>
      <c r="CR238" s="436">
        <f>IF(AND(MOD(92,3)=0,CR237&gt;0),CR237*Assumptions!$B$59,0)</f>
        <v>0</v>
      </c>
      <c r="CS238" s="436">
        <f>IF(AND(MOD(93,3)=0,CS237&gt;0),CS237*Assumptions!$B$59,0)</f>
        <v>11088.8704811638</v>
      </c>
      <c r="CT238" s="436">
        <f>IF(AND(MOD(94,3)=0,CT237&gt;0),CT237*Assumptions!$B$59,0)</f>
        <v>0</v>
      </c>
      <c r="CU238" s="436">
        <f>IF(AND(MOD(95,3)=0,CU237&gt;0),CU237*Assumptions!$B$59,0)</f>
        <v>0</v>
      </c>
      <c r="CV238" s="436">
        <f>IF(AND(MOD(96,3)=0,CV237&gt;0),CV237*Assumptions!$B$59,0)</f>
        <v>3274.76562420749</v>
      </c>
      <c r="CW238" s="436">
        <f>IF(AND(MOD(97,3)=0,CW237&gt;0),CW237*Assumptions!$B$59,0)</f>
        <v>0</v>
      </c>
      <c r="CX238" s="436">
        <f>IF(AND(MOD(98,3)=0,CX237&gt;0),CX237*Assumptions!$B$59,0)</f>
        <v>0</v>
      </c>
      <c r="CY238" s="436">
        <f>IF(AND(MOD(99,3)=0,CY237&gt;0),CY237*Assumptions!$B$59,0)</f>
        <v>0</v>
      </c>
      <c r="CZ238" s="436">
        <f>IF(AND(MOD(100,3)=0,CZ237&gt;0),CZ237*Assumptions!$B$59,0)</f>
        <v>0</v>
      </c>
      <c r="DA238" s="436">
        <f>IF(AND(MOD(101,3)=0,DA237&gt;0),DA237*Assumptions!$B$59,0)</f>
        <v>0</v>
      </c>
      <c r="DB238" s="436">
        <f>IF(AND(MOD(102,3)=0,DB237&gt;0),DB237*Assumptions!$B$59,0)</f>
        <v>0</v>
      </c>
      <c r="DC238" s="436">
        <f>IF(AND(MOD(103,3)=0,DC237&gt;0),DC237*Assumptions!$B$59,0)</f>
        <v>0</v>
      </c>
      <c r="DD238" s="436">
        <f>IF(AND(MOD(104,3)=0,DD237&gt;0),DD237*Assumptions!$B$59,0)</f>
        <v>0</v>
      </c>
      <c r="DE238" s="436">
        <f>IF(AND(MOD(105,3)=0,DE237&gt;0),DE237*Assumptions!$B$59,0)</f>
        <v>0</v>
      </c>
    </row>
    <row r="239" ht="15" customFormat="1" customHeight="1" s="381">
      <c r="A239" s="435" t="inlineStr">
        <is>
          <t>3rd St - Deal Distribution</t>
        </is>
      </c>
      <c r="B239" s="436" t="n"/>
      <c r="C239" s="436" t="n"/>
      <c r="D239" s="436" t="n"/>
      <c r="E239" s="436" t="n">
        <v>0</v>
      </c>
      <c r="F239" s="436" t="n">
        <v>0</v>
      </c>
      <c r="G239" s="436" t="n">
        <v>0</v>
      </c>
      <c r="H239" s="436" t="n">
        <v>0</v>
      </c>
      <c r="I239" s="436" t="n">
        <v>0</v>
      </c>
      <c r="J239" s="436" t="n">
        <v>0</v>
      </c>
      <c r="K239" s="436" t="n">
        <v>0</v>
      </c>
      <c r="L239" s="436" t="n">
        <v>0</v>
      </c>
      <c r="M239" s="436" t="n">
        <v>0</v>
      </c>
      <c r="N239" s="436" t="n">
        <v>0</v>
      </c>
      <c r="O239" s="436" t="n">
        <v>0</v>
      </c>
      <c r="P239" s="436" t="n">
        <v>0</v>
      </c>
      <c r="Q239" s="436" t="n">
        <v>0</v>
      </c>
      <c r="R239" s="436" t="n">
        <v>0</v>
      </c>
      <c r="S239" s="436" t="n">
        <v>0</v>
      </c>
      <c r="T239" s="436" t="n">
        <v>0</v>
      </c>
      <c r="U239" s="436" t="n">
        <v>0</v>
      </c>
      <c r="V239" s="436" t="n">
        <v>0</v>
      </c>
      <c r="W239" s="436" t="n">
        <v>0</v>
      </c>
      <c r="X239" s="436" t="n">
        <v>0</v>
      </c>
      <c r="Y239" s="436" t="n">
        <v>0</v>
      </c>
      <c r="Z239" s="436" t="n">
        <v>0</v>
      </c>
      <c r="AA239" s="436" t="n">
        <v>0</v>
      </c>
      <c r="AB239" s="436" t="n">
        <v>0</v>
      </c>
      <c r="AC239" s="436" t="n">
        <v>0</v>
      </c>
      <c r="AD239" s="436" t="n">
        <v>0</v>
      </c>
      <c r="AE239" s="436">
        <f>IF(Projects!$G$14="Yes",Assumptions!$B$77,0)</f>
        <v>-1800000</v>
      </c>
      <c r="AF239" s="436" t="n">
        <v>0</v>
      </c>
      <c r="AG239" s="436" t="n">
        <v>0</v>
      </c>
      <c r="AH239" s="436" t="n">
        <v>0</v>
      </c>
      <c r="AI239" s="436" t="n">
        <v>0</v>
      </c>
      <c r="AJ239" s="436" t="n">
        <v>0</v>
      </c>
      <c r="AK239" s="436" t="n">
        <v>0</v>
      </c>
      <c r="AL239" s="436" t="n">
        <v>0</v>
      </c>
      <c r="AM239" s="436" t="n">
        <v>0</v>
      </c>
      <c r="AN239" s="436" t="n">
        <v>0</v>
      </c>
      <c r="AO239" s="436" t="n">
        <v>0</v>
      </c>
      <c r="AP239" s="436" t="n">
        <v>0</v>
      </c>
      <c r="AQ239" s="436" t="n">
        <v>0</v>
      </c>
      <c r="AR239" s="436" t="n">
        <v>0</v>
      </c>
      <c r="AS239" s="436" t="n">
        <v>0</v>
      </c>
      <c r="AT239" s="436" t="n">
        <v>0</v>
      </c>
      <c r="AU239" s="436" t="n">
        <v>0</v>
      </c>
      <c r="AV239" s="436" t="n">
        <v>0</v>
      </c>
      <c r="AW239" s="436" t="n">
        <v>0</v>
      </c>
      <c r="AX239" s="436" t="n">
        <v>0</v>
      </c>
      <c r="AY239" s="436" t="n">
        <v>0</v>
      </c>
      <c r="AZ239" s="436" t="n">
        <v>0</v>
      </c>
      <c r="BA239" s="436" t="n">
        <v>0</v>
      </c>
      <c r="BB239" s="436" t="n">
        <v>0</v>
      </c>
      <c r="BC239" s="436" t="n">
        <v>0</v>
      </c>
      <c r="BD239" s="436" t="n">
        <v>0</v>
      </c>
      <c r="BE239" s="436" t="n">
        <v>0</v>
      </c>
      <c r="BF239" s="436" t="n">
        <v>0</v>
      </c>
      <c r="BG239" s="436" t="n">
        <v>0</v>
      </c>
      <c r="BH239" s="436" t="n">
        <v>0</v>
      </c>
      <c r="BI239" s="436" t="n">
        <v>0</v>
      </c>
      <c r="BJ239" s="436" t="n">
        <v>0</v>
      </c>
      <c r="BK239" s="436" t="n">
        <v>0</v>
      </c>
      <c r="BL239" s="436" t="n">
        <v>0</v>
      </c>
      <c r="BM239" s="436" t="n">
        <v>0</v>
      </c>
      <c r="BN239" s="436" t="n">
        <v>0</v>
      </c>
      <c r="BO239" s="436" t="n">
        <v>0</v>
      </c>
      <c r="BP239" s="436" t="n">
        <v>0</v>
      </c>
      <c r="BQ239" s="436" t="n">
        <v>0</v>
      </c>
      <c r="BR239" s="436" t="n">
        <v>0</v>
      </c>
      <c r="BS239" s="436" t="n">
        <v>0</v>
      </c>
      <c r="BT239" s="436" t="n">
        <v>0</v>
      </c>
      <c r="BU239" s="436" t="n">
        <v>0</v>
      </c>
      <c r="BV239" s="436" t="n">
        <v>0</v>
      </c>
      <c r="BW239" s="436" t="n">
        <v>0</v>
      </c>
      <c r="BX239" s="436" t="n">
        <v>0</v>
      </c>
      <c r="BY239" s="436" t="n">
        <v>0</v>
      </c>
      <c r="BZ239" s="436" t="n">
        <v>0</v>
      </c>
      <c r="CA239" s="436" t="n">
        <v>0</v>
      </c>
      <c r="CB239" s="436" t="n">
        <v>0</v>
      </c>
      <c r="CC239" s="436" t="n">
        <v>0</v>
      </c>
      <c r="CD239" s="436" t="n">
        <v>0</v>
      </c>
      <c r="CE239" s="436" t="n">
        <v>0</v>
      </c>
      <c r="CF239" s="436" t="n">
        <v>0</v>
      </c>
      <c r="CG239" s="436" t="n">
        <v>0</v>
      </c>
      <c r="CH239" s="436" t="n">
        <v>0</v>
      </c>
      <c r="CI239" s="436" t="n">
        <v>0</v>
      </c>
      <c r="CJ239" s="436" t="n">
        <v>0</v>
      </c>
      <c r="CK239" s="436" t="n">
        <v>0</v>
      </c>
      <c r="CL239" s="436" t="n">
        <v>0</v>
      </c>
      <c r="CM239" s="436" t="n">
        <v>0</v>
      </c>
      <c r="CN239" s="436" t="n">
        <v>0</v>
      </c>
      <c r="CO239" s="436" t="n">
        <v>0</v>
      </c>
      <c r="CP239" s="436" t="n">
        <v>0</v>
      </c>
      <c r="CQ239" s="436" t="n">
        <v>0</v>
      </c>
      <c r="CR239" s="436" t="n">
        <v>0</v>
      </c>
      <c r="CS239" s="436" t="n">
        <v>0</v>
      </c>
      <c r="CT239" s="436" t="n"/>
      <c r="CU239" s="436" t="n"/>
      <c r="CV239" s="436" t="n"/>
      <c r="CW239" s="436" t="n"/>
      <c r="CX239" s="436" t="n"/>
      <c r="CY239" s="436" t="n"/>
      <c r="CZ239" s="436" t="n"/>
      <c r="DA239" s="436" t="n"/>
      <c r="DB239" s="436" t="n"/>
      <c r="DC239" s="436" t="n"/>
      <c r="DD239" s="436" t="n"/>
      <c r="DE239" s="436" t="n"/>
    </row>
    <row r="240" ht="15" customFormat="1" customHeight="1" s="381">
      <c r="A240" s="437" t="inlineStr">
        <is>
          <t>3rd St - PIK Payment (LIHTC)</t>
        </is>
      </c>
      <c r="B240" s="438" t="n"/>
      <c r="C240" s="438" t="n"/>
      <c r="D240" s="438" t="n"/>
      <c r="E240" s="438">
        <f>-MIN(E237+E238+E239,MAX(0,E164-Helpers!C26))</f>
        <v>0</v>
      </c>
      <c r="F240" s="438">
        <f>-MIN(F237+F238+F239,MAX(0,F164-Helpers!D26))</f>
        <v>0</v>
      </c>
      <c r="G240" s="438">
        <f>-MIN(G237+G238+G239,MAX(0,G164-Helpers!E26))</f>
        <v>0</v>
      </c>
      <c r="H240" s="438">
        <f>-MIN(H237+H238+H239,MAX(0,H164-Helpers!F26))</f>
        <v>0</v>
      </c>
      <c r="I240" s="438">
        <f>-MIN(I237+I238+I239,MAX(0,I164-Helpers!G26))</f>
        <v>0</v>
      </c>
      <c r="J240" s="438">
        <f>-MIN(J237+J238+J239,MAX(0,J164-Helpers!H26))</f>
        <v>0</v>
      </c>
      <c r="K240" s="438">
        <f>-MIN(K237+K238+K239,MAX(0,K164-Helpers!I26))</f>
        <v>0</v>
      </c>
      <c r="L240" s="438">
        <f>-MIN(L237+L238+L239,MAX(0,L164-Helpers!J26))</f>
        <v>0</v>
      </c>
      <c r="M240" s="438">
        <f>-MIN(M237+M238+M239,MAX(0,M164-Helpers!K26))</f>
        <v>0</v>
      </c>
      <c r="N240" s="438">
        <f>-MIN(N237+N238+N239,MAX(0,N164-Helpers!L26))</f>
        <v>0</v>
      </c>
      <c r="O240" s="438">
        <f>-MIN(O237+O238+O239,MAX(0,O164-Helpers!M26))</f>
        <v>0</v>
      </c>
      <c r="P240" s="438">
        <f>-MIN(P237+P238+P239,MAX(0,P164-Helpers!N26))</f>
        <v>0</v>
      </c>
      <c r="Q240" s="438">
        <f>-MIN(Q237+Q238+Q239,MAX(0,Q164-Helpers!O26))</f>
        <v>0</v>
      </c>
      <c r="R240" s="438">
        <f>-MIN(R237+R238+R239,MAX(0,R164-Helpers!P26))</f>
        <v>0</v>
      </c>
      <c r="S240" s="438">
        <f>-MIN(S237+S238+S239,MAX(0,S164-Helpers!Q26))</f>
        <v>0</v>
      </c>
      <c r="T240" s="438">
        <f>-MIN(T237+T238+T239,MAX(0,T164-Helpers!R26))</f>
        <v>0</v>
      </c>
      <c r="U240" s="438">
        <f>-MIN(U237+U238+U239,MAX(0,U164-Helpers!S26))</f>
        <v>0</v>
      </c>
      <c r="V240" s="438">
        <f>-MIN(V237+V238+V239,MAX(0,V164-Helpers!T26))</f>
        <v>0</v>
      </c>
      <c r="W240" s="438">
        <f>-MIN(W237+W238+W239,MAX(0,W164-Helpers!U26))</f>
        <v>0</v>
      </c>
      <c r="X240" s="438">
        <f>-MIN(X237+X238+X239,MAX(0,X164-Helpers!V26))</f>
        <v>0</v>
      </c>
      <c r="Y240" s="438">
        <f>-MIN(Y237+Y238+Y239,MAX(0,Y164-Helpers!W26))</f>
        <v>0</v>
      </c>
      <c r="Z240" s="438">
        <f>-MIN(Z237+Z238+Z239,MAX(0,Z164-Helpers!X26))</f>
        <v>0</v>
      </c>
      <c r="AA240" s="438">
        <f>-MIN(AA237+AA238+AA239,MAX(0,AA164-Helpers!Y26))</f>
        <v>0</v>
      </c>
      <c r="AB240" s="438">
        <f>-MIN(AB237+AB238+AB239,MAX(0,AB164-Helpers!Z26))</f>
        <v>0</v>
      </c>
      <c r="AC240" s="438">
        <f>-MIN(AC237+AC238+AC239,MAX(0,AC164-Helpers!AA26))</f>
        <v>0</v>
      </c>
      <c r="AD240" s="438">
        <f>-MIN(AD237+AD238+AD239,MAX(0,AD164-Helpers!AB26))</f>
        <v>0</v>
      </c>
      <c r="AE240" s="438">
        <f>-MIN(AE237+AE238+AE239,MAX(0,AE164-Helpers!AC26))</f>
        <v>0</v>
      </c>
      <c r="AF240" s="438">
        <f>-MIN(AF237+AF238+AF239,MAX(0,AF164-Helpers!AD26))</f>
        <v>0</v>
      </c>
      <c r="AG240" s="438">
        <f>-MIN(AG237+AG238+AG239,MAX(0,AG164-Helpers!AE26))</f>
        <v>0</v>
      </c>
      <c r="AH240" s="438">
        <f>-MIN(AH237+AH238+AH239,MAX(0,AH164-Helpers!AF26))</f>
        <v>0</v>
      </c>
      <c r="AI240" s="438">
        <f>-MIN(AI237+AI238+AI239,MAX(0,AI164-Helpers!AG26))</f>
        <v>0</v>
      </c>
      <c r="AJ240" s="438">
        <f>-MIN(AJ237+AJ238+AJ239,MAX(0,AJ164-Helpers!AH26))</f>
        <v>0</v>
      </c>
      <c r="AK240" s="438">
        <f>-MIN(AK237+AK238+AK239,MAX(0,AK164-Helpers!AI26))</f>
        <v>0</v>
      </c>
      <c r="AL240" s="438">
        <f>-MIN(AL237+AL238+AL239,MAX(0,AL164-Helpers!AJ26))</f>
        <v>0</v>
      </c>
      <c r="AM240" s="438">
        <f>-MIN(AM237+AM238+AM239,MAX(0,AM164-Helpers!AK26))</f>
        <v>0</v>
      </c>
      <c r="AN240" s="438">
        <f>-MIN(AN237+AN238+AN239,MAX(0,AN164-Helpers!AL26))</f>
        <v>0</v>
      </c>
      <c r="AO240" s="438">
        <f>-MIN(AO237+AO238+AO239,MAX(0,AO164-Helpers!AM26))</f>
        <v>0</v>
      </c>
      <c r="AP240" s="438">
        <f>-MIN(AP237+AP238+AP239,MAX(0,AP164-Helpers!AN26))</f>
        <v>0</v>
      </c>
      <c r="AQ240" s="438">
        <f>-MIN(AQ237+AQ238+AQ239,MAX(0,AQ164-Helpers!AO26))</f>
        <v>0</v>
      </c>
      <c r="AR240" s="438">
        <f>-MIN(AR237+AR238+AR239,MAX(0,AR164-Helpers!AP26))</f>
        <v>0</v>
      </c>
      <c r="AS240" s="438">
        <f>-MIN(AS237+AS238+AS239,MAX(0,AS164-Helpers!AQ26))</f>
        <v>0</v>
      </c>
      <c r="AT240" s="438">
        <f>-MIN(AT237+AT238+AT239,MAX(0,AT164-Helpers!AR26))</f>
        <v>0</v>
      </c>
      <c r="AU240" s="438">
        <f>-MIN(AU237+AU238+AU239,MAX(0,AU164-Helpers!AS26))</f>
        <v>0</v>
      </c>
      <c r="AV240" s="438">
        <f>-MIN(AV237+AV238+AV239,MAX(0,AV164-Helpers!AT26))</f>
        <v>0</v>
      </c>
      <c r="AW240" s="438">
        <f>-MIN(AW237+AW238+AW239,MAX(0,AW164-Helpers!AU26))</f>
        <v>0</v>
      </c>
      <c r="AX240" s="438">
        <f>-MIN(AX237+AX238+AX239,MAX(0,AX164-Helpers!AV26))</f>
        <v>0</v>
      </c>
      <c r="AY240" s="438">
        <f>-MIN(AY237+AY238+AY239,MAX(0,AY164-Helpers!AW26))</f>
        <v>0</v>
      </c>
      <c r="AZ240" s="438">
        <f>-MIN(AZ237+AZ238+AZ239,MAX(0,AZ164-Helpers!AX26))</f>
        <v>0</v>
      </c>
      <c r="BA240" s="438">
        <f>-MIN(BA237+BA238+BA239,MAX(0,BA164-Helpers!AY26))</f>
        <v>0</v>
      </c>
      <c r="BB240" s="438">
        <f>-MIN(BB237+BB238+BB239,MAX(0,BB164-Helpers!AZ26))</f>
        <v>0</v>
      </c>
      <c r="BC240" s="438">
        <f>-MIN(BC237+BC238+BC239,MAX(0,BC164-Helpers!BA26))</f>
        <v>0</v>
      </c>
      <c r="BD240" s="438">
        <f>-MIN(BD237+BD238+BD239,MAX(0,BD164-Helpers!BB26))</f>
        <v>0</v>
      </c>
      <c r="BE240" s="438">
        <f>-MIN(BE237+BE238+BE239,MAX(0,BE164-Helpers!BC26))</f>
        <v>0</v>
      </c>
      <c r="BF240" s="438">
        <f>-MIN(BF237+BF238+BF239,MAX(0,BF164-Helpers!BD26))</f>
        <v>0</v>
      </c>
      <c r="BG240" s="438">
        <f>-MIN(BG237+BG238+BG239,MAX(0,BG164-Helpers!BE26))</f>
        <v>0</v>
      </c>
      <c r="BH240" s="438">
        <f>-MIN(BH237+BH238+BH239,MAX(0,BH164-Helpers!BF26))</f>
        <v>0</v>
      </c>
      <c r="BI240" s="438">
        <f>-MIN(BI237+BI238+BI239,MAX(0,BI164-Helpers!BG26))</f>
        <v>0</v>
      </c>
      <c r="BJ240" s="438">
        <f>-MIN(BJ237+BJ238+BJ239,MAX(0,BJ164-Helpers!BH26))</f>
        <v>0</v>
      </c>
      <c r="BK240" s="438">
        <f>-MIN(BK237+BK238+BK239,MAX(0,BK164-Helpers!BI26))</f>
        <v>0</v>
      </c>
      <c r="BL240" s="438">
        <f>-MIN(BL237+BL238+BL239,MAX(0,BL164-Helpers!BJ26))</f>
        <v>0</v>
      </c>
      <c r="BM240" s="438">
        <f>-MIN(BM237+BM238+BM239,MAX(0,BM164-Helpers!BK26))</f>
        <v>0</v>
      </c>
      <c r="BN240" s="438">
        <f>-MIN(BN237+BN238+BN239,MAX(0,BN164-Helpers!BL26))</f>
        <v>0</v>
      </c>
      <c r="BO240" s="438">
        <f>-MIN(BO237+BO238+BO239,MAX(0,BO164-Helpers!BM26))</f>
        <v>0</v>
      </c>
      <c r="BP240" s="438">
        <f>-MIN(BP237+BP238+BP239,MAX(0,BP164-Helpers!BN26))</f>
        <v>0</v>
      </c>
      <c r="BQ240" s="438">
        <f>-MIN(BQ237+BQ238+BQ239,MAX(0,BQ164-Helpers!BO26))</f>
        <v>0</v>
      </c>
      <c r="BR240" s="438">
        <f>-MIN(BR237+BR238+BR239,MAX(0,BR164-Helpers!BP26))</f>
        <v>0</v>
      </c>
      <c r="BS240" s="438">
        <f>-MIN(BS237+BS238+BS239,MAX(0,BS164-Helpers!BQ26))</f>
        <v>0</v>
      </c>
      <c r="BT240" s="438">
        <f>-MIN(BT237+BT238+BT239,MAX(0,BT164-Helpers!BR26))</f>
        <v>0</v>
      </c>
      <c r="BU240" s="438">
        <f>-MIN(BU237+BU238+BU239,MAX(0,BU164-Helpers!BS26))</f>
        <v>0</v>
      </c>
      <c r="BV240" s="438">
        <f>-MIN(BV237+BV238+BV239,MAX(0,BV164-Helpers!BT26))</f>
        <v>0</v>
      </c>
      <c r="BW240" s="438">
        <f>-MIN(BW237+BW238+BW239,MAX(0,BW164-Helpers!BU26))</f>
        <v>0</v>
      </c>
      <c r="BX240" s="438">
        <f>-MIN(BX237+BX238+BX239,MAX(0,BX164-Helpers!BV26))</f>
        <v>0</v>
      </c>
      <c r="BY240" s="438">
        <f>-MIN(BY237+BY238+BY239,MAX(0,BY164-Helpers!BW26))</f>
        <v>0</v>
      </c>
      <c r="BZ240" s="438">
        <f>-MIN(BZ237+BZ238+BZ239,MAX(0,BZ164-Helpers!BX26))</f>
        <v>0</v>
      </c>
      <c r="CA240" s="438">
        <f>-MIN(CA237+CA238+CA239,MAX(0,CA164-Helpers!BY26))</f>
        <v>0</v>
      </c>
      <c r="CB240" s="438">
        <f>-MIN(CB237+CB238+CB239,MAX(0,CB164-Helpers!BZ26))</f>
        <v>0</v>
      </c>
      <c r="CC240" s="438">
        <f>-MIN(CC237+CC238+CC239,MAX(0,CC164-Helpers!CA26))</f>
        <v>0</v>
      </c>
      <c r="CD240" s="438">
        <f>-MIN(CD237+CD238+CD239,MAX(0,CD164-Helpers!CB26))</f>
        <v>0</v>
      </c>
      <c r="CE240" s="438">
        <f>-MIN(CE237+CE238+CE239,MAX(0,CE164-Helpers!CC26))</f>
        <v>0</v>
      </c>
      <c r="CF240" s="438">
        <f>-MIN(CF237+CF238+CF239,MAX(0,CF164-Helpers!CD26))</f>
        <v>0</v>
      </c>
      <c r="CG240" s="438">
        <f>-MIN(CG237+CG238+CG239,MAX(0,CG164-Helpers!CE26))</f>
        <v>0</v>
      </c>
      <c r="CH240" s="438">
        <f>-MIN(CH237+CH238+CH239,MAX(0,CH164-Helpers!CF26))</f>
        <v>0</v>
      </c>
      <c r="CI240" s="438">
        <f>-MIN(CI237+CI238+CI239,MAX(0,CI164-Helpers!CG26))</f>
        <v>0</v>
      </c>
      <c r="CJ240" s="438">
        <f>-MIN(CJ237+CJ238+CJ239,MAX(0,CJ164-Helpers!CH26))</f>
        <v>0</v>
      </c>
      <c r="CK240" s="438">
        <f>-MIN(CK237+CK238+CK239,MAX(0,CK164-Helpers!CI26))</f>
        <v>0</v>
      </c>
      <c r="CL240" s="438">
        <f>-MIN(CL237+CL238+CL239,MAX(0,CL164-Helpers!CJ26))</f>
        <v>0</v>
      </c>
      <c r="CM240" s="438">
        <f>-MIN(CM237+CM238+CM239,MAX(0,CM164-Helpers!CK26))</f>
        <v>0</v>
      </c>
      <c r="CN240" s="438">
        <f>-MIN(CN237+CN238+CN239,MAX(0,CN164-Helpers!CL26))</f>
        <v>-21694.6799999999</v>
      </c>
      <c r="CO240" s="438">
        <f>-MIN(CO237+CO238+CO239,MAX(0,CO164-Helpers!CM26))</f>
        <v>-73155</v>
      </c>
      <c r="CP240" s="438">
        <f>-MIN(CP237+CP238+CP239,MAX(0,CP164-Helpers!CN26))</f>
        <v>-73155</v>
      </c>
      <c r="CQ240" s="438">
        <f>-MIN(CQ237+CQ238+CQ239,MAX(0,CQ164-Helpers!CO26))</f>
        <v>-73155</v>
      </c>
      <c r="CR240" s="438">
        <f>-MIN(CR237+CR238+CR239,MAX(0,CR164-Helpers!CP26))</f>
        <v>-73155</v>
      </c>
      <c r="CS240" s="438">
        <f>-MIN(CS237+CS238+CS239,MAX(0,CS164-Helpers!CQ26))</f>
        <v>-73155</v>
      </c>
      <c r="CT240" s="438">
        <f>-MIN(CT237+CT238+CT239,MAX(0,CT164-Helpers!CR26))</f>
        <v>-73155</v>
      </c>
      <c r="CU240" s="438">
        <f>-MIN(CU237+CU238+CU239,MAX(0,CU164-Helpers!CS26))</f>
        <v>-73155</v>
      </c>
      <c r="CV240" s="438">
        <f>-MIN(CV237+CV238+CV239,MAX(0,CV164-Helpers!CT26))</f>
        <v>-73155</v>
      </c>
      <c r="CW240" s="438">
        <f>-MIN(CW237+CW238+CW239,MAX(0,CW164-Helpers!CU26))</f>
        <v>-17446.8489364072</v>
      </c>
      <c r="CX240" s="438">
        <f>-MIN(CX237+CX238+CX239,MAX(0,CX164-Helpers!CV26))</f>
        <v>0</v>
      </c>
      <c r="CY240" s="438">
        <f>-MIN(CY237+CY238+CY239,MAX(0,CY164-Helpers!CW26))</f>
        <v>0</v>
      </c>
      <c r="CZ240" s="438">
        <f>-MIN(CZ237+CZ238+CZ239,MAX(0,CZ164-Helpers!CX26))</f>
        <v>0</v>
      </c>
      <c r="DA240" s="438">
        <f>-MIN(DA237+DA238+DA239,MAX(0,DA164-Helpers!CY26))</f>
        <v>0</v>
      </c>
      <c r="DB240" s="438">
        <f>-MIN(DB237+DB238+DB239,MAX(0,DB164-Helpers!CZ26))</f>
        <v>0</v>
      </c>
      <c r="DC240" s="438">
        <f>-MIN(DC237+DC238+DC239,MAX(0,DC164-Helpers!DA26))</f>
        <v>0</v>
      </c>
      <c r="DD240" s="438">
        <f>-MIN(DD237+DD238+DD239,MAX(0,DD164-Helpers!DB26))</f>
        <v>0</v>
      </c>
      <c r="DE240" s="438">
        <f>-MIN(DE237+DE238+DE239,MAX(0,DE164-Helpers!DC26))</f>
        <v>0</v>
      </c>
    </row>
    <row r="241" ht="15" customFormat="1" customHeight="1" s="381">
      <c r="A241" s="433" t="inlineStr">
        <is>
          <t>3rd St - Ending Balance</t>
        </is>
      </c>
      <c r="B241" s="434" t="n"/>
      <c r="C241" s="434" t="n"/>
      <c r="D241" s="434" t="n"/>
      <c r="E241" s="434">
        <f>MAX(0,E237+E238+E239+E240)</f>
        <v>264927.15</v>
      </c>
      <c r="F241" s="434">
        <f>MAX(0,F237+F238+F239+F240)</f>
        <v>264927.15</v>
      </c>
      <c r="G241" s="434">
        <f>MAX(0,G237+G238+G239+G240)</f>
        <v>458103.196875</v>
      </c>
      <c r="H241" s="434">
        <f>MAX(0,H237+H238+H239+H240)</f>
        <v>458103.196875</v>
      </c>
      <c r="I241" s="434">
        <f>MAX(0,I237+I238+I239+I240)</f>
        <v>458103.196875</v>
      </c>
      <c r="J241" s="434">
        <f>MAX(0,J237+J238+J239+J240)</f>
        <v>658523.345507813</v>
      </c>
      <c r="K241" s="434">
        <f>MAX(0,K237+K238+K239+K240)</f>
        <v>658523.345507813</v>
      </c>
      <c r="L241" s="434">
        <f>MAX(0,L237+L238+L239+L240)</f>
        <v>658523.345507813</v>
      </c>
      <c r="M241" s="434">
        <f>MAX(0,M237+M238+M239+M240)</f>
        <v>683217.970964355</v>
      </c>
      <c r="N241" s="434">
        <f>MAX(0,N237+N238+N239+N240)</f>
        <v>771527.020964355</v>
      </c>
      <c r="O241" s="434">
        <f>MAX(0,O237+O238+O239+O240)</f>
        <v>771527.020964355</v>
      </c>
      <c r="P241" s="434">
        <f>MAX(0,P237+P238+P239+P240)</f>
        <v>800459.284250519</v>
      </c>
      <c r="Q241" s="434">
        <f>MAX(0,Q237+Q238+Q239+Q240)</f>
        <v>800459.284250519</v>
      </c>
      <c r="R241" s="434">
        <f>MAX(0,R237+R238+R239+R240)</f>
        <v>800459.284250519</v>
      </c>
      <c r="S241" s="434">
        <f>MAX(0,S237+S238+S239+S240)</f>
        <v>922097.146784913</v>
      </c>
      <c r="T241" s="434">
        <f>MAX(0,T237+T238+T239+T240)</f>
        <v>922097.146784913</v>
      </c>
      <c r="U241" s="434">
        <f>MAX(0,U237+U238+U239+U240)</f>
        <v>922097.146784913</v>
      </c>
      <c r="V241" s="434">
        <f>MAX(0,V237+V238+V239+V240)</f>
        <v>956675.789789348</v>
      </c>
      <c r="W241" s="434">
        <f>MAX(0,W237+W238+W239+W240)</f>
        <v>956675.789789348</v>
      </c>
      <c r="X241" s="434">
        <f>MAX(0,X237+X238+X239+X240)</f>
        <v>956675.789789348</v>
      </c>
      <c r="Y241" s="434">
        <f>MAX(0,Y237+Y238+Y239+Y240)</f>
        <v>1084171.77128145</v>
      </c>
      <c r="Z241" s="434">
        <f>MAX(0,Z237+Z238+Z239+Z240)</f>
        <v>1084171.77128145</v>
      </c>
      <c r="AA241" s="434">
        <f>MAX(0,AA237+AA238+AA239+AA240)</f>
        <v>1084171.77128145</v>
      </c>
      <c r="AB241" s="434">
        <f>MAX(0,AB237+AB238+AB239+AB240)</f>
        <v>1124828.2127045</v>
      </c>
      <c r="AC241" s="434">
        <f>MAX(0,AC237+AC238+AC239+AC240)</f>
        <v>1124828.2127045</v>
      </c>
      <c r="AD241" s="434">
        <f>MAX(0,AD237+AD238+AD239+AD240)</f>
        <v>1124828.2127045</v>
      </c>
      <c r="AE241" s="434">
        <f>MAX(0,AE237+AE238+AE239+AE240)</f>
        <v>283215.664430921</v>
      </c>
      <c r="AF241" s="434">
        <f>MAX(0,AF237+AF238+AF239+AF240)</f>
        <v>283215.664430921</v>
      </c>
      <c r="AG241" s="434">
        <f>MAX(0,AG237+AG238+AG239+AG240)</f>
        <v>283215.664430921</v>
      </c>
      <c r="AH241" s="434">
        <f>MAX(0,AH237+AH238+AH239+AH240)</f>
        <v>293836.251847081</v>
      </c>
      <c r="AI241" s="434">
        <f>MAX(0,AI237+AI238+AI239+AI240)</f>
        <v>293836.251847081</v>
      </c>
      <c r="AJ241" s="434">
        <f>MAX(0,AJ237+AJ238+AJ239+AJ240)</f>
        <v>293836.251847081</v>
      </c>
      <c r="AK241" s="434">
        <f>MAX(0,AK237+AK238+AK239+AK240)</f>
        <v>304855.111291347</v>
      </c>
      <c r="AL241" s="434">
        <f>MAX(0,AL237+AL238+AL239+AL240)</f>
        <v>304855.111291347</v>
      </c>
      <c r="AM241" s="434">
        <f>MAX(0,AM237+AM238+AM239+AM240)</f>
        <v>304855.111291347</v>
      </c>
      <c r="AN241" s="434">
        <f>MAX(0,AN237+AN238+AN239+AN240)</f>
        <v>316287.177964772</v>
      </c>
      <c r="AO241" s="434">
        <f>MAX(0,AO237+AO238+AO239+AO240)</f>
        <v>316287.177964772</v>
      </c>
      <c r="AP241" s="434">
        <f>MAX(0,AP237+AP238+AP239+AP240)</f>
        <v>316287.177964772</v>
      </c>
      <c r="AQ241" s="434">
        <f>MAX(0,AQ237+AQ238+AQ239+AQ240)</f>
        <v>328147.947138451</v>
      </c>
      <c r="AR241" s="434">
        <f>MAX(0,AR237+AR238+AR239+AR240)</f>
        <v>328147.947138451</v>
      </c>
      <c r="AS241" s="434">
        <f>MAX(0,AS237+AS238+AS239+AS240)</f>
        <v>328147.947138451</v>
      </c>
      <c r="AT241" s="434">
        <f>MAX(0,AT237+AT238+AT239+AT240)</f>
        <v>340453.495156143</v>
      </c>
      <c r="AU241" s="434">
        <f>MAX(0,AU237+AU238+AU239+AU240)</f>
        <v>340453.495156143</v>
      </c>
      <c r="AV241" s="434">
        <f>MAX(0,AV237+AV238+AV239+AV240)</f>
        <v>340453.495156143</v>
      </c>
      <c r="AW241" s="434">
        <f>MAX(0,AW237+AW238+AW239+AW240)</f>
        <v>353220.501224498</v>
      </c>
      <c r="AX241" s="434">
        <f>MAX(0,AX237+AX238+AX239+AX240)</f>
        <v>353220.501224498</v>
      </c>
      <c r="AY241" s="434">
        <f>MAX(0,AY237+AY238+AY239+AY240)</f>
        <v>353220.501224498</v>
      </c>
      <c r="AZ241" s="434">
        <f>MAX(0,AZ237+AZ238+AZ239+AZ240)</f>
        <v>366466.270020417</v>
      </c>
      <c r="BA241" s="434">
        <f>MAX(0,BA237+BA238+BA239+BA240)</f>
        <v>366466.270020417</v>
      </c>
      <c r="BB241" s="434">
        <f>MAX(0,BB237+BB238+BB239+BB240)</f>
        <v>366466.270020417</v>
      </c>
      <c r="BC241" s="434">
        <f>MAX(0,BC237+BC238+BC239+BC240)</f>
        <v>380208.755146183</v>
      </c>
      <c r="BD241" s="434">
        <f>MAX(0,BD237+BD238+BD239+BD240)</f>
        <v>380208.755146183</v>
      </c>
      <c r="BE241" s="434">
        <f>MAX(0,BE237+BE238+BE239+BE240)</f>
        <v>380208.755146183</v>
      </c>
      <c r="BF241" s="434">
        <f>MAX(0,BF237+BF238+BF239+BF240)</f>
        <v>394466.583464164</v>
      </c>
      <c r="BG241" s="434">
        <f>MAX(0,BG237+BG238+BG239+BG240)</f>
        <v>394466.583464164</v>
      </c>
      <c r="BH241" s="434">
        <f>MAX(0,BH237+BH238+BH239+BH240)</f>
        <v>394466.583464164</v>
      </c>
      <c r="BI241" s="434">
        <f>MAX(0,BI237+BI238+BI239+BI240)</f>
        <v>409259.080344071</v>
      </c>
      <c r="BJ241" s="434">
        <f>MAX(0,BJ237+BJ238+BJ239+BJ240)</f>
        <v>409259.080344071</v>
      </c>
      <c r="BK241" s="434">
        <f>MAX(0,BK237+BK238+BK239+BK240)</f>
        <v>409259.080344071</v>
      </c>
      <c r="BL241" s="434">
        <f>MAX(0,BL237+BL238+BL239+BL240)</f>
        <v>424606.295856973</v>
      </c>
      <c r="BM241" s="434">
        <f>MAX(0,BM237+BM238+BM239+BM240)</f>
        <v>424606.295856973</v>
      </c>
      <c r="BN241" s="434">
        <f>MAX(0,BN237+BN238+BN239+BN240)</f>
        <v>424606.295856973</v>
      </c>
      <c r="BO241" s="434">
        <f>MAX(0,BO237+BO238+BO239+BO240)</f>
        <v>440529.03195161</v>
      </c>
      <c r="BP241" s="434">
        <f>MAX(0,BP237+BP238+BP239+BP240)</f>
        <v>440529.03195161</v>
      </c>
      <c r="BQ241" s="434">
        <f>MAX(0,BQ237+BQ238+BQ239+BQ240)</f>
        <v>440529.03195161</v>
      </c>
      <c r="BR241" s="434">
        <f>MAX(0,BR237+BR238+BR239+BR240)</f>
        <v>457048.870649795</v>
      </c>
      <c r="BS241" s="434">
        <f>MAX(0,BS237+BS238+BS239+BS240)</f>
        <v>457048.870649795</v>
      </c>
      <c r="BT241" s="434">
        <f>MAX(0,BT237+BT238+BT239+BT240)</f>
        <v>457048.870649795</v>
      </c>
      <c r="BU241" s="434">
        <f>MAX(0,BU237+BU238+BU239+BU240)</f>
        <v>474188.203299162</v>
      </c>
      <c r="BV241" s="434">
        <f>MAX(0,BV237+BV238+BV239+BV240)</f>
        <v>474188.203299162</v>
      </c>
      <c r="BW241" s="434">
        <f>MAX(0,BW237+BW238+BW239+BW240)</f>
        <v>474188.203299162</v>
      </c>
      <c r="BX241" s="434">
        <f>MAX(0,BX237+BX238+BX239+BX240)</f>
        <v>491970.260922881</v>
      </c>
      <c r="BY241" s="434">
        <f>MAX(0,BY237+BY238+BY239+BY240)</f>
        <v>491970.260922881</v>
      </c>
      <c r="BZ241" s="434">
        <f>MAX(0,BZ237+BZ238+BZ239+BZ240)</f>
        <v>491970.260922881</v>
      </c>
      <c r="CA241" s="434">
        <f>MAX(0,CA237+CA238+CA239+CA240)</f>
        <v>510419.145707489</v>
      </c>
      <c r="CB241" s="434">
        <f>MAX(0,CB237+CB238+CB239+CB240)</f>
        <v>510419.145707489</v>
      </c>
      <c r="CC241" s="434">
        <f>MAX(0,CC237+CC238+CC239+CC240)</f>
        <v>510419.145707489</v>
      </c>
      <c r="CD241" s="434">
        <f>MAX(0,CD237+CD238+CD239+CD240)</f>
        <v>529559.86367152</v>
      </c>
      <c r="CE241" s="434">
        <f>MAX(0,CE237+CE238+CE239+CE240)</f>
        <v>529559.86367152</v>
      </c>
      <c r="CF241" s="434">
        <f>MAX(0,CF237+CF238+CF239+CF240)</f>
        <v>529559.86367152</v>
      </c>
      <c r="CG241" s="434">
        <f>MAX(0,CG237+CG238+CG239+CG240)</f>
        <v>549418.358559202</v>
      </c>
      <c r="CH241" s="434">
        <f>MAX(0,CH237+CH238+CH239+CH240)</f>
        <v>549418.358559202</v>
      </c>
      <c r="CI241" s="434">
        <f>MAX(0,CI237+CI238+CI239+CI240)</f>
        <v>549418.358559202</v>
      </c>
      <c r="CJ241" s="434">
        <f>MAX(0,CJ237+CJ238+CJ239+CJ240)</f>
        <v>570021.547005172</v>
      </c>
      <c r="CK241" s="434">
        <f>MAX(0,CK237+CK238+CK239+CK240)</f>
        <v>570021.547005172</v>
      </c>
      <c r="CL241" s="434">
        <f>MAX(0,CL237+CL238+CL239+CL240)</f>
        <v>570021.547005172</v>
      </c>
      <c r="CM241" s="434">
        <f>MAX(0,CM237+CM238+CM239+CM240)</f>
        <v>591397.355017866</v>
      </c>
      <c r="CN241" s="434">
        <f>MAX(0,CN237+CN238+CN239+CN240)</f>
        <v>569702.675017866</v>
      </c>
      <c r="CO241" s="434">
        <f>MAX(0,CO237+CO238+CO239+CO240)</f>
        <v>496547.675017866</v>
      </c>
      <c r="CP241" s="434">
        <f>MAX(0,CP237+CP238+CP239+CP240)</f>
        <v>442013.212831036</v>
      </c>
      <c r="CQ241" s="434">
        <f>MAX(0,CQ237+CQ238+CQ239+CQ240)</f>
        <v>368858.212831036</v>
      </c>
      <c r="CR241" s="434">
        <f>MAX(0,CR237+CR238+CR239+CR240)</f>
        <v>295703.212831036</v>
      </c>
      <c r="CS241" s="434">
        <f>MAX(0,CS237+CS238+CS239+CS240)</f>
        <v>233637.0833122</v>
      </c>
      <c r="CT241" s="434">
        <f>MAX(0,CT237+CT238+CT239+CT240)</f>
        <v>160482.0833122</v>
      </c>
      <c r="CU241" s="434">
        <f>MAX(0,CU237+CU238+CU239+CU240)</f>
        <v>87327.0833121997</v>
      </c>
      <c r="CV241" s="434">
        <f>MAX(0,CV237+CV238+CV239+CV240)</f>
        <v>17446.8489364072</v>
      </c>
      <c r="CW241" s="434">
        <f>MAX(0,CW237+CW238+CW239+CW240)</f>
        <v>0</v>
      </c>
      <c r="CX241" s="434">
        <f>MAX(0,CX237+CX238+CX239+CX240)</f>
        <v>0</v>
      </c>
      <c r="CY241" s="434">
        <f>MAX(0,CY237+CY238+CY239+CY240)</f>
        <v>0</v>
      </c>
      <c r="CZ241" s="434">
        <f>MAX(0,CZ237+CZ238+CZ239+CZ240)</f>
        <v>0</v>
      </c>
      <c r="DA241" s="434">
        <f>MAX(0,DA237+DA238+DA239+DA240)</f>
        <v>0</v>
      </c>
      <c r="DB241" s="434">
        <f>MAX(0,DB237+DB238+DB239+DB240)</f>
        <v>0</v>
      </c>
      <c r="DC241" s="434">
        <f>MAX(0,DC237+DC238+DC239+DC240)</f>
        <v>0</v>
      </c>
      <c r="DD241" s="434">
        <f>MAX(0,DD237+DD238+DD239+DD240)</f>
        <v>0</v>
      </c>
      <c r="DE241" s="434">
        <f>MAX(0,DE237+DE238+DE239+DE240)</f>
        <v>0</v>
      </c>
    </row>
    <row r="242" ht="15" customFormat="1" customHeight="1" s="381">
      <c r="A242" s="435" t="inlineStr">
        <is>
          <t>Reseda - Beginning Balance</t>
        </is>
      </c>
      <c r="B242" s="436" t="n"/>
      <c r="C242" s="436" t="n"/>
      <c r="D242" s="436" t="n"/>
      <c r="E242" s="436">
        <f>IF(Projects!$G$13="Yes",Assumptions!$B$71,0)</f>
        <v>1134000</v>
      </c>
      <c r="F242" s="436">
        <f>E246+IF(AND(Projects!$G$13="Yes",2&lt;=Assumptions!$B$73),Assumptions!$B$72,0)</f>
        <v>1184000</v>
      </c>
      <c r="G242" s="436">
        <f>F246+IF(AND(Projects!$G$13="Yes",3&lt;=Assumptions!$B$73),Assumptions!$B$72,0)</f>
        <v>1234000</v>
      </c>
      <c r="H242" s="436">
        <f>G246+IF(AND(Projects!$G$13="Yes",4&lt;=Assumptions!$B$73),Assumptions!$B$72,0)</f>
        <v>1330275</v>
      </c>
      <c r="I242" s="436">
        <f>H246+IF(AND(Projects!$G$13="Yes",5&lt;=Assumptions!$B$73),Assumptions!$B$72,0)</f>
        <v>1380275</v>
      </c>
      <c r="J242" s="436">
        <f>I246+IF(AND(Projects!$G$13="Yes",6&lt;=Assumptions!$B$73),Assumptions!$B$72,0)</f>
        <v>1430275</v>
      </c>
      <c r="K242" s="436">
        <f>J246+IF(AND(Projects!$G$13="Yes",7&lt;=Assumptions!$B$73),Assumptions!$B$72,0)</f>
        <v>1533910.3125</v>
      </c>
      <c r="L242" s="436">
        <f>K246+IF(AND(Projects!$G$13="Yes",8&lt;=Assumptions!$B$73),Assumptions!$B$72,0)</f>
        <v>1583910.3125</v>
      </c>
      <c r="M242" s="436">
        <f>L246+IF(AND(Projects!$G$13="Yes",9&lt;=Assumptions!$B$73),Assumptions!$B$72,0)</f>
        <v>1633910.3125</v>
      </c>
      <c r="N242" s="436">
        <f>M246+IF(AND(Projects!$G$13="Yes",10&lt;=Assumptions!$B$73),Assumptions!$B$72,0)</f>
        <v>1745181.94921875</v>
      </c>
      <c r="O242" s="436">
        <f>N246+IF(AND(Projects!$G$13="Yes",11&lt;=Assumptions!$B$73),Assumptions!$B$72,0)</f>
        <v>1795181.94921875</v>
      </c>
      <c r="P242" s="436">
        <f>O246+IF(AND(Projects!$G$13="Yes",12&lt;=Assumptions!$B$73),Assumptions!$B$72,0)</f>
        <v>1845181.94921875</v>
      </c>
      <c r="Q242" s="436">
        <f>P246+IF(AND(Projects!$G$13="Yes",13&lt;=Assumptions!$B$73),Assumptions!$B$72,0)</f>
        <v>1964376.27231445</v>
      </c>
      <c r="R242" s="436">
        <f>Q246+IF(AND(Projects!$G$13="Yes",14&lt;=Assumptions!$B$73),Assumptions!$B$72,0)</f>
        <v>2014376.27231445</v>
      </c>
      <c r="S242" s="436">
        <f>R246+IF(AND(Projects!$G$13="Yes",15&lt;=Assumptions!$B$73),Assumptions!$B$72,0)</f>
        <v>564376.272314453</v>
      </c>
      <c r="T242" s="436">
        <f>S246+IF(AND(Projects!$G$13="Yes",16&lt;=Assumptions!$B$73),Assumptions!$B$72,0)</f>
        <v>585540.382526245</v>
      </c>
      <c r="U242" s="436">
        <f>T246+IF(AND(Projects!$G$13="Yes",17&lt;=Assumptions!$B$73),Assumptions!$B$72,0)</f>
        <v>585540.382526245</v>
      </c>
      <c r="V242" s="436">
        <f>U246+IF(AND(Projects!$G$13="Yes",18&lt;=Assumptions!$B$73),Assumptions!$B$72,0)</f>
        <v>585540.382526245</v>
      </c>
      <c r="W242" s="436">
        <f>V246+IF(AND(Projects!$G$13="Yes",19&lt;=Assumptions!$B$73),Assumptions!$B$72,0)</f>
        <v>607498.146870979</v>
      </c>
      <c r="X242" s="436">
        <f>W246+IF(AND(Projects!$G$13="Yes",20&lt;=Assumptions!$B$73),Assumptions!$B$72,0)</f>
        <v>607498.146870979</v>
      </c>
      <c r="Y242" s="436">
        <f>X246+IF(AND(Projects!$G$13="Yes",21&lt;=Assumptions!$B$73),Assumptions!$B$72,0)</f>
        <v>607498.146870979</v>
      </c>
      <c r="Z242" s="436">
        <f>Y246+IF(AND(Projects!$G$13="Yes",22&lt;=Assumptions!$B$73),Assumptions!$B$72,0)</f>
        <v>630279.327378641</v>
      </c>
      <c r="AA242" s="436">
        <f>Z246+IF(AND(Projects!$G$13="Yes",23&lt;=Assumptions!$B$73),Assumptions!$B$72,0)</f>
        <v>630279.327378641</v>
      </c>
      <c r="AB242" s="436">
        <f>AA246+IF(AND(Projects!$G$13="Yes",24&lt;=Assumptions!$B$73),Assumptions!$B$72,0)</f>
        <v>630279.327378641</v>
      </c>
      <c r="AC242" s="436">
        <f>AB246+IF(AND(Projects!$G$13="Yes",25&lt;=Assumptions!$B$73),Assumptions!$B$72,0)</f>
        <v>653914.80215534</v>
      </c>
      <c r="AD242" s="436">
        <f>AC246+IF(AND(Projects!$G$13="Yes",26&lt;=Assumptions!$B$73),Assumptions!$B$72,0)</f>
        <v>653914.80215534</v>
      </c>
      <c r="AE242" s="436">
        <f>AD246+IF(AND(Projects!$G$13="Yes",27&lt;=Assumptions!$B$73),Assumptions!$B$72,0)</f>
        <v>653914.80215534</v>
      </c>
      <c r="AF242" s="436">
        <f>AE246+IF(AND(Projects!$G$13="Yes",28&lt;=Assumptions!$B$73),Assumptions!$B$72,0)</f>
        <v>678436.607236165</v>
      </c>
      <c r="AG242" s="436">
        <f>AF246+IF(AND(Projects!$G$13="Yes",29&lt;=Assumptions!$B$73),Assumptions!$B$72,0)</f>
        <v>678436.607236165</v>
      </c>
      <c r="AH242" s="436">
        <f>AG246+IF(AND(Projects!$G$13="Yes",30&lt;=Assumptions!$B$73),Assumptions!$B$72,0)</f>
        <v>678436.607236165</v>
      </c>
      <c r="AI242" s="436">
        <f>AH246+IF(AND(Projects!$G$13="Yes",31&lt;=Assumptions!$B$73),Assumptions!$B$72,0)</f>
        <v>703877.980007521</v>
      </c>
      <c r="AJ242" s="436">
        <f>AI246+IF(AND(Projects!$G$13="Yes",32&lt;=Assumptions!$B$73),Assumptions!$B$72,0)</f>
        <v>703877.980007521</v>
      </c>
      <c r="AK242" s="436">
        <f>AJ246+IF(AND(Projects!$G$13="Yes",33&lt;=Assumptions!$B$73),Assumptions!$B$72,0)</f>
        <v>703877.980007521</v>
      </c>
      <c r="AL242" s="436">
        <f>AK246+IF(AND(Projects!$G$13="Yes",34&lt;=Assumptions!$B$73),Assumptions!$B$72,0)</f>
        <v>730273.404257803</v>
      </c>
      <c r="AM242" s="436">
        <f>AL246+IF(AND(Projects!$G$13="Yes",35&lt;=Assumptions!$B$73),Assumptions!$B$72,0)</f>
        <v>730273.404257803</v>
      </c>
      <c r="AN242" s="436">
        <f>AM246+IF(AND(Projects!$G$13="Yes",36&lt;=Assumptions!$B$73),Assumptions!$B$72,0)</f>
        <v>730273.404257803</v>
      </c>
      <c r="AO242" s="436">
        <f>AN246+IF(AND(Projects!$G$13="Yes",37&lt;=Assumptions!$B$73),Assumptions!$B$72,0)</f>
        <v>757658.656917471</v>
      </c>
      <c r="AP242" s="436">
        <f>AO246+IF(AND(Projects!$G$13="Yes",38&lt;=Assumptions!$B$73),Assumptions!$B$72,0)</f>
        <v>757658.656917471</v>
      </c>
      <c r="AQ242" s="436">
        <f>AP246+IF(AND(Projects!$G$13="Yes",39&lt;=Assumptions!$B$73),Assumptions!$B$72,0)</f>
        <v>757658.656917471</v>
      </c>
      <c r="AR242" s="436">
        <f>AQ246+IF(AND(Projects!$G$13="Yes",40&lt;=Assumptions!$B$73),Assumptions!$B$72,0)</f>
        <v>786070.856551876</v>
      </c>
      <c r="AS242" s="436">
        <f>AR246+IF(AND(Projects!$G$13="Yes",41&lt;=Assumptions!$B$73),Assumptions!$B$72,0)</f>
        <v>786070.856551876</v>
      </c>
      <c r="AT242" s="436">
        <f>AS246+IF(AND(Projects!$G$13="Yes",42&lt;=Assumptions!$B$73),Assumptions!$B$72,0)</f>
        <v>786070.856551876</v>
      </c>
      <c r="AU242" s="436">
        <f>AT246+IF(AND(Projects!$G$13="Yes",43&lt;=Assumptions!$B$73),Assumptions!$B$72,0)</f>
        <v>815548.513672571</v>
      </c>
      <c r="AV242" s="436">
        <f>AU246+IF(AND(Projects!$G$13="Yes",44&lt;=Assumptions!$B$73),Assumptions!$B$72,0)</f>
        <v>815548.513672571</v>
      </c>
      <c r="AW242" s="436">
        <f>AV246+IF(AND(Projects!$G$13="Yes",45&lt;=Assumptions!$B$73),Assumptions!$B$72,0)</f>
        <v>815548.513672571</v>
      </c>
      <c r="AX242" s="436">
        <f>AW246+IF(AND(Projects!$G$13="Yes",46&lt;=Assumptions!$B$73),Assumptions!$B$72,0)</f>
        <v>846131.582935293</v>
      </c>
      <c r="AY242" s="436">
        <f>AX246+IF(AND(Projects!$G$13="Yes",47&lt;=Assumptions!$B$73),Assumptions!$B$72,0)</f>
        <v>846131.582935293</v>
      </c>
      <c r="AZ242" s="436">
        <f>AY246+IF(AND(Projects!$G$13="Yes",48&lt;=Assumptions!$B$73),Assumptions!$B$72,0)</f>
        <v>846131.582935293</v>
      </c>
      <c r="BA242" s="436">
        <f>AZ246+IF(AND(Projects!$G$13="Yes",49&lt;=Assumptions!$B$73),Assumptions!$B$72,0)</f>
        <v>877861.517295366</v>
      </c>
      <c r="BB242" s="436">
        <f>BA246+IF(AND(Projects!$G$13="Yes",50&lt;=Assumptions!$B$73),Assumptions!$B$72,0)</f>
        <v>877861.517295366</v>
      </c>
      <c r="BC242" s="436">
        <f>BB246+IF(AND(Projects!$G$13="Yes",51&lt;=Assumptions!$B$73),Assumptions!$B$72,0)</f>
        <v>877861.517295366</v>
      </c>
      <c r="BD242" s="436">
        <f>BC246+IF(AND(Projects!$G$13="Yes",52&lt;=Assumptions!$B$73),Assumptions!$B$72,0)</f>
        <v>661610.024193943</v>
      </c>
      <c r="BE242" s="436">
        <f>BD246+IF(AND(Projects!$G$13="Yes",53&lt;=Assumptions!$B$73),Assumptions!$B$72,0)</f>
        <v>661610.024193943</v>
      </c>
      <c r="BF242" s="436">
        <f>BE246+IF(AND(Projects!$G$13="Yes",54&lt;=Assumptions!$B$73),Assumptions!$B$72,0)</f>
        <v>661610.024193943</v>
      </c>
      <c r="BG242" s="436">
        <f>BF246+IF(AND(Projects!$G$13="Yes",55&lt;=Assumptions!$B$73),Assumptions!$B$72,0)</f>
        <v>614720.400101215</v>
      </c>
      <c r="BH242" s="436">
        <f>BG246+IF(AND(Projects!$G$13="Yes",56&lt;=Assumptions!$B$73),Assumptions!$B$72,0)</f>
        <v>614720.400101215</v>
      </c>
      <c r="BI242" s="436">
        <f>BH246+IF(AND(Projects!$G$13="Yes",57&lt;=Assumptions!$B$73),Assumptions!$B$72,0)</f>
        <v>614720.400101215</v>
      </c>
      <c r="BJ242" s="436">
        <f>BI246+IF(AND(Projects!$G$13="Yes",58&lt;=Assumptions!$B$73),Assumptions!$B$72,0)</f>
        <v>566072.415105011</v>
      </c>
      <c r="BK242" s="436">
        <f>BJ246+IF(AND(Projects!$G$13="Yes",59&lt;=Assumptions!$B$73),Assumptions!$B$72,0)</f>
        <v>566072.415105011</v>
      </c>
      <c r="BL242" s="436">
        <f>BK246+IF(AND(Projects!$G$13="Yes",60&lt;=Assumptions!$B$73),Assumptions!$B$72,0)</f>
        <v>566072.415105011</v>
      </c>
      <c r="BM242" s="436">
        <f>BL246+IF(AND(Projects!$G$13="Yes",61&lt;=Assumptions!$B$73),Assumptions!$B$72,0)</f>
        <v>515600.130671449</v>
      </c>
      <c r="BN242" s="436">
        <f>BM246+IF(AND(Projects!$G$13="Yes",62&lt;=Assumptions!$B$73),Assumptions!$B$72,0)</f>
        <v>515600.130671449</v>
      </c>
      <c r="BO242" s="436">
        <f>BN246+IF(AND(Projects!$G$13="Yes",63&lt;=Assumptions!$B$73),Assumptions!$B$72,0)</f>
        <v>515600.130671449</v>
      </c>
      <c r="BP242" s="436">
        <f>BO246+IF(AND(Projects!$G$13="Yes",64&lt;=Assumptions!$B$73),Assumptions!$B$72,0)</f>
        <v>463235.135571628</v>
      </c>
      <c r="BQ242" s="436">
        <f>BP246+IF(AND(Projects!$G$13="Yes",65&lt;=Assumptions!$B$73),Assumptions!$B$72,0)</f>
        <v>463235.135571628</v>
      </c>
      <c r="BR242" s="436">
        <f>BQ246+IF(AND(Projects!$G$13="Yes",66&lt;=Assumptions!$B$73),Assumptions!$B$72,0)</f>
        <v>463235.135571628</v>
      </c>
      <c r="BS242" s="436">
        <f>BR246+IF(AND(Projects!$G$13="Yes",67&lt;=Assumptions!$B$73),Assumptions!$B$72,0)</f>
        <v>405963.453155564</v>
      </c>
      <c r="BT242" s="436">
        <f>BS246+IF(AND(Projects!$G$13="Yes",68&lt;=Assumptions!$B$73),Assumptions!$B$72,0)</f>
        <v>405963.453155564</v>
      </c>
      <c r="BU242" s="436">
        <f>BT246+IF(AND(Projects!$G$13="Yes",69&lt;=Assumptions!$B$73),Assumptions!$B$72,0)</f>
        <v>405963.453155564</v>
      </c>
      <c r="BV242" s="436">
        <f>BU246+IF(AND(Projects!$G$13="Yes",70&lt;=Assumptions!$B$73),Assumptions!$B$72,0)</f>
        <v>346547.082648898</v>
      </c>
      <c r="BW242" s="436">
        <f>BV246+IF(AND(Projects!$G$13="Yes",71&lt;=Assumptions!$B$73),Assumptions!$B$72,0)</f>
        <v>346547.082648898</v>
      </c>
      <c r="BX242" s="436">
        <f>BW246+IF(AND(Projects!$G$13="Yes",72&lt;=Assumptions!$B$73),Assumptions!$B$72,0)</f>
        <v>346547.082648898</v>
      </c>
      <c r="BY242" s="436">
        <f>BX246+IF(AND(Projects!$G$13="Yes",73&lt;=Assumptions!$B$73),Assumptions!$B$72,0)</f>
        <v>284902.598248232</v>
      </c>
      <c r="BZ242" s="436">
        <f>BY246+IF(AND(Projects!$G$13="Yes",74&lt;=Assumptions!$B$73),Assumptions!$B$72,0)</f>
        <v>284902.598248232</v>
      </c>
      <c r="CA242" s="436">
        <f>BZ246+IF(AND(Projects!$G$13="Yes",75&lt;=Assumptions!$B$73),Assumptions!$B$72,0)</f>
        <v>284902.598248232</v>
      </c>
      <c r="CB242" s="436">
        <f>CA246+IF(AND(Projects!$G$13="Yes",76&lt;=Assumptions!$B$73),Assumptions!$B$72,0)</f>
        <v>220946.44568254</v>
      </c>
      <c r="CC242" s="436">
        <f>CB246+IF(AND(Projects!$G$13="Yes",77&lt;=Assumptions!$B$73),Assumptions!$B$72,0)</f>
        <v>220946.44568254</v>
      </c>
      <c r="CD242" s="436">
        <f>CC246+IF(AND(Projects!$G$13="Yes",78&lt;=Assumptions!$B$73),Assumptions!$B$72,0)</f>
        <v>220946.44568254</v>
      </c>
      <c r="CE242" s="436">
        <f>CD246+IF(AND(Projects!$G$13="Yes",79&lt;=Assumptions!$B$73),Assumptions!$B$72,0)</f>
        <v>147868.937395636</v>
      </c>
      <c r="CF242" s="436">
        <f>CE246+IF(AND(Projects!$G$13="Yes",80&lt;=Assumptions!$B$73),Assumptions!$B$72,0)</f>
        <v>147868.937395636</v>
      </c>
      <c r="CG242" s="436">
        <f>CF246+IF(AND(Projects!$G$13="Yes",81&lt;=Assumptions!$B$73),Assumptions!$B$72,0)</f>
        <v>147868.937395636</v>
      </c>
      <c r="CH242" s="436">
        <f>CG246+IF(AND(Projects!$G$13="Yes",82&lt;=Assumptions!$B$73),Assumptions!$B$72,0)</f>
        <v>72052.0225479718</v>
      </c>
      <c r="CI242" s="436">
        <f>CH246+IF(AND(Projects!$G$13="Yes",83&lt;=Assumptions!$B$73),Assumptions!$B$72,0)</f>
        <v>72052.0225479718</v>
      </c>
      <c r="CJ242" s="436">
        <f>CI246+IF(AND(Projects!$G$13="Yes",84&lt;=Assumptions!$B$73),Assumptions!$B$72,0)</f>
        <v>72052.0225479718</v>
      </c>
      <c r="CK242" s="436">
        <f>CJ246+IF(AND(Projects!$G$13="Yes",85&lt;=Assumptions!$B$73),Assumptions!$B$72,0)</f>
        <v>0</v>
      </c>
      <c r="CL242" s="436">
        <f>CK246+IF(AND(Projects!$G$13="Yes",86&lt;=Assumptions!$B$73),Assumptions!$B$72,0)</f>
        <v>0</v>
      </c>
      <c r="CM242" s="436">
        <f>CL246+IF(AND(Projects!$G$13="Yes",87&lt;=Assumptions!$B$73),Assumptions!$B$72,0)</f>
        <v>0</v>
      </c>
      <c r="CN242" s="436">
        <f>CM246+IF(AND(Projects!$G$13="Yes",88&lt;=Assumptions!$B$73),Assumptions!$B$72,0)</f>
        <v>0</v>
      </c>
      <c r="CO242" s="436">
        <f>CN246+IF(AND(Projects!$G$13="Yes",89&lt;=Assumptions!$B$73),Assumptions!$B$72,0)</f>
        <v>0</v>
      </c>
      <c r="CP242" s="436">
        <f>CO246+IF(AND(Projects!$G$13="Yes",90&lt;=Assumptions!$B$73),Assumptions!$B$72,0)</f>
        <v>0</v>
      </c>
      <c r="CQ242" s="436">
        <f>CP246+IF(AND(Projects!$G$13="Yes",91&lt;=Assumptions!$B$73),Assumptions!$B$72,0)</f>
        <v>0</v>
      </c>
      <c r="CR242" s="436">
        <f>CQ246+IF(AND(Projects!$G$13="Yes",92&lt;=Assumptions!$B$73),Assumptions!$B$72,0)</f>
        <v>0</v>
      </c>
      <c r="CS242" s="436">
        <f>CR246+IF(AND(Projects!$G$13="Yes",93&lt;=Assumptions!$B$73),Assumptions!$B$72,0)</f>
        <v>0</v>
      </c>
      <c r="CT242" s="436">
        <f>CS246+IF(AND(Projects!$G$13="Yes",94&lt;=Assumptions!$B$73),Assumptions!$B$72,0)</f>
        <v>0</v>
      </c>
      <c r="CU242" s="436">
        <f>CT246+IF(AND(Projects!$G$13="Yes",95&lt;=Assumptions!$B$73),Assumptions!$B$72,0)</f>
        <v>0</v>
      </c>
      <c r="CV242" s="436">
        <f>CU246+IF(AND(Projects!$G$13="Yes",96&lt;=Assumptions!$B$73),Assumptions!$B$72,0)</f>
        <v>0</v>
      </c>
      <c r="CW242" s="436">
        <f>CV246+IF(AND(Projects!$G$13="Yes",97&lt;=Assumptions!$B$73),Assumptions!$B$72,0)</f>
        <v>0</v>
      </c>
      <c r="CX242" s="436">
        <f>CW246+IF(AND(Projects!$G$13="Yes",98&lt;=Assumptions!$B$73),Assumptions!$B$72,0)</f>
        <v>0</v>
      </c>
      <c r="CY242" s="436">
        <f>CX246+IF(AND(Projects!$G$13="Yes",99&lt;=Assumptions!$B$73),Assumptions!$B$72,0)</f>
        <v>0</v>
      </c>
      <c r="CZ242" s="436">
        <f>CY246+IF(AND(Projects!$G$13="Yes",100&lt;=Assumptions!$B$73),Assumptions!$B$72,0)</f>
        <v>0</v>
      </c>
      <c r="DA242" s="436">
        <f>CZ246+IF(AND(Projects!$G$13="Yes",101&lt;=Assumptions!$B$73),Assumptions!$B$72,0)</f>
        <v>0</v>
      </c>
      <c r="DB242" s="436">
        <f>DA246+IF(AND(Projects!$G$13="Yes",102&lt;=Assumptions!$B$73),Assumptions!$B$72,0)</f>
        <v>0</v>
      </c>
      <c r="DC242" s="436">
        <f>DB246+IF(AND(Projects!$G$13="Yes",103&lt;=Assumptions!$B$73),Assumptions!$B$72,0)</f>
        <v>0</v>
      </c>
      <c r="DD242" s="436">
        <f>DC246+IF(AND(Projects!$G$13="Yes",104&lt;=Assumptions!$B$73),Assumptions!$B$72,0)</f>
        <v>0</v>
      </c>
      <c r="DE242" s="436">
        <f>DD246+IF(AND(Projects!$G$13="Yes",105&lt;=Assumptions!$B$73),Assumptions!$B$72,0)</f>
        <v>0</v>
      </c>
    </row>
    <row r="243" ht="15" customFormat="1" customHeight="1" s="381">
      <c r="A243" s="435" t="inlineStr">
        <is>
          <t>Reseda - Quarterly Interest</t>
        </is>
      </c>
      <c r="B243" s="436" t="n"/>
      <c r="C243" s="436" t="n"/>
      <c r="D243" s="436" t="n"/>
      <c r="E243" s="436">
        <f>IF(AND(MOD(1,3)=0,E242&gt;0),E242*Assumptions!$B$59,0)</f>
        <v>0</v>
      </c>
      <c r="F243" s="436">
        <f>IF(AND(MOD(2,3)=0,F242&gt;0),F242*Assumptions!$B$59,0)</f>
        <v>0</v>
      </c>
      <c r="G243" s="436">
        <f>IF(AND(MOD(3,3)=0,G242&gt;0),G242*Assumptions!$B$59,0)</f>
        <v>46275</v>
      </c>
      <c r="H243" s="436">
        <f>IF(AND(MOD(4,3)=0,H242&gt;0),H242*Assumptions!$B$59,0)</f>
        <v>0</v>
      </c>
      <c r="I243" s="436">
        <f>IF(AND(MOD(5,3)=0,I242&gt;0),I242*Assumptions!$B$59,0)</f>
        <v>0</v>
      </c>
      <c r="J243" s="436">
        <f>IF(AND(MOD(6,3)=0,J242&gt;0),J242*Assumptions!$B$59,0)</f>
        <v>53635.3125</v>
      </c>
      <c r="K243" s="436">
        <f>IF(AND(MOD(7,3)=0,K242&gt;0),K242*Assumptions!$B$59,0)</f>
        <v>0</v>
      </c>
      <c r="L243" s="436">
        <f>IF(AND(MOD(8,3)=0,L242&gt;0),L242*Assumptions!$B$59,0)</f>
        <v>0</v>
      </c>
      <c r="M243" s="436">
        <f>IF(AND(MOD(9,3)=0,M242&gt;0),M242*Assumptions!$B$59,0)</f>
        <v>61271.63671875</v>
      </c>
      <c r="N243" s="436">
        <f>IF(AND(MOD(10,3)=0,N242&gt;0),N242*Assumptions!$B$59,0)</f>
        <v>0</v>
      </c>
      <c r="O243" s="436">
        <f>IF(AND(MOD(11,3)=0,O242&gt;0),O242*Assumptions!$B$59,0)</f>
        <v>0</v>
      </c>
      <c r="P243" s="436">
        <f>IF(AND(MOD(12,3)=0,P242&gt;0),P242*Assumptions!$B$59,0)</f>
        <v>69194.3230957031</v>
      </c>
      <c r="Q243" s="436">
        <f>IF(AND(MOD(13,3)=0,Q242&gt;0),Q242*Assumptions!$B$59,0)</f>
        <v>0</v>
      </c>
      <c r="R243" s="436">
        <f>IF(AND(MOD(14,3)=0,R242&gt;0),R242*Assumptions!$B$59,0)</f>
        <v>0</v>
      </c>
      <c r="S243" s="436">
        <f>IF(AND(MOD(15,3)=0,S242&gt;0),S242*Assumptions!$B$59,0)</f>
        <v>21164.110211792</v>
      </c>
      <c r="T243" s="436">
        <f>IF(AND(MOD(16,3)=0,T242&gt;0),T242*Assumptions!$B$59,0)</f>
        <v>0</v>
      </c>
      <c r="U243" s="436">
        <f>IF(AND(MOD(17,3)=0,U242&gt;0),U242*Assumptions!$B$59,0)</f>
        <v>0</v>
      </c>
      <c r="V243" s="436">
        <f>IF(AND(MOD(18,3)=0,V242&gt;0),V242*Assumptions!$B$59,0)</f>
        <v>21957.7643447342</v>
      </c>
      <c r="W243" s="436">
        <f>IF(AND(MOD(19,3)=0,W242&gt;0),W242*Assumptions!$B$59,0)</f>
        <v>0</v>
      </c>
      <c r="X243" s="436">
        <f>IF(AND(MOD(20,3)=0,X242&gt;0),X242*Assumptions!$B$59,0)</f>
        <v>0</v>
      </c>
      <c r="Y243" s="436">
        <f>IF(AND(MOD(21,3)=0,Y242&gt;0),Y242*Assumptions!$B$59,0)</f>
        <v>22781.1805076617</v>
      </c>
      <c r="Z243" s="436">
        <f>IF(AND(MOD(22,3)=0,Z242&gt;0),Z242*Assumptions!$B$59,0)</f>
        <v>0</v>
      </c>
      <c r="AA243" s="436">
        <f>IF(AND(MOD(23,3)=0,AA242&gt;0),AA242*Assumptions!$B$59,0)</f>
        <v>0</v>
      </c>
      <c r="AB243" s="436">
        <f>IF(AND(MOD(24,3)=0,AB242&gt;0),AB242*Assumptions!$B$59,0)</f>
        <v>23635.474776699</v>
      </c>
      <c r="AC243" s="436">
        <f>IF(AND(MOD(25,3)=0,AC242&gt;0),AC242*Assumptions!$B$59,0)</f>
        <v>0</v>
      </c>
      <c r="AD243" s="436">
        <f>IF(AND(MOD(26,3)=0,AD242&gt;0),AD242*Assumptions!$B$59,0)</f>
        <v>0</v>
      </c>
      <c r="AE243" s="436">
        <f>IF(AND(MOD(27,3)=0,AE242&gt;0),AE242*Assumptions!$B$59,0)</f>
        <v>24521.8050808252</v>
      </c>
      <c r="AF243" s="436">
        <f>IF(AND(MOD(28,3)=0,AF242&gt;0),AF242*Assumptions!$B$59,0)</f>
        <v>0</v>
      </c>
      <c r="AG243" s="436">
        <f>IF(AND(MOD(29,3)=0,AG242&gt;0),AG242*Assumptions!$B$59,0)</f>
        <v>0</v>
      </c>
      <c r="AH243" s="436">
        <f>IF(AND(MOD(30,3)=0,AH242&gt;0),AH242*Assumptions!$B$59,0)</f>
        <v>25441.3727713562</v>
      </c>
      <c r="AI243" s="436">
        <f>IF(AND(MOD(31,3)=0,AI242&gt;0),AI242*Assumptions!$B$59,0)</f>
        <v>0</v>
      </c>
      <c r="AJ243" s="436">
        <f>IF(AND(MOD(32,3)=0,AJ242&gt;0),AJ242*Assumptions!$B$59,0)</f>
        <v>0</v>
      </c>
      <c r="AK243" s="436">
        <f>IF(AND(MOD(33,3)=0,AK242&gt;0),AK242*Assumptions!$B$59,0)</f>
        <v>26395.424250282</v>
      </c>
      <c r="AL243" s="436">
        <f>IF(AND(MOD(34,3)=0,AL242&gt;0),AL242*Assumptions!$B$59,0)</f>
        <v>0</v>
      </c>
      <c r="AM243" s="436">
        <f>IF(AND(MOD(35,3)=0,AM242&gt;0),AM242*Assumptions!$B$59,0)</f>
        <v>0</v>
      </c>
      <c r="AN243" s="436">
        <f>IF(AND(MOD(36,3)=0,AN242&gt;0),AN242*Assumptions!$B$59,0)</f>
        <v>27385.2526596676</v>
      </c>
      <c r="AO243" s="436">
        <f>IF(AND(MOD(37,3)=0,AO242&gt;0),AO242*Assumptions!$B$59,0)</f>
        <v>0</v>
      </c>
      <c r="AP243" s="436">
        <f>IF(AND(MOD(38,3)=0,AP242&gt;0),AP242*Assumptions!$B$59,0)</f>
        <v>0</v>
      </c>
      <c r="AQ243" s="436">
        <f>IF(AND(MOD(39,3)=0,AQ242&gt;0),AQ242*Assumptions!$B$59,0)</f>
        <v>28412.1996344052</v>
      </c>
      <c r="AR243" s="436">
        <f>IF(AND(MOD(40,3)=0,AR242&gt;0),AR242*Assumptions!$B$59,0)</f>
        <v>0</v>
      </c>
      <c r="AS243" s="436">
        <f>IF(AND(MOD(41,3)=0,AS242&gt;0),AS242*Assumptions!$B$59,0)</f>
        <v>0</v>
      </c>
      <c r="AT243" s="436">
        <f>IF(AND(MOD(42,3)=0,AT242&gt;0),AT242*Assumptions!$B$59,0)</f>
        <v>29477.6571206954</v>
      </c>
      <c r="AU243" s="436">
        <f>IF(AND(MOD(43,3)=0,AU242&gt;0),AU242*Assumptions!$B$59,0)</f>
        <v>0</v>
      </c>
      <c r="AV243" s="436">
        <f>IF(AND(MOD(44,3)=0,AV242&gt;0),AV242*Assumptions!$B$59,0)</f>
        <v>0</v>
      </c>
      <c r="AW243" s="436">
        <f>IF(AND(MOD(45,3)=0,AW242&gt;0),AW242*Assumptions!$B$59,0)</f>
        <v>30583.0692627214</v>
      </c>
      <c r="AX243" s="436">
        <f>IF(AND(MOD(46,3)=0,AX242&gt;0),AX242*Assumptions!$B$59,0)</f>
        <v>0</v>
      </c>
      <c r="AY243" s="436">
        <f>IF(AND(MOD(47,3)=0,AY242&gt;0),AY242*Assumptions!$B$59,0)</f>
        <v>0</v>
      </c>
      <c r="AZ243" s="436">
        <f>IF(AND(MOD(48,3)=0,AZ242&gt;0),AZ242*Assumptions!$B$59,0)</f>
        <v>31729.9343600735</v>
      </c>
      <c r="BA243" s="436">
        <f>IF(AND(MOD(49,3)=0,BA242&gt;0),BA242*Assumptions!$B$59,0)</f>
        <v>0</v>
      </c>
      <c r="BB243" s="436">
        <f>IF(AND(MOD(50,3)=0,BB242&gt;0),BB242*Assumptions!$B$59,0)</f>
        <v>0</v>
      </c>
      <c r="BC243" s="436">
        <f>IF(AND(MOD(51,3)=0,BC242&gt;0),BC242*Assumptions!$B$59,0)</f>
        <v>32919.8068985762</v>
      </c>
      <c r="BD243" s="436">
        <f>IF(AND(MOD(52,3)=0,BD242&gt;0),BD242*Assumptions!$B$59,0)</f>
        <v>0</v>
      </c>
      <c r="BE243" s="436">
        <f>IF(AND(MOD(53,3)=0,BE242&gt;0),BE242*Assumptions!$B$59,0)</f>
        <v>0</v>
      </c>
      <c r="BF243" s="436">
        <f>IF(AND(MOD(54,3)=0,BF242&gt;0),BF242*Assumptions!$B$59,0)</f>
        <v>24810.3759072728</v>
      </c>
      <c r="BG243" s="436">
        <f>IF(AND(MOD(55,3)=0,BG242&gt;0),BG242*Assumptions!$B$59,0)</f>
        <v>0</v>
      </c>
      <c r="BH243" s="436">
        <f>IF(AND(MOD(56,3)=0,BH242&gt;0),BH242*Assumptions!$B$59,0)</f>
        <v>0</v>
      </c>
      <c r="BI243" s="436">
        <f>IF(AND(MOD(57,3)=0,BI242&gt;0),BI242*Assumptions!$B$59,0)</f>
        <v>23052.0150037956</v>
      </c>
      <c r="BJ243" s="436">
        <f>IF(AND(MOD(58,3)=0,BJ242&gt;0),BJ242*Assumptions!$B$59,0)</f>
        <v>0</v>
      </c>
      <c r="BK243" s="436">
        <f>IF(AND(MOD(59,3)=0,BK242&gt;0),BK242*Assumptions!$B$59,0)</f>
        <v>0</v>
      </c>
      <c r="BL243" s="436">
        <f>IF(AND(MOD(60,3)=0,BL242&gt;0),BL242*Assumptions!$B$59,0)</f>
        <v>21227.7155664379</v>
      </c>
      <c r="BM243" s="436">
        <f>IF(AND(MOD(61,3)=0,BM242&gt;0),BM242*Assumptions!$B$59,0)</f>
        <v>0</v>
      </c>
      <c r="BN243" s="436">
        <f>IF(AND(MOD(62,3)=0,BN242&gt;0),BN242*Assumptions!$B$59,0)</f>
        <v>0</v>
      </c>
      <c r="BO243" s="436">
        <f>IF(AND(MOD(63,3)=0,BO242&gt;0),BO242*Assumptions!$B$59,0)</f>
        <v>19335.0049001793</v>
      </c>
      <c r="BP243" s="436">
        <f>IF(AND(MOD(64,3)=0,BP242&gt;0),BP242*Assumptions!$B$59,0)</f>
        <v>0</v>
      </c>
      <c r="BQ243" s="436">
        <f>IF(AND(MOD(65,3)=0,BQ242&gt;0),BQ242*Assumptions!$B$59,0)</f>
        <v>0</v>
      </c>
      <c r="BR243" s="436">
        <f>IF(AND(MOD(66,3)=0,BR242&gt;0),BR242*Assumptions!$B$59,0)</f>
        <v>17371.3175839361</v>
      </c>
      <c r="BS243" s="436">
        <f>IF(AND(MOD(67,3)=0,BS242&gt;0),BS242*Assumptions!$B$59,0)</f>
        <v>0</v>
      </c>
      <c r="BT243" s="436">
        <f>IF(AND(MOD(68,3)=0,BT242&gt;0),BT242*Assumptions!$B$59,0)</f>
        <v>0</v>
      </c>
      <c r="BU243" s="436">
        <f>IF(AND(MOD(69,3)=0,BU242&gt;0),BU242*Assumptions!$B$59,0)</f>
        <v>15223.6294933337</v>
      </c>
      <c r="BV243" s="436">
        <f>IF(AND(MOD(70,3)=0,BV242&gt;0),BV242*Assumptions!$B$59,0)</f>
        <v>0</v>
      </c>
      <c r="BW243" s="436">
        <f>IF(AND(MOD(71,3)=0,BW242&gt;0),BW242*Assumptions!$B$59,0)</f>
        <v>0</v>
      </c>
      <c r="BX243" s="436">
        <f>IF(AND(MOD(72,3)=0,BX242&gt;0),BX242*Assumptions!$B$59,0)</f>
        <v>12995.5155993337</v>
      </c>
      <c r="BY243" s="436">
        <f>IF(AND(MOD(73,3)=0,BY242&gt;0),BY242*Assumptions!$B$59,0)</f>
        <v>0</v>
      </c>
      <c r="BZ243" s="436">
        <f>IF(AND(MOD(74,3)=0,BZ242&gt;0),BZ242*Assumptions!$B$59,0)</f>
        <v>0</v>
      </c>
      <c r="CA243" s="436">
        <f>IF(AND(MOD(75,3)=0,CA242&gt;0),CA242*Assumptions!$B$59,0)</f>
        <v>10683.8474343087</v>
      </c>
      <c r="CB243" s="436">
        <f>IF(AND(MOD(76,3)=0,CB242&gt;0),CB242*Assumptions!$B$59,0)</f>
        <v>0</v>
      </c>
      <c r="CC243" s="436">
        <f>IF(AND(MOD(77,3)=0,CC242&gt;0),CC242*Assumptions!$B$59,0)</f>
        <v>0</v>
      </c>
      <c r="CD243" s="436">
        <f>IF(AND(MOD(78,3)=0,CD242&gt;0),CD242*Assumptions!$B$59,0)</f>
        <v>8285.49171309526</v>
      </c>
      <c r="CE243" s="436">
        <f>IF(AND(MOD(79,3)=0,CE242&gt;0),CE242*Assumptions!$B$59,0)</f>
        <v>0</v>
      </c>
      <c r="CF243" s="436">
        <f>IF(AND(MOD(80,3)=0,CF242&gt;0),CF242*Assumptions!$B$59,0)</f>
        <v>0</v>
      </c>
      <c r="CG243" s="436">
        <f>IF(AND(MOD(81,3)=0,CG242&gt;0),CG242*Assumptions!$B$59,0)</f>
        <v>5545.08515233633</v>
      </c>
      <c r="CH243" s="436">
        <f>IF(AND(MOD(82,3)=0,CH242&gt;0),CH242*Assumptions!$B$59,0)</f>
        <v>0</v>
      </c>
      <c r="CI243" s="436">
        <f>IF(AND(MOD(83,3)=0,CI242&gt;0),CI242*Assumptions!$B$59,0)</f>
        <v>0</v>
      </c>
      <c r="CJ243" s="436">
        <f>IF(AND(MOD(84,3)=0,CJ242&gt;0),CJ242*Assumptions!$B$59,0)</f>
        <v>2701.95084554894</v>
      </c>
      <c r="CK243" s="436">
        <f>IF(AND(MOD(85,3)=0,CK242&gt;0),CK242*Assumptions!$B$59,0)</f>
        <v>0</v>
      </c>
      <c r="CL243" s="436">
        <f>IF(AND(MOD(86,3)=0,CL242&gt;0),CL242*Assumptions!$B$59,0)</f>
        <v>0</v>
      </c>
      <c r="CM243" s="436">
        <f>IF(AND(MOD(87,3)=0,CM242&gt;0),CM242*Assumptions!$B$59,0)</f>
        <v>0</v>
      </c>
      <c r="CN243" s="436">
        <f>IF(AND(MOD(88,3)=0,CN242&gt;0),CN242*Assumptions!$B$59,0)</f>
        <v>0</v>
      </c>
      <c r="CO243" s="436">
        <f>IF(AND(MOD(89,3)=0,CO242&gt;0),CO242*Assumptions!$B$59,0)</f>
        <v>0</v>
      </c>
      <c r="CP243" s="436">
        <f>IF(AND(MOD(90,3)=0,CP242&gt;0),CP242*Assumptions!$B$59,0)</f>
        <v>0</v>
      </c>
      <c r="CQ243" s="436">
        <f>IF(AND(MOD(91,3)=0,CQ242&gt;0),CQ242*Assumptions!$B$59,0)</f>
        <v>0</v>
      </c>
      <c r="CR243" s="436">
        <f>IF(AND(MOD(92,3)=0,CR242&gt;0),CR242*Assumptions!$B$59,0)</f>
        <v>0</v>
      </c>
      <c r="CS243" s="436">
        <f>IF(AND(MOD(93,3)=0,CS242&gt;0),CS242*Assumptions!$B$59,0)</f>
        <v>0</v>
      </c>
      <c r="CT243" s="436">
        <f>IF(AND(MOD(94,3)=0,CT242&gt;0),CT242*Assumptions!$B$59,0)</f>
        <v>0</v>
      </c>
      <c r="CU243" s="436">
        <f>IF(AND(MOD(95,3)=0,CU242&gt;0),CU242*Assumptions!$B$59,0)</f>
        <v>0</v>
      </c>
      <c r="CV243" s="436">
        <f>IF(AND(MOD(96,3)=0,CV242&gt;0),CV242*Assumptions!$B$59,0)</f>
        <v>0</v>
      </c>
      <c r="CW243" s="436">
        <f>IF(AND(MOD(97,3)=0,CW242&gt;0),CW242*Assumptions!$B$59,0)</f>
        <v>0</v>
      </c>
      <c r="CX243" s="436">
        <f>IF(AND(MOD(98,3)=0,CX242&gt;0),CX242*Assumptions!$B$59,0)</f>
        <v>0</v>
      </c>
      <c r="CY243" s="436">
        <f>IF(AND(MOD(99,3)=0,CY242&gt;0),CY242*Assumptions!$B$59,0)</f>
        <v>0</v>
      </c>
      <c r="CZ243" s="436">
        <f>IF(AND(MOD(100,3)=0,CZ242&gt;0),CZ242*Assumptions!$B$59,0)</f>
        <v>0</v>
      </c>
      <c r="DA243" s="436">
        <f>IF(AND(MOD(101,3)=0,DA242&gt;0),DA242*Assumptions!$B$59,0)</f>
        <v>0</v>
      </c>
      <c r="DB243" s="436">
        <f>IF(AND(MOD(102,3)=0,DB242&gt;0),DB242*Assumptions!$B$59,0)</f>
        <v>0</v>
      </c>
      <c r="DC243" s="436">
        <f>IF(AND(MOD(103,3)=0,DC242&gt;0),DC242*Assumptions!$B$59,0)</f>
        <v>0</v>
      </c>
      <c r="DD243" s="436">
        <f>IF(AND(MOD(104,3)=0,DD242&gt;0),DD242*Assumptions!$B$59,0)</f>
        <v>0</v>
      </c>
      <c r="DE243" s="436">
        <f>IF(AND(MOD(105,3)=0,DE242&gt;0),DE242*Assumptions!$B$59,0)</f>
        <v>0</v>
      </c>
    </row>
    <row r="244" ht="15" customFormat="1" customHeight="1" s="381">
      <c r="A244" s="435" t="inlineStr">
        <is>
          <t>Reseda - Deal Distribution</t>
        </is>
      </c>
      <c r="B244" s="436" t="n"/>
      <c r="C244" s="436" t="n"/>
      <c r="D244" s="436" t="n"/>
      <c r="E244" s="436" t="n">
        <v>0</v>
      </c>
      <c r="F244" s="436" t="n">
        <v>0</v>
      </c>
      <c r="G244" s="436" t="n">
        <v>0</v>
      </c>
      <c r="H244" s="436" t="n">
        <v>0</v>
      </c>
      <c r="I244" s="436" t="n">
        <v>0</v>
      </c>
      <c r="J244" s="436" t="n">
        <v>0</v>
      </c>
      <c r="K244" s="436" t="n">
        <v>0</v>
      </c>
      <c r="L244" s="436" t="n">
        <v>0</v>
      </c>
      <c r="M244" s="436" t="n">
        <v>0</v>
      </c>
      <c r="N244" s="436" t="n">
        <v>0</v>
      </c>
      <c r="O244" s="436" t="n">
        <v>0</v>
      </c>
      <c r="P244" s="436" t="n">
        <v>0</v>
      </c>
      <c r="Q244" s="436">
        <v>0</v>
      </c>
      <c r="R244" s="436">
        <f>IF(Projects!$G$13="Yes",Assumptions!$B$74,0)</f>
        <v>-1450000</v>
      </c>
      <c r="S244" s="436" t="n">
        <v>0</v>
      </c>
      <c r="T244" s="436" t="n">
        <v>0</v>
      </c>
      <c r="U244" s="436" t="n">
        <v>0</v>
      </c>
      <c r="V244" s="436" t="n">
        <v>0</v>
      </c>
      <c r="W244" s="436" t="n">
        <v>0</v>
      </c>
      <c r="X244" s="436" t="n">
        <v>0</v>
      </c>
      <c r="Y244" s="436" t="n">
        <v>0</v>
      </c>
      <c r="Z244" s="436" t="n">
        <v>0</v>
      </c>
      <c r="AA244" s="436" t="n">
        <v>0</v>
      </c>
      <c r="AB244" s="436" t="n">
        <v>0</v>
      </c>
      <c r="AC244" s="436" t="n">
        <v>0</v>
      </c>
      <c r="AD244" s="436" t="n">
        <v>0</v>
      </c>
      <c r="AE244" s="436" t="n">
        <v>0</v>
      </c>
      <c r="AF244" s="436" t="n">
        <v>0</v>
      </c>
      <c r="AG244" s="436" t="n">
        <v>0</v>
      </c>
      <c r="AH244" s="436" t="n">
        <v>0</v>
      </c>
      <c r="AI244" s="436" t="n">
        <v>0</v>
      </c>
      <c r="AJ244" s="436" t="n">
        <v>0</v>
      </c>
      <c r="AK244" s="436" t="n">
        <v>0</v>
      </c>
      <c r="AL244" s="436" t="n">
        <v>0</v>
      </c>
      <c r="AM244" s="436" t="n">
        <v>0</v>
      </c>
      <c r="AN244" s="436" t="n">
        <v>0</v>
      </c>
      <c r="AO244" s="436" t="n">
        <v>0</v>
      </c>
      <c r="AP244" s="436" t="n">
        <v>0</v>
      </c>
      <c r="AQ244" s="436" t="n">
        <v>0</v>
      </c>
      <c r="AR244" s="436" t="n">
        <v>0</v>
      </c>
      <c r="AS244" s="436" t="n">
        <v>0</v>
      </c>
      <c r="AT244" s="436" t="n">
        <v>0</v>
      </c>
      <c r="AU244" s="436" t="n">
        <v>0</v>
      </c>
      <c r="AV244" s="436" t="n">
        <v>0</v>
      </c>
      <c r="AW244" s="436" t="n">
        <v>0</v>
      </c>
      <c r="AX244" s="436" t="n">
        <v>0</v>
      </c>
      <c r="AY244" s="436" t="n">
        <v>0</v>
      </c>
      <c r="AZ244" s="436" t="n">
        <v>0</v>
      </c>
      <c r="BA244" s="436" t="n">
        <v>0</v>
      </c>
      <c r="BB244" s="436" t="n">
        <v>0</v>
      </c>
      <c r="BC244" s="436" t="n">
        <v>0</v>
      </c>
      <c r="BD244" s="436" t="n">
        <v>0</v>
      </c>
      <c r="BE244" s="436" t="n">
        <v>0</v>
      </c>
      <c r="BF244" s="436" t="n">
        <v>0</v>
      </c>
      <c r="BG244" s="436" t="n">
        <v>0</v>
      </c>
      <c r="BH244" s="436" t="n">
        <v>0</v>
      </c>
      <c r="BI244" s="436" t="n">
        <v>0</v>
      </c>
      <c r="BJ244" s="436" t="n">
        <v>0</v>
      </c>
      <c r="BK244" s="436" t="n">
        <v>0</v>
      </c>
      <c r="BL244" s="436" t="n">
        <v>0</v>
      </c>
      <c r="BM244" s="436" t="n">
        <v>0</v>
      </c>
      <c r="BN244" s="436" t="n">
        <v>0</v>
      </c>
      <c r="BO244" s="436" t="n">
        <v>0</v>
      </c>
      <c r="BP244" s="436" t="n">
        <v>0</v>
      </c>
      <c r="BQ244" s="436" t="n">
        <v>0</v>
      </c>
      <c r="BR244" s="436" t="n">
        <v>0</v>
      </c>
      <c r="BS244" s="436" t="n">
        <v>0</v>
      </c>
      <c r="BT244" s="436" t="n">
        <v>0</v>
      </c>
      <c r="BU244" s="436" t="n">
        <v>0</v>
      </c>
      <c r="BV244" s="436" t="n">
        <v>0</v>
      </c>
      <c r="BW244" s="436" t="n">
        <v>0</v>
      </c>
      <c r="BX244" s="436" t="n">
        <v>0</v>
      </c>
      <c r="BY244" s="436" t="n">
        <v>0</v>
      </c>
      <c r="BZ244" s="436" t="n">
        <v>0</v>
      </c>
      <c r="CA244" s="436" t="n">
        <v>0</v>
      </c>
      <c r="CB244" s="436" t="n">
        <v>0</v>
      </c>
      <c r="CC244" s="436" t="n">
        <v>0</v>
      </c>
      <c r="CD244" s="436" t="n">
        <v>0</v>
      </c>
      <c r="CE244" s="436" t="n">
        <v>0</v>
      </c>
      <c r="CF244" s="436" t="n">
        <v>0</v>
      </c>
      <c r="CG244" s="436" t="n">
        <v>0</v>
      </c>
      <c r="CH244" s="436" t="n">
        <v>0</v>
      </c>
      <c r="CI244" s="436" t="n">
        <v>0</v>
      </c>
      <c r="CJ244" s="436" t="n">
        <v>0</v>
      </c>
      <c r="CK244" s="436" t="n">
        <v>0</v>
      </c>
      <c r="CL244" s="436" t="n">
        <v>0</v>
      </c>
      <c r="CM244" s="436" t="n">
        <v>0</v>
      </c>
      <c r="CN244" s="436" t="n">
        <v>0</v>
      </c>
      <c r="CO244" s="436" t="n">
        <v>0</v>
      </c>
      <c r="CP244" s="436" t="n">
        <v>0</v>
      </c>
      <c r="CQ244" s="436" t="n">
        <v>0</v>
      </c>
      <c r="CR244" s="436" t="n">
        <v>0</v>
      </c>
      <c r="CS244" s="436" t="n">
        <v>0</v>
      </c>
      <c r="CT244" s="436" t="n"/>
      <c r="CU244" s="436" t="n"/>
      <c r="CV244" s="436" t="n"/>
      <c r="CW244" s="436" t="n"/>
      <c r="CX244" s="436" t="n"/>
      <c r="CY244" s="436" t="n"/>
      <c r="CZ244" s="436" t="n"/>
      <c r="DA244" s="436" t="n"/>
      <c r="DB244" s="436" t="n"/>
      <c r="DC244" s="436" t="n"/>
      <c r="DD244" s="436" t="n"/>
      <c r="DE244" s="436" t="n"/>
    </row>
    <row r="245" ht="15" customFormat="1" customHeight="1" s="381">
      <c r="A245" s="437" t="inlineStr">
        <is>
          <t>Reseda - PIK Payment (LIHTC)</t>
        </is>
      </c>
      <c r="B245" s="438" t="n"/>
      <c r="C245" s="438" t="n"/>
      <c r="D245" s="438" t="n"/>
      <c r="E245" s="438">
        <f>-MIN(E242+E243+E244,MAX(0,E163-Helpers!C23))</f>
        <v>0</v>
      </c>
      <c r="F245" s="438">
        <f>-MIN(F242+F243+F244,MAX(0,F163-Helpers!D23))</f>
        <v>0</v>
      </c>
      <c r="G245" s="438">
        <f>-MIN(G242+G243+G244,MAX(0,G163-Helpers!E23))</f>
        <v>0</v>
      </c>
      <c r="H245" s="438">
        <f>-MIN(H242+H243+H244,MAX(0,H163-Helpers!F23))</f>
        <v>0</v>
      </c>
      <c r="I245" s="438">
        <f>-MIN(I242+I243+I244,MAX(0,I163-Helpers!G23))</f>
        <v>0</v>
      </c>
      <c r="J245" s="438">
        <f>-MIN(J242+J243+J244,MAX(0,J163-Helpers!H23))</f>
        <v>0</v>
      </c>
      <c r="K245" s="438">
        <f>-MIN(K242+K243+K244,MAX(0,K163-Helpers!I23))</f>
        <v>0</v>
      </c>
      <c r="L245" s="438">
        <f>-MIN(L242+L243+L244,MAX(0,L163-Helpers!J23))</f>
        <v>0</v>
      </c>
      <c r="M245" s="438">
        <f>-MIN(M242+M243+M244,MAX(0,M163-Helpers!K23))</f>
        <v>0</v>
      </c>
      <c r="N245" s="438">
        <f>-MIN(N242+N243+N244,MAX(0,N163-Helpers!L23))</f>
        <v>0</v>
      </c>
      <c r="O245" s="438">
        <f>-MIN(O242+O243+O244,MAX(0,O163-Helpers!M23))</f>
        <v>0</v>
      </c>
      <c r="P245" s="438">
        <f>-MIN(P242+P243+P244,MAX(0,P163-Helpers!N23))</f>
        <v>0</v>
      </c>
      <c r="Q245" s="438">
        <f>-MIN(Q242+Q243+Q244,MAX(0,Q163-Helpers!O23))</f>
        <v>0</v>
      </c>
      <c r="R245" s="438">
        <f>-MIN(R242+R243+R244,MAX(0,R163-Helpers!P23))</f>
        <v>0</v>
      </c>
      <c r="S245" s="438">
        <f>-MIN(S242+S243+S244,MAX(0,S163-Helpers!Q23))</f>
        <v>0</v>
      </c>
      <c r="T245" s="438">
        <f>-MIN(T242+T243+T244,MAX(0,T163-Helpers!R23))</f>
        <v>0</v>
      </c>
      <c r="U245" s="438">
        <f>-MIN(U242+U243+U244,MAX(0,U163-Helpers!S23))</f>
        <v>0</v>
      </c>
      <c r="V245" s="438">
        <f>-MIN(V242+V243+V244,MAX(0,V163-Helpers!T23))</f>
        <v>0</v>
      </c>
      <c r="W245" s="438">
        <f>-MIN(W242+W243+W244,MAX(0,W163-Helpers!U23))</f>
        <v>0</v>
      </c>
      <c r="X245" s="438">
        <f>-MIN(X242+X243+X244,MAX(0,X163-Helpers!V23))</f>
        <v>0</v>
      </c>
      <c r="Y245" s="438">
        <f>-MIN(Y242+Y243+Y244,MAX(0,Y163-Helpers!W23))</f>
        <v>0</v>
      </c>
      <c r="Z245" s="438">
        <f>-MIN(Z242+Z243+Z244,MAX(0,Z163-Helpers!X23))</f>
        <v>0</v>
      </c>
      <c r="AA245" s="438">
        <f>-MIN(AA242+AA243+AA244,MAX(0,AA163-Helpers!Y23))</f>
        <v>0</v>
      </c>
      <c r="AB245" s="438">
        <f>-MIN(AB242+AB243+AB244,MAX(0,AB163-Helpers!Z23))</f>
        <v>0</v>
      </c>
      <c r="AC245" s="438">
        <f>-MIN(AC242+AC243+AC244,MAX(0,AC163-Helpers!AA23))</f>
        <v>0</v>
      </c>
      <c r="AD245" s="438">
        <f>-MIN(AD242+AD243+AD244,MAX(0,AD163-Helpers!AB23))</f>
        <v>0</v>
      </c>
      <c r="AE245" s="438">
        <f>-MIN(AE242+AE243+AE244,MAX(0,AE163-Helpers!AC23))</f>
        <v>0</v>
      </c>
      <c r="AF245" s="438">
        <f>-MIN(AF242+AF243+AF244,MAX(0,AF163-Helpers!AD23))</f>
        <v>0</v>
      </c>
      <c r="AG245" s="438">
        <f>-MIN(AG242+AG243+AG244,MAX(0,AG163-Helpers!AE23))</f>
        <v>0</v>
      </c>
      <c r="AH245" s="438">
        <f>-MIN(AH242+AH243+AH244,MAX(0,AH163-Helpers!AF23))</f>
        <v>0</v>
      </c>
      <c r="AI245" s="438">
        <f>-MIN(AI242+AI243+AI244,MAX(0,AI163-Helpers!AG23))</f>
        <v>0</v>
      </c>
      <c r="AJ245" s="438">
        <f>-MIN(AJ242+AJ243+AJ244,MAX(0,AJ163-Helpers!AH23))</f>
        <v>0</v>
      </c>
      <c r="AK245" s="438">
        <f>-MIN(AK242+AK243+AK244,MAX(0,AK163-Helpers!AI23))</f>
        <v>0</v>
      </c>
      <c r="AL245" s="438">
        <f>-MIN(AL242+AL243+AL244,MAX(0,AL163-Helpers!AJ23))</f>
        <v>0</v>
      </c>
      <c r="AM245" s="438">
        <f>-MIN(AM242+AM243+AM244,MAX(0,AM163-Helpers!AK23))</f>
        <v>0</v>
      </c>
      <c r="AN245" s="438">
        <f>-MIN(AN242+AN243+AN244,MAX(0,AN163-Helpers!AL23))</f>
        <v>0</v>
      </c>
      <c r="AO245" s="438">
        <f>-MIN(AO242+AO243+AO244,MAX(0,AO163-Helpers!AM23))</f>
        <v>0</v>
      </c>
      <c r="AP245" s="438">
        <f>-MIN(AP242+AP243+AP244,MAX(0,AP163-Helpers!AN23))</f>
        <v>0</v>
      </c>
      <c r="AQ245" s="438">
        <f>-MIN(AQ242+AQ243+AQ244,MAX(0,AQ163-Helpers!AO23))</f>
        <v>0</v>
      </c>
      <c r="AR245" s="438">
        <f>-MIN(AR242+AR243+AR244,MAX(0,AR163-Helpers!AP23))</f>
        <v>0</v>
      </c>
      <c r="AS245" s="438">
        <f>-MIN(AS242+AS243+AS244,MAX(0,AS163-Helpers!AQ23))</f>
        <v>0</v>
      </c>
      <c r="AT245" s="438">
        <f>-MIN(AT242+AT243+AT244,MAX(0,AT163-Helpers!AR23))</f>
        <v>0</v>
      </c>
      <c r="AU245" s="438">
        <f>-MIN(AU242+AU243+AU244,MAX(0,AU163-Helpers!AS23))</f>
        <v>0</v>
      </c>
      <c r="AV245" s="438">
        <f>-MIN(AV242+AV243+AV244,MAX(0,AV163-Helpers!AT23))</f>
        <v>0</v>
      </c>
      <c r="AW245" s="438">
        <f>-MIN(AW242+AW243+AW244,MAX(0,AW163-Helpers!AU23))</f>
        <v>0</v>
      </c>
      <c r="AX245" s="438">
        <f>-MIN(AX242+AX243+AX244,MAX(0,AX163-Helpers!AV23))</f>
        <v>0</v>
      </c>
      <c r="AY245" s="438">
        <f>-MIN(AY242+AY243+AY244,MAX(0,AY163-Helpers!AW23))</f>
        <v>0</v>
      </c>
      <c r="AZ245" s="438">
        <f>-MIN(AZ242+AZ243+AZ244,MAX(0,AZ163-Helpers!AX23))</f>
        <v>0</v>
      </c>
      <c r="BA245" s="438">
        <f>-MIN(BA242+BA243+BA244,MAX(0,BA163-Helpers!AY23))</f>
        <v>0</v>
      </c>
      <c r="BB245" s="438">
        <f>-MIN(BB242+BB243+BB244,MAX(0,BB163-Helpers!AZ23))</f>
        <v>0</v>
      </c>
      <c r="BC245" s="438">
        <f>-MIN(BC242+BC243+BC244,MAX(0,BC163-Helpers!BA23))</f>
        <v>-249171.3</v>
      </c>
      <c r="BD245" s="438">
        <f>-MIN(BD242+BD243+BD244,MAX(0,BD163-Helpers!BB23))</f>
        <v>0</v>
      </c>
      <c r="BE245" s="438">
        <f>-MIN(BE242+BE243+BE244,MAX(0,BE163-Helpers!BC23))</f>
        <v>0</v>
      </c>
      <c r="BF245" s="438">
        <f>-MIN(BF242+BF243+BF244,MAX(0,BF163-Helpers!BD23))</f>
        <v>-71700</v>
      </c>
      <c r="BG245" s="438">
        <f>-MIN(BG242+BG243+BG244,MAX(0,BG163-Helpers!BE23))</f>
        <v>0</v>
      </c>
      <c r="BH245" s="438">
        <f>-MIN(BH242+BH243+BH244,MAX(0,BH163-Helpers!BF23))</f>
        <v>0</v>
      </c>
      <c r="BI245" s="438">
        <f>-MIN(BI242+BI243+BI244,MAX(0,BI163-Helpers!BG23))</f>
        <v>-71700</v>
      </c>
      <c r="BJ245" s="438">
        <f>-MIN(BJ242+BJ243+BJ244,MAX(0,BJ163-Helpers!BH23))</f>
        <v>0</v>
      </c>
      <c r="BK245" s="438">
        <f>-MIN(BK242+BK243+BK244,MAX(0,BK163-Helpers!BI23))</f>
        <v>0</v>
      </c>
      <c r="BL245" s="438">
        <f>-MIN(BL242+BL243+BL244,MAX(0,BL163-Helpers!BJ23))</f>
        <v>-71700</v>
      </c>
      <c r="BM245" s="438">
        <f>-MIN(BM242+BM243+BM244,MAX(0,BM163-Helpers!BK23))</f>
        <v>0</v>
      </c>
      <c r="BN245" s="438">
        <f>-MIN(BN242+BN243+BN244,MAX(0,BN163-Helpers!BL23))</f>
        <v>0</v>
      </c>
      <c r="BO245" s="438">
        <f>-MIN(BO242+BO243+BO244,MAX(0,BO163-Helpers!BM23))</f>
        <v>-71700</v>
      </c>
      <c r="BP245" s="438">
        <f>-MIN(BP242+BP243+BP244,MAX(0,BP163-Helpers!BN23))</f>
        <v>0</v>
      </c>
      <c r="BQ245" s="438">
        <f>-MIN(BQ242+BQ243+BQ244,MAX(0,BQ163-Helpers!BO23))</f>
        <v>0</v>
      </c>
      <c r="BR245" s="438">
        <f>-MIN(BR242+BR243+BR244,MAX(0,BR163-Helpers!BP23))</f>
        <v>-74643</v>
      </c>
      <c r="BS245" s="438">
        <f>-MIN(BS242+BS243+BS244,MAX(0,BS163-Helpers!BQ23))</f>
        <v>0</v>
      </c>
      <c r="BT245" s="438">
        <f>-MIN(BT242+BT243+BT244,MAX(0,BT163-Helpers!BR23))</f>
        <v>0</v>
      </c>
      <c r="BU245" s="438">
        <f>-MIN(BU242+BU243+BU244,MAX(0,BU163-Helpers!BS23))</f>
        <v>-74640</v>
      </c>
      <c r="BV245" s="438">
        <f>-MIN(BV242+BV243+BV244,MAX(0,BV163-Helpers!BT23))</f>
        <v>0</v>
      </c>
      <c r="BW245" s="438">
        <f>-MIN(BW242+BW243+BW244,MAX(0,BW163-Helpers!BU23))</f>
        <v>0</v>
      </c>
      <c r="BX245" s="438">
        <f>-MIN(BX242+BX243+BX244,MAX(0,BX163-Helpers!BV23))</f>
        <v>-74640</v>
      </c>
      <c r="BY245" s="438">
        <f>-MIN(BY242+BY243+BY244,MAX(0,BY163-Helpers!BW23))</f>
        <v>0</v>
      </c>
      <c r="BZ245" s="438">
        <f>-MIN(BZ242+BZ243+BZ244,MAX(0,BZ163-Helpers!BX23))</f>
        <v>0</v>
      </c>
      <c r="CA245" s="438">
        <f>-MIN(CA242+CA243+CA244,MAX(0,CA163-Helpers!BY23))</f>
        <v>-74640</v>
      </c>
      <c r="CB245" s="438">
        <f>-MIN(CB242+CB243+CB244,MAX(0,CB163-Helpers!BZ23))</f>
        <v>0</v>
      </c>
      <c r="CC245" s="438">
        <f>-MIN(CC242+CC243+CC244,MAX(0,CC163-Helpers!CA23))</f>
        <v>0</v>
      </c>
      <c r="CD245" s="438">
        <f>-MIN(CD242+CD243+CD244,MAX(0,CD163-Helpers!CB23))</f>
        <v>-81363</v>
      </c>
      <c r="CE245" s="438">
        <f>-MIN(CE242+CE243+CE244,MAX(0,CE163-Helpers!CC23))</f>
        <v>0</v>
      </c>
      <c r="CF245" s="438">
        <f>-MIN(CF242+CF243+CF244,MAX(0,CF163-Helpers!CD23))</f>
        <v>0</v>
      </c>
      <c r="CG245" s="438">
        <f>-MIN(CG242+CG243+CG244,MAX(0,CG163-Helpers!CE23))</f>
        <v>-81362</v>
      </c>
      <c r="CH245" s="438">
        <f>-MIN(CH242+CH243+CH244,MAX(0,CH163-Helpers!CF23))</f>
        <v>0</v>
      </c>
      <c r="CI245" s="438">
        <f>-MIN(CI242+CI243+CI244,MAX(0,CI163-Helpers!CG23))</f>
        <v>0</v>
      </c>
      <c r="CJ245" s="438">
        <f>-MIN(CJ242+CJ243+CJ244,MAX(0,CJ163-Helpers!CH23))</f>
        <v>-74753.9733935208</v>
      </c>
      <c r="CK245" s="438">
        <f>-MIN(CK242+CK243+CK244,MAX(0,CK163-Helpers!CI23))</f>
        <v>0</v>
      </c>
      <c r="CL245" s="438">
        <f>-MIN(CL242+CL243+CL244,MAX(0,CL163-Helpers!CJ23))</f>
        <v>0</v>
      </c>
      <c r="CM245" s="438">
        <f>-MIN(CM242+CM243+CM244,MAX(0,CM163-Helpers!CK23))</f>
        <v>0</v>
      </c>
      <c r="CN245" s="438">
        <f>-MIN(CN242+CN243+CN244,MAX(0,CN163-Helpers!CL23))</f>
        <v>0</v>
      </c>
      <c r="CO245" s="438">
        <f>-MIN(CO242+CO243+CO244,MAX(0,CO163-Helpers!CM23))</f>
        <v>0</v>
      </c>
      <c r="CP245" s="438">
        <f>-MIN(CP242+CP243+CP244,MAX(0,CP163-Helpers!CN23))</f>
        <v>0</v>
      </c>
      <c r="CQ245" s="438">
        <f>-MIN(CQ242+CQ243+CQ244,MAX(0,CQ163-Helpers!CO23))</f>
        <v>0</v>
      </c>
      <c r="CR245" s="438">
        <f>-MIN(CR242+CR243+CR244,MAX(0,CR163-Helpers!CP23))</f>
        <v>0</v>
      </c>
      <c r="CS245" s="438">
        <f>-MIN(CS242+CS243+CS244,MAX(0,CS163-Helpers!CQ23))</f>
        <v>0</v>
      </c>
      <c r="CT245" s="438">
        <f>-MIN(CT242+CT243+CT244,MAX(0,CT163-Helpers!CR23))</f>
        <v>0</v>
      </c>
      <c r="CU245" s="438">
        <f>-MIN(CU242+CU243+CU244,MAX(0,CU163-Helpers!CS23))</f>
        <v>0</v>
      </c>
      <c r="CV245" s="438">
        <f>-MIN(CV242+CV243+CV244,MAX(0,CV163-Helpers!CT23))</f>
        <v>0</v>
      </c>
      <c r="CW245" s="438">
        <f>-MIN(CW242+CW243+CW244,MAX(0,CW163-Helpers!CU23))</f>
        <v>0</v>
      </c>
      <c r="CX245" s="438">
        <f>-MIN(CX242+CX243+CX244,MAX(0,CX163-Helpers!CV23))</f>
        <v>0</v>
      </c>
      <c r="CY245" s="438">
        <f>-MIN(CY242+CY243+CY244,MAX(0,CY163-Helpers!CW23))</f>
        <v>0</v>
      </c>
      <c r="CZ245" s="438">
        <f>-MIN(CZ242+CZ243+CZ244,MAX(0,CZ163-Helpers!CX23))</f>
        <v>0</v>
      </c>
      <c r="DA245" s="438">
        <f>-MIN(DA242+DA243+DA244,MAX(0,DA163-Helpers!CY23))</f>
        <v>0</v>
      </c>
      <c r="DB245" s="438">
        <f>-MIN(DB242+DB243+DB244,MAX(0,DB163-Helpers!CZ23))</f>
        <v>0</v>
      </c>
      <c r="DC245" s="438">
        <f>-MIN(DC242+DC243+DC244,MAX(0,DC163-Helpers!DA23))</f>
        <v>0</v>
      </c>
      <c r="DD245" s="438">
        <f>-MIN(DD242+DD243+DD244,MAX(0,DD163-Helpers!DB23))</f>
        <v>0</v>
      </c>
      <c r="DE245" s="438">
        <f>-MIN(DE242+DE243+DE244,MAX(0,DE163-Helpers!DC23))</f>
        <v>0</v>
      </c>
    </row>
    <row r="246" ht="15" customFormat="1" customHeight="1" s="381">
      <c r="A246" s="439" t="inlineStr">
        <is>
          <t>Reseda - Ending Balance</t>
        </is>
      </c>
      <c r="B246" s="440" t="n"/>
      <c r="C246" s="440" t="n"/>
      <c r="D246" s="440" t="n"/>
      <c r="E246" s="440">
        <f>MAX(0,E242+E243+E244+E245)</f>
        <v>1134000</v>
      </c>
      <c r="F246" s="440">
        <f>MAX(0,F242+F243+F244+F245)</f>
        <v>1184000</v>
      </c>
      <c r="G246" s="440">
        <f>MAX(0,G242+G243+G244+G245)</f>
        <v>1280275</v>
      </c>
      <c r="H246" s="440">
        <f>MAX(0,H242+H243+H244+H245)</f>
        <v>1330275</v>
      </c>
      <c r="I246" s="440">
        <f>MAX(0,I242+I243+I244+I245)</f>
        <v>1380275</v>
      </c>
      <c r="J246" s="440">
        <f>MAX(0,J242+J243+J244+J245)</f>
        <v>1483910.3125</v>
      </c>
      <c r="K246" s="440">
        <f>MAX(0,K242+K243+K244+K245)</f>
        <v>1533910.3125</v>
      </c>
      <c r="L246" s="440">
        <f>MAX(0,L242+L243+L244+L245)</f>
        <v>1583910.3125</v>
      </c>
      <c r="M246" s="440">
        <f>MAX(0,M242+M243+M244+M245)</f>
        <v>1695181.94921875</v>
      </c>
      <c r="N246" s="440">
        <f>MAX(0,N242+N243+N244+N245)</f>
        <v>1745181.94921875</v>
      </c>
      <c r="O246" s="440">
        <f>MAX(0,O242+O243+O244+O245)</f>
        <v>1795181.94921875</v>
      </c>
      <c r="P246" s="440">
        <f>MAX(0,P242+P243+P244+P245)</f>
        <v>1914376.27231445</v>
      </c>
      <c r="Q246" s="440">
        <f>MAX(0,Q242+Q243+Q244+Q245)</f>
        <v>1964376.27231445</v>
      </c>
      <c r="R246" s="440">
        <f>MAX(0,R242+R243+R244+R245)</f>
        <v>564376.272314453</v>
      </c>
      <c r="S246" s="440">
        <f>MAX(0,S242+S243+S244+S245)</f>
        <v>585540.382526245</v>
      </c>
      <c r="T246" s="440">
        <f>MAX(0,T242+T243+T244+T245)</f>
        <v>585540.382526245</v>
      </c>
      <c r="U246" s="440">
        <f>MAX(0,U242+U243+U244+U245)</f>
        <v>585540.382526245</v>
      </c>
      <c r="V246" s="440">
        <f>MAX(0,V242+V243+V244+V245)</f>
        <v>607498.146870979</v>
      </c>
      <c r="W246" s="440">
        <f>MAX(0,W242+W243+W244+W245)</f>
        <v>607498.146870979</v>
      </c>
      <c r="X246" s="440">
        <f>MAX(0,X242+X243+X244+X245)</f>
        <v>607498.146870979</v>
      </c>
      <c r="Y246" s="440">
        <f>MAX(0,Y242+Y243+Y244+Y245)</f>
        <v>630279.327378641</v>
      </c>
      <c r="Z246" s="440">
        <f>MAX(0,Z242+Z243+Z244+Z245)</f>
        <v>630279.327378641</v>
      </c>
      <c r="AA246" s="440">
        <f>MAX(0,AA242+AA243+AA244+AA245)</f>
        <v>630279.327378641</v>
      </c>
      <c r="AB246" s="440">
        <f>MAX(0,AB242+AB243+AB244+AB245)</f>
        <v>653914.80215534</v>
      </c>
      <c r="AC246" s="440">
        <f>MAX(0,AC242+AC243+AC244+AC245)</f>
        <v>653914.80215534</v>
      </c>
      <c r="AD246" s="440">
        <f>MAX(0,AD242+AD243+AD244+AD245)</f>
        <v>653914.80215534</v>
      </c>
      <c r="AE246" s="440">
        <f>MAX(0,AE242+AE243+AE244+AE245)</f>
        <v>678436.607236165</v>
      </c>
      <c r="AF246" s="440">
        <f>MAX(0,AF242+AF243+AF244+AF245)</f>
        <v>678436.607236165</v>
      </c>
      <c r="AG246" s="440">
        <f>MAX(0,AG242+AG243+AG244+AG245)</f>
        <v>678436.607236165</v>
      </c>
      <c r="AH246" s="440">
        <f>MAX(0,AH242+AH243+AH244+AH245)</f>
        <v>703877.980007521</v>
      </c>
      <c r="AI246" s="440">
        <f>MAX(0,AI242+AI243+AI244+AI245)</f>
        <v>703877.980007521</v>
      </c>
      <c r="AJ246" s="440">
        <f>MAX(0,AJ242+AJ243+AJ244+AJ245)</f>
        <v>703877.980007521</v>
      </c>
      <c r="AK246" s="440">
        <f>MAX(0,AK242+AK243+AK244+AK245)</f>
        <v>730273.404257803</v>
      </c>
      <c r="AL246" s="440">
        <f>MAX(0,AL242+AL243+AL244+AL245)</f>
        <v>730273.404257803</v>
      </c>
      <c r="AM246" s="440">
        <f>MAX(0,AM242+AM243+AM244+AM245)</f>
        <v>730273.404257803</v>
      </c>
      <c r="AN246" s="440">
        <f>MAX(0,AN242+AN243+AN244+AN245)</f>
        <v>757658.656917471</v>
      </c>
      <c r="AO246" s="440">
        <f>MAX(0,AO242+AO243+AO244+AO245)</f>
        <v>757658.656917471</v>
      </c>
      <c r="AP246" s="440">
        <f>MAX(0,AP242+AP243+AP244+AP245)</f>
        <v>757658.656917471</v>
      </c>
      <c r="AQ246" s="440">
        <f>MAX(0,AQ242+AQ243+AQ244+AQ245)</f>
        <v>786070.856551876</v>
      </c>
      <c r="AR246" s="440">
        <f>MAX(0,AR242+AR243+AR244+AR245)</f>
        <v>786070.856551876</v>
      </c>
      <c r="AS246" s="440">
        <f>MAX(0,AS242+AS243+AS244+AS245)</f>
        <v>786070.856551876</v>
      </c>
      <c r="AT246" s="440">
        <f>MAX(0,AT242+AT243+AT244+AT245)</f>
        <v>815548.513672571</v>
      </c>
      <c r="AU246" s="440">
        <f>MAX(0,AU242+AU243+AU244+AU245)</f>
        <v>815548.513672571</v>
      </c>
      <c r="AV246" s="440">
        <f>MAX(0,AV242+AV243+AV244+AV245)</f>
        <v>815548.513672571</v>
      </c>
      <c r="AW246" s="440">
        <f>MAX(0,AW242+AW243+AW244+AW245)</f>
        <v>846131.582935293</v>
      </c>
      <c r="AX246" s="440">
        <f>MAX(0,AX242+AX243+AX244+AX245)</f>
        <v>846131.582935293</v>
      </c>
      <c r="AY246" s="440">
        <f>MAX(0,AY242+AY243+AY244+AY245)</f>
        <v>846131.582935293</v>
      </c>
      <c r="AZ246" s="440">
        <f>MAX(0,AZ242+AZ243+AZ244+AZ245)</f>
        <v>877861.517295366</v>
      </c>
      <c r="BA246" s="440">
        <f>MAX(0,BA242+BA243+BA244+BA245)</f>
        <v>877861.517295366</v>
      </c>
      <c r="BB246" s="440">
        <f>MAX(0,BB242+BB243+BB244+BB245)</f>
        <v>877861.517295366</v>
      </c>
      <c r="BC246" s="440">
        <f>MAX(0,BC242+BC243+BC244+BC245)</f>
        <v>661610.024193943</v>
      </c>
      <c r="BD246" s="440">
        <f>MAX(0,BD242+BD243+BD244+BD245)</f>
        <v>661610.024193943</v>
      </c>
      <c r="BE246" s="440">
        <f>MAX(0,BE242+BE243+BE244+BE245)</f>
        <v>661610.024193943</v>
      </c>
      <c r="BF246" s="440">
        <f>MAX(0,BF242+BF243+BF244+BF245)</f>
        <v>614720.400101215</v>
      </c>
      <c r="BG246" s="440">
        <f>MAX(0,BG242+BG243+BG244+BG245)</f>
        <v>614720.400101215</v>
      </c>
      <c r="BH246" s="440">
        <f>MAX(0,BH242+BH243+BH244+BH245)</f>
        <v>614720.400101215</v>
      </c>
      <c r="BI246" s="440">
        <f>MAX(0,BI242+BI243+BI244+BI245)</f>
        <v>566072.415105011</v>
      </c>
      <c r="BJ246" s="440">
        <f>MAX(0,BJ242+BJ243+BJ244+BJ245)</f>
        <v>566072.415105011</v>
      </c>
      <c r="BK246" s="440">
        <f>MAX(0,BK242+BK243+BK244+BK245)</f>
        <v>566072.415105011</v>
      </c>
      <c r="BL246" s="440">
        <f>MAX(0,BL242+BL243+BL244+BL245)</f>
        <v>515600.130671449</v>
      </c>
      <c r="BM246" s="440">
        <f>MAX(0,BM242+BM243+BM244+BM245)</f>
        <v>515600.130671449</v>
      </c>
      <c r="BN246" s="440">
        <f>MAX(0,BN242+BN243+BN244+BN245)</f>
        <v>515600.130671449</v>
      </c>
      <c r="BO246" s="440">
        <f>MAX(0,BO242+BO243+BO244+BO245)</f>
        <v>463235.135571628</v>
      </c>
      <c r="BP246" s="440">
        <f>MAX(0,BP242+BP243+BP244+BP245)</f>
        <v>463235.135571628</v>
      </c>
      <c r="BQ246" s="440">
        <f>MAX(0,BQ242+BQ243+BQ244+BQ245)</f>
        <v>463235.135571628</v>
      </c>
      <c r="BR246" s="440">
        <f>MAX(0,BR242+BR243+BR244+BR245)</f>
        <v>405963.453155564</v>
      </c>
      <c r="BS246" s="440">
        <f>MAX(0,BS242+BS243+BS244+BS245)</f>
        <v>405963.453155564</v>
      </c>
      <c r="BT246" s="440">
        <f>MAX(0,BT242+BT243+BT244+BT245)</f>
        <v>405963.453155564</v>
      </c>
      <c r="BU246" s="440">
        <f>MAX(0,BU242+BU243+BU244+BU245)</f>
        <v>346547.082648898</v>
      </c>
      <c r="BV246" s="440">
        <f>MAX(0,BV242+BV243+BV244+BV245)</f>
        <v>346547.082648898</v>
      </c>
      <c r="BW246" s="440">
        <f>MAX(0,BW242+BW243+BW244+BW245)</f>
        <v>346547.082648898</v>
      </c>
      <c r="BX246" s="440">
        <f>MAX(0,BX242+BX243+BX244+BX245)</f>
        <v>284902.598248232</v>
      </c>
      <c r="BY246" s="440">
        <f>MAX(0,BY242+BY243+BY244+BY245)</f>
        <v>284902.598248232</v>
      </c>
      <c r="BZ246" s="440">
        <f>MAX(0,BZ242+BZ243+BZ244+BZ245)</f>
        <v>284902.598248232</v>
      </c>
      <c r="CA246" s="440">
        <f>MAX(0,CA242+CA243+CA244+CA245)</f>
        <v>220946.44568254</v>
      </c>
      <c r="CB246" s="440">
        <f>MAX(0,CB242+CB243+CB244+CB245)</f>
        <v>220946.44568254</v>
      </c>
      <c r="CC246" s="440">
        <f>MAX(0,CC242+CC243+CC244+CC245)</f>
        <v>220946.44568254</v>
      </c>
      <c r="CD246" s="440">
        <f>MAX(0,CD242+CD243+CD244+CD245)</f>
        <v>147868.937395636</v>
      </c>
      <c r="CE246" s="440">
        <f>MAX(0,CE242+CE243+CE244+CE245)</f>
        <v>147868.937395636</v>
      </c>
      <c r="CF246" s="440">
        <f>MAX(0,CF242+CF243+CF244+CF245)</f>
        <v>147868.937395636</v>
      </c>
      <c r="CG246" s="440">
        <f>MAX(0,CG242+CG243+CG244+CG245)</f>
        <v>72052.0225479718</v>
      </c>
      <c r="CH246" s="440">
        <f>MAX(0,CH242+CH243+CH244+CH245)</f>
        <v>72052.0225479718</v>
      </c>
      <c r="CI246" s="440">
        <f>MAX(0,CI242+CI243+CI244+CI245)</f>
        <v>72052.0225479718</v>
      </c>
      <c r="CJ246" s="440">
        <f>MAX(0,CJ242+CJ243+CJ244+CJ245)</f>
        <v>0</v>
      </c>
      <c r="CK246" s="440">
        <f>MAX(0,CK242+CK243+CK244+CK245)</f>
        <v>0</v>
      </c>
      <c r="CL246" s="440">
        <f>MAX(0,CL242+CL243+CL244+CL245)</f>
        <v>0</v>
      </c>
      <c r="CM246" s="440">
        <f>MAX(0,CM242+CM243+CM244+CM245)</f>
        <v>0</v>
      </c>
      <c r="CN246" s="440">
        <f>MAX(0,CN242+CN243+CN244+CN245)</f>
        <v>0</v>
      </c>
      <c r="CO246" s="440">
        <f>MAX(0,CO242+CO243+CO244+CO245)</f>
        <v>0</v>
      </c>
      <c r="CP246" s="440">
        <f>MAX(0,CP242+CP243+CP244+CP245)</f>
        <v>0</v>
      </c>
      <c r="CQ246" s="440">
        <f>MAX(0,CQ242+CQ243+CQ244+CQ245)</f>
        <v>0</v>
      </c>
      <c r="CR246" s="440">
        <f>MAX(0,CR242+CR243+CR244+CR245)</f>
        <v>0</v>
      </c>
      <c r="CS246" s="440">
        <f>MAX(0,CS242+CS243+CS244+CS245)</f>
        <v>0</v>
      </c>
      <c r="CT246" s="440">
        <f>MAX(0,CT242+CT243+CT244+CT245)</f>
        <v>0</v>
      </c>
      <c r="CU246" s="440">
        <f>MAX(0,CU242+CU243+CU244+CU245)</f>
        <v>0</v>
      </c>
      <c r="CV246" s="440">
        <f>MAX(0,CV242+CV243+CV244+CV245)</f>
        <v>0</v>
      </c>
      <c r="CW246" s="440">
        <f>MAX(0,CW242+CW243+CW244+CW245)</f>
        <v>0</v>
      </c>
      <c r="CX246" s="440">
        <f>MAX(0,CX242+CX243+CX244+CX245)</f>
        <v>0</v>
      </c>
      <c r="CY246" s="440">
        <f>MAX(0,CY242+CY243+CY244+CY245)</f>
        <v>0</v>
      </c>
      <c r="CZ246" s="440">
        <f>MAX(0,CZ242+CZ243+CZ244+CZ245)</f>
        <v>0</v>
      </c>
      <c r="DA246" s="440">
        <f>MAX(0,DA242+DA243+DA244+DA245)</f>
        <v>0</v>
      </c>
      <c r="DB246" s="440">
        <f>MAX(0,DB242+DB243+DB244+DB245)</f>
        <v>0</v>
      </c>
      <c r="DC246" s="440">
        <f>MAX(0,DC242+DC243+DC244+DC245)</f>
        <v>0</v>
      </c>
      <c r="DD246" s="440">
        <f>MAX(0,DD242+DD243+DD244+DD245)</f>
        <v>0</v>
      </c>
      <c r="DE246" s="440">
        <f>MAX(0,DE242+DE243+DE244+DE245)</f>
        <v>0</v>
      </c>
    </row>
    <row r="247" ht="15" customFormat="1" customHeight="1" s="381">
      <c r="A247" s="441" t="n"/>
      <c r="B247" s="442" t="n"/>
      <c r="C247" s="442" t="n"/>
      <c r="D247" s="442" t="n"/>
      <c r="E247" s="442" t="n"/>
      <c r="F247" s="442" t="n"/>
      <c r="G247" s="442" t="n"/>
      <c r="H247" s="442" t="n"/>
      <c r="I247" s="442" t="n"/>
      <c r="J247" s="442" t="n"/>
      <c r="K247" s="442" t="n"/>
      <c r="L247" s="442" t="n"/>
      <c r="M247" s="442" t="n"/>
      <c r="N247" s="442" t="n"/>
      <c r="O247" s="442" t="n"/>
      <c r="P247" s="442" t="n"/>
      <c r="Q247" s="442" t="n"/>
      <c r="R247" s="442" t="n"/>
      <c r="S247" s="442" t="n"/>
      <c r="T247" s="442" t="n"/>
      <c r="U247" s="442" t="n"/>
      <c r="V247" s="442" t="n"/>
      <c r="W247" s="442" t="n"/>
      <c r="X247" s="442" t="n"/>
      <c r="Y247" s="442" t="n"/>
      <c r="Z247" s="442" t="n"/>
      <c r="AA247" s="442" t="n"/>
      <c r="AB247" s="442" t="n"/>
      <c r="AC247" s="442" t="n"/>
      <c r="AD247" s="442" t="n"/>
      <c r="AE247" s="442" t="n"/>
      <c r="AF247" s="442" t="n"/>
      <c r="AG247" s="442" t="n"/>
      <c r="AH247" s="442" t="n"/>
      <c r="AI247" s="442" t="n"/>
      <c r="AJ247" s="442" t="n"/>
      <c r="AK247" s="442" t="n"/>
      <c r="AL247" s="442" t="n"/>
      <c r="AM247" s="442" t="n"/>
      <c r="AN247" s="442" t="n"/>
      <c r="AO247" s="442" t="n"/>
      <c r="AP247" s="442" t="n"/>
      <c r="AQ247" s="442" t="n"/>
      <c r="AR247" s="442" t="n"/>
      <c r="AS247" s="442" t="n"/>
      <c r="AT247" s="442" t="n"/>
      <c r="AU247" s="442" t="n"/>
      <c r="AV247" s="442" t="n"/>
      <c r="AW247" s="442" t="n"/>
      <c r="AX247" s="442" t="n"/>
      <c r="AY247" s="442" t="n"/>
      <c r="AZ247" s="442" t="n"/>
      <c r="BA247" s="442" t="n"/>
      <c r="BB247" s="442" t="n"/>
      <c r="BC247" s="442" t="n"/>
      <c r="BD247" s="442" t="n"/>
      <c r="BE247" s="442" t="n"/>
      <c r="BF247" s="442" t="n"/>
      <c r="BG247" s="442" t="n"/>
      <c r="BH247" s="442" t="n"/>
      <c r="BI247" s="442" t="n"/>
      <c r="BJ247" s="442" t="n"/>
      <c r="BK247" s="442" t="n"/>
      <c r="BL247" s="442" t="n"/>
      <c r="BM247" s="442" t="n"/>
      <c r="BN247" s="442" t="n"/>
      <c r="BO247" s="442" t="n"/>
      <c r="BP247" s="442" t="n"/>
      <c r="BQ247" s="442" t="n"/>
      <c r="BR247" s="442" t="n"/>
      <c r="BS247" s="442" t="n"/>
      <c r="BT247" s="442" t="n"/>
      <c r="BU247" s="442" t="n"/>
      <c r="BV247" s="442" t="n"/>
      <c r="BW247" s="442" t="n"/>
      <c r="BX247" s="442" t="n"/>
      <c r="BY247" s="442" t="n"/>
      <c r="BZ247" s="442" t="n"/>
      <c r="CA247" s="442" t="n"/>
      <c r="CB247" s="442" t="n"/>
      <c r="CC247" s="442" t="n"/>
      <c r="CD247" s="442" t="n"/>
      <c r="CE247" s="442" t="n"/>
      <c r="CF247" s="442" t="n"/>
      <c r="CG247" s="442" t="n"/>
      <c r="CH247" s="442" t="n"/>
      <c r="CI247" s="442" t="n"/>
      <c r="CJ247" s="442" t="n"/>
      <c r="CK247" s="442" t="n"/>
      <c r="CL247" s="442" t="n"/>
      <c r="CM247" s="442" t="n"/>
      <c r="CN247" s="442" t="n"/>
      <c r="CO247" s="442" t="n"/>
      <c r="CP247" s="442" t="n"/>
      <c r="CQ247" s="442" t="n"/>
      <c r="CR247" s="442" t="n"/>
      <c r="CS247" s="442" t="n"/>
      <c r="CT247" s="442" t="n"/>
      <c r="CU247" s="442" t="n"/>
      <c r="CV247" s="442" t="n"/>
      <c r="CW247" s="442" t="n"/>
      <c r="CX247" s="442" t="n"/>
      <c r="CY247" s="442" t="n"/>
      <c r="CZ247" s="442" t="n"/>
      <c r="DA247" s="442" t="n"/>
      <c r="DB247" s="442" t="n"/>
      <c r="DC247" s="442" t="n"/>
      <c r="DD247" s="442" t="n"/>
      <c r="DE247" s="442" t="n"/>
    </row>
    <row r="248" ht="15" customFormat="1" customHeight="1" s="381">
      <c r="A248" s="443" t="inlineStr">
        <is>
          <t>BONDING OUTSTANDING</t>
        </is>
      </c>
      <c r="B248" s="444" t="n"/>
      <c r="C248" s="444" t="n"/>
      <c r="D248" s="444" t="n"/>
      <c r="E248" s="444" t="n"/>
      <c r="F248" s="444" t="n"/>
      <c r="G248" s="444" t="n"/>
      <c r="H248" s="444" t="n"/>
      <c r="I248" s="444" t="n"/>
      <c r="J248" s="444" t="n"/>
      <c r="K248" s="444" t="n"/>
      <c r="L248" s="444" t="n"/>
      <c r="M248" s="444" t="n"/>
      <c r="N248" s="444" t="n"/>
      <c r="O248" s="444" t="n"/>
      <c r="P248" s="444" t="n"/>
      <c r="Q248" s="444" t="n"/>
      <c r="R248" s="444" t="n"/>
      <c r="S248" s="444" t="n"/>
      <c r="T248" s="444" t="n"/>
      <c r="U248" s="444" t="n"/>
      <c r="V248" s="444" t="n"/>
      <c r="W248" s="444" t="n"/>
      <c r="X248" s="444" t="n"/>
      <c r="Y248" s="444" t="n"/>
      <c r="Z248" s="444" t="n"/>
      <c r="AA248" s="444" t="n"/>
      <c r="AB248" s="444" t="n"/>
      <c r="AC248" s="444" t="n"/>
      <c r="AD248" s="444" t="n"/>
      <c r="AE248" s="444" t="n"/>
      <c r="AF248" s="444" t="n"/>
      <c r="AG248" s="444" t="n"/>
      <c r="AH248" s="444" t="n"/>
      <c r="AI248" s="444" t="n"/>
      <c r="AJ248" s="444" t="n"/>
      <c r="AK248" s="444" t="n"/>
      <c r="AL248" s="444" t="n"/>
      <c r="AM248" s="444" t="n"/>
      <c r="AN248" s="444" t="n"/>
      <c r="AO248" s="444" t="n"/>
      <c r="AP248" s="444" t="n"/>
      <c r="AQ248" s="444" t="n"/>
      <c r="AR248" s="444" t="n"/>
      <c r="AS248" s="444" t="n"/>
      <c r="AT248" s="444" t="n"/>
      <c r="AU248" s="444" t="n"/>
      <c r="AV248" s="444" t="n"/>
      <c r="AW248" s="444" t="n"/>
      <c r="AX248" s="444" t="n"/>
      <c r="AY248" s="444" t="n"/>
      <c r="AZ248" s="444" t="n"/>
      <c r="BA248" s="444" t="n"/>
      <c r="BB248" s="444" t="n"/>
      <c r="BC248" s="444" t="n"/>
      <c r="BD248" s="444" t="n"/>
      <c r="BE248" s="444" t="n"/>
      <c r="BF248" s="444" t="n"/>
      <c r="BG248" s="444" t="n"/>
      <c r="BH248" s="444" t="n"/>
      <c r="BI248" s="444" t="n"/>
      <c r="BJ248" s="444" t="n"/>
      <c r="BK248" s="444" t="n"/>
      <c r="BL248" s="444" t="n"/>
      <c r="BM248" s="444" t="n"/>
      <c r="BN248" s="444" t="n"/>
      <c r="BO248" s="444" t="n"/>
      <c r="BP248" s="444" t="n"/>
      <c r="BQ248" s="444" t="n"/>
      <c r="BR248" s="444" t="n"/>
      <c r="BS248" s="444" t="n"/>
      <c r="BT248" s="444" t="n"/>
      <c r="BU248" s="444" t="n"/>
      <c r="BV248" s="444" t="n"/>
      <c r="BW248" s="444" t="n"/>
      <c r="BX248" s="444" t="n"/>
      <c r="BY248" s="444" t="n"/>
      <c r="BZ248" s="444" t="n"/>
      <c r="CA248" s="444" t="n"/>
      <c r="CB248" s="444" t="n"/>
      <c r="CC248" s="444" t="n"/>
      <c r="CD248" s="444" t="n"/>
      <c r="CE248" s="444" t="n"/>
      <c r="CF248" s="444" t="n"/>
      <c r="CG248" s="444" t="n"/>
      <c r="CH248" s="444" t="n"/>
      <c r="CI248" s="444" t="n"/>
      <c r="CJ248" s="444" t="n"/>
      <c r="CK248" s="444" t="n"/>
      <c r="CL248" s="444" t="n"/>
      <c r="CM248" s="444" t="n"/>
      <c r="CN248" s="444" t="n"/>
      <c r="CO248" s="444" t="n"/>
      <c r="CP248" s="444" t="n"/>
      <c r="CQ248" s="444" t="n"/>
      <c r="CR248" s="444" t="n"/>
      <c r="CS248" s="444" t="n"/>
      <c r="CT248" s="444" t="n"/>
      <c r="CU248" s="444" t="n"/>
      <c r="CV248" s="444" t="n"/>
      <c r="CW248" s="444" t="n"/>
      <c r="CX248" s="444" t="n"/>
      <c r="CY248" s="444" t="n"/>
      <c r="CZ248" s="444" t="n"/>
      <c r="DA248" s="444" t="n"/>
      <c r="DB248" s="444" t="n"/>
      <c r="DC248" s="444" t="n"/>
      <c r="DD248" s="444" t="n"/>
      <c r="DE248" s="444" t="n"/>
    </row>
    <row r="249" ht="15" customFormat="1" customHeight="1" s="381">
      <c r="A249" s="398" t="inlineStr">
        <is>
          <t>Califa</t>
        </is>
      </c>
      <c r="B249" s="393" t="n"/>
      <c r="C249" s="393" t="n"/>
      <c r="D249" s="393" t="n"/>
      <c r="E249" s="393">
        <f>Helpers!C8</f>
        <v>11187175.7906854</v>
      </c>
      <c r="F249" s="393">
        <f>Helpers!D8</f>
        <v>10356493.6916432</v>
      </c>
      <c r="G249" s="393">
        <f>Helpers!E8</f>
        <v>9450240.4833253</v>
      </c>
      <c r="H249" s="393">
        <f>Helpers!F8</f>
        <v>8485833.108368</v>
      </c>
      <c r="I249" s="393">
        <f>Helpers!G8</f>
        <v>7484749.67151286</v>
      </c>
      <c r="J249" s="393">
        <f>Helpers!H8</f>
        <v>6471133.85125429</v>
      </c>
      <c r="K249" s="393">
        <f>Helpers!I8</f>
        <v>5470050.41439915</v>
      </c>
      <c r="L249" s="393">
        <f>Helpers!J8</f>
        <v>4505643.03944185</v>
      </c>
      <c r="M249" s="393">
        <f>Helpers!K8</f>
        <v>3599389.83112392</v>
      </c>
      <c r="N249" s="393">
        <f>Helpers!L8</f>
        <v>2768707.73208177</v>
      </c>
      <c r="O249" s="393">
        <f>Helpers!M8</f>
        <v>2026003.52276715</v>
      </c>
      <c r="P249" s="393">
        <f>Helpers!N8</f>
        <v>1378283.05670848</v>
      </c>
      <c r="Q249" s="393">
        <f>Helpers!O8</f>
        <v>827276.86346259</v>
      </c>
      <c r="R249" s="393">
        <f>Helpers!P8</f>
        <v>370068.163373215</v>
      </c>
      <c r="S249" s="393">
        <f>Helpers!Q8</f>
        <v>0</v>
      </c>
      <c r="T249" s="393">
        <f>Helpers!R8</f>
        <v>0</v>
      </c>
      <c r="U249" s="393">
        <f>Helpers!S8</f>
        <v>0</v>
      </c>
      <c r="V249" s="393">
        <f>Helpers!T8</f>
        <v>0</v>
      </c>
      <c r="W249" s="393">
        <f>Helpers!U8</f>
        <v>0</v>
      </c>
      <c r="X249" s="393">
        <f>Helpers!V8</f>
        <v>0</v>
      </c>
      <c r="Y249" s="393">
        <f>Helpers!W8</f>
        <v>0</v>
      </c>
      <c r="Z249" s="393">
        <f>Helpers!X8</f>
        <v>0</v>
      </c>
      <c r="AA249" s="393">
        <f>Helpers!Y8</f>
        <v>0</v>
      </c>
      <c r="AB249" s="393">
        <f>Helpers!Z8</f>
        <v>0</v>
      </c>
      <c r="AC249" s="393">
        <f>Helpers!AA8</f>
        <v>0</v>
      </c>
      <c r="AD249" s="393">
        <f>Helpers!AB8</f>
        <v>0</v>
      </c>
      <c r="AE249" s="393">
        <f>Helpers!AC8</f>
        <v>0</v>
      </c>
      <c r="AF249" s="393">
        <f>Helpers!AD8</f>
        <v>0</v>
      </c>
      <c r="AG249" s="393">
        <f>Helpers!AE8</f>
        <v>0</v>
      </c>
      <c r="AH249" s="393">
        <f>Helpers!AF8</f>
        <v>0</v>
      </c>
      <c r="AI249" s="393">
        <f>Helpers!AG8</f>
        <v>0</v>
      </c>
      <c r="AJ249" s="393">
        <f>Helpers!AH8</f>
        <v>0</v>
      </c>
      <c r="AK249" s="393">
        <f>Helpers!AI8</f>
        <v>0</v>
      </c>
      <c r="AL249" s="393">
        <f>Helpers!AJ8</f>
        <v>0</v>
      </c>
      <c r="AM249" s="393">
        <f>Helpers!AK8</f>
        <v>0</v>
      </c>
      <c r="AN249" s="393">
        <f>Helpers!AL8</f>
        <v>0</v>
      </c>
      <c r="AO249" s="393">
        <f>Helpers!AM8</f>
        <v>0</v>
      </c>
      <c r="AP249" s="393">
        <f>Helpers!AN8</f>
        <v>0</v>
      </c>
      <c r="AQ249" s="393">
        <f>Helpers!AO8</f>
        <v>0</v>
      </c>
      <c r="AR249" s="393">
        <f>Helpers!AP8</f>
        <v>0</v>
      </c>
      <c r="AS249" s="393">
        <f>Helpers!AQ8</f>
        <v>0</v>
      </c>
      <c r="AT249" s="393">
        <f>Helpers!AR8</f>
        <v>0</v>
      </c>
      <c r="AU249" s="393">
        <f>Helpers!AS8</f>
        <v>0</v>
      </c>
      <c r="AV249" s="393">
        <f>Helpers!AT8</f>
        <v>0</v>
      </c>
      <c r="AW249" s="393">
        <f>Helpers!AU8</f>
        <v>0</v>
      </c>
      <c r="AX249" s="393">
        <f>Helpers!AV8</f>
        <v>0</v>
      </c>
      <c r="AY249" s="393">
        <f>Helpers!AW8</f>
        <v>0</v>
      </c>
      <c r="AZ249" s="393">
        <f>Helpers!AX8</f>
        <v>0</v>
      </c>
      <c r="BA249" s="393">
        <f>Helpers!AY8</f>
        <v>0</v>
      </c>
      <c r="BB249" s="393">
        <f>Helpers!AZ8</f>
        <v>0</v>
      </c>
      <c r="BC249" s="393">
        <f>Helpers!BA8</f>
        <v>0</v>
      </c>
      <c r="BD249" s="393">
        <f>Helpers!BB8</f>
        <v>0</v>
      </c>
      <c r="BE249" s="393">
        <f>Helpers!BC8</f>
        <v>0</v>
      </c>
      <c r="BF249" s="393">
        <f>Helpers!BD8</f>
        <v>0</v>
      </c>
      <c r="BG249" s="393">
        <f>Helpers!BE8</f>
        <v>0</v>
      </c>
      <c r="BH249" s="393">
        <f>Helpers!BF8</f>
        <v>0</v>
      </c>
      <c r="BI249" s="393">
        <f>Helpers!BG8</f>
        <v>0</v>
      </c>
      <c r="BJ249" s="393">
        <f>Helpers!BH8</f>
        <v>0</v>
      </c>
      <c r="BK249" s="393">
        <f>Helpers!BI8</f>
        <v>0</v>
      </c>
      <c r="BL249" s="393">
        <f>Helpers!BJ8</f>
        <v>0</v>
      </c>
      <c r="BM249" s="393">
        <f>Helpers!BK8</f>
        <v>0</v>
      </c>
      <c r="BN249" s="393">
        <f>Helpers!BL8</f>
        <v>0</v>
      </c>
      <c r="BO249" s="393">
        <f>Helpers!BM8</f>
        <v>0</v>
      </c>
      <c r="BP249" s="393">
        <f>Helpers!BN8</f>
        <v>0</v>
      </c>
      <c r="BQ249" s="393">
        <f>Helpers!BO8</f>
        <v>0</v>
      </c>
      <c r="BR249" s="393">
        <f>Helpers!BP8</f>
        <v>0</v>
      </c>
      <c r="BS249" s="393">
        <f>Helpers!BQ8</f>
        <v>0</v>
      </c>
      <c r="BT249" s="393">
        <f>Helpers!BR8</f>
        <v>0</v>
      </c>
      <c r="BU249" s="393">
        <f>Helpers!BS8</f>
        <v>0</v>
      </c>
      <c r="BV249" s="393">
        <f>Helpers!BT8</f>
        <v>0</v>
      </c>
      <c r="BW249" s="393">
        <f>Helpers!BU8</f>
        <v>0</v>
      </c>
      <c r="BX249" s="393">
        <f>Helpers!BV8</f>
        <v>0</v>
      </c>
      <c r="BY249" s="393">
        <f>Helpers!BW8</f>
        <v>0</v>
      </c>
      <c r="BZ249" s="393">
        <f>Helpers!BX8</f>
        <v>0</v>
      </c>
      <c r="CA249" s="393">
        <f>Helpers!BY8</f>
        <v>0</v>
      </c>
      <c r="CB249" s="393">
        <f>Helpers!BZ8</f>
        <v>0</v>
      </c>
      <c r="CC249" s="393">
        <f>Helpers!CA8</f>
        <v>0</v>
      </c>
      <c r="CD249" s="393">
        <f>Helpers!CB8</f>
        <v>0</v>
      </c>
      <c r="CE249" s="393">
        <f>Helpers!CC8</f>
        <v>0</v>
      </c>
      <c r="CF249" s="393">
        <f>Helpers!CD8</f>
        <v>0</v>
      </c>
      <c r="CG249" s="393">
        <f>Helpers!CE8</f>
        <v>0</v>
      </c>
      <c r="CH249" s="393">
        <f>Helpers!CF8</f>
        <v>0</v>
      </c>
      <c r="CI249" s="393">
        <f>Helpers!CG8</f>
        <v>0</v>
      </c>
      <c r="CJ249" s="393">
        <f>Helpers!CH8</f>
        <v>0</v>
      </c>
      <c r="CK249" s="393">
        <f>Helpers!CI8</f>
        <v>0</v>
      </c>
      <c r="CL249" s="393">
        <f>Helpers!CJ8</f>
        <v>0</v>
      </c>
      <c r="CM249" s="393">
        <f>Helpers!CK8</f>
        <v>0</v>
      </c>
      <c r="CN249" s="393">
        <f>Helpers!CL8</f>
        <v>0</v>
      </c>
      <c r="CO249" s="393">
        <f>Helpers!CM8</f>
        <v>0</v>
      </c>
      <c r="CP249" s="393">
        <f>Helpers!CN8</f>
        <v>0</v>
      </c>
      <c r="CQ249" s="393">
        <f>Helpers!CO8</f>
        <v>0</v>
      </c>
      <c r="CR249" s="393">
        <f>Helpers!CP8</f>
        <v>0</v>
      </c>
      <c r="CS249" s="393">
        <f>Helpers!CQ8</f>
        <v>0</v>
      </c>
      <c r="CT249" s="393">
        <f>Helpers!CR8</f>
        <v>0</v>
      </c>
      <c r="CU249" s="393">
        <f>Helpers!CS8</f>
        <v>0</v>
      </c>
      <c r="CV249" s="393">
        <f>Helpers!CT8</f>
        <v>0</v>
      </c>
      <c r="CW249" s="393">
        <f>Helpers!CU8</f>
        <v>0</v>
      </c>
      <c r="CX249" s="393">
        <f>Helpers!CV8</f>
        <v>0</v>
      </c>
      <c r="CY249" s="393">
        <f>Helpers!CW8</f>
        <v>0</v>
      </c>
      <c r="CZ249" s="393">
        <f>Helpers!CX8</f>
        <v>0</v>
      </c>
      <c r="DA249" s="393">
        <f>Helpers!CY8</f>
        <v>0</v>
      </c>
      <c r="DB249" s="393">
        <f>Helpers!CZ8</f>
        <v>0</v>
      </c>
      <c r="DC249" s="393">
        <f>Helpers!DA8</f>
        <v>0</v>
      </c>
      <c r="DD249" s="393">
        <f>Helpers!DB8</f>
        <v>0</v>
      </c>
      <c r="DE249" s="393">
        <f>Helpers!DC8</f>
        <v>0</v>
      </c>
    </row>
    <row r="250" ht="15" customFormat="1" customHeight="1" s="381">
      <c r="A250" s="398" t="inlineStr">
        <is>
          <t>Whipple</t>
        </is>
      </c>
      <c r="B250" s="393" t="n"/>
      <c r="C250" s="393" t="n"/>
      <c r="D250" s="393" t="n"/>
      <c r="E250" s="393">
        <f>Helpers!C9</f>
        <v>13529664.5561914</v>
      </c>
      <c r="F250" s="393">
        <f>Helpers!D9</f>
        <v>12525045.4849303</v>
      </c>
      <c r="G250" s="393">
        <f>Helpers!E9</f>
        <v>11429031.4291109</v>
      </c>
      <c r="H250" s="393">
        <f>Helpers!F9</f>
        <v>10262686.274371</v>
      </c>
      <c r="I250" s="393">
        <f>Helpers!G9</f>
        <v>9051985.43737453</v>
      </c>
      <c r="J250" s="393">
        <f>Helpers!H9</f>
        <v>7826128.05446242</v>
      </c>
      <c r="K250" s="393">
        <f>Helpers!I9</f>
        <v>6615427.21746597</v>
      </c>
      <c r="L250" s="393">
        <f>Helpers!J9</f>
        <v>5449082.06272607</v>
      </c>
      <c r="M250" s="393">
        <f>Helpers!K9</f>
        <v>4353068.00690665</v>
      </c>
      <c r="N250" s="393">
        <f>Helpers!L9</f>
        <v>3348448.93564553</v>
      </c>
      <c r="O250" s="393">
        <f>Helpers!M9</f>
        <v>2450229.49183695</v>
      </c>
      <c r="P250" s="393">
        <f>Helpers!N9</f>
        <v>1666882.48845382</v>
      </c>
      <c r="Q250" s="393">
        <f>Helpers!O9</f>
        <v>1000500.81156911</v>
      </c>
      <c r="R250" s="393">
        <f>Helpers!P9</f>
        <v>447556.935463038</v>
      </c>
      <c r="S250" s="393">
        <f>Helpers!Q9</f>
        <v>0</v>
      </c>
      <c r="T250" s="393">
        <f>Helpers!R9</f>
        <v>0</v>
      </c>
      <c r="U250" s="393">
        <f>Helpers!S9</f>
        <v>0</v>
      </c>
      <c r="V250" s="393">
        <f>Helpers!T9</f>
        <v>0</v>
      </c>
      <c r="W250" s="393">
        <f>Helpers!U9</f>
        <v>0</v>
      </c>
      <c r="X250" s="393">
        <f>Helpers!V9</f>
        <v>0</v>
      </c>
      <c r="Y250" s="393">
        <f>Helpers!W9</f>
        <v>0</v>
      </c>
      <c r="Z250" s="393">
        <f>Helpers!X9</f>
        <v>0</v>
      </c>
      <c r="AA250" s="393">
        <f>Helpers!Y9</f>
        <v>0</v>
      </c>
      <c r="AB250" s="393">
        <f>Helpers!Z9</f>
        <v>0</v>
      </c>
      <c r="AC250" s="393">
        <f>Helpers!AA9</f>
        <v>0</v>
      </c>
      <c r="AD250" s="393">
        <f>Helpers!AB9</f>
        <v>0</v>
      </c>
      <c r="AE250" s="393">
        <f>Helpers!AC9</f>
        <v>0</v>
      </c>
      <c r="AF250" s="393">
        <f>Helpers!AD9</f>
        <v>0</v>
      </c>
      <c r="AG250" s="393">
        <f>Helpers!AE9</f>
        <v>0</v>
      </c>
      <c r="AH250" s="393">
        <f>Helpers!AF9</f>
        <v>0</v>
      </c>
      <c r="AI250" s="393">
        <f>Helpers!AG9</f>
        <v>0</v>
      </c>
      <c r="AJ250" s="393">
        <f>Helpers!AH9</f>
        <v>0</v>
      </c>
      <c r="AK250" s="393">
        <f>Helpers!AI9</f>
        <v>0</v>
      </c>
      <c r="AL250" s="393">
        <f>Helpers!AJ9</f>
        <v>0</v>
      </c>
      <c r="AM250" s="393">
        <f>Helpers!AK9</f>
        <v>0</v>
      </c>
      <c r="AN250" s="393">
        <f>Helpers!AL9</f>
        <v>0</v>
      </c>
      <c r="AO250" s="393">
        <f>Helpers!AM9</f>
        <v>0</v>
      </c>
      <c r="AP250" s="393">
        <f>Helpers!AN9</f>
        <v>0</v>
      </c>
      <c r="AQ250" s="393">
        <f>Helpers!AO9</f>
        <v>0</v>
      </c>
      <c r="AR250" s="393">
        <f>Helpers!AP9</f>
        <v>0</v>
      </c>
      <c r="AS250" s="393">
        <f>Helpers!AQ9</f>
        <v>0</v>
      </c>
      <c r="AT250" s="393">
        <f>Helpers!AR9</f>
        <v>0</v>
      </c>
      <c r="AU250" s="393">
        <f>Helpers!AS9</f>
        <v>0</v>
      </c>
      <c r="AV250" s="393">
        <f>Helpers!AT9</f>
        <v>0</v>
      </c>
      <c r="AW250" s="393">
        <f>Helpers!AU9</f>
        <v>0</v>
      </c>
      <c r="AX250" s="393">
        <f>Helpers!AV9</f>
        <v>0</v>
      </c>
      <c r="AY250" s="393">
        <f>Helpers!AW9</f>
        <v>0</v>
      </c>
      <c r="AZ250" s="393">
        <f>Helpers!AX9</f>
        <v>0</v>
      </c>
      <c r="BA250" s="393">
        <f>Helpers!AY9</f>
        <v>0</v>
      </c>
      <c r="BB250" s="393">
        <f>Helpers!AZ9</f>
        <v>0</v>
      </c>
      <c r="BC250" s="393">
        <f>Helpers!BA9</f>
        <v>0</v>
      </c>
      <c r="BD250" s="393">
        <f>Helpers!BB9</f>
        <v>0</v>
      </c>
      <c r="BE250" s="393">
        <f>Helpers!BC9</f>
        <v>0</v>
      </c>
      <c r="BF250" s="393">
        <f>Helpers!BD9</f>
        <v>0</v>
      </c>
      <c r="BG250" s="393">
        <f>Helpers!BE9</f>
        <v>0</v>
      </c>
      <c r="BH250" s="393">
        <f>Helpers!BF9</f>
        <v>0</v>
      </c>
      <c r="BI250" s="393">
        <f>Helpers!BG9</f>
        <v>0</v>
      </c>
      <c r="BJ250" s="393">
        <f>Helpers!BH9</f>
        <v>0</v>
      </c>
      <c r="BK250" s="393">
        <f>Helpers!BI9</f>
        <v>0</v>
      </c>
      <c r="BL250" s="393">
        <f>Helpers!BJ9</f>
        <v>0</v>
      </c>
      <c r="BM250" s="393">
        <f>Helpers!BK9</f>
        <v>0</v>
      </c>
      <c r="BN250" s="393">
        <f>Helpers!BL9</f>
        <v>0</v>
      </c>
      <c r="BO250" s="393">
        <f>Helpers!BM9</f>
        <v>0</v>
      </c>
      <c r="BP250" s="393">
        <f>Helpers!BN9</f>
        <v>0</v>
      </c>
      <c r="BQ250" s="393">
        <f>Helpers!BO9</f>
        <v>0</v>
      </c>
      <c r="BR250" s="393">
        <f>Helpers!BP9</f>
        <v>0</v>
      </c>
      <c r="BS250" s="393">
        <f>Helpers!BQ9</f>
        <v>0</v>
      </c>
      <c r="BT250" s="393">
        <f>Helpers!BR9</f>
        <v>0</v>
      </c>
      <c r="BU250" s="393">
        <f>Helpers!BS9</f>
        <v>0</v>
      </c>
      <c r="BV250" s="393">
        <f>Helpers!BT9</f>
        <v>0</v>
      </c>
      <c r="BW250" s="393">
        <f>Helpers!BU9</f>
        <v>0</v>
      </c>
      <c r="BX250" s="393">
        <f>Helpers!BV9</f>
        <v>0</v>
      </c>
      <c r="BY250" s="393">
        <f>Helpers!BW9</f>
        <v>0</v>
      </c>
      <c r="BZ250" s="393">
        <f>Helpers!BX9</f>
        <v>0</v>
      </c>
      <c r="CA250" s="393">
        <f>Helpers!BY9</f>
        <v>0</v>
      </c>
      <c r="CB250" s="393">
        <f>Helpers!BZ9</f>
        <v>0</v>
      </c>
      <c r="CC250" s="393">
        <f>Helpers!CA9</f>
        <v>0</v>
      </c>
      <c r="CD250" s="393">
        <f>Helpers!CB9</f>
        <v>0</v>
      </c>
      <c r="CE250" s="393">
        <f>Helpers!CC9</f>
        <v>0</v>
      </c>
      <c r="CF250" s="393">
        <f>Helpers!CD9</f>
        <v>0</v>
      </c>
      <c r="CG250" s="393">
        <f>Helpers!CE9</f>
        <v>0</v>
      </c>
      <c r="CH250" s="393">
        <f>Helpers!CF9</f>
        <v>0</v>
      </c>
      <c r="CI250" s="393">
        <f>Helpers!CG9</f>
        <v>0</v>
      </c>
      <c r="CJ250" s="393">
        <f>Helpers!CH9</f>
        <v>0</v>
      </c>
      <c r="CK250" s="393">
        <f>Helpers!CI9</f>
        <v>0</v>
      </c>
      <c r="CL250" s="393">
        <f>Helpers!CJ9</f>
        <v>0</v>
      </c>
      <c r="CM250" s="393">
        <f>Helpers!CK9</f>
        <v>0</v>
      </c>
      <c r="CN250" s="393">
        <f>Helpers!CL9</f>
        <v>0</v>
      </c>
      <c r="CO250" s="393">
        <f>Helpers!CM9</f>
        <v>0</v>
      </c>
      <c r="CP250" s="393">
        <f>Helpers!CN9</f>
        <v>0</v>
      </c>
      <c r="CQ250" s="393">
        <f>Helpers!CO9</f>
        <v>0</v>
      </c>
      <c r="CR250" s="393">
        <f>Helpers!CP9</f>
        <v>0</v>
      </c>
      <c r="CS250" s="393">
        <f>Helpers!CQ9</f>
        <v>0</v>
      </c>
      <c r="CT250" s="393">
        <f>Helpers!CR9</f>
        <v>0</v>
      </c>
      <c r="CU250" s="393">
        <f>Helpers!CS9</f>
        <v>0</v>
      </c>
      <c r="CV250" s="393">
        <f>Helpers!CT9</f>
        <v>0</v>
      </c>
      <c r="CW250" s="393">
        <f>Helpers!CU9</f>
        <v>0</v>
      </c>
      <c r="CX250" s="393">
        <f>Helpers!CV9</f>
        <v>0</v>
      </c>
      <c r="CY250" s="393">
        <f>Helpers!CW9</f>
        <v>0</v>
      </c>
      <c r="CZ250" s="393">
        <f>Helpers!CX9</f>
        <v>0</v>
      </c>
      <c r="DA250" s="393">
        <f>Helpers!CY9</f>
        <v>0</v>
      </c>
      <c r="DB250" s="393">
        <f>Helpers!CZ9</f>
        <v>0</v>
      </c>
      <c r="DC250" s="393">
        <f>Helpers!DA9</f>
        <v>0</v>
      </c>
      <c r="DD250" s="393">
        <f>Helpers!DB9</f>
        <v>0</v>
      </c>
      <c r="DE250" s="393">
        <f>Helpers!DC9</f>
        <v>0</v>
      </c>
    </row>
    <row r="251" ht="15" customFormat="1" customHeight="1" s="381">
      <c r="A251" s="398" t="inlineStr">
        <is>
          <t>Francis</t>
        </is>
      </c>
      <c r="B251" s="393" t="n"/>
      <c r="C251" s="393" t="n"/>
      <c r="D251" s="393" t="n"/>
      <c r="E251" s="393">
        <f>Helpers!C10</f>
        <v>0</v>
      </c>
      <c r="F251" s="393">
        <f>Helpers!D10</f>
        <v>0</v>
      </c>
      <c r="G251" s="393">
        <f>Helpers!E10</f>
        <v>0</v>
      </c>
      <c r="H251" s="393">
        <f>Helpers!F10</f>
        <v>0</v>
      </c>
      <c r="I251" s="393">
        <f>Helpers!G10</f>
        <v>41917600.701795</v>
      </c>
      <c r="J251" s="393">
        <f>Helpers!H10</f>
        <v>40876147.300755</v>
      </c>
      <c r="K251" s="393">
        <f>Helpers!I10</f>
        <v>39658850.21033</v>
      </c>
      <c r="L251" s="393">
        <f>Helpers!J10</f>
        <v>38257963.578055</v>
      </c>
      <c r="M251" s="393">
        <f>Helpers!K10</f>
        <v>36670834.1285</v>
      </c>
      <c r="N251" s="393">
        <f>Helpers!L10</f>
        <v>34900500.28998</v>
      </c>
      <c r="O251" s="393">
        <f>Helpers!M10</f>
        <v>32956419.70556</v>
      </c>
      <c r="P251" s="393">
        <f>Helpers!N10</f>
        <v>30854597.61735</v>
      </c>
      <c r="Q251" s="393">
        <f>Helpers!O10</f>
        <v>28617372.89268</v>
      </c>
      <c r="R251" s="393">
        <f>Helpers!P10</f>
        <v>26272947.281685</v>
      </c>
      <c r="S251" s="393">
        <f>Helpers!Q10</f>
        <v>23854187.163885</v>
      </c>
      <c r="T251" s="393">
        <f>Helpers!R10</f>
        <v>21397382.5</v>
      </c>
      <c r="U251" s="393">
        <f>Helpers!S10</f>
        <v>18940577.836115</v>
      </c>
      <c r="V251" s="393">
        <f>Helpers!T10</f>
        <v>16521817.718315</v>
      </c>
      <c r="W251" s="393">
        <f>Helpers!U10</f>
        <v>14177392.10732</v>
      </c>
      <c r="X251" s="393">
        <f>Helpers!V10</f>
        <v>11940167.38265</v>
      </c>
      <c r="Y251" s="393">
        <f>Helpers!W10</f>
        <v>9838345.29444</v>
      </c>
      <c r="Z251" s="393">
        <f>Helpers!X10</f>
        <v>7894264.71002</v>
      </c>
      <c r="AA251" s="393">
        <f>Helpers!Y10</f>
        <v>6123930.8715</v>
      </c>
      <c r="AB251" s="393">
        <f>Helpers!Z10</f>
        <v>4536801.421945</v>
      </c>
      <c r="AC251" s="393">
        <f>Helpers!AA10</f>
        <v>3135914.78967</v>
      </c>
      <c r="AD251" s="393">
        <f>Helpers!AB10</f>
        <v>1918617.699245</v>
      </c>
      <c r="AE251" s="393">
        <f>Helpers!AC10</f>
        <v>877164.298204999</v>
      </c>
      <c r="AF251" s="393">
        <f>Helpers!AD10</f>
        <v>0</v>
      </c>
      <c r="AG251" s="393">
        <f>Helpers!AE10</f>
        <v>0</v>
      </c>
      <c r="AH251" s="393">
        <f>Helpers!AF10</f>
        <v>0</v>
      </c>
      <c r="AI251" s="393">
        <f>Helpers!AG10</f>
        <v>0</v>
      </c>
      <c r="AJ251" s="393">
        <f>Helpers!AH10</f>
        <v>0</v>
      </c>
      <c r="AK251" s="393">
        <f>Helpers!AI10</f>
        <v>0</v>
      </c>
      <c r="AL251" s="393">
        <f>Helpers!AJ10</f>
        <v>0</v>
      </c>
      <c r="AM251" s="393">
        <f>Helpers!AK10</f>
        <v>0</v>
      </c>
      <c r="AN251" s="393">
        <f>Helpers!AL10</f>
        <v>0</v>
      </c>
      <c r="AO251" s="393">
        <f>Helpers!AM10</f>
        <v>0</v>
      </c>
      <c r="AP251" s="393">
        <f>Helpers!AN10</f>
        <v>0</v>
      </c>
      <c r="AQ251" s="393">
        <f>Helpers!AO10</f>
        <v>0</v>
      </c>
      <c r="AR251" s="393">
        <f>Helpers!AP10</f>
        <v>0</v>
      </c>
      <c r="AS251" s="393">
        <f>Helpers!AQ10</f>
        <v>0</v>
      </c>
      <c r="AT251" s="393">
        <f>Helpers!AR10</f>
        <v>0</v>
      </c>
      <c r="AU251" s="393">
        <f>Helpers!AS10</f>
        <v>0</v>
      </c>
      <c r="AV251" s="393">
        <f>Helpers!AT10</f>
        <v>0</v>
      </c>
      <c r="AW251" s="393">
        <f>Helpers!AU10</f>
        <v>0</v>
      </c>
      <c r="AX251" s="393">
        <f>Helpers!AV10</f>
        <v>0</v>
      </c>
      <c r="AY251" s="393">
        <f>Helpers!AW10</f>
        <v>0</v>
      </c>
      <c r="AZ251" s="393">
        <f>Helpers!AX10</f>
        <v>0</v>
      </c>
      <c r="BA251" s="393">
        <f>Helpers!AY10</f>
        <v>0</v>
      </c>
      <c r="BB251" s="393">
        <f>Helpers!AZ10</f>
        <v>0</v>
      </c>
      <c r="BC251" s="393">
        <f>Helpers!BA10</f>
        <v>0</v>
      </c>
      <c r="BD251" s="393">
        <f>Helpers!BB10</f>
        <v>0</v>
      </c>
      <c r="BE251" s="393">
        <f>Helpers!BC10</f>
        <v>0</v>
      </c>
      <c r="BF251" s="393">
        <f>Helpers!BD10</f>
        <v>0</v>
      </c>
      <c r="BG251" s="393">
        <f>Helpers!BE10</f>
        <v>0</v>
      </c>
      <c r="BH251" s="393">
        <f>Helpers!BF10</f>
        <v>0</v>
      </c>
      <c r="BI251" s="393">
        <f>Helpers!BG10</f>
        <v>0</v>
      </c>
      <c r="BJ251" s="393">
        <f>Helpers!BH10</f>
        <v>0</v>
      </c>
      <c r="BK251" s="393">
        <f>Helpers!BI10</f>
        <v>0</v>
      </c>
      <c r="BL251" s="393">
        <f>Helpers!BJ10</f>
        <v>0</v>
      </c>
      <c r="BM251" s="393">
        <f>Helpers!BK10</f>
        <v>0</v>
      </c>
      <c r="BN251" s="393">
        <f>Helpers!BL10</f>
        <v>0</v>
      </c>
      <c r="BO251" s="393">
        <f>Helpers!BM10</f>
        <v>0</v>
      </c>
      <c r="BP251" s="393">
        <f>Helpers!BN10</f>
        <v>0</v>
      </c>
      <c r="BQ251" s="393">
        <f>Helpers!BO10</f>
        <v>0</v>
      </c>
      <c r="BR251" s="393">
        <f>Helpers!BP10</f>
        <v>0</v>
      </c>
      <c r="BS251" s="393">
        <f>Helpers!BQ10</f>
        <v>0</v>
      </c>
      <c r="BT251" s="393">
        <f>Helpers!BR10</f>
        <v>0</v>
      </c>
      <c r="BU251" s="393">
        <f>Helpers!BS10</f>
        <v>0</v>
      </c>
      <c r="BV251" s="393">
        <f>Helpers!BT10</f>
        <v>0</v>
      </c>
      <c r="BW251" s="393">
        <f>Helpers!BU10</f>
        <v>0</v>
      </c>
      <c r="BX251" s="393">
        <f>Helpers!BV10</f>
        <v>0</v>
      </c>
      <c r="BY251" s="393">
        <f>Helpers!BW10</f>
        <v>0</v>
      </c>
      <c r="BZ251" s="393">
        <f>Helpers!BX10</f>
        <v>0</v>
      </c>
      <c r="CA251" s="393">
        <f>Helpers!BY10</f>
        <v>0</v>
      </c>
      <c r="CB251" s="393">
        <f>Helpers!BZ10</f>
        <v>0</v>
      </c>
      <c r="CC251" s="393">
        <f>Helpers!CA10</f>
        <v>0</v>
      </c>
      <c r="CD251" s="393">
        <f>Helpers!CB10</f>
        <v>0</v>
      </c>
      <c r="CE251" s="393">
        <f>Helpers!CC10</f>
        <v>0</v>
      </c>
      <c r="CF251" s="393">
        <f>Helpers!CD10</f>
        <v>0</v>
      </c>
      <c r="CG251" s="393">
        <f>Helpers!CE10</f>
        <v>0</v>
      </c>
      <c r="CH251" s="393">
        <f>Helpers!CF10</f>
        <v>0</v>
      </c>
      <c r="CI251" s="393">
        <f>Helpers!CG10</f>
        <v>0</v>
      </c>
      <c r="CJ251" s="393">
        <f>Helpers!CH10</f>
        <v>0</v>
      </c>
      <c r="CK251" s="393">
        <f>Helpers!CI10</f>
        <v>0</v>
      </c>
      <c r="CL251" s="393">
        <f>Helpers!CJ10</f>
        <v>0</v>
      </c>
      <c r="CM251" s="393">
        <f>Helpers!CK10</f>
        <v>0</v>
      </c>
      <c r="CN251" s="393">
        <f>Helpers!CL10</f>
        <v>0</v>
      </c>
      <c r="CO251" s="393">
        <f>Helpers!CM10</f>
        <v>0</v>
      </c>
      <c r="CP251" s="393">
        <f>Helpers!CN10</f>
        <v>0</v>
      </c>
      <c r="CQ251" s="393">
        <f>Helpers!CO10</f>
        <v>0</v>
      </c>
      <c r="CR251" s="393">
        <f>Helpers!CP10</f>
        <v>0</v>
      </c>
      <c r="CS251" s="393">
        <f>Helpers!CQ10</f>
        <v>0</v>
      </c>
      <c r="CT251" s="393">
        <f>Helpers!CR10</f>
        <v>0</v>
      </c>
      <c r="CU251" s="393">
        <f>Helpers!CS10</f>
        <v>0</v>
      </c>
      <c r="CV251" s="393">
        <f>Helpers!CT10</f>
        <v>0</v>
      </c>
      <c r="CW251" s="393">
        <f>Helpers!CU10</f>
        <v>0</v>
      </c>
      <c r="CX251" s="393">
        <f>Helpers!CV10</f>
        <v>0</v>
      </c>
      <c r="CY251" s="393">
        <f>Helpers!CW10</f>
        <v>0</v>
      </c>
      <c r="CZ251" s="393">
        <f>Helpers!CX10</f>
        <v>0</v>
      </c>
      <c r="DA251" s="393">
        <f>Helpers!CY10</f>
        <v>0</v>
      </c>
      <c r="DB251" s="393">
        <f>Helpers!CZ10</f>
        <v>0</v>
      </c>
      <c r="DC251" s="393">
        <f>Helpers!DA10</f>
        <v>0</v>
      </c>
      <c r="DD251" s="393">
        <f>Helpers!DB10</f>
        <v>0</v>
      </c>
      <c r="DE251" s="393">
        <f>Helpers!DC10</f>
        <v>0</v>
      </c>
    </row>
    <row r="252" ht="15" customFormat="1" customHeight="1" s="381">
      <c r="A252" s="398" t="inlineStr">
        <is>
          <t>Lexington</t>
        </is>
      </c>
      <c r="B252" s="393" t="n"/>
      <c r="C252" s="393" t="n"/>
      <c r="D252" s="393" t="n"/>
      <c r="E252" s="393">
        <f>Helpers!C11</f>
        <v>0</v>
      </c>
      <c r="F252" s="393">
        <f>Helpers!D11</f>
        <v>0</v>
      </c>
      <c r="G252" s="393">
        <f>Helpers!E11</f>
        <v>0</v>
      </c>
      <c r="H252" s="393">
        <f>Helpers!F11</f>
        <v>0</v>
      </c>
      <c r="I252" s="393">
        <f>Helpers!G11</f>
        <v>12649220.0904822</v>
      </c>
      <c r="J252" s="393">
        <f>Helpers!H11</f>
        <v>12223530.9933081</v>
      </c>
      <c r="K252" s="393">
        <f>Helpers!I11</f>
        <v>11710510.727302</v>
      </c>
      <c r="L252" s="393">
        <f>Helpers!J11</f>
        <v>11107443.5932694</v>
      </c>
      <c r="M252" s="393">
        <f>Helpers!K11</f>
        <v>10415940.8194405</v>
      </c>
      <c r="N252" s="393">
        <f>Helpers!L11</f>
        <v>9642525.2813924</v>
      </c>
      <c r="O252" s="393">
        <f>Helpers!M11</f>
        <v>8798748.44603355</v>
      </c>
      <c r="P252" s="393">
        <f>Helpers!N11</f>
        <v>7900826.54587435</v>
      </c>
      <c r="Q252" s="393">
        <f>Helpers!O11</f>
        <v>6968757.00225575</v>
      </c>
      <c r="R252" s="393">
        <f>Helpers!P11</f>
        <v>6025019.04774425</v>
      </c>
      <c r="S252" s="393">
        <f>Helpers!Q11</f>
        <v>5092949.50412565</v>
      </c>
      <c r="T252" s="393">
        <f>Helpers!R11</f>
        <v>4195027.60396645</v>
      </c>
      <c r="U252" s="393">
        <f>Helpers!S11</f>
        <v>3351250.7686076</v>
      </c>
      <c r="V252" s="393">
        <f>Helpers!T11</f>
        <v>2577835.2305595</v>
      </c>
      <c r="W252" s="393">
        <f>Helpers!U11</f>
        <v>1886332.4567306</v>
      </c>
      <c r="X252" s="393">
        <f>Helpers!V11</f>
        <v>1283265.322698</v>
      </c>
      <c r="Y252" s="393">
        <f>Helpers!W11</f>
        <v>770245.056691899</v>
      </c>
      <c r="Z252" s="393">
        <f>Helpers!X11</f>
        <v>344555.95951785</v>
      </c>
      <c r="AA252" s="393">
        <f>Helpers!Y11</f>
        <v>0</v>
      </c>
      <c r="AB252" s="393">
        <f>Helpers!Z11</f>
        <v>0</v>
      </c>
      <c r="AC252" s="393">
        <f>Helpers!AA11</f>
        <v>0</v>
      </c>
      <c r="AD252" s="393">
        <f>Helpers!AB11</f>
        <v>0</v>
      </c>
      <c r="AE252" s="393">
        <f>Helpers!AC11</f>
        <v>0</v>
      </c>
      <c r="AF252" s="393">
        <f>Helpers!AD11</f>
        <v>0</v>
      </c>
      <c r="AG252" s="393">
        <f>Helpers!AE11</f>
        <v>0</v>
      </c>
      <c r="AH252" s="393">
        <f>Helpers!AF11</f>
        <v>0</v>
      </c>
      <c r="AI252" s="393">
        <f>Helpers!AG11</f>
        <v>0</v>
      </c>
      <c r="AJ252" s="393">
        <f>Helpers!AH11</f>
        <v>0</v>
      </c>
      <c r="AK252" s="393">
        <f>Helpers!AI11</f>
        <v>0</v>
      </c>
      <c r="AL252" s="393">
        <f>Helpers!AJ11</f>
        <v>0</v>
      </c>
      <c r="AM252" s="393">
        <f>Helpers!AK11</f>
        <v>0</v>
      </c>
      <c r="AN252" s="393">
        <f>Helpers!AL11</f>
        <v>0</v>
      </c>
      <c r="AO252" s="393">
        <f>Helpers!AM11</f>
        <v>0</v>
      </c>
      <c r="AP252" s="393">
        <f>Helpers!AN11</f>
        <v>0</v>
      </c>
      <c r="AQ252" s="393">
        <f>Helpers!AO11</f>
        <v>0</v>
      </c>
      <c r="AR252" s="393">
        <f>Helpers!AP11</f>
        <v>0</v>
      </c>
      <c r="AS252" s="393">
        <f>Helpers!AQ11</f>
        <v>0</v>
      </c>
      <c r="AT252" s="393">
        <f>Helpers!AR11</f>
        <v>0</v>
      </c>
      <c r="AU252" s="393">
        <f>Helpers!AS11</f>
        <v>0</v>
      </c>
      <c r="AV252" s="393">
        <f>Helpers!AT11</f>
        <v>0</v>
      </c>
      <c r="AW252" s="393">
        <f>Helpers!AU11</f>
        <v>0</v>
      </c>
      <c r="AX252" s="393">
        <f>Helpers!AV11</f>
        <v>0</v>
      </c>
      <c r="AY252" s="393">
        <f>Helpers!AW11</f>
        <v>0</v>
      </c>
      <c r="AZ252" s="393">
        <f>Helpers!AX11</f>
        <v>0</v>
      </c>
      <c r="BA252" s="393">
        <f>Helpers!AY11</f>
        <v>0</v>
      </c>
      <c r="BB252" s="393">
        <f>Helpers!AZ11</f>
        <v>0</v>
      </c>
      <c r="BC252" s="393">
        <f>Helpers!BA11</f>
        <v>0</v>
      </c>
      <c r="BD252" s="393">
        <f>Helpers!BB11</f>
        <v>0</v>
      </c>
      <c r="BE252" s="393">
        <f>Helpers!BC11</f>
        <v>0</v>
      </c>
      <c r="BF252" s="393">
        <f>Helpers!BD11</f>
        <v>0</v>
      </c>
      <c r="BG252" s="393">
        <f>Helpers!BE11</f>
        <v>0</v>
      </c>
      <c r="BH252" s="393">
        <f>Helpers!BF11</f>
        <v>0</v>
      </c>
      <c r="BI252" s="393">
        <f>Helpers!BG11</f>
        <v>0</v>
      </c>
      <c r="BJ252" s="393">
        <f>Helpers!BH11</f>
        <v>0</v>
      </c>
      <c r="BK252" s="393">
        <f>Helpers!BI11</f>
        <v>0</v>
      </c>
      <c r="BL252" s="393">
        <f>Helpers!BJ11</f>
        <v>0</v>
      </c>
      <c r="BM252" s="393">
        <f>Helpers!BK11</f>
        <v>0</v>
      </c>
      <c r="BN252" s="393">
        <f>Helpers!BL11</f>
        <v>0</v>
      </c>
      <c r="BO252" s="393">
        <f>Helpers!BM11</f>
        <v>0</v>
      </c>
      <c r="BP252" s="393">
        <f>Helpers!BN11</f>
        <v>0</v>
      </c>
      <c r="BQ252" s="393">
        <f>Helpers!BO11</f>
        <v>0</v>
      </c>
      <c r="BR252" s="393">
        <f>Helpers!BP11</f>
        <v>0</v>
      </c>
      <c r="BS252" s="393">
        <f>Helpers!BQ11</f>
        <v>0</v>
      </c>
      <c r="BT252" s="393">
        <f>Helpers!BR11</f>
        <v>0</v>
      </c>
      <c r="BU252" s="393">
        <f>Helpers!BS11</f>
        <v>0</v>
      </c>
      <c r="BV252" s="393">
        <f>Helpers!BT11</f>
        <v>0</v>
      </c>
      <c r="BW252" s="393">
        <f>Helpers!BU11</f>
        <v>0</v>
      </c>
      <c r="BX252" s="393">
        <f>Helpers!BV11</f>
        <v>0</v>
      </c>
      <c r="BY252" s="393">
        <f>Helpers!BW11</f>
        <v>0</v>
      </c>
      <c r="BZ252" s="393">
        <f>Helpers!BX11</f>
        <v>0</v>
      </c>
      <c r="CA252" s="393">
        <f>Helpers!BY11</f>
        <v>0</v>
      </c>
      <c r="CB252" s="393">
        <f>Helpers!BZ11</f>
        <v>0</v>
      </c>
      <c r="CC252" s="393">
        <f>Helpers!CA11</f>
        <v>0</v>
      </c>
      <c r="CD252" s="393">
        <f>Helpers!CB11</f>
        <v>0</v>
      </c>
      <c r="CE252" s="393">
        <f>Helpers!CC11</f>
        <v>0</v>
      </c>
      <c r="CF252" s="393">
        <f>Helpers!CD11</f>
        <v>0</v>
      </c>
      <c r="CG252" s="393">
        <f>Helpers!CE11</f>
        <v>0</v>
      </c>
      <c r="CH252" s="393">
        <f>Helpers!CF11</f>
        <v>0</v>
      </c>
      <c r="CI252" s="393">
        <f>Helpers!CG11</f>
        <v>0</v>
      </c>
      <c r="CJ252" s="393">
        <f>Helpers!CH11</f>
        <v>0</v>
      </c>
      <c r="CK252" s="393">
        <f>Helpers!CI11</f>
        <v>0</v>
      </c>
      <c r="CL252" s="393">
        <f>Helpers!CJ11</f>
        <v>0</v>
      </c>
      <c r="CM252" s="393">
        <f>Helpers!CK11</f>
        <v>0</v>
      </c>
      <c r="CN252" s="393">
        <f>Helpers!CL11</f>
        <v>0</v>
      </c>
      <c r="CO252" s="393">
        <f>Helpers!CM11</f>
        <v>0</v>
      </c>
      <c r="CP252" s="393">
        <f>Helpers!CN11</f>
        <v>0</v>
      </c>
      <c r="CQ252" s="393">
        <f>Helpers!CO11</f>
        <v>0</v>
      </c>
      <c r="CR252" s="393">
        <f>Helpers!CP11</f>
        <v>0</v>
      </c>
      <c r="CS252" s="393">
        <f>Helpers!CQ11</f>
        <v>0</v>
      </c>
      <c r="CT252" s="393">
        <f>Helpers!CR11</f>
        <v>0</v>
      </c>
      <c r="CU252" s="393">
        <f>Helpers!CS11</f>
        <v>0</v>
      </c>
      <c r="CV252" s="393">
        <f>Helpers!CT11</f>
        <v>0</v>
      </c>
      <c r="CW252" s="393">
        <f>Helpers!CU11</f>
        <v>0</v>
      </c>
      <c r="CX252" s="393">
        <f>Helpers!CV11</f>
        <v>0</v>
      </c>
      <c r="CY252" s="393">
        <f>Helpers!CW11</f>
        <v>0</v>
      </c>
      <c r="CZ252" s="393">
        <f>Helpers!CX11</f>
        <v>0</v>
      </c>
      <c r="DA252" s="393">
        <f>Helpers!CY11</f>
        <v>0</v>
      </c>
      <c r="DB252" s="393">
        <f>Helpers!CZ11</f>
        <v>0</v>
      </c>
      <c r="DC252" s="393">
        <f>Helpers!DA11</f>
        <v>0</v>
      </c>
      <c r="DD252" s="393">
        <f>Helpers!DB11</f>
        <v>0</v>
      </c>
      <c r="DE252" s="393">
        <f>Helpers!DC11</f>
        <v>0</v>
      </c>
    </row>
    <row r="253" ht="15" customFormat="1" customHeight="1" s="381">
      <c r="A253" s="398" t="inlineStr">
        <is>
          <t>Denny</t>
        </is>
      </c>
      <c r="B253" s="393" t="n"/>
      <c r="C253" s="393" t="n"/>
      <c r="D253" s="393" t="n"/>
      <c r="E253" s="393">
        <f>Helpers!C12</f>
        <v>0</v>
      </c>
      <c r="F253" s="393">
        <f>Helpers!D12</f>
        <v>0</v>
      </c>
      <c r="G253" s="393">
        <f>Helpers!E12</f>
        <v>0</v>
      </c>
      <c r="H253" s="393">
        <f>Helpers!F12</f>
        <v>0</v>
      </c>
      <c r="I253" s="393">
        <f>Helpers!G12</f>
        <v>14106170.5891092</v>
      </c>
      <c r="J253" s="393">
        <f>Helpers!H12</f>
        <v>13840677.8231148</v>
      </c>
      <c r="K253" s="393">
        <f>Helpers!I12</f>
        <v>13538353.2763752</v>
      </c>
      <c r="L253" s="393">
        <f>Helpers!J12</f>
        <v>13197519.5186268</v>
      </c>
      <c r="M253" s="393">
        <f>Helpers!K12</f>
        <v>12817086.9370488</v>
      </c>
      <c r="N253" s="393">
        <f>Helpers!L12</f>
        <v>12396682.7693604</v>
      </c>
      <c r="O253" s="393">
        <f>Helpers!M12</f>
        <v>11936722.7888748</v>
      </c>
      <c r="P253" s="393">
        <f>Helpers!N12</f>
        <v>11438482.9895532</v>
      </c>
      <c r="Q253" s="393">
        <f>Helpers!O12</f>
        <v>10904156.934048</v>
      </c>
      <c r="R253" s="393">
        <f>Helpers!P12</f>
        <v>10336812.7426704</v>
      </c>
      <c r="S253" s="393">
        <f>Helpers!Q12</f>
        <v>9740407.4304012</v>
      </c>
      <c r="T253" s="393">
        <f>Helpers!R12</f>
        <v>9119686.5478152</v>
      </c>
      <c r="U253" s="393">
        <f>Helpers!S12</f>
        <v>8480069.4849948</v>
      </c>
      <c r="V253" s="393">
        <f>Helpers!T12</f>
        <v>7827549.1124544</v>
      </c>
      <c r="W253" s="393">
        <f>Helpers!U12</f>
        <v>7168476.7259784</v>
      </c>
      <c r="X253" s="393">
        <f>Helpers!V12</f>
        <v>6509404.3395024</v>
      </c>
      <c r="Y253" s="393">
        <f>Helpers!W12</f>
        <v>5856883.966962</v>
      </c>
      <c r="Z253" s="393">
        <f>Helpers!X12</f>
        <v>5217266.9041416</v>
      </c>
      <c r="AA253" s="393">
        <f>Helpers!Y12</f>
        <v>4596546.0215556</v>
      </c>
      <c r="AB253" s="393">
        <f>Helpers!Z12</f>
        <v>4000140.7092864</v>
      </c>
      <c r="AC253" s="393">
        <f>Helpers!AA12</f>
        <v>3432796.5179088</v>
      </c>
      <c r="AD253" s="393">
        <f>Helpers!AB12</f>
        <v>2898470.4624036</v>
      </c>
      <c r="AE253" s="393">
        <f>Helpers!AC12</f>
        <v>2400230.663082</v>
      </c>
      <c r="AF253" s="393">
        <f>Helpers!AD12</f>
        <v>1940270.6825964</v>
      </c>
      <c r="AG253" s="393">
        <f>Helpers!AE12</f>
        <v>1519866.514908</v>
      </c>
      <c r="AH253" s="393">
        <f>Helpers!AF12</f>
        <v>1139433.93333</v>
      </c>
      <c r="AI253" s="393">
        <f>Helpers!AG12</f>
        <v>798600.175581601</v>
      </c>
      <c r="AJ253" s="393">
        <f>Helpers!AH12</f>
        <v>496275.628842001</v>
      </c>
      <c r="AK253" s="393">
        <f>Helpers!AI12</f>
        <v>230782.8628476</v>
      </c>
      <c r="AL253" s="393">
        <f>Helpers!AJ12</f>
        <v>-57.3480431984656</v>
      </c>
      <c r="AM253" s="393">
        <f>Helpers!AK12</f>
        <v>0</v>
      </c>
      <c r="AN253" s="393">
        <f>Helpers!AL12</f>
        <v>0</v>
      </c>
      <c r="AO253" s="393">
        <f>Helpers!AM12</f>
        <v>0</v>
      </c>
      <c r="AP253" s="393">
        <f>Helpers!AN12</f>
        <v>0</v>
      </c>
      <c r="AQ253" s="393">
        <f>Helpers!AO12</f>
        <v>0</v>
      </c>
      <c r="AR253" s="393">
        <f>Helpers!AP12</f>
        <v>0</v>
      </c>
      <c r="AS253" s="393">
        <f>Helpers!AQ12</f>
        <v>0</v>
      </c>
      <c r="AT253" s="393">
        <f>Helpers!AR12</f>
        <v>0</v>
      </c>
      <c r="AU253" s="393">
        <f>Helpers!AS12</f>
        <v>0</v>
      </c>
      <c r="AV253" s="393">
        <f>Helpers!AT12</f>
        <v>0</v>
      </c>
      <c r="AW253" s="393">
        <f>Helpers!AU12</f>
        <v>0</v>
      </c>
      <c r="AX253" s="393">
        <f>Helpers!AV12</f>
        <v>0</v>
      </c>
      <c r="AY253" s="393">
        <f>Helpers!AW12</f>
        <v>0</v>
      </c>
      <c r="AZ253" s="393">
        <f>Helpers!AX12</f>
        <v>0</v>
      </c>
      <c r="BA253" s="393">
        <f>Helpers!AY12</f>
        <v>0</v>
      </c>
      <c r="BB253" s="393">
        <f>Helpers!AZ12</f>
        <v>0</v>
      </c>
      <c r="BC253" s="393">
        <f>Helpers!BA12</f>
        <v>0</v>
      </c>
      <c r="BD253" s="393">
        <f>Helpers!BB12</f>
        <v>0</v>
      </c>
      <c r="BE253" s="393">
        <f>Helpers!BC12</f>
        <v>0</v>
      </c>
      <c r="BF253" s="393">
        <f>Helpers!BD12</f>
        <v>0</v>
      </c>
      <c r="BG253" s="393">
        <f>Helpers!BE12</f>
        <v>0</v>
      </c>
      <c r="BH253" s="393">
        <f>Helpers!BF12</f>
        <v>0</v>
      </c>
      <c r="BI253" s="393">
        <f>Helpers!BG12</f>
        <v>0</v>
      </c>
      <c r="BJ253" s="393">
        <f>Helpers!BH12</f>
        <v>0</v>
      </c>
      <c r="BK253" s="393">
        <f>Helpers!BI12</f>
        <v>0</v>
      </c>
      <c r="BL253" s="393">
        <f>Helpers!BJ12</f>
        <v>0</v>
      </c>
      <c r="BM253" s="393">
        <f>Helpers!BK12</f>
        <v>0</v>
      </c>
      <c r="BN253" s="393">
        <f>Helpers!BL12</f>
        <v>0</v>
      </c>
      <c r="BO253" s="393">
        <f>Helpers!BM12</f>
        <v>0</v>
      </c>
      <c r="BP253" s="393">
        <f>Helpers!BN12</f>
        <v>0</v>
      </c>
      <c r="BQ253" s="393">
        <f>Helpers!BO12</f>
        <v>0</v>
      </c>
      <c r="BR253" s="393">
        <f>Helpers!BP12</f>
        <v>0</v>
      </c>
      <c r="BS253" s="393">
        <f>Helpers!BQ12</f>
        <v>0</v>
      </c>
      <c r="BT253" s="393">
        <f>Helpers!BR12</f>
        <v>0</v>
      </c>
      <c r="BU253" s="393">
        <f>Helpers!BS12</f>
        <v>0</v>
      </c>
      <c r="BV253" s="393">
        <f>Helpers!BT12</f>
        <v>0</v>
      </c>
      <c r="BW253" s="393">
        <f>Helpers!BU12</f>
        <v>0</v>
      </c>
      <c r="BX253" s="393">
        <f>Helpers!BV12</f>
        <v>0</v>
      </c>
      <c r="BY253" s="393">
        <f>Helpers!BW12</f>
        <v>0</v>
      </c>
      <c r="BZ253" s="393">
        <f>Helpers!BX12</f>
        <v>0</v>
      </c>
      <c r="CA253" s="393">
        <f>Helpers!BY12</f>
        <v>0</v>
      </c>
      <c r="CB253" s="393">
        <f>Helpers!BZ12</f>
        <v>0</v>
      </c>
      <c r="CC253" s="393">
        <f>Helpers!CA12</f>
        <v>0</v>
      </c>
      <c r="CD253" s="393">
        <f>Helpers!CB12</f>
        <v>0</v>
      </c>
      <c r="CE253" s="393">
        <f>Helpers!CC12</f>
        <v>0</v>
      </c>
      <c r="CF253" s="393">
        <f>Helpers!CD12</f>
        <v>0</v>
      </c>
      <c r="CG253" s="393">
        <f>Helpers!CE12</f>
        <v>0</v>
      </c>
      <c r="CH253" s="393">
        <f>Helpers!CF12</f>
        <v>0</v>
      </c>
      <c r="CI253" s="393">
        <f>Helpers!CG12</f>
        <v>0</v>
      </c>
      <c r="CJ253" s="393">
        <f>Helpers!CH12</f>
        <v>0</v>
      </c>
      <c r="CK253" s="393">
        <f>Helpers!CI12</f>
        <v>0</v>
      </c>
      <c r="CL253" s="393">
        <f>Helpers!CJ12</f>
        <v>0</v>
      </c>
      <c r="CM253" s="393">
        <f>Helpers!CK12</f>
        <v>0</v>
      </c>
      <c r="CN253" s="393">
        <f>Helpers!CL12</f>
        <v>0</v>
      </c>
      <c r="CO253" s="393">
        <f>Helpers!CM12</f>
        <v>0</v>
      </c>
      <c r="CP253" s="393">
        <f>Helpers!CN12</f>
        <v>0</v>
      </c>
      <c r="CQ253" s="393">
        <f>Helpers!CO12</f>
        <v>0</v>
      </c>
      <c r="CR253" s="393">
        <f>Helpers!CP12</f>
        <v>0</v>
      </c>
      <c r="CS253" s="393">
        <f>Helpers!CQ12</f>
        <v>0</v>
      </c>
      <c r="CT253" s="393">
        <f>Helpers!CR12</f>
        <v>0</v>
      </c>
      <c r="CU253" s="393">
        <f>Helpers!CS12</f>
        <v>0</v>
      </c>
      <c r="CV253" s="393">
        <f>Helpers!CT12</f>
        <v>0</v>
      </c>
      <c r="CW253" s="393">
        <f>Helpers!CU12</f>
        <v>0</v>
      </c>
      <c r="CX253" s="393">
        <f>Helpers!CV12</f>
        <v>0</v>
      </c>
      <c r="CY253" s="393">
        <f>Helpers!CW12</f>
        <v>0</v>
      </c>
      <c r="CZ253" s="393">
        <f>Helpers!CX12</f>
        <v>0</v>
      </c>
      <c r="DA253" s="393">
        <f>Helpers!CY12</f>
        <v>0</v>
      </c>
      <c r="DB253" s="393">
        <f>Helpers!CZ12</f>
        <v>0</v>
      </c>
      <c r="DC253" s="393">
        <f>Helpers!DA12</f>
        <v>0</v>
      </c>
      <c r="DD253" s="393">
        <f>Helpers!DB12</f>
        <v>0</v>
      </c>
      <c r="DE253" s="393">
        <f>Helpers!DC12</f>
        <v>0</v>
      </c>
    </row>
    <row r="254" ht="15" customFormat="1" customHeight="1" s="381">
      <c r="A254" s="398" t="inlineStr">
        <is>
          <t>Acama</t>
        </is>
      </c>
      <c r="B254" s="393" t="n"/>
      <c r="C254" s="393" t="n"/>
      <c r="D254" s="393" t="n"/>
      <c r="E254" s="393">
        <f>Helpers!C13</f>
        <v>0</v>
      </c>
      <c r="F254" s="393">
        <f>Helpers!D13</f>
        <v>0</v>
      </c>
      <c r="G254" s="393">
        <f>Helpers!E13</f>
        <v>0</v>
      </c>
      <c r="H254" s="393">
        <f>Helpers!F13</f>
        <v>0</v>
      </c>
      <c r="I254" s="393">
        <f>Helpers!G13</f>
        <v>0</v>
      </c>
      <c r="J254" s="393">
        <f>Helpers!H13</f>
        <v>0</v>
      </c>
      <c r="K254" s="393">
        <f>Helpers!I13</f>
        <v>0</v>
      </c>
      <c r="L254" s="393">
        <f>Helpers!J13</f>
        <v>20699563.289615</v>
      </c>
      <c r="M254" s="393">
        <f>Helpers!K13</f>
        <v>20002952.87841</v>
      </c>
      <c r="N254" s="393">
        <f>Helpers!L13</f>
        <v>19163431.1222</v>
      </c>
      <c r="O254" s="393">
        <f>Helpers!M13</f>
        <v>18176553.96934</v>
      </c>
      <c r="P254" s="393">
        <f>Helpers!N13</f>
        <v>17044958.08205</v>
      </c>
      <c r="Q254" s="393">
        <f>Helpers!O13</f>
        <v>15779317.68964</v>
      </c>
      <c r="R254" s="393">
        <f>Helpers!P13</f>
        <v>14398535.959155</v>
      </c>
      <c r="S254" s="393">
        <f>Helpers!Q13</f>
        <v>12929149.620035</v>
      </c>
      <c r="T254" s="393">
        <f>Helpers!R13</f>
        <v>11403883.052575</v>
      </c>
      <c r="U254" s="393">
        <f>Helpers!S13</f>
        <v>9859521.947425</v>
      </c>
      <c r="V254" s="393">
        <f>Helpers!T13</f>
        <v>8334255.379965</v>
      </c>
      <c r="W254" s="393">
        <f>Helpers!U13</f>
        <v>6864869.040845</v>
      </c>
      <c r="X254" s="393">
        <f>Helpers!V13</f>
        <v>5484087.31036</v>
      </c>
      <c r="Y254" s="393">
        <f>Helpers!W13</f>
        <v>4218446.91795</v>
      </c>
      <c r="Z254" s="393">
        <f>Helpers!X13</f>
        <v>3086851.03066</v>
      </c>
      <c r="AA254" s="393">
        <f>Helpers!Y13</f>
        <v>2099973.8778</v>
      </c>
      <c r="AB254" s="393">
        <f>Helpers!Z13</f>
        <v>1260452.12159</v>
      </c>
      <c r="AC254" s="393">
        <f>Helpers!AA13</f>
        <v>563841.710385</v>
      </c>
      <c r="AD254" s="393">
        <f>Helpers!AB13</f>
        <v>0</v>
      </c>
      <c r="AE254" s="393">
        <f>Helpers!AC13</f>
        <v>0</v>
      </c>
      <c r="AF254" s="393">
        <f>Helpers!AD13</f>
        <v>0</v>
      </c>
      <c r="AG254" s="393">
        <f>Helpers!AE13</f>
        <v>0</v>
      </c>
      <c r="AH254" s="393">
        <f>Helpers!AF13</f>
        <v>0</v>
      </c>
      <c r="AI254" s="393">
        <f>Helpers!AG13</f>
        <v>0</v>
      </c>
      <c r="AJ254" s="393">
        <f>Helpers!AH13</f>
        <v>0</v>
      </c>
      <c r="AK254" s="393">
        <f>Helpers!AI13</f>
        <v>0</v>
      </c>
      <c r="AL254" s="393">
        <f>Helpers!AJ13</f>
        <v>0</v>
      </c>
      <c r="AM254" s="393">
        <f>Helpers!AK13</f>
        <v>0</v>
      </c>
      <c r="AN254" s="393">
        <f>Helpers!AL13</f>
        <v>0</v>
      </c>
      <c r="AO254" s="393">
        <f>Helpers!AM13</f>
        <v>0</v>
      </c>
      <c r="AP254" s="393">
        <f>Helpers!AN13</f>
        <v>0</v>
      </c>
      <c r="AQ254" s="393">
        <f>Helpers!AO13</f>
        <v>0</v>
      </c>
      <c r="AR254" s="393">
        <f>Helpers!AP13</f>
        <v>0</v>
      </c>
      <c r="AS254" s="393">
        <f>Helpers!AQ13</f>
        <v>0</v>
      </c>
      <c r="AT254" s="393">
        <f>Helpers!AR13</f>
        <v>0</v>
      </c>
      <c r="AU254" s="393">
        <f>Helpers!AS13</f>
        <v>0</v>
      </c>
      <c r="AV254" s="393">
        <f>Helpers!AT13</f>
        <v>0</v>
      </c>
      <c r="AW254" s="393">
        <f>Helpers!AU13</f>
        <v>0</v>
      </c>
      <c r="AX254" s="393">
        <f>Helpers!AV13</f>
        <v>0</v>
      </c>
      <c r="AY254" s="393">
        <f>Helpers!AW13</f>
        <v>0</v>
      </c>
      <c r="AZ254" s="393">
        <f>Helpers!AX13</f>
        <v>0</v>
      </c>
      <c r="BA254" s="393">
        <f>Helpers!AY13</f>
        <v>0</v>
      </c>
      <c r="BB254" s="393">
        <f>Helpers!AZ13</f>
        <v>0</v>
      </c>
      <c r="BC254" s="393">
        <f>Helpers!BA13</f>
        <v>0</v>
      </c>
      <c r="BD254" s="393">
        <f>Helpers!BB13</f>
        <v>0</v>
      </c>
      <c r="BE254" s="393">
        <f>Helpers!BC13</f>
        <v>0</v>
      </c>
      <c r="BF254" s="393">
        <f>Helpers!BD13</f>
        <v>0</v>
      </c>
      <c r="BG254" s="393">
        <f>Helpers!BE13</f>
        <v>0</v>
      </c>
      <c r="BH254" s="393">
        <f>Helpers!BF13</f>
        <v>0</v>
      </c>
      <c r="BI254" s="393">
        <f>Helpers!BG13</f>
        <v>0</v>
      </c>
      <c r="BJ254" s="393">
        <f>Helpers!BH13</f>
        <v>0</v>
      </c>
      <c r="BK254" s="393">
        <f>Helpers!BI13</f>
        <v>0</v>
      </c>
      <c r="BL254" s="393">
        <f>Helpers!BJ13</f>
        <v>0</v>
      </c>
      <c r="BM254" s="393">
        <f>Helpers!BK13</f>
        <v>0</v>
      </c>
      <c r="BN254" s="393">
        <f>Helpers!BL13</f>
        <v>0</v>
      </c>
      <c r="BO254" s="393">
        <f>Helpers!BM13</f>
        <v>0</v>
      </c>
      <c r="BP254" s="393">
        <f>Helpers!BN13</f>
        <v>0</v>
      </c>
      <c r="BQ254" s="393">
        <f>Helpers!BO13</f>
        <v>0</v>
      </c>
      <c r="BR254" s="393">
        <f>Helpers!BP13</f>
        <v>0</v>
      </c>
      <c r="BS254" s="393">
        <f>Helpers!BQ13</f>
        <v>0</v>
      </c>
      <c r="BT254" s="393">
        <f>Helpers!BR13</f>
        <v>0</v>
      </c>
      <c r="BU254" s="393">
        <f>Helpers!BS13</f>
        <v>0</v>
      </c>
      <c r="BV254" s="393">
        <f>Helpers!BT13</f>
        <v>0</v>
      </c>
      <c r="BW254" s="393">
        <f>Helpers!BU13</f>
        <v>0</v>
      </c>
      <c r="BX254" s="393">
        <f>Helpers!BV13</f>
        <v>0</v>
      </c>
      <c r="BY254" s="393">
        <f>Helpers!BW13</f>
        <v>0</v>
      </c>
      <c r="BZ254" s="393">
        <f>Helpers!BX13</f>
        <v>0</v>
      </c>
      <c r="CA254" s="393">
        <f>Helpers!BY13</f>
        <v>0</v>
      </c>
      <c r="CB254" s="393">
        <f>Helpers!BZ13</f>
        <v>0</v>
      </c>
      <c r="CC254" s="393">
        <f>Helpers!CA13</f>
        <v>0</v>
      </c>
      <c r="CD254" s="393">
        <f>Helpers!CB13</f>
        <v>0</v>
      </c>
      <c r="CE254" s="393">
        <f>Helpers!CC13</f>
        <v>0</v>
      </c>
      <c r="CF254" s="393">
        <f>Helpers!CD13</f>
        <v>0</v>
      </c>
      <c r="CG254" s="393">
        <f>Helpers!CE13</f>
        <v>0</v>
      </c>
      <c r="CH254" s="393">
        <f>Helpers!CF13</f>
        <v>0</v>
      </c>
      <c r="CI254" s="393">
        <f>Helpers!CG13</f>
        <v>0</v>
      </c>
      <c r="CJ254" s="393">
        <f>Helpers!CH13</f>
        <v>0</v>
      </c>
      <c r="CK254" s="393">
        <f>Helpers!CI13</f>
        <v>0</v>
      </c>
      <c r="CL254" s="393">
        <f>Helpers!CJ13</f>
        <v>0</v>
      </c>
      <c r="CM254" s="393">
        <f>Helpers!CK13</f>
        <v>0</v>
      </c>
      <c r="CN254" s="393">
        <f>Helpers!CL13</f>
        <v>0</v>
      </c>
      <c r="CO254" s="393">
        <f>Helpers!CM13</f>
        <v>0</v>
      </c>
      <c r="CP254" s="393">
        <f>Helpers!CN13</f>
        <v>0</v>
      </c>
      <c r="CQ254" s="393">
        <f>Helpers!CO13</f>
        <v>0</v>
      </c>
      <c r="CR254" s="393">
        <f>Helpers!CP13</f>
        <v>0</v>
      </c>
      <c r="CS254" s="393">
        <f>Helpers!CQ13</f>
        <v>0</v>
      </c>
      <c r="CT254" s="393">
        <f>Helpers!CR13</f>
        <v>0</v>
      </c>
      <c r="CU254" s="393">
        <f>Helpers!CS13</f>
        <v>0</v>
      </c>
      <c r="CV254" s="393">
        <f>Helpers!CT13</f>
        <v>0</v>
      </c>
      <c r="CW254" s="393">
        <f>Helpers!CU13</f>
        <v>0</v>
      </c>
      <c r="CX254" s="393">
        <f>Helpers!CV13</f>
        <v>0</v>
      </c>
      <c r="CY254" s="393">
        <f>Helpers!CW13</f>
        <v>0</v>
      </c>
      <c r="CZ254" s="393">
        <f>Helpers!CX13</f>
        <v>0</v>
      </c>
      <c r="DA254" s="393">
        <f>Helpers!CY13</f>
        <v>0</v>
      </c>
      <c r="DB254" s="393">
        <f>Helpers!CZ13</f>
        <v>0</v>
      </c>
      <c r="DC254" s="393">
        <f>Helpers!DA13</f>
        <v>0</v>
      </c>
      <c r="DD254" s="393">
        <f>Helpers!DB13</f>
        <v>0</v>
      </c>
      <c r="DE254" s="393">
        <f>Helpers!DC13</f>
        <v>0</v>
      </c>
    </row>
    <row r="255" ht="15" customFormat="1" customHeight="1" s="381">
      <c r="A255" s="398" t="inlineStr">
        <is>
          <t>Reseda</t>
        </is>
      </c>
      <c r="B255" s="393" t="n"/>
      <c r="C255" s="393" t="n"/>
      <c r="D255" s="393" t="n"/>
      <c r="E255" s="393">
        <f>Helpers!C14</f>
        <v>0</v>
      </c>
      <c r="F255" s="393">
        <f>Helpers!D14</f>
        <v>0</v>
      </c>
      <c r="G255" s="393">
        <f>Helpers!E14</f>
        <v>0</v>
      </c>
      <c r="H255" s="393">
        <f>Helpers!F14</f>
        <v>0</v>
      </c>
      <c r="I255" s="393">
        <f>Helpers!G14</f>
        <v>0</v>
      </c>
      <c r="J255" s="393">
        <f>Helpers!H14</f>
        <v>0</v>
      </c>
      <c r="K255" s="393">
        <f>Helpers!I14</f>
        <v>0</v>
      </c>
      <c r="L255" s="393">
        <f>Helpers!J14</f>
        <v>0</v>
      </c>
      <c r="M255" s="393">
        <f>Helpers!K14</f>
        <v>0</v>
      </c>
      <c r="N255" s="393">
        <f>Helpers!L14</f>
        <v>0</v>
      </c>
      <c r="O255" s="393">
        <f>Helpers!M14</f>
        <v>0</v>
      </c>
      <c r="P255" s="393">
        <f>Helpers!N14</f>
        <v>0</v>
      </c>
      <c r="Q255" s="393">
        <f>Helpers!O14</f>
        <v>0</v>
      </c>
      <c r="R255" s="393">
        <f>Helpers!P14</f>
        <v>44537929.73623</v>
      </c>
      <c r="S255" s="393">
        <f>Helpers!Q14</f>
        <v>43699679.68937</v>
      </c>
      <c r="T255" s="393">
        <f>Helpers!R14</f>
        <v>42745139.31038</v>
      </c>
      <c r="U255" s="393">
        <f>Helpers!S14</f>
        <v>41669012.38717</v>
      </c>
      <c r="V255" s="393">
        <f>Helpers!T14</f>
        <v>40467858.64522</v>
      </c>
      <c r="W255" s="393">
        <f>Helpers!U14</f>
        <v>39140501.14851</v>
      </c>
      <c r="X255" s="393">
        <f>Helpers!V14</f>
        <v>37688252.63337</v>
      </c>
      <c r="Y255" s="393">
        <f>Helpers!W14</f>
        <v>36115141.84233</v>
      </c>
      <c r="Z255" s="393">
        <f>Helpers!X14</f>
        <v>34428094.5912</v>
      </c>
      <c r="AA255" s="393">
        <f>Helpers!Y14</f>
        <v>32636797.96876</v>
      </c>
      <c r="AB255" s="393">
        <f>Helpers!Z14</f>
        <v>30753745.60353</v>
      </c>
      <c r="AC255" s="393">
        <f>Helpers!AA14</f>
        <v>28793920.79638</v>
      </c>
      <c r="AD255" s="393">
        <f>Helpers!AB14</f>
        <v>26774434.38637</v>
      </c>
      <c r="AE255" s="393">
        <f>Helpers!AC14</f>
        <v>24714207.88336</v>
      </c>
      <c r="AF255" s="393">
        <f>Helpers!AD14</f>
        <v>22633294.46646</v>
      </c>
      <c r="AG255" s="393">
        <f>Helpers!AE14</f>
        <v>20552381.04956</v>
      </c>
      <c r="AH255" s="393">
        <f>Helpers!AF14</f>
        <v>18492154.54655</v>
      </c>
      <c r="AI255" s="393">
        <f>Helpers!AG14</f>
        <v>16472668.13654</v>
      </c>
      <c r="AJ255" s="393">
        <f>Helpers!AH14</f>
        <v>14512843.32939</v>
      </c>
      <c r="AK255" s="393">
        <f>Helpers!AI14</f>
        <v>12629790.96416</v>
      </c>
      <c r="AL255" s="393">
        <f>Helpers!AJ14</f>
        <v>10838494.34172</v>
      </c>
      <c r="AM255" s="393">
        <f>Helpers!AK14</f>
        <v>9151447.09059</v>
      </c>
      <c r="AN255" s="393">
        <f>Helpers!AL14</f>
        <v>7578336.29955</v>
      </c>
      <c r="AO255" s="393">
        <f>Helpers!AM14</f>
        <v>6126087.78441</v>
      </c>
      <c r="AP255" s="393">
        <f>Helpers!AN14</f>
        <v>4798730.2877</v>
      </c>
      <c r="AQ255" s="393">
        <f>Helpers!AO14</f>
        <v>3597576.54575</v>
      </c>
      <c r="AR255" s="393">
        <f>Helpers!AP14</f>
        <v>2521449.62254</v>
      </c>
      <c r="AS255" s="393">
        <f>Helpers!AQ14</f>
        <v>1566909.24355</v>
      </c>
      <c r="AT255" s="393">
        <f>Helpers!AR14</f>
        <v>728659.196690001</v>
      </c>
      <c r="AU255" s="393">
        <f>Helpers!AS14</f>
        <v>-181.067079995155</v>
      </c>
      <c r="AV255" s="393">
        <f>Helpers!AT14</f>
        <v>0</v>
      </c>
      <c r="AW255" s="393">
        <f>Helpers!AU14</f>
        <v>0</v>
      </c>
      <c r="AX255" s="393">
        <f>Helpers!AV14</f>
        <v>0</v>
      </c>
      <c r="AY255" s="393">
        <f>Helpers!AW14</f>
        <v>0</v>
      </c>
      <c r="AZ255" s="393">
        <f>Helpers!AX14</f>
        <v>0</v>
      </c>
      <c r="BA255" s="393">
        <f>Helpers!AY14</f>
        <v>0</v>
      </c>
      <c r="BB255" s="393">
        <f>Helpers!AZ14</f>
        <v>0</v>
      </c>
      <c r="BC255" s="393">
        <f>Helpers!BA14</f>
        <v>0</v>
      </c>
      <c r="BD255" s="393">
        <f>Helpers!BB14</f>
        <v>0</v>
      </c>
      <c r="BE255" s="393">
        <f>Helpers!BC14</f>
        <v>0</v>
      </c>
      <c r="BF255" s="393">
        <f>Helpers!BD14</f>
        <v>0</v>
      </c>
      <c r="BG255" s="393">
        <f>Helpers!BE14</f>
        <v>0</v>
      </c>
      <c r="BH255" s="393">
        <f>Helpers!BF14</f>
        <v>0</v>
      </c>
      <c r="BI255" s="393">
        <f>Helpers!BG14</f>
        <v>0</v>
      </c>
      <c r="BJ255" s="393">
        <f>Helpers!BH14</f>
        <v>0</v>
      </c>
      <c r="BK255" s="393">
        <f>Helpers!BI14</f>
        <v>0</v>
      </c>
      <c r="BL255" s="393">
        <f>Helpers!BJ14</f>
        <v>0</v>
      </c>
      <c r="BM255" s="393">
        <f>Helpers!BK14</f>
        <v>0</v>
      </c>
      <c r="BN255" s="393">
        <f>Helpers!BL14</f>
        <v>0</v>
      </c>
      <c r="BO255" s="393">
        <f>Helpers!BM14</f>
        <v>0</v>
      </c>
      <c r="BP255" s="393">
        <f>Helpers!BN14</f>
        <v>0</v>
      </c>
      <c r="BQ255" s="393">
        <f>Helpers!BO14</f>
        <v>0</v>
      </c>
      <c r="BR255" s="393">
        <f>Helpers!BP14</f>
        <v>0</v>
      </c>
      <c r="BS255" s="393">
        <f>Helpers!BQ14</f>
        <v>0</v>
      </c>
      <c r="BT255" s="393">
        <f>Helpers!BR14</f>
        <v>0</v>
      </c>
      <c r="BU255" s="393">
        <f>Helpers!BS14</f>
        <v>0</v>
      </c>
      <c r="BV255" s="393">
        <f>Helpers!BT14</f>
        <v>0</v>
      </c>
      <c r="BW255" s="393">
        <f>Helpers!BU14</f>
        <v>0</v>
      </c>
      <c r="BX255" s="393">
        <f>Helpers!BV14</f>
        <v>0</v>
      </c>
      <c r="BY255" s="393">
        <f>Helpers!BW14</f>
        <v>0</v>
      </c>
      <c r="BZ255" s="393">
        <f>Helpers!BX14</f>
        <v>0</v>
      </c>
      <c r="CA255" s="393">
        <f>Helpers!BY14</f>
        <v>0</v>
      </c>
      <c r="CB255" s="393">
        <f>Helpers!BZ14</f>
        <v>0</v>
      </c>
      <c r="CC255" s="393">
        <f>Helpers!CA14</f>
        <v>0</v>
      </c>
      <c r="CD255" s="393">
        <f>Helpers!CB14</f>
        <v>0</v>
      </c>
      <c r="CE255" s="393">
        <f>Helpers!CC14</f>
        <v>0</v>
      </c>
      <c r="CF255" s="393">
        <f>Helpers!CD14</f>
        <v>0</v>
      </c>
      <c r="CG255" s="393">
        <f>Helpers!CE14</f>
        <v>0</v>
      </c>
      <c r="CH255" s="393">
        <f>Helpers!CF14</f>
        <v>0</v>
      </c>
      <c r="CI255" s="393">
        <f>Helpers!CG14</f>
        <v>0</v>
      </c>
      <c r="CJ255" s="393">
        <f>Helpers!CH14</f>
        <v>0</v>
      </c>
      <c r="CK255" s="393">
        <f>Helpers!CI14</f>
        <v>0</v>
      </c>
      <c r="CL255" s="393">
        <f>Helpers!CJ14</f>
        <v>0</v>
      </c>
      <c r="CM255" s="393">
        <f>Helpers!CK14</f>
        <v>0</v>
      </c>
      <c r="CN255" s="393">
        <f>Helpers!CL14</f>
        <v>0</v>
      </c>
      <c r="CO255" s="393">
        <f>Helpers!CM14</f>
        <v>0</v>
      </c>
      <c r="CP255" s="393">
        <f>Helpers!CN14</f>
        <v>0</v>
      </c>
      <c r="CQ255" s="393">
        <f>Helpers!CO14</f>
        <v>0</v>
      </c>
      <c r="CR255" s="393">
        <f>Helpers!CP14</f>
        <v>0</v>
      </c>
      <c r="CS255" s="393">
        <f>Helpers!CQ14</f>
        <v>0</v>
      </c>
      <c r="CT255" s="393">
        <f>Helpers!CR14</f>
        <v>0</v>
      </c>
      <c r="CU255" s="393">
        <f>Helpers!CS14</f>
        <v>0</v>
      </c>
      <c r="CV255" s="393">
        <f>Helpers!CT14</f>
        <v>0</v>
      </c>
      <c r="CW255" s="393">
        <f>Helpers!CU14</f>
        <v>0</v>
      </c>
      <c r="CX255" s="393">
        <f>Helpers!CV14</f>
        <v>0</v>
      </c>
      <c r="CY255" s="393">
        <f>Helpers!CW14</f>
        <v>0</v>
      </c>
      <c r="CZ255" s="393">
        <f>Helpers!CX14</f>
        <v>0</v>
      </c>
      <c r="DA255" s="393">
        <f>Helpers!CY14</f>
        <v>0</v>
      </c>
      <c r="DB255" s="393">
        <f>Helpers!CZ14</f>
        <v>0</v>
      </c>
      <c r="DC255" s="393">
        <f>Helpers!DA14</f>
        <v>0</v>
      </c>
      <c r="DD255" s="393">
        <f>Helpers!DB14</f>
        <v>0</v>
      </c>
      <c r="DE255" s="393">
        <f>Helpers!DC14</f>
        <v>0</v>
      </c>
    </row>
    <row r="256" ht="15" customFormat="1" customHeight="1" s="381">
      <c r="A256" s="398" t="inlineStr">
        <is>
          <t>3rd St</t>
        </is>
      </c>
      <c r="B256" s="393" t="n"/>
      <c r="C256" s="393" t="n"/>
      <c r="D256" s="393" t="n"/>
      <c r="E256" s="393">
        <f>Helpers!C15</f>
        <v>0</v>
      </c>
      <c r="F256" s="393">
        <f>Helpers!D15</f>
        <v>0</v>
      </c>
      <c r="G256" s="393">
        <f>Helpers!E15</f>
        <v>0</v>
      </c>
      <c r="H256" s="393">
        <f>Helpers!F15</f>
        <v>0</v>
      </c>
      <c r="I256" s="393">
        <f>Helpers!G15</f>
        <v>0</v>
      </c>
      <c r="J256" s="393">
        <f>Helpers!H15</f>
        <v>0</v>
      </c>
      <c r="K256" s="393">
        <f>Helpers!I15</f>
        <v>0</v>
      </c>
      <c r="L256" s="393">
        <f>Helpers!J15</f>
        <v>0</v>
      </c>
      <c r="M256" s="393">
        <f>Helpers!K15</f>
        <v>0</v>
      </c>
      <c r="N256" s="393">
        <f>Helpers!L15</f>
        <v>0</v>
      </c>
      <c r="O256" s="393">
        <f>Helpers!M15</f>
        <v>0</v>
      </c>
      <c r="P256" s="393">
        <f>Helpers!N15</f>
        <v>0</v>
      </c>
      <c r="Q256" s="393">
        <f>Helpers!O15</f>
        <v>0</v>
      </c>
      <c r="R256" s="393">
        <f>Helpers!P15</f>
        <v>0</v>
      </c>
      <c r="S256" s="393">
        <f>Helpers!Q15</f>
        <v>0</v>
      </c>
      <c r="T256" s="393">
        <f>Helpers!R15</f>
        <v>0</v>
      </c>
      <c r="U256" s="393">
        <f>Helpers!S15</f>
        <v>0</v>
      </c>
      <c r="V256" s="393">
        <f>Helpers!T15</f>
        <v>0</v>
      </c>
      <c r="W256" s="393">
        <f>Helpers!U15</f>
        <v>0</v>
      </c>
      <c r="X256" s="393">
        <f>Helpers!V15</f>
        <v>0</v>
      </c>
      <c r="Y256" s="393">
        <f>Helpers!W15</f>
        <v>0</v>
      </c>
      <c r="Z256" s="393">
        <f>Helpers!X15</f>
        <v>0</v>
      </c>
      <c r="AA256" s="393">
        <f>Helpers!Y15</f>
        <v>0</v>
      </c>
      <c r="AB256" s="393">
        <f>Helpers!Z15</f>
        <v>0</v>
      </c>
      <c r="AC256" s="393">
        <f>Helpers!AA15</f>
        <v>0</v>
      </c>
      <c r="AD256" s="393">
        <f>Helpers!AB15</f>
        <v>0</v>
      </c>
      <c r="AE256" s="393">
        <f>Helpers!AC15</f>
        <v>40688781.070168</v>
      </c>
      <c r="AF256" s="393">
        <f>Helpers!AD15</f>
        <v>39922975.994792</v>
      </c>
      <c r="AG256" s="393">
        <f>Helpers!AE15</f>
        <v>39050930.869808</v>
      </c>
      <c r="AH256" s="393">
        <f>Helpers!AF15</f>
        <v>38067807.203272</v>
      </c>
      <c r="AI256" s="393">
        <f>Helpers!AG15</f>
        <v>36970462.043152</v>
      </c>
      <c r="AJ256" s="393">
        <f>Helpers!AH15</f>
        <v>35757820.169016</v>
      </c>
      <c r="AK256" s="393">
        <f>Helpers!AI15</f>
        <v>34431080.865192</v>
      </c>
      <c r="AL256" s="393">
        <f>Helpers!AJ15</f>
        <v>32993924.693928</v>
      </c>
      <c r="AM256" s="393">
        <f>Helpers!AK15</f>
        <v>31452678.91392</v>
      </c>
      <c r="AN256" s="393">
        <f>Helpers!AL15</f>
        <v>29816193.416416</v>
      </c>
      <c r="AO256" s="393">
        <f>Helpers!AM15</f>
        <v>28095882.079848</v>
      </c>
      <c r="AP256" s="393">
        <f>Helpers!AN15</f>
        <v>26305433.287408</v>
      </c>
      <c r="AQ256" s="393">
        <f>Helpers!AO15</f>
        <v>24460479.089992</v>
      </c>
      <c r="AR256" s="393">
        <f>Helpers!AP15</f>
        <v>22578305.723776</v>
      </c>
      <c r="AS256" s="393">
        <f>Helpers!AQ15</f>
        <v>20677233.290736</v>
      </c>
      <c r="AT256" s="393">
        <f>Helpers!AR15</f>
        <v>18776160.857696</v>
      </c>
      <c r="AU256" s="393">
        <f>Helpers!AS15</f>
        <v>16893987.49148</v>
      </c>
      <c r="AV256" s="393">
        <f>Helpers!AT15</f>
        <v>15049033.294064</v>
      </c>
      <c r="AW256" s="393">
        <f>Helpers!AU15</f>
        <v>13258584.501624</v>
      </c>
      <c r="AX256" s="393">
        <f>Helpers!AV15</f>
        <v>11538273.165056</v>
      </c>
      <c r="AY256" s="393">
        <f>Helpers!AW15</f>
        <v>9901787.667552</v>
      </c>
      <c r="AZ256" s="393">
        <f>Helpers!AX15</f>
        <v>8360541.887544</v>
      </c>
      <c r="BA256" s="393">
        <f>Helpers!AY15</f>
        <v>6923385.71628</v>
      </c>
      <c r="BB256" s="393">
        <f>Helpers!AZ15</f>
        <v>5596646.412456</v>
      </c>
      <c r="BC256" s="393">
        <f>Helpers!BA15</f>
        <v>4384004.53832</v>
      </c>
      <c r="BD256" s="393">
        <f>Helpers!BB15</f>
        <v>3286659.3782</v>
      </c>
      <c r="BE256" s="393">
        <f>Helpers!BC15</f>
        <v>2303535.711664</v>
      </c>
      <c r="BF256" s="393">
        <f>Helpers!BD15</f>
        <v>1431490.58668</v>
      </c>
      <c r="BG256" s="393">
        <f>Helpers!BE15</f>
        <v>665685.511304001</v>
      </c>
      <c r="BH256" s="393">
        <f>Helpers!BF15</f>
        <v>-165.418527995574</v>
      </c>
      <c r="BI256" s="393">
        <f>Helpers!BG15</f>
        <v>0</v>
      </c>
      <c r="BJ256" s="393">
        <f>Helpers!BH15</f>
        <v>0</v>
      </c>
      <c r="BK256" s="393">
        <f>Helpers!BI15</f>
        <v>0</v>
      </c>
      <c r="BL256" s="393">
        <f>Helpers!BJ15</f>
        <v>0</v>
      </c>
      <c r="BM256" s="393">
        <f>Helpers!BK15</f>
        <v>0</v>
      </c>
      <c r="BN256" s="393">
        <f>Helpers!BL15</f>
        <v>0</v>
      </c>
      <c r="BO256" s="393">
        <f>Helpers!BM15</f>
        <v>0</v>
      </c>
      <c r="BP256" s="393">
        <f>Helpers!BN15</f>
        <v>0</v>
      </c>
      <c r="BQ256" s="393">
        <f>Helpers!BO15</f>
        <v>0</v>
      </c>
      <c r="BR256" s="393">
        <f>Helpers!BP15</f>
        <v>0</v>
      </c>
      <c r="BS256" s="393">
        <f>Helpers!BQ15</f>
        <v>0</v>
      </c>
      <c r="BT256" s="393">
        <f>Helpers!BR15</f>
        <v>0</v>
      </c>
      <c r="BU256" s="393">
        <f>Helpers!BS15</f>
        <v>0</v>
      </c>
      <c r="BV256" s="393">
        <f>Helpers!BT15</f>
        <v>0</v>
      </c>
      <c r="BW256" s="393">
        <f>Helpers!BU15</f>
        <v>0</v>
      </c>
      <c r="BX256" s="393">
        <f>Helpers!BV15</f>
        <v>0</v>
      </c>
      <c r="BY256" s="393">
        <f>Helpers!BW15</f>
        <v>0</v>
      </c>
      <c r="BZ256" s="393">
        <f>Helpers!BX15</f>
        <v>0</v>
      </c>
      <c r="CA256" s="393">
        <f>Helpers!BY15</f>
        <v>0</v>
      </c>
      <c r="CB256" s="393">
        <f>Helpers!BZ15</f>
        <v>0</v>
      </c>
      <c r="CC256" s="393">
        <f>Helpers!CA15</f>
        <v>0</v>
      </c>
      <c r="CD256" s="393">
        <f>Helpers!CB15</f>
        <v>0</v>
      </c>
      <c r="CE256" s="393">
        <f>Helpers!CC15</f>
        <v>0</v>
      </c>
      <c r="CF256" s="393">
        <f>Helpers!CD15</f>
        <v>0</v>
      </c>
      <c r="CG256" s="393">
        <f>Helpers!CE15</f>
        <v>0</v>
      </c>
      <c r="CH256" s="393">
        <f>Helpers!CF15</f>
        <v>0</v>
      </c>
      <c r="CI256" s="393">
        <f>Helpers!CG15</f>
        <v>0</v>
      </c>
      <c r="CJ256" s="393">
        <f>Helpers!CH15</f>
        <v>0</v>
      </c>
      <c r="CK256" s="393">
        <f>Helpers!CI15</f>
        <v>0</v>
      </c>
      <c r="CL256" s="393">
        <f>Helpers!CJ15</f>
        <v>0</v>
      </c>
      <c r="CM256" s="393">
        <f>Helpers!CK15</f>
        <v>0</v>
      </c>
      <c r="CN256" s="393">
        <f>Helpers!CL15</f>
        <v>0</v>
      </c>
      <c r="CO256" s="393">
        <f>Helpers!CM15</f>
        <v>0</v>
      </c>
      <c r="CP256" s="393">
        <f>Helpers!CN15</f>
        <v>0</v>
      </c>
      <c r="CQ256" s="393">
        <f>Helpers!CO15</f>
        <v>0</v>
      </c>
      <c r="CR256" s="393">
        <f>Helpers!CP15</f>
        <v>0</v>
      </c>
      <c r="CS256" s="393">
        <f>Helpers!CQ15</f>
        <v>0</v>
      </c>
      <c r="CT256" s="393">
        <f>Helpers!CR15</f>
        <v>0</v>
      </c>
      <c r="CU256" s="393">
        <f>Helpers!CS15</f>
        <v>0</v>
      </c>
      <c r="CV256" s="393">
        <f>Helpers!CT15</f>
        <v>0</v>
      </c>
      <c r="CW256" s="393">
        <f>Helpers!CU15</f>
        <v>0</v>
      </c>
      <c r="CX256" s="393">
        <f>Helpers!CV15</f>
        <v>0</v>
      </c>
      <c r="CY256" s="393">
        <f>Helpers!CW15</f>
        <v>0</v>
      </c>
      <c r="CZ256" s="393">
        <f>Helpers!CX15</f>
        <v>0</v>
      </c>
      <c r="DA256" s="393">
        <f>Helpers!CY15</f>
        <v>0</v>
      </c>
      <c r="DB256" s="393">
        <f>Helpers!CZ15</f>
        <v>0</v>
      </c>
      <c r="DC256" s="393">
        <f>Helpers!DA15</f>
        <v>0</v>
      </c>
      <c r="DD256" s="393">
        <f>Helpers!DB15</f>
        <v>0</v>
      </c>
      <c r="DE256" s="393">
        <f>Helpers!DC15</f>
        <v>0</v>
      </c>
    </row>
    <row r="257" ht="15" customFormat="1" customHeight="1" s="381">
      <c r="A257" s="409" t="inlineStr">
        <is>
          <t>Total Bonding Outstanding</t>
        </is>
      </c>
      <c r="B257" s="410" t="n"/>
      <c r="C257" s="410" t="n"/>
      <c r="D257" s="410" t="n"/>
      <c r="E257" s="410">
        <f>SUM(E249:E256)+E258</f>
        <v>24716840.3468768</v>
      </c>
      <c r="F257" s="410">
        <f>SUM(F249:F256)+F258</f>
        <v>22881539.1765735</v>
      </c>
      <c r="G257" s="410">
        <f>SUM(G249:G256)+G258</f>
        <v>20879271.9124362</v>
      </c>
      <c r="H257" s="410">
        <f>SUM(H249:H256)+H258</f>
        <v>18748519.382739</v>
      </c>
      <c r="I257" s="410">
        <f>SUM(I249:I256)+I258</f>
        <v>85209726.4902737</v>
      </c>
      <c r="J257" s="410">
        <f>SUM(J249:J256)+J258</f>
        <v>81237618.0228946</v>
      </c>
      <c r="K257" s="410">
        <f>SUM(K249:K256)+K258</f>
        <v>76993191.8458723</v>
      </c>
      <c r="L257" s="410">
        <f>SUM(L249:L256)+L258</f>
        <v>93217215.0817341</v>
      </c>
      <c r="M257" s="410">
        <f>SUM(M249:M256)+M258</f>
        <v>87859272.6014299</v>
      </c>
      <c r="N257" s="410">
        <f>SUM(N249:N256)+N258</f>
        <v>82220296.1306601</v>
      </c>
      <c r="O257" s="410">
        <f>SUM(O249:O256)+O258</f>
        <v>76344677.9244125</v>
      </c>
      <c r="P257" s="410">
        <f>SUM(P249:P256)+P258</f>
        <v>70284030.7799899</v>
      </c>
      <c r="Q257" s="410">
        <f>SUM(Q249:Q256)+Q258</f>
        <v>64097382.1936555</v>
      </c>
      <c r="R257" s="410">
        <f>SUM(R249:R256)+R258</f>
        <v>117298750.096566</v>
      </c>
      <c r="S257" s="410">
        <f>SUM(S249:S256)+S258</f>
        <v>120741767.572602</v>
      </c>
      <c r="T257" s="410">
        <f>SUM(T249:T256)+T258</f>
        <v>131264759.519734</v>
      </c>
      <c r="U257" s="410">
        <f>SUM(U249:U256)+U258</f>
        <v>122942189.49135</v>
      </c>
      <c r="V257" s="410">
        <f>SUM(V249:V256)+V258</f>
        <v>114302565.589004</v>
      </c>
      <c r="W257" s="410">
        <f>SUM(W249:W256)+W258</f>
        <v>105440926.747286</v>
      </c>
      <c r="X257" s="410">
        <f>SUM(X249:X256)+X258</f>
        <v>96458835.5198154</v>
      </c>
      <c r="Y257" s="410">
        <f>SUM(Y249:Y256)+Y258</f>
        <v>87461656.1828859</v>
      </c>
      <c r="Z257" s="410">
        <f>SUM(Z249:Z256)+Z258</f>
        <v>78555283.2484785</v>
      </c>
      <c r="AA257" s="410">
        <f>SUM(AA249:AA256)+AA258</f>
        <v>69842808.8533086</v>
      </c>
      <c r="AB257" s="410">
        <f>SUM(AB249:AB256)+AB258</f>
        <v>61693133.2036064</v>
      </c>
      <c r="AC257" s="410">
        <f>SUM(AC249:AC256)+AC258</f>
        <v>53858752.2877488</v>
      </c>
      <c r="AD257" s="410">
        <f>SUM(AD249:AD256)+AD258</f>
        <v>46424211.6764206</v>
      </c>
      <c r="AE257" s="410">
        <f>SUM(AE249:AE256)+AE258</f>
        <v>80592047.059666</v>
      </c>
      <c r="AF257" s="410">
        <f>SUM(AF249:AF256)+AF258</f>
        <v>73721865.1219064</v>
      </c>
      <c r="AG257" s="410">
        <f>SUM(AG249:AG256)+AG258</f>
        <v>67937616.432806</v>
      </c>
      <c r="AH257" s="410">
        <f>SUM(AH249:AH256)+AH258</f>
        <v>62402377.02419</v>
      </c>
      <c r="AI257" s="410">
        <f>SUM(AI249:AI256)+AI258</f>
        <v>57140144.9394986</v>
      </c>
      <c r="AJ257" s="410">
        <f>SUM(AJ249:AJ256)+AJ258</f>
        <v>52160292.686075</v>
      </c>
      <c r="AK257" s="410">
        <f>SUM(AK249:AK256)+AK258</f>
        <v>47780701.5977726</v>
      </c>
      <c r="AL257" s="410">
        <f>SUM(AL249:AL256)+AL258</f>
        <v>43832361.6876048</v>
      </c>
      <c r="AM257" s="410">
        <f>SUM(AM249:AM256)+AM258</f>
        <v>40604126.00451</v>
      </c>
      <c r="AN257" s="410">
        <f>SUM(AN249:AN256)+AN258</f>
        <v>37394529.715966</v>
      </c>
      <c r="AO257" s="410">
        <f>SUM(AO249:AO256)+AO258</f>
        <v>34221969.864258</v>
      </c>
      <c r="AP257" s="410">
        <f>SUM(AP249:AP256)+AP258</f>
        <v>31104163.575108</v>
      </c>
      <c r="AQ257" s="410">
        <f>SUM(AQ249:AQ256)+AQ258</f>
        <v>28058055.635742</v>
      </c>
      <c r="AR257" s="410">
        <f>SUM(AR249:AR256)+AR258</f>
        <v>25099755.346316</v>
      </c>
      <c r="AS257" s="410">
        <f>SUM(AS249:AS256)+AS258</f>
        <v>22244142.534286</v>
      </c>
      <c r="AT257" s="410">
        <f>SUM(AT249:AT256)+AT258</f>
        <v>19504820.054386</v>
      </c>
      <c r="AU257" s="410">
        <f>SUM(AU249:AU256)+AU258</f>
        <v>16893806.4244</v>
      </c>
      <c r="AV257" s="410">
        <f>SUM(AV249:AV256)+AV258</f>
        <v>15049033.294064</v>
      </c>
      <c r="AW257" s="410">
        <f>SUM(AW249:AW256)+AW258</f>
        <v>13258584.501624</v>
      </c>
      <c r="AX257" s="410">
        <f>SUM(AX249:AX256)+AX258</f>
        <v>11538273.165056</v>
      </c>
      <c r="AY257" s="410">
        <f>SUM(AY249:AY256)+AY258</f>
        <v>9901787.667552</v>
      </c>
      <c r="AZ257" s="410">
        <f>SUM(AZ249:AZ256)+AZ258</f>
        <v>8360541.887544</v>
      </c>
      <c r="BA257" s="410">
        <f>SUM(BA249:BA256)+BA258</f>
        <v>6923385.71628</v>
      </c>
      <c r="BB257" s="410">
        <f>SUM(BB249:BB256)+BB258</f>
        <v>5596646.412456</v>
      </c>
      <c r="BC257" s="410">
        <f>SUM(BC249:BC256)+BC258</f>
        <v>4384004.53832</v>
      </c>
      <c r="BD257" s="410">
        <f>SUM(BD249:BD256)+BD258</f>
        <v>3286659.3782</v>
      </c>
      <c r="BE257" s="410">
        <f>SUM(BE249:BE256)+BE258</f>
        <v>2303535.711664</v>
      </c>
      <c r="BF257" s="410">
        <f>SUM(BF249:BF256)+BF258</f>
        <v>1431490.58668</v>
      </c>
      <c r="BG257" s="410">
        <f>SUM(BG249:BG256)+BG258</f>
        <v>665685.511304001</v>
      </c>
      <c r="BH257" s="410">
        <f>SUM(BH249:BH256)+BH258</f>
        <v>-165.418527995574</v>
      </c>
      <c r="BI257" s="410">
        <f>SUM(BI249:BI256)+BI258</f>
        <v>0</v>
      </c>
      <c r="BJ257" s="410">
        <f>SUM(BJ249:BJ256)+BJ258</f>
        <v>0</v>
      </c>
      <c r="BK257" s="410">
        <f>SUM(BK249:BK256)+BK258</f>
        <v>0</v>
      </c>
      <c r="BL257" s="410">
        <f>SUM(BL249:BL256)+BL258</f>
        <v>0</v>
      </c>
      <c r="BM257" s="410">
        <f>SUM(BM249:BM256)+BM258</f>
        <v>0</v>
      </c>
      <c r="BN257" s="410">
        <f>SUM(BN249:BN256)+BN258</f>
        <v>0</v>
      </c>
      <c r="BO257" s="410">
        <f>SUM(BO249:BO256)+BO258</f>
        <v>0</v>
      </c>
      <c r="BP257" s="410">
        <f>SUM(BP249:BP256)+BP258</f>
        <v>0</v>
      </c>
      <c r="BQ257" s="410">
        <f>SUM(BQ249:BQ256)+BQ258</f>
        <v>0</v>
      </c>
      <c r="BR257" s="410">
        <f>SUM(BR249:BR256)+BR258</f>
        <v>0</v>
      </c>
      <c r="BS257" s="410">
        <f>SUM(BS249:BS256)+BS258</f>
        <v>0</v>
      </c>
      <c r="BT257" s="410">
        <f>SUM(BT249:BT256)+BT258</f>
        <v>0</v>
      </c>
      <c r="BU257" s="410">
        <f>SUM(BU249:BU256)+BU258</f>
        <v>0</v>
      </c>
      <c r="BV257" s="410">
        <f>SUM(BV249:BV256)+BV258</f>
        <v>0</v>
      </c>
      <c r="BW257" s="410">
        <f>SUM(BW249:BW256)+BW258</f>
        <v>0</v>
      </c>
      <c r="BX257" s="410">
        <f>SUM(BX249:BX256)+BX258</f>
        <v>0</v>
      </c>
      <c r="BY257" s="410">
        <f>SUM(BY249:BY256)+BY258</f>
        <v>0</v>
      </c>
      <c r="BZ257" s="410">
        <f>SUM(BZ249:BZ256)+BZ258</f>
        <v>0</v>
      </c>
      <c r="CA257" s="410">
        <f>SUM(CA249:CA256)+CA258</f>
        <v>0</v>
      </c>
      <c r="CB257" s="410">
        <f>SUM(CB249:CB256)+CB258</f>
        <v>0</v>
      </c>
      <c r="CC257" s="410">
        <f>SUM(CC249:CC256)+CC258</f>
        <v>0</v>
      </c>
      <c r="CD257" s="410">
        <f>SUM(CD249:CD256)+CD258</f>
        <v>0</v>
      </c>
      <c r="CE257" s="410">
        <f>SUM(CE249:CE256)+CE258</f>
        <v>0</v>
      </c>
      <c r="CF257" s="410">
        <f>SUM(CF249:CF256)+CF258</f>
        <v>0</v>
      </c>
      <c r="CG257" s="410">
        <f>SUM(CG249:CG256)+CG258</f>
        <v>0</v>
      </c>
      <c r="CH257" s="410">
        <f>SUM(CH249:CH256)+CH258</f>
        <v>0</v>
      </c>
      <c r="CI257" s="410">
        <f>SUM(CI249:CI256)+CI258</f>
        <v>0</v>
      </c>
      <c r="CJ257" s="410">
        <f>SUM(CJ249:CJ256)+CJ258</f>
        <v>0</v>
      </c>
      <c r="CK257" s="410">
        <f>SUM(CK249:CK256)+CK258</f>
        <v>0</v>
      </c>
      <c r="CL257" s="410">
        <f>SUM(CL249:CL256)+CL258</f>
        <v>0</v>
      </c>
      <c r="CM257" s="410">
        <f>SUM(CM249:CM256)+CM258</f>
        <v>0</v>
      </c>
      <c r="CN257" s="410">
        <f>SUM(CN249:CN256)+CN258</f>
        <v>0</v>
      </c>
      <c r="CO257" s="410">
        <f>SUM(CO249:CO256)+CO258</f>
        <v>0</v>
      </c>
      <c r="CP257" s="410">
        <f>SUM(CP249:CP256)+CP258</f>
        <v>0</v>
      </c>
      <c r="CQ257" s="410">
        <f>SUM(CQ249:CQ256)+CQ258</f>
        <v>0</v>
      </c>
      <c r="CR257" s="410">
        <f>SUM(CR249:CR256)+CR258</f>
        <v>0</v>
      </c>
      <c r="CS257" s="410">
        <f>SUM(CS249:CS256)+CS258</f>
        <v>0</v>
      </c>
      <c r="CT257" s="410">
        <f>SUM(CT249:CT256)+CT258</f>
        <v>0</v>
      </c>
      <c r="CU257" s="410">
        <f>SUM(CU249:CU256)+CU258</f>
        <v>0</v>
      </c>
      <c r="CV257" s="410">
        <f>SUM(CV249:CV256)+CV258</f>
        <v>0</v>
      </c>
      <c r="CW257" s="410">
        <f>SUM(CW249:CW256)+CW258</f>
        <v>0</v>
      </c>
      <c r="CX257" s="410">
        <f>SUM(CX249:CX256)+CX258</f>
        <v>0</v>
      </c>
      <c r="CY257" s="410">
        <f>SUM(CY249:CY256)+CY258</f>
        <v>0</v>
      </c>
      <c r="CZ257" s="410">
        <f>SUM(CZ249:CZ256)+CZ258</f>
        <v>0</v>
      </c>
      <c r="DA257" s="410">
        <f>SUM(DA249:DA256)+DA258</f>
        <v>0</v>
      </c>
      <c r="DB257" s="410">
        <f>SUM(DB249:DB256)+DB258</f>
        <v>0</v>
      </c>
      <c r="DC257" s="410">
        <f>SUM(DC249:DC256)+DC258</f>
        <v>0</v>
      </c>
      <c r="DD257" s="410">
        <f>SUM(DD249:DD256)+DD258</f>
        <v>0</v>
      </c>
      <c r="DE257" s="410">
        <f>SUM(DE249:DE256)+DE258</f>
        <v>0</v>
      </c>
    </row>
    <row r="258" ht="15" customFormat="1" customHeight="1" s="381">
      <c r="A258" s="383" t="inlineStr">
        <is>
          <t xml:space="preserve">  Dickens/Riverton/Moorpark (HVN, bonded — included in total above)</t>
        </is>
      </c>
      <c r="B258" s="393" t="n"/>
      <c r="C258" s="393" t="n"/>
      <c r="D258" s="393" t="n"/>
      <c r="E258" s="393">
        <f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</f>
        <v>0</v>
      </c>
      <c r="F258" s="393">
        <f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</f>
        <v>0</v>
      </c>
      <c r="G258" s="393">
        <f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</f>
        <v>0</v>
      </c>
      <c r="H258" s="393">
        <f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</f>
        <v>0</v>
      </c>
      <c r="I258" s="393">
        <f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</f>
        <v>0</v>
      </c>
      <c r="J258" s="393">
        <f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</f>
        <v>0</v>
      </c>
      <c r="K258" s="393">
        <f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</f>
        <v>0</v>
      </c>
      <c r="L258" s="393">
        <f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</f>
        <v>0</v>
      </c>
      <c r="M258" s="393">
        <f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</f>
        <v>0</v>
      </c>
      <c r="N258" s="393">
        <f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</f>
        <v>0</v>
      </c>
      <c r="O258" s="393">
        <f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</f>
        <v>0</v>
      </c>
      <c r="P258" s="393">
        <f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</f>
        <v>0</v>
      </c>
      <c r="Q258" s="393">
        <f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</f>
        <v>0</v>
      </c>
      <c r="R258" s="393">
        <f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</f>
        <v>14909880.230245</v>
      </c>
      <c r="S258" s="393">
        <f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</f>
        <v>25425394.164785</v>
      </c>
      <c r="T258" s="393">
        <f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</f>
        <v>42403640.504997</v>
      </c>
      <c r="U258" s="393">
        <f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</f>
        <v>40641757.067038</v>
      </c>
      <c r="V258" s="393">
        <f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</f>
        <v>38573249.50249</v>
      </c>
      <c r="W258" s="393">
        <f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</f>
        <v>36203355.267902</v>
      </c>
      <c r="X258" s="393">
        <f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</f>
        <v>33553658.531235</v>
      </c>
      <c r="Y258" s="393">
        <f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</f>
        <v>30662593.104512</v>
      </c>
      <c r="Z258" s="393">
        <f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</f>
        <v>27584250.052939</v>
      </c>
      <c r="AA258" s="393">
        <f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</f>
        <v>24385560.113693</v>
      </c>
      <c r="AB258" s="393">
        <f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</f>
        <v>21141993.347255</v>
      </c>
      <c r="AC258" s="393">
        <f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</f>
        <v>17932278.473405</v>
      </c>
      <c r="AD258" s="393">
        <f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</f>
        <v>14832689.128402</v>
      </c>
      <c r="AE258" s="393">
        <f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</f>
        <v>11911663.144851</v>
      </c>
      <c r="AF258" s="393">
        <f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</f>
        <v>9225323.978058</v>
      </c>
      <c r="AG258" s="393">
        <f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</f>
        <v>6814437.99853</v>
      </c>
      <c r="AH258" s="393">
        <f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</f>
        <v>4702981.341038</v>
      </c>
      <c r="AI258" s="393">
        <f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</f>
        <v>2898414.584225</v>
      </c>
      <c r="AJ258" s="393">
        <f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</f>
        <v>1393353.558827</v>
      </c>
      <c r="AK258" s="393">
        <f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</f>
        <v>489046.905573</v>
      </c>
      <c r="AL258" s="393">
        <f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</f>
        <v>0</v>
      </c>
      <c r="AM258" s="393">
        <f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</f>
        <v>0</v>
      </c>
      <c r="AN258" s="393">
        <f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</f>
        <v>0</v>
      </c>
      <c r="AO258" s="393">
        <f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</f>
        <v>0</v>
      </c>
      <c r="AP258" s="393">
        <f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</f>
        <v>0</v>
      </c>
      <c r="AQ258" s="393">
        <f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</f>
        <v>0</v>
      </c>
      <c r="AR258" s="393">
        <f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</f>
        <v>0</v>
      </c>
      <c r="AS258" s="393">
        <f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</f>
        <v>0</v>
      </c>
      <c r="AT258" s="393">
        <f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</f>
        <v>0</v>
      </c>
      <c r="AU258" s="393">
        <f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</f>
        <v>0</v>
      </c>
      <c r="AV258" s="393">
        <f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</f>
        <v>0</v>
      </c>
      <c r="AW258" s="393">
        <f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</f>
        <v>0</v>
      </c>
      <c r="AX258" s="393">
        <f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</f>
        <v>0</v>
      </c>
      <c r="AY258" s="393">
        <f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</f>
        <v>0</v>
      </c>
      <c r="AZ258" s="393">
        <f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</f>
        <v>0</v>
      </c>
      <c r="BA258" s="393">
        <f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</f>
        <v>0</v>
      </c>
      <c r="BB258" s="393">
        <f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</f>
        <v>0</v>
      </c>
      <c r="BC258" s="393">
        <f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</f>
        <v>0</v>
      </c>
      <c r="BD258" s="393">
        <f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</f>
        <v>0</v>
      </c>
      <c r="BE258" s="393">
        <f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</f>
        <v>0</v>
      </c>
      <c r="BF258" s="393">
        <f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</f>
        <v>0</v>
      </c>
      <c r="BG258" s="393">
        <f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</f>
        <v>0</v>
      </c>
      <c r="BH258" s="393">
        <f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</f>
        <v>0</v>
      </c>
      <c r="BI258" s="393">
        <f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</f>
        <v>0</v>
      </c>
      <c r="BJ258" s="393">
        <f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</f>
        <v>0</v>
      </c>
      <c r="BK258" s="393">
        <f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</f>
        <v>0</v>
      </c>
      <c r="BL258" s="393">
        <f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</f>
        <v>0</v>
      </c>
      <c r="BM258" s="393">
        <f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</f>
        <v>0</v>
      </c>
      <c r="BN258" s="393">
        <f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</f>
        <v>0</v>
      </c>
      <c r="BO258" s="393">
        <f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</f>
        <v>0</v>
      </c>
      <c r="BP258" s="393">
        <f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</f>
        <v>0</v>
      </c>
      <c r="BQ258" s="393">
        <f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</f>
        <v>0</v>
      </c>
      <c r="BR258" s="393">
        <f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</f>
        <v>0</v>
      </c>
      <c r="BS258" s="393">
        <f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</f>
        <v>0</v>
      </c>
      <c r="BT258" s="393">
        <f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</f>
        <v>0</v>
      </c>
      <c r="BU258" s="393">
        <f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</f>
        <v>0</v>
      </c>
      <c r="BV258" s="393">
        <f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</f>
        <v>0</v>
      </c>
      <c r="BW258" s="393">
        <f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</f>
        <v>0</v>
      </c>
      <c r="BX258" s="393">
        <f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</f>
        <v>0</v>
      </c>
      <c r="BY258" s="393">
        <f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</f>
        <v>0</v>
      </c>
      <c r="BZ258" s="393">
        <f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</f>
        <v>0</v>
      </c>
      <c r="CA258" s="393">
        <f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</f>
        <v>0</v>
      </c>
      <c r="CB258" s="393">
        <f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</f>
        <v>0</v>
      </c>
      <c r="CC258" s="393">
        <f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</f>
        <v>0</v>
      </c>
      <c r="CD258" s="393">
        <f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</f>
        <v>0</v>
      </c>
      <c r="CE258" s="393">
        <f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</f>
        <v>0</v>
      </c>
      <c r="CF258" s="393">
        <f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</f>
        <v>0</v>
      </c>
      <c r="CG258" s="393">
        <f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</f>
        <v>0</v>
      </c>
      <c r="CH258" s="393">
        <f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</f>
        <v>0</v>
      </c>
      <c r="CI258" s="393">
        <f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</f>
        <v>0</v>
      </c>
      <c r="CJ258" s="393">
        <f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</f>
        <v>0</v>
      </c>
      <c r="CK258" s="393">
        <f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</f>
        <v>0</v>
      </c>
      <c r="CL258" s="393">
        <f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</f>
        <v>0</v>
      </c>
      <c r="CM258" s="393">
        <f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</f>
        <v>0</v>
      </c>
      <c r="CN258" s="393">
        <f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</f>
        <v>0</v>
      </c>
      <c r="CO258" s="393">
        <f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</f>
        <v>0</v>
      </c>
      <c r="CP258" s="393">
        <f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</f>
        <v>0</v>
      </c>
      <c r="CQ258" s="393">
        <f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</f>
        <v>0</v>
      </c>
      <c r="CR258" s="393">
        <f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</f>
        <v>0</v>
      </c>
      <c r="CS258" s="393">
        <f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</f>
        <v>0</v>
      </c>
      <c r="CT258" s="393">
        <f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</f>
        <v>0</v>
      </c>
      <c r="CU258" s="393">
        <f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</f>
        <v>0</v>
      </c>
      <c r="CV258" s="393">
        <f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</f>
        <v>0</v>
      </c>
      <c r="CW258" s="393">
        <f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</f>
        <v>0</v>
      </c>
      <c r="CX258" s="393">
        <f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</f>
        <v>0</v>
      </c>
      <c r="CY258" s="393">
        <f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</f>
        <v>0</v>
      </c>
      <c r="CZ258" s="393">
        <f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</f>
        <v>0</v>
      </c>
      <c r="DA258" s="393">
        <f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</f>
        <v>0</v>
      </c>
      <c r="DB258" s="393">
        <f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</f>
        <v>0</v>
      </c>
      <c r="DC258" s="393">
        <f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</f>
        <v>0</v>
      </c>
      <c r="DD258" s="393">
        <f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</f>
        <v>0</v>
      </c>
      <c r="DE258" s="393">
        <f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</f>
        <v>0</v>
      </c>
    </row>
    <row r="259" ht="15" customFormat="1" customHeight="1" s="381">
      <c r="A259" s="424" t="inlineStr">
        <is>
          <t>CASH ON HAND</t>
        </is>
      </c>
      <c r="B259" s="419" t="n"/>
      <c r="C259" s="419" t="n"/>
      <c r="D259" s="419" t="n"/>
      <c r="E259" s="419" t="n"/>
      <c r="F259" s="419" t="n"/>
      <c r="G259" s="419" t="n"/>
      <c r="H259" s="419" t="n"/>
      <c r="I259" s="419" t="n"/>
      <c r="J259" s="419" t="n"/>
      <c r="K259" s="419" t="n"/>
      <c r="L259" s="419" t="n"/>
      <c r="M259" s="419" t="n"/>
      <c r="N259" s="419" t="n"/>
      <c r="O259" s="419" t="n"/>
      <c r="P259" s="419" t="n"/>
      <c r="Q259" s="419" t="n"/>
      <c r="R259" s="419" t="n"/>
      <c r="S259" s="419" t="n"/>
      <c r="T259" s="419" t="n"/>
      <c r="U259" s="419" t="n"/>
      <c r="V259" s="419" t="n"/>
      <c r="W259" s="419" t="n"/>
      <c r="X259" s="419" t="n"/>
      <c r="Y259" s="419" t="n"/>
      <c r="Z259" s="419" t="n"/>
      <c r="AA259" s="419" t="n"/>
      <c r="AB259" s="419" t="n"/>
      <c r="AC259" s="419" t="n"/>
      <c r="AD259" s="419" t="n"/>
      <c r="AE259" s="419" t="n"/>
      <c r="AF259" s="419" t="n"/>
      <c r="AG259" s="419" t="n"/>
      <c r="AH259" s="419" t="n"/>
      <c r="AI259" s="419" t="n"/>
      <c r="AJ259" s="419" t="n"/>
      <c r="AK259" s="419" t="n"/>
      <c r="AL259" s="419" t="n"/>
      <c r="AM259" s="419" t="n"/>
      <c r="AN259" s="419" t="n"/>
      <c r="AO259" s="419" t="n"/>
      <c r="AP259" s="419" t="n"/>
      <c r="AQ259" s="419" t="n"/>
      <c r="AR259" s="419" t="n"/>
      <c r="AS259" s="419" t="n"/>
      <c r="AT259" s="419" t="n"/>
      <c r="AU259" s="419" t="n"/>
      <c r="AV259" s="419" t="n"/>
      <c r="AW259" s="419" t="n"/>
      <c r="AX259" s="419" t="n"/>
      <c r="AY259" s="419" t="n"/>
      <c r="AZ259" s="419" t="n"/>
      <c r="BA259" s="419" t="n"/>
      <c r="BB259" s="419" t="n"/>
      <c r="BC259" s="419" t="n"/>
      <c r="BD259" s="419" t="n"/>
      <c r="BE259" s="419" t="n"/>
      <c r="BF259" s="419" t="n"/>
      <c r="BG259" s="419" t="n"/>
      <c r="BH259" s="419" t="n"/>
      <c r="BI259" s="419" t="n"/>
      <c r="BJ259" s="419" t="n"/>
      <c r="BK259" s="419" t="n"/>
      <c r="BL259" s="419" t="n"/>
      <c r="BM259" s="419" t="n"/>
      <c r="BN259" s="419" t="n"/>
      <c r="BO259" s="419" t="n"/>
      <c r="BP259" s="419" t="n"/>
      <c r="BQ259" s="419" t="n"/>
      <c r="BR259" s="419" t="n"/>
      <c r="BS259" s="419" t="n"/>
      <c r="BT259" s="419" t="n"/>
      <c r="BU259" s="419" t="n"/>
      <c r="BV259" s="419" t="n"/>
      <c r="BW259" s="419" t="n"/>
      <c r="BX259" s="419" t="n"/>
      <c r="BY259" s="419" t="n"/>
      <c r="BZ259" s="419" t="n"/>
      <c r="CA259" s="419" t="n"/>
      <c r="CB259" s="419" t="n"/>
      <c r="CC259" s="419" t="n"/>
      <c r="CD259" s="419" t="n"/>
      <c r="CE259" s="419" t="n"/>
      <c r="CF259" s="419" t="n"/>
      <c r="CG259" s="419" t="n"/>
      <c r="CH259" s="419" t="n"/>
      <c r="CI259" s="419" t="n"/>
      <c r="CJ259" s="419" t="n"/>
      <c r="CK259" s="419" t="n"/>
      <c r="CL259" s="419" t="n"/>
      <c r="CM259" s="419" t="n"/>
      <c r="CN259" s="419" t="n"/>
      <c r="CO259" s="419" t="n"/>
      <c r="CP259" s="419" t="n"/>
      <c r="CQ259" s="419" t="n"/>
      <c r="CR259" s="419" t="n"/>
      <c r="CS259" s="419" t="n"/>
      <c r="CT259" s="419" t="n"/>
      <c r="CU259" s="419" t="n"/>
      <c r="CV259" s="419" t="n"/>
      <c r="CW259" s="419" t="n"/>
      <c r="CX259" s="419" t="n"/>
      <c r="CY259" s="419" t="n"/>
      <c r="CZ259" s="419" t="n"/>
      <c r="DA259" s="419" t="n"/>
      <c r="DB259" s="419" t="n"/>
      <c r="DC259" s="419" t="n"/>
      <c r="DD259" s="419" t="n"/>
      <c r="DE259" s="419" t="n"/>
    </row>
    <row r="260" ht="15" customFormat="1" customHeight="1" s="381">
      <c r="A260" s="445" t="n"/>
      <c r="B260" s="446" t="n"/>
      <c r="C260" s="446" t="n"/>
      <c r="D260" s="446" t="n"/>
      <c r="E260" s="446" t="n"/>
      <c r="F260" s="446" t="n"/>
      <c r="G260" s="446" t="n"/>
      <c r="H260" s="446" t="n"/>
      <c r="I260" s="446" t="n"/>
      <c r="J260" s="446" t="n"/>
      <c r="K260" s="446" t="n"/>
      <c r="L260" s="446" t="n"/>
      <c r="M260" s="446" t="n"/>
      <c r="N260" s="446" t="n"/>
      <c r="O260" s="446" t="n"/>
      <c r="P260" s="446" t="n"/>
      <c r="Q260" s="446" t="n"/>
      <c r="R260" s="446" t="n"/>
      <c r="S260" s="446" t="n"/>
      <c r="T260" s="446" t="n"/>
      <c r="U260" s="446" t="n"/>
      <c r="V260" s="446" t="n"/>
      <c r="W260" s="446" t="n"/>
      <c r="X260" s="446" t="n"/>
      <c r="Y260" s="446" t="n"/>
      <c r="Z260" s="446" t="n"/>
      <c r="AA260" s="446" t="n"/>
      <c r="AB260" s="446" t="n"/>
      <c r="AC260" s="446" t="n"/>
      <c r="AD260" s="446" t="n"/>
      <c r="AE260" s="446" t="n"/>
      <c r="AF260" s="446" t="n"/>
      <c r="AG260" s="446" t="n"/>
      <c r="AH260" s="446" t="n"/>
      <c r="AI260" s="446" t="n"/>
      <c r="AJ260" s="446" t="n"/>
      <c r="AK260" s="446" t="n"/>
      <c r="AL260" s="446" t="n"/>
      <c r="AM260" s="446" t="n"/>
      <c r="AN260" s="446" t="n"/>
      <c r="AO260" s="446" t="n"/>
      <c r="AP260" s="446" t="n"/>
      <c r="AQ260" s="446" t="n"/>
      <c r="AR260" s="446" t="n"/>
      <c r="AS260" s="446" t="n"/>
      <c r="AT260" s="446" t="n"/>
      <c r="AU260" s="446" t="n"/>
      <c r="AV260" s="446" t="n"/>
      <c r="AW260" s="446" t="n"/>
      <c r="AX260" s="446" t="n"/>
      <c r="AY260" s="446" t="n"/>
      <c r="AZ260" s="446" t="n"/>
      <c r="BA260" s="446" t="n"/>
      <c r="BB260" s="446" t="n"/>
      <c r="BC260" s="446" t="n"/>
      <c r="BD260" s="446" t="n"/>
      <c r="BE260" s="446" t="n"/>
      <c r="BF260" s="446" t="n"/>
      <c r="BG260" s="446" t="n"/>
      <c r="BH260" s="446" t="n"/>
      <c r="BI260" s="446" t="n"/>
      <c r="BJ260" s="446" t="n"/>
      <c r="BK260" s="446" t="n"/>
      <c r="BL260" s="446" t="n"/>
      <c r="BM260" s="446" t="n"/>
      <c r="BN260" s="446" t="n"/>
      <c r="BO260" s="446" t="n"/>
      <c r="BP260" s="446" t="n"/>
      <c r="BQ260" s="446" t="n"/>
      <c r="BR260" s="446" t="n"/>
      <c r="BS260" s="446" t="n"/>
      <c r="BT260" s="446" t="n"/>
      <c r="BU260" s="446" t="n"/>
      <c r="BV260" s="446" t="n"/>
      <c r="BW260" s="446" t="n"/>
      <c r="BX260" s="446" t="n"/>
      <c r="BY260" s="446" t="n"/>
      <c r="BZ260" s="446" t="n"/>
      <c r="CA260" s="446" t="n"/>
      <c r="CB260" s="446" t="n"/>
      <c r="CC260" s="446" t="n"/>
      <c r="CD260" s="446" t="n"/>
      <c r="CE260" s="446" t="n"/>
      <c r="CF260" s="446" t="n"/>
      <c r="CG260" s="446" t="n"/>
      <c r="CH260" s="446" t="n"/>
      <c r="CI260" s="446" t="n"/>
      <c r="CJ260" s="446" t="n"/>
      <c r="CK260" s="446" t="n"/>
      <c r="CL260" s="446" t="n"/>
      <c r="CM260" s="446" t="n"/>
      <c r="CN260" s="446" t="n"/>
      <c r="CO260" s="446" t="n"/>
      <c r="CP260" s="446" t="n"/>
      <c r="CQ260" s="446" t="n"/>
      <c r="CR260" s="446" t="n"/>
      <c r="CS260" s="446" t="n"/>
      <c r="CT260" s="446" t="n"/>
      <c r="CU260" s="446" t="n"/>
      <c r="CV260" s="446" t="n"/>
      <c r="CW260" s="446" t="n"/>
      <c r="CX260" s="446" t="n"/>
      <c r="CY260" s="446" t="n"/>
      <c r="CZ260" s="446" t="n"/>
      <c r="DA260" s="446" t="n"/>
      <c r="DB260" s="446" t="n"/>
      <c r="DC260" s="446" t="n"/>
      <c r="DD260" s="446" t="n"/>
      <c r="DE260" s="446" t="n"/>
    </row>
    <row r="261" ht="15" customFormat="1" customHeight="1" s="381">
      <c r="A261" s="403" t="inlineStr">
        <is>
          <t>LV (GC) Cash</t>
        </is>
      </c>
      <c r="B261" s="414" t="n"/>
      <c r="C261" s="414" t="n"/>
      <c r="D261" s="414" t="n"/>
      <c r="E261" s="414" t="n"/>
      <c r="F261" s="414" t="n"/>
      <c r="G261" s="414" t="n"/>
      <c r="H261" s="414" t="n"/>
      <c r="I261" s="414" t="n"/>
      <c r="J261" s="414" t="n"/>
      <c r="K261" s="414" t="n"/>
      <c r="L261" s="414" t="n"/>
      <c r="M261" s="414" t="n"/>
      <c r="N261" s="414" t="n"/>
      <c r="O261" s="414" t="n"/>
      <c r="P261" s="414" t="n"/>
      <c r="Q261" s="414" t="n"/>
      <c r="R261" s="414" t="n"/>
      <c r="S261" s="414" t="n"/>
      <c r="T261" s="414" t="n"/>
      <c r="U261" s="414" t="n"/>
      <c r="V261" s="414" t="n"/>
      <c r="W261" s="414" t="n"/>
      <c r="X261" s="414" t="n"/>
      <c r="Y261" s="414" t="n"/>
      <c r="Z261" s="414" t="n"/>
      <c r="AA261" s="414" t="n"/>
      <c r="AB261" s="414" t="n"/>
      <c r="AC261" s="414" t="n"/>
      <c r="AD261" s="414" t="n"/>
      <c r="AE261" s="414" t="n"/>
      <c r="AF261" s="414" t="n"/>
      <c r="AG261" s="414" t="n"/>
      <c r="AH261" s="414" t="n"/>
      <c r="AI261" s="414" t="n"/>
      <c r="AJ261" s="414" t="n"/>
      <c r="AK261" s="414" t="n"/>
      <c r="AL261" s="414" t="n"/>
      <c r="AM261" s="414" t="n"/>
      <c r="AN261" s="414" t="n"/>
      <c r="AO261" s="414" t="n"/>
      <c r="AP261" s="414" t="n"/>
      <c r="AQ261" s="414" t="n"/>
      <c r="AR261" s="414" t="n"/>
      <c r="AS261" s="414" t="n"/>
      <c r="AT261" s="414" t="n"/>
      <c r="AU261" s="414" t="n"/>
      <c r="AV261" s="414" t="n"/>
      <c r="AW261" s="414" t="n"/>
      <c r="AX261" s="414" t="n"/>
      <c r="AY261" s="414" t="n"/>
      <c r="AZ261" s="414" t="n"/>
      <c r="BA261" s="414" t="n"/>
      <c r="BB261" s="414" t="n"/>
      <c r="BC261" s="414" t="n"/>
      <c r="BD261" s="414" t="n"/>
      <c r="BE261" s="414" t="n"/>
      <c r="BF261" s="414" t="n"/>
      <c r="BG261" s="414" t="n"/>
      <c r="BH261" s="414" t="n"/>
      <c r="BI261" s="414" t="n"/>
      <c r="BJ261" s="414" t="n"/>
      <c r="BK261" s="414" t="n"/>
      <c r="BL261" s="414" t="n"/>
      <c r="BM261" s="414" t="n"/>
      <c r="BN261" s="414" t="n"/>
      <c r="BO261" s="414" t="n"/>
      <c r="BP261" s="414" t="n"/>
      <c r="BQ261" s="414" t="n"/>
      <c r="BR261" s="414" t="n"/>
      <c r="BS261" s="414" t="n"/>
      <c r="BT261" s="414" t="n"/>
      <c r="BU261" s="414" t="n"/>
      <c r="BV261" s="414" t="n"/>
      <c r="BW261" s="414" t="n"/>
      <c r="BX261" s="414" t="n"/>
      <c r="BY261" s="414" t="n"/>
      <c r="BZ261" s="414" t="n"/>
      <c r="CA261" s="414" t="n"/>
      <c r="CB261" s="414" t="n"/>
      <c r="CC261" s="414" t="n"/>
      <c r="CD261" s="414" t="n"/>
      <c r="CE261" s="414" t="n"/>
      <c r="CF261" s="414" t="n"/>
      <c r="CG261" s="414" t="n"/>
      <c r="CH261" s="414" t="n"/>
      <c r="CI261" s="414" t="n"/>
      <c r="CJ261" s="414" t="n"/>
      <c r="CK261" s="414" t="n"/>
      <c r="CL261" s="414" t="n"/>
      <c r="CM261" s="414" t="n"/>
      <c r="CN261" s="414" t="n"/>
      <c r="CO261" s="414" t="n"/>
      <c r="CP261" s="414" t="n"/>
      <c r="CQ261" s="414" t="n"/>
      <c r="CR261" s="414" t="n"/>
      <c r="CS261" s="414" t="n"/>
      <c r="CT261" s="414" t="n"/>
      <c r="CU261" s="414" t="n"/>
      <c r="CV261" s="414" t="n"/>
      <c r="CW261" s="414" t="n"/>
      <c r="CX261" s="414" t="n"/>
      <c r="CY261" s="414" t="n"/>
      <c r="CZ261" s="414" t="n"/>
      <c r="DA261" s="414" t="n"/>
      <c r="DB261" s="414" t="n"/>
      <c r="DC261" s="414" t="n"/>
      <c r="DD261" s="414" t="n"/>
      <c r="DE261" s="414" t="n"/>
    </row>
    <row r="262" ht="15" customFormat="1" customHeight="1" s="381">
      <c r="A262" s="398" t="inlineStr">
        <is>
          <t>LV Beginning Cash</t>
        </is>
      </c>
      <c r="B262" s="393" t="n"/>
      <c r="C262" s="393" t="n"/>
      <c r="D262" s="393" t="n"/>
      <c r="E262" s="393" t="n"/>
      <c r="F262" s="393" t="n"/>
      <c r="G262" s="393" t="n"/>
      <c r="H262" s="393">
        <f>Assumptions!B29</f>
        <v>306139</v>
      </c>
      <c r="I262" s="393">
        <f>H270</f>
        <v>778701.069849618</v>
      </c>
      <c r="J262" s="393">
        <f>I270</f>
        <v>705531.282208546</v>
      </c>
      <c r="K262" s="393">
        <f>J270</f>
        <v>960356.590245573</v>
      </c>
      <c r="L262" s="393">
        <f>K270</f>
        <v>1166495.17094108</v>
      </c>
      <c r="M262" s="393">
        <f>L270</f>
        <v>1388524.53304863</v>
      </c>
      <c r="N262" s="393">
        <f>M270</f>
        <v>1235395.10925242</v>
      </c>
      <c r="O262" s="393">
        <f>N270</f>
        <v>1299231.46962144</v>
      </c>
      <c r="P262" s="393">
        <f>O270</f>
        <v>1560853.38702778</v>
      </c>
      <c r="Q262" s="393">
        <f>P270</f>
        <v>1836707.92512643</v>
      </c>
      <c r="R262" s="393">
        <f>Q270</f>
        <v>2078052.62844127</v>
      </c>
      <c r="S262" s="393">
        <f>R270</f>
        <v>2169064.08049076</v>
      </c>
      <c r="T262" s="393">
        <f>S270</f>
        <v>1679017.22662443</v>
      </c>
      <c r="U262" s="393">
        <f>T270</f>
        <v>2022759.42549905</v>
      </c>
      <c r="V262" s="393">
        <f>U270</f>
        <v>2125466.47721155</v>
      </c>
      <c r="W262" s="393">
        <f>V270</f>
        <v>2544611.01631783</v>
      </c>
      <c r="X262" s="393">
        <f>W270</f>
        <v>2991205.08331629</v>
      </c>
      <c r="Y262" s="393">
        <f>X270</f>
        <v>3399702.78381562</v>
      </c>
      <c r="Z262" s="393">
        <f>Y270</f>
        <v>3853917.42029884</v>
      </c>
      <c r="AA262" s="393">
        <f>Z270</f>
        <v>4370697.88323206</v>
      </c>
      <c r="AB262" s="393">
        <f>AA270</f>
        <v>4961784.19655597</v>
      </c>
      <c r="AC262" s="393">
        <f>AB270</f>
        <v>5555274.58334205</v>
      </c>
      <c r="AD262" s="393">
        <f>AC270</f>
        <v>6046150.15795858</v>
      </c>
      <c r="AE262" s="393">
        <f>AD270</f>
        <v>6582025.73257511</v>
      </c>
      <c r="AF262" s="393">
        <f>AE270</f>
        <v>7110018.32514821</v>
      </c>
      <c r="AG262" s="393">
        <f>AF270</f>
        <v>7256741.98815574</v>
      </c>
      <c r="AH262" s="393">
        <f>AG270</f>
        <v>8141204.37822284</v>
      </c>
      <c r="AI262" s="393">
        <f>AH270</f>
        <v>8694595.83209861</v>
      </c>
      <c r="AJ262" s="393">
        <f>AI270</f>
        <v>9473420.84656374</v>
      </c>
      <c r="AK262" s="393">
        <f>AJ270</f>
        <v>10482076.5106579</v>
      </c>
      <c r="AL262" s="393">
        <f>AK270</f>
        <v>11411916.6643854</v>
      </c>
      <c r="AM262" s="393">
        <f>AL270</f>
        <v>12653841.9770074</v>
      </c>
      <c r="AN262" s="393">
        <f>AM270</f>
        <v>13883579.3176723</v>
      </c>
      <c r="AO262" s="393">
        <f>AN270</f>
        <v>14425903.8399085</v>
      </c>
      <c r="AP262" s="393">
        <f>AO270</f>
        <v>15051782.93986</v>
      </c>
      <c r="AQ262" s="393">
        <f>AP270</f>
        <v>15762537.6948116</v>
      </c>
      <c r="AR262" s="393">
        <f>AQ270</f>
        <v>16569629.6872632</v>
      </c>
      <c r="AS262" s="393">
        <f>AR270</f>
        <v>17474514.9297148</v>
      </c>
      <c r="AT262" s="393">
        <f>AS270</f>
        <v>18416900.1721664</v>
      </c>
      <c r="AU262" s="393">
        <f>AT270</f>
        <v>19462219.719618</v>
      </c>
      <c r="AV262" s="393">
        <f>AU270</f>
        <v>20914933.0539861</v>
      </c>
      <c r="AW262" s="393">
        <f>AV270</f>
        <v>22245528.2979798</v>
      </c>
      <c r="AX262" s="393">
        <f>AW270</f>
        <v>22958947.3494611</v>
      </c>
      <c r="AY262" s="393">
        <f>AX270</f>
        <v>23709866.4009424</v>
      </c>
      <c r="AZ262" s="393">
        <f>AY270</f>
        <v>24563719.7574236</v>
      </c>
      <c r="BA262" s="393">
        <f>AZ270</f>
        <v>25526827.9464049</v>
      </c>
      <c r="BB262" s="393">
        <f>BA270</f>
        <v>26407303.277906</v>
      </c>
      <c r="BC262" s="393">
        <f>BB270</f>
        <v>27262219.959407</v>
      </c>
      <c r="BD262" s="393">
        <f>BC270</f>
        <v>28124636.6409081</v>
      </c>
      <c r="BE262" s="393">
        <f>BD270</f>
        <v>28986150.3899091</v>
      </c>
      <c r="BF262" s="393">
        <f>BE270</f>
        <v>29875378.5064102</v>
      </c>
      <c r="BG262" s="393">
        <f>BF270</f>
        <v>30773912.4879112</v>
      </c>
      <c r="BH262" s="393">
        <f>BG270</f>
        <v>31635426.2369123</v>
      </c>
      <c r="BI262" s="393">
        <f>BH270</f>
        <v>32761143.8147162</v>
      </c>
      <c r="BJ262" s="393">
        <f>BI270</f>
        <v>33921011.7158162</v>
      </c>
      <c r="BK262" s="393">
        <f>BJ270</f>
        <v>34504109.2259922</v>
      </c>
      <c r="BL262" s="393">
        <f>BK270</f>
        <v>34906620.2361681</v>
      </c>
      <c r="BM262" s="393">
        <f>BL270</f>
        <v>35309131.2463441</v>
      </c>
      <c r="BN262" s="393">
        <f>BM270</f>
        <v>35804459.7017402</v>
      </c>
      <c r="BO262" s="393">
        <f>BN270</f>
        <v>36396401.9346363</v>
      </c>
      <c r="BP262" s="393">
        <f>BO270</f>
        <v>36780669.6925324</v>
      </c>
      <c r="BQ262" s="393">
        <f>BP270</f>
        <v>36984350.9504285</v>
      </c>
      <c r="BR262" s="393">
        <f>BQ270</f>
        <v>37188032.2083247</v>
      </c>
      <c r="BS262" s="393">
        <f>BR270</f>
        <v>37477492.0537208</v>
      </c>
      <c r="BT262" s="393">
        <f>BS270</f>
        <v>37878915.5291169</v>
      </c>
      <c r="BU262" s="393">
        <f>BT270</f>
        <v>38196366.282013</v>
      </c>
      <c r="BV262" s="393">
        <f>BU270</f>
        <v>38391921.1474092</v>
      </c>
      <c r="BW262" s="393">
        <f>BV270</f>
        <v>38518853.1428053</v>
      </c>
      <c r="BX262" s="393">
        <f>BW270</f>
        <v>38561812.4157014</v>
      </c>
      <c r="BY262" s="393">
        <f>BX270</f>
        <v>38482875.8010975</v>
      </c>
      <c r="BZ262" s="393">
        <f>BY270</f>
        <v>38324997.1195182</v>
      </c>
      <c r="CA262" s="393">
        <f>BZ270</f>
        <v>38083145.7154389</v>
      </c>
      <c r="CB262" s="393">
        <f>CA270</f>
        <v>37633619.8363597</v>
      </c>
      <c r="CC262" s="393">
        <f>CB270</f>
        <v>37003507.4572804</v>
      </c>
      <c r="CD262" s="393">
        <f>CC270</f>
        <v>36373395.0782011</v>
      </c>
      <c r="CE262" s="393">
        <f>CD270</f>
        <v>35743282.6991218</v>
      </c>
      <c r="CF262" s="393">
        <f>CE270</f>
        <v>35113170.3200425</v>
      </c>
      <c r="CG262" s="393">
        <f>CF270</f>
        <v>34483057.9409632</v>
      </c>
      <c r="CH262" s="393">
        <f>CG270</f>
        <v>33852945.5618839</v>
      </c>
      <c r="CI262" s="393">
        <f>CH270</f>
        <v>33222833.1828046</v>
      </c>
      <c r="CJ262" s="393">
        <f>CI270</f>
        <v>32592720.8037253</v>
      </c>
      <c r="CK262" s="393">
        <f>CJ270</f>
        <v>31962608.424646</v>
      </c>
      <c r="CL262" s="393">
        <f>CK270</f>
        <v>31321970.4646518</v>
      </c>
      <c r="CM262" s="393">
        <f>CL270</f>
        <v>30681332.5046576</v>
      </c>
      <c r="CN262" s="393">
        <f>CM270</f>
        <v>30040694.5446634</v>
      </c>
      <c r="CO262" s="393">
        <f>CN270</f>
        <v>29400056.5846692</v>
      </c>
      <c r="CP262" s="393">
        <f>CO270</f>
        <v>28759418.624675</v>
      </c>
      <c r="CQ262" s="393">
        <f>CP270</f>
        <v>28118780.6646808</v>
      </c>
      <c r="CR262" s="393">
        <f>CQ270</f>
        <v>27478142.7046866</v>
      </c>
      <c r="CS262" s="393">
        <f>CR270</f>
        <v>26837504.7446924</v>
      </c>
      <c r="CT262" s="393">
        <f>CS270</f>
        <v>26196866.7846982</v>
      </c>
      <c r="CU262" s="393">
        <f>CT270</f>
        <v>25620319.5022209</v>
      </c>
      <c r="CV262" s="393">
        <f>CU270</f>
        <v>25043772.2197437</v>
      </c>
      <c r="CW262" s="393">
        <f>CV270</f>
        <v>24467224.9372665</v>
      </c>
      <c r="CX262" s="393">
        <f>CW270</f>
        <v>23881223.3758064</v>
      </c>
      <c r="CY262" s="393">
        <f>CX270</f>
        <v>23295221.8143463</v>
      </c>
      <c r="CZ262" s="393">
        <f>CY270</f>
        <v>22709220.2528862</v>
      </c>
      <c r="DA262" s="393">
        <f>CZ270</f>
        <v>22123218.6914261</v>
      </c>
      <c r="DB262" s="393">
        <f>DA270</f>
        <v>21537217.1299659</v>
      </c>
      <c r="DC262" s="393">
        <f>DB270</f>
        <v>20951215.5685058</v>
      </c>
      <c r="DD262" s="393">
        <f>DC270</f>
        <v>20365214.0070457</v>
      </c>
      <c r="DE262" s="393">
        <f>DD270</f>
        <v>19779212.4455856</v>
      </c>
    </row>
    <row r="263" ht="15" customFormat="1" customHeight="1" s="381">
      <c r="A263" s="398" t="inlineStr">
        <is>
          <t>LV Net Cash Flow</t>
        </is>
      </c>
      <c r="B263" s="393" t="n"/>
      <c r="C263" s="393" t="n"/>
      <c r="D263" s="393" t="n"/>
      <c r="E263" s="393" t="n"/>
      <c r="F263" s="393" t="n"/>
      <c r="G263" s="393" t="n"/>
      <c r="H263" s="393">
        <f>H145</f>
        <v>-76035.185416696</v>
      </c>
      <c r="I263" s="393">
        <f>I145</f>
        <v>296394.633165302</v>
      </c>
      <c r="J263" s="393">
        <f>J145</f>
        <v>246722.752978079</v>
      </c>
      <c r="K263" s="393">
        <f>K145</f>
        <v>228381.398752175</v>
      </c>
      <c r="L263" s="393">
        <f>L145</f>
        <v>-105570.939973411</v>
      </c>
      <c r="M263" s="393">
        <f>M145</f>
        <v>170524.974394201</v>
      </c>
      <c r="N263" s="393">
        <f>N145</f>
        <v>284300.439214778</v>
      </c>
      <c r="O263" s="393">
        <f>O145</f>
        <v>282229.992822035</v>
      </c>
      <c r="P263" s="393">
        <f>P145</f>
        <v>292277.140054829</v>
      </c>
      <c r="Q263" s="393">
        <f>Q145</f>
        <v>254854.105563098</v>
      </c>
      <c r="R263" s="393">
        <f>R145</f>
        <v>-679343.027901371</v>
      </c>
      <c r="S263" s="393">
        <f>S145</f>
        <v>251949.651956525</v>
      </c>
      <c r="T263" s="393">
        <f>T145</f>
        <v>173134.038590165</v>
      </c>
      <c r="U263" s="393">
        <f>U145</f>
        <v>425510.701009604</v>
      </c>
      <c r="V263" s="393">
        <f>V145</f>
        <v>468834.722851967</v>
      </c>
      <c r="W263" s="393">
        <f>W145</f>
        <v>466249.329055466</v>
      </c>
      <c r="X263" s="393">
        <f>X145</f>
        <v>574532.091489354</v>
      </c>
      <c r="Y263" s="393">
        <f>Y145</f>
        <v>511966.265039354</v>
      </c>
      <c r="Z263" s="393">
        <f>Z145</f>
        <v>574532.091489354</v>
      </c>
      <c r="AA263" s="393">
        <f>AA145</f>
        <v>652748.776111131</v>
      </c>
      <c r="AB263" s="393">
        <f>AB145</f>
        <v>604667.306867575</v>
      </c>
      <c r="AC263" s="393">
        <f>AC145</f>
        <v>550133.963941575</v>
      </c>
      <c r="AD263" s="393">
        <f>AD145</f>
        <v>595133.963941575</v>
      </c>
      <c r="AE263" s="393">
        <f>AE145</f>
        <v>29087.5448101234</v>
      </c>
      <c r="AF263" s="393">
        <f>AF145</f>
        <v>947296.225405785</v>
      </c>
      <c r="AG263" s="393">
        <f>AG145</f>
        <v>666642.88421446</v>
      </c>
      <c r="AH263" s="393">
        <f>AH145</f>
        <v>729994.78421446</v>
      </c>
      <c r="AI263" s="393">
        <f>AI145</f>
        <v>948284.16378221</v>
      </c>
      <c r="AJ263" s="393">
        <f>AJ145</f>
        <v>946446.533066574</v>
      </c>
      <c r="AK263" s="393">
        <f>AK145</f>
        <v>911267.774256824</v>
      </c>
      <c r="AL263" s="393">
        <f>AL145</f>
        <v>1291941.18315416</v>
      </c>
      <c r="AM263" s="393">
        <f>AM145</f>
        <v>616543.027225345</v>
      </c>
      <c r="AN263" s="393">
        <f>AN145</f>
        <v>699336.277225345</v>
      </c>
      <c r="AO263" s="393">
        <f>AO145</f>
        <v>787405.517440825</v>
      </c>
      <c r="AP263" s="393">
        <f>AP145</f>
        <v>895757.417440825</v>
      </c>
      <c r="AQ263" s="393">
        <f>AQ145</f>
        <v>978550.667440825</v>
      </c>
      <c r="AR263" s="393">
        <f>AR145</f>
        <v>986050.667440825</v>
      </c>
      <c r="AS263" s="393">
        <f>AS145</f>
        <v>1023550.66744082</v>
      </c>
      <c r="AT263" s="393">
        <f>AT145</f>
        <v>1131902.56744082</v>
      </c>
      <c r="AU263" s="393">
        <f>AU145</f>
        <v>1446683.50103716</v>
      </c>
      <c r="AV263" s="393">
        <f>AV145</f>
        <v>777007.308524693</v>
      </c>
      <c r="AW263" s="393">
        <f>AW145</f>
        <v>784507.308524693</v>
      </c>
      <c r="AX263" s="393">
        <f>AX145</f>
        <v>822007.308524693</v>
      </c>
      <c r="AY263" s="393">
        <f>AY145</f>
        <v>930359.208524694</v>
      </c>
      <c r="AZ263" s="393">
        <f>AZ145</f>
        <v>912300.558524693</v>
      </c>
      <c r="BA263" s="393">
        <f>BA145</f>
        <v>846823.418544482</v>
      </c>
      <c r="BB263" s="393">
        <f>BB145</f>
        <v>839323.418544482</v>
      </c>
      <c r="BC263" s="393">
        <f>BC145</f>
        <v>846823.418544482</v>
      </c>
      <c r="BD263" s="393">
        <f>BD145</f>
        <v>864882.068544483</v>
      </c>
      <c r="BE263" s="393">
        <f>BE145</f>
        <v>875440.718544483</v>
      </c>
      <c r="BF263" s="393">
        <f>BF145</f>
        <v>846823.418544482</v>
      </c>
      <c r="BG263" s="393">
        <f>BG145</f>
        <v>864882.068544483</v>
      </c>
      <c r="BH263" s="393">
        <f>BH145</f>
        <v>1124376.99360008</v>
      </c>
      <c r="BI263" s="393">
        <f>BI145</f>
        <v>598870.527675936</v>
      </c>
      <c r="BJ263" s="393">
        <f>BJ145</f>
        <v>455784.027675936</v>
      </c>
      <c r="BK263" s="393">
        <f>BK145</f>
        <v>455784.027675936</v>
      </c>
      <c r="BL263" s="393">
        <f>BL145</f>
        <v>455784.027675936</v>
      </c>
      <c r="BM263" s="393">
        <f>BM145</f>
        <v>554019.067896122</v>
      </c>
      <c r="BN263" s="393">
        <f>BN145</f>
        <v>427608.517896121</v>
      </c>
      <c r="BO263" s="393">
        <f>BO145</f>
        <v>247022.017896121</v>
      </c>
      <c r="BP263" s="393">
        <f>BP145</f>
        <v>247022.017896122</v>
      </c>
      <c r="BQ263" s="393">
        <f>BQ145</f>
        <v>247022.017896122</v>
      </c>
      <c r="BR263" s="393">
        <f>BR145</f>
        <v>337315.267896122</v>
      </c>
      <c r="BS263" s="393">
        <f>BS145</f>
        <v>265080.667896121</v>
      </c>
      <c r="BT263" s="393">
        <f>BT145</f>
        <v>138670.117896122</v>
      </c>
      <c r="BU263" s="393">
        <f>BU145</f>
        <v>48376.8678961216</v>
      </c>
      <c r="BV263" s="393">
        <f>BV145</f>
        <v>-23857.7321038781</v>
      </c>
      <c r="BW263" s="393">
        <f>BW145</f>
        <v>-150268.282103878</v>
      </c>
      <c r="BX263" s="393">
        <f>BX145</f>
        <v>-240561.532103878</v>
      </c>
      <c r="BY263" s="393">
        <f>BY145</f>
        <v>-323115.329079289</v>
      </c>
      <c r="BZ263" s="393">
        <f>BZ145</f>
        <v>-449525.879079289</v>
      </c>
      <c r="CA263" s="393">
        <f>CA145</f>
        <v>-630112.379079289</v>
      </c>
      <c r="CB263" s="393">
        <f>CB145</f>
        <v>-630112.379079289</v>
      </c>
      <c r="CC263" s="393">
        <f>CC145</f>
        <v>-630112.379079289</v>
      </c>
      <c r="CD263" s="393">
        <f>CD145</f>
        <v>-630112.379079289</v>
      </c>
      <c r="CE263" s="393">
        <f>CE145</f>
        <v>-630112.379079289</v>
      </c>
      <c r="CF263" s="393">
        <f>CF145</f>
        <v>-630112.379079289</v>
      </c>
      <c r="CG263" s="393">
        <f>CG145</f>
        <v>-630112.379079289</v>
      </c>
      <c r="CH263" s="393">
        <f>CH145</f>
        <v>-630112.379079289</v>
      </c>
      <c r="CI263" s="393">
        <f>CI145</f>
        <v>-630112.379079289</v>
      </c>
      <c r="CJ263" s="393">
        <f>CJ145</f>
        <v>-630112.379079289</v>
      </c>
      <c r="CK263" s="393">
        <f>CK145</f>
        <v>-640637.959994208</v>
      </c>
      <c r="CL263" s="393">
        <f>CL145</f>
        <v>-640637.959994208</v>
      </c>
      <c r="CM263" s="393">
        <f>CM145</f>
        <v>-640637.959994208</v>
      </c>
      <c r="CN263" s="393">
        <f>CN145</f>
        <v>-640637.959994208</v>
      </c>
      <c r="CO263" s="393">
        <f>CO145</f>
        <v>-640637.959994208</v>
      </c>
      <c r="CP263" s="393">
        <f>CP145</f>
        <v>-640637.959994208</v>
      </c>
      <c r="CQ263" s="393">
        <f>CQ145</f>
        <v>-640637.959994208</v>
      </c>
      <c r="CR263" s="393">
        <f>CR145</f>
        <v>-640637.959994208</v>
      </c>
      <c r="CS263" s="393">
        <f>CS145</f>
        <v>-640637.959994208</v>
      </c>
      <c r="CT263" s="393">
        <f>CT145</f>
        <v>-576547.282477231</v>
      </c>
      <c r="CU263" s="393">
        <f>CU145</f>
        <v>-576547.282477231</v>
      </c>
      <c r="CV263" s="393">
        <f>CV145</f>
        <v>-576547.282477231</v>
      </c>
      <c r="CW263" s="393">
        <f>CW145</f>
        <v>-586001.561460109</v>
      </c>
      <c r="CX263" s="393">
        <f>CX145</f>
        <v>-586001.561460109</v>
      </c>
      <c r="CY263" s="393">
        <f>CY145</f>
        <v>-586001.561460109</v>
      </c>
      <c r="CZ263" s="393">
        <f>CZ145</f>
        <v>-586001.561460109</v>
      </c>
      <c r="DA263" s="393">
        <f>DA145</f>
        <v>-586001.561460109</v>
      </c>
      <c r="DB263" s="393">
        <f>DB145</f>
        <v>-586001.561460109</v>
      </c>
      <c r="DC263" s="393">
        <f>DC145</f>
        <v>-586001.561460109</v>
      </c>
      <c r="DD263" s="393">
        <f>DD145</f>
        <v>-586001.561460109</v>
      </c>
      <c r="DE263" s="393">
        <f>DE145</f>
        <v>-586001.561460109</v>
      </c>
    </row>
    <row r="264" ht="15" customFormat="1" customHeight="1" s="381">
      <c r="A264" s="398" t="inlineStr">
        <is>
          <t>LV Receivables</t>
        </is>
      </c>
      <c r="B264" s="393" t="n"/>
      <c r="C264" s="393" t="n"/>
      <c r="D264" s="393" t="n"/>
      <c r="E264" s="393" t="n"/>
      <c r="F264" s="393" t="n"/>
      <c r="G264" s="393" t="n"/>
      <c r="H264" s="393" t="n">
        <v>8605828</v>
      </c>
      <c r="I264" s="393" t="n"/>
      <c r="J264" s="393" t="n"/>
      <c r="K264" s="393" t="n"/>
      <c r="L264" s="393" t="n"/>
      <c r="M264" s="393" t="n"/>
      <c r="N264" s="393" t="n"/>
      <c r="O264" s="393" t="n"/>
      <c r="P264" s="393" t="n"/>
      <c r="Q264" s="393" t="n"/>
      <c r="R264" s="393" t="n"/>
      <c r="S264" s="393" t="n"/>
      <c r="T264" s="393" t="n"/>
      <c r="U264" s="393" t="n"/>
      <c r="V264" s="393" t="n"/>
      <c r="W264" s="393" t="n"/>
      <c r="X264" s="393" t="n"/>
      <c r="Y264" s="393" t="n"/>
      <c r="Z264" s="393" t="n"/>
      <c r="AA264" s="393" t="n"/>
      <c r="AB264" s="393" t="n"/>
      <c r="AC264" s="393" t="n"/>
      <c r="AD264" s="393" t="n"/>
      <c r="AE264" s="393" t="n"/>
      <c r="AF264" s="393" t="n"/>
      <c r="AG264" s="393" t="n"/>
      <c r="AH264" s="393" t="n"/>
      <c r="AI264" s="393" t="n"/>
      <c r="AJ264" s="393" t="n"/>
      <c r="AK264" s="393" t="n"/>
      <c r="AL264" s="393" t="n"/>
      <c r="AM264" s="393" t="n"/>
      <c r="AN264" s="393" t="n"/>
      <c r="AO264" s="393" t="n"/>
      <c r="AP264" s="393" t="n"/>
      <c r="AQ264" s="393" t="n"/>
      <c r="AR264" s="393" t="n"/>
      <c r="AS264" s="393" t="n"/>
      <c r="AT264" s="393" t="n"/>
      <c r="AU264" s="393" t="n"/>
      <c r="AV264" s="393" t="n"/>
      <c r="AW264" s="393" t="n"/>
      <c r="AX264" s="393" t="n"/>
      <c r="AY264" s="393" t="n"/>
      <c r="AZ264" s="393" t="n"/>
      <c r="BA264" s="393" t="n"/>
      <c r="BB264" s="393" t="n"/>
      <c r="BC264" s="393" t="n"/>
      <c r="BD264" s="393" t="n"/>
      <c r="BE264" s="393" t="n"/>
      <c r="BF264" s="393" t="n"/>
      <c r="BG264" s="393" t="n"/>
      <c r="BH264" s="393" t="n"/>
      <c r="BI264" s="393" t="n"/>
      <c r="BJ264" s="393" t="n"/>
      <c r="BK264" s="393" t="n"/>
      <c r="BL264" s="393" t="n"/>
      <c r="BM264" s="393" t="n"/>
      <c r="BN264" s="393" t="n"/>
      <c r="BO264" s="393" t="n"/>
      <c r="BP264" s="393" t="n"/>
      <c r="BQ264" s="393" t="n"/>
      <c r="BR264" s="393" t="n"/>
      <c r="BS264" s="393" t="n"/>
      <c r="BT264" s="393" t="n"/>
      <c r="BU264" s="393" t="n"/>
      <c r="BV264" s="393" t="n"/>
      <c r="BW264" s="393" t="n"/>
      <c r="BX264" s="393" t="n"/>
      <c r="BY264" s="393" t="n"/>
      <c r="BZ264" s="393" t="n"/>
      <c r="CA264" s="393" t="n"/>
      <c r="CB264" s="393" t="n"/>
      <c r="CC264" s="393" t="n"/>
      <c r="CD264" s="393" t="n"/>
      <c r="CE264" s="393" t="n"/>
      <c r="CF264" s="393" t="n"/>
      <c r="CG264" s="393" t="n"/>
      <c r="CH264" s="393" t="n"/>
      <c r="CI264" s="393" t="n"/>
      <c r="CJ264" s="393" t="n"/>
      <c r="CK264" s="393" t="n"/>
      <c r="CL264" s="393" t="n"/>
      <c r="CM264" s="393" t="n"/>
      <c r="CN264" s="393" t="n"/>
      <c r="CO264" s="393" t="n"/>
      <c r="CP264" s="393" t="n"/>
      <c r="CQ264" s="393" t="n"/>
      <c r="CR264" s="393" t="n"/>
      <c r="CS264" s="393" t="n"/>
      <c r="CT264" s="393" t="n"/>
      <c r="CU264" s="393" t="n"/>
      <c r="CV264" s="393" t="n"/>
      <c r="CW264" s="393" t="n"/>
      <c r="CX264" s="393" t="n"/>
      <c r="CY264" s="393" t="n"/>
      <c r="CZ264" s="393" t="n"/>
      <c r="DA264" s="393" t="n"/>
      <c r="DB264" s="393" t="n"/>
      <c r="DC264" s="393" t="n"/>
      <c r="DD264" s="393" t="n"/>
      <c r="DE264" s="393" t="n"/>
    </row>
    <row r="265" ht="15" customFormat="1" customHeight="1" s="381">
      <c r="A265" s="398" t="inlineStr">
        <is>
          <t>LV Payables</t>
        </is>
      </c>
      <c r="B265" s="393" t="n"/>
      <c r="C265" s="393" t="n"/>
      <c r="D265" s="393" t="n"/>
      <c r="E265" s="393" t="n"/>
      <c r="F265" s="393" t="n"/>
      <c r="G265" s="393" t="n"/>
      <c r="H265" s="393" t="n">
        <v>-8892451</v>
      </c>
      <c r="I265" s="393" t="n"/>
      <c r="J265" s="393" t="n"/>
      <c r="K265" s="393" t="n"/>
      <c r="L265" s="393" t="n"/>
      <c r="M265" s="393" t="n"/>
      <c r="N265" s="393" t="n"/>
      <c r="O265" s="393" t="n"/>
      <c r="P265" s="393" t="n"/>
      <c r="Q265" s="393" t="n"/>
      <c r="R265" s="393" t="n"/>
      <c r="S265" s="393" t="n"/>
      <c r="T265" s="393" t="n"/>
      <c r="U265" s="393" t="n"/>
      <c r="V265" s="393" t="n"/>
      <c r="W265" s="393" t="n"/>
      <c r="X265" s="393" t="n"/>
      <c r="Y265" s="393" t="n"/>
      <c r="Z265" s="393" t="n"/>
      <c r="AA265" s="393" t="n"/>
      <c r="AB265" s="393" t="n"/>
      <c r="AC265" s="393" t="n"/>
      <c r="AD265" s="393" t="n"/>
      <c r="AE265" s="393" t="n"/>
      <c r="AF265" s="393" t="n"/>
      <c r="AG265" s="393" t="n"/>
      <c r="AH265" s="393" t="n"/>
      <c r="AI265" s="393" t="n"/>
      <c r="AJ265" s="393" t="n"/>
      <c r="AK265" s="393" t="n"/>
      <c r="AL265" s="393" t="n"/>
      <c r="AM265" s="393" t="n"/>
      <c r="AN265" s="393" t="n"/>
      <c r="AO265" s="393" t="n"/>
      <c r="AP265" s="393" t="n"/>
      <c r="AQ265" s="393" t="n"/>
      <c r="AR265" s="393" t="n"/>
      <c r="AS265" s="393" t="n"/>
      <c r="AT265" s="393" t="n"/>
      <c r="AU265" s="393" t="n"/>
      <c r="AV265" s="393" t="n"/>
      <c r="AW265" s="393" t="n"/>
      <c r="AX265" s="393" t="n"/>
      <c r="AY265" s="393" t="n"/>
      <c r="AZ265" s="393" t="n"/>
      <c r="BA265" s="393" t="n"/>
      <c r="BB265" s="393" t="n"/>
      <c r="BC265" s="393" t="n"/>
      <c r="BD265" s="393" t="n"/>
      <c r="BE265" s="393" t="n"/>
      <c r="BF265" s="393" t="n"/>
      <c r="BG265" s="393" t="n"/>
      <c r="BH265" s="393" t="n"/>
      <c r="BI265" s="393" t="n"/>
      <c r="BJ265" s="393" t="n"/>
      <c r="BK265" s="393" t="n"/>
      <c r="BL265" s="393" t="n"/>
      <c r="BM265" s="393" t="n"/>
      <c r="BN265" s="393" t="n"/>
      <c r="BO265" s="393" t="n"/>
      <c r="BP265" s="393" t="n"/>
      <c r="BQ265" s="393" t="n"/>
      <c r="BR265" s="393" t="n"/>
      <c r="BS265" s="393" t="n"/>
      <c r="BT265" s="393" t="n"/>
      <c r="BU265" s="393" t="n"/>
      <c r="BV265" s="393" t="n"/>
      <c r="BW265" s="393" t="n"/>
      <c r="BX265" s="393" t="n"/>
      <c r="BY265" s="393" t="n"/>
      <c r="BZ265" s="393" t="n"/>
      <c r="CA265" s="393" t="n"/>
      <c r="CB265" s="393" t="n"/>
      <c r="CC265" s="393" t="n"/>
      <c r="CD265" s="393" t="n"/>
      <c r="CE265" s="393" t="n"/>
      <c r="CF265" s="393" t="n"/>
      <c r="CG265" s="393" t="n"/>
      <c r="CH265" s="393" t="n"/>
      <c r="CI265" s="393" t="n"/>
      <c r="CJ265" s="393" t="n"/>
      <c r="CK265" s="393" t="n"/>
      <c r="CL265" s="393" t="n"/>
      <c r="CM265" s="393" t="n"/>
      <c r="CN265" s="393" t="n"/>
      <c r="CO265" s="393" t="n"/>
      <c r="CP265" s="393" t="n"/>
      <c r="CQ265" s="393" t="n"/>
      <c r="CR265" s="393" t="n"/>
      <c r="CS265" s="393" t="n"/>
      <c r="CT265" s="393" t="n"/>
      <c r="CU265" s="393" t="n"/>
      <c r="CV265" s="393" t="n"/>
      <c r="CW265" s="393" t="n"/>
      <c r="CX265" s="393" t="n"/>
      <c r="CY265" s="393" t="n"/>
      <c r="CZ265" s="393" t="n"/>
      <c r="DA265" s="393" t="n"/>
      <c r="DB265" s="393" t="n"/>
      <c r="DC265" s="393" t="n"/>
      <c r="DD265" s="393" t="n"/>
      <c r="DE265" s="393" t="n"/>
    </row>
    <row r="266" ht="15" customFormat="1" customHeight="1" s="381">
      <c r="A266" s="398" t="inlineStr">
        <is>
          <t>LV Gross Profit Collection Lag</t>
        </is>
      </c>
      <c r="B266" s="393" t="n"/>
      <c r="C266" s="393" t="n"/>
      <c r="D266" s="393" t="n"/>
      <c r="E266" s="393" t="n"/>
      <c r="F266" s="393" t="n"/>
      <c r="G266" s="393" t="n"/>
      <c r="H266" s="393">
        <f>G107-H107</f>
        <v>198434.590416696</v>
      </c>
      <c r="I266" s="393">
        <f>H107-I107</f>
        <v>-327429.818581998</v>
      </c>
      <c r="J266" s="393">
        <f>I107-J107</f>
        <v>49671.8801872237</v>
      </c>
      <c r="K266" s="393">
        <f>J107-K107</f>
        <v>18341.3542259038</v>
      </c>
      <c r="L266" s="393">
        <f>K107-L107</f>
        <v>294685.672058919</v>
      </c>
      <c r="M266" s="393">
        <f>L107-M107</f>
        <v>-284000.081034278</v>
      </c>
      <c r="N266" s="393">
        <f>M107-N107</f>
        <v>-172552.554820578</v>
      </c>
      <c r="O266" s="393">
        <f>N107-O107</f>
        <v>25596.6745177433</v>
      </c>
      <c r="P266" s="393">
        <f>O107-P107</f>
        <v>27926.6246422064</v>
      </c>
      <c r="Q266" s="393">
        <f>P107-Q107</f>
        <v>28925.8281917311</v>
      </c>
      <c r="R266" s="393">
        <f>Q107-R107</f>
        <v>824137.508464468</v>
      </c>
      <c r="S266" s="393">
        <f>R107-S107</f>
        <v>-902832.717357896</v>
      </c>
      <c r="T266" s="393">
        <f>S107-T107</f>
        <v>88812.1883663604</v>
      </c>
      <c r="U266" s="393">
        <f>T107-U107</f>
        <v>-270190.12241944</v>
      </c>
      <c r="V266" s="393">
        <f>U107-V107</f>
        <v>2782.90065763705</v>
      </c>
      <c r="W266" s="393">
        <f>V107-W107</f>
        <v>2585.39379650168</v>
      </c>
      <c r="X266" s="393">
        <f>W107-X107</f>
        <v>-108282.762433888</v>
      </c>
      <c r="Y266" s="393">
        <f>X107-Y107</f>
        <v>0</v>
      </c>
      <c r="Z266" s="393">
        <f>Y107-Z107</f>
        <v>0</v>
      </c>
      <c r="AA266" s="393">
        <f>Z107-AA107</f>
        <v>-78216.6846217774</v>
      </c>
      <c r="AB266" s="393">
        <f>AA107-AB107</f>
        <v>48081.4692435563</v>
      </c>
      <c r="AC266" s="393">
        <f>AB107-AC107</f>
        <v>0</v>
      </c>
      <c r="AD266" s="393">
        <f>AC107-AD107</f>
        <v>0</v>
      </c>
      <c r="AE266" s="393">
        <f>AD107-AE107</f>
        <v>566046.419131452</v>
      </c>
      <c r="AF266" s="393">
        <f>AE107-AF107</f>
        <v>-918208.680595662</v>
      </c>
      <c r="AG266" s="393">
        <f>AF107-AG107</f>
        <v>280653.341191325</v>
      </c>
      <c r="AH266" s="393">
        <f>AG107-AH107</f>
        <v>-108351.9</v>
      </c>
      <c r="AI266" s="393">
        <f>AH107-AI107</f>
        <v>-218289.37956775</v>
      </c>
      <c r="AJ266" s="393">
        <f>AI107-AJ107</f>
        <v>46837.6307156365</v>
      </c>
      <c r="AK266" s="393">
        <f>AJ107-AK107</f>
        <v>25972.2213097494</v>
      </c>
      <c r="AL266" s="393">
        <f>AK107-AL107</f>
        <v>-408966.871397341</v>
      </c>
      <c r="AM266" s="393">
        <f>AL107-AM107</f>
        <v>675398.15592882</v>
      </c>
      <c r="AN266" s="393">
        <f>AM107-AN107</f>
        <v>-90293.25</v>
      </c>
      <c r="AO266" s="393">
        <f>AN107-AO107</f>
        <v>-90293.25</v>
      </c>
      <c r="AP266" s="393">
        <f>AO107-AP107</f>
        <v>-108351.9</v>
      </c>
      <c r="AQ266" s="393">
        <f>AP107-AQ107</f>
        <v>-90293.25</v>
      </c>
      <c r="AR266" s="393">
        <f>AQ107-AR107</f>
        <v>0</v>
      </c>
      <c r="AS266" s="393">
        <f>AR107-AS107</f>
        <v>0</v>
      </c>
      <c r="AT266" s="393">
        <f>AS107-AT107</f>
        <v>-108351.899999999</v>
      </c>
      <c r="AU266" s="393">
        <f>AT107-AU107</f>
        <v>-314780.933596339</v>
      </c>
      <c r="AV266" s="393">
        <f>AU107-AV107</f>
        <v>624676.192512469</v>
      </c>
      <c r="AW266" s="393">
        <f>AV107-AW107</f>
        <v>0</v>
      </c>
      <c r="AX266" s="393">
        <f>AW107-AX107</f>
        <v>0</v>
      </c>
      <c r="AY266" s="393">
        <f>AX107-AY107</f>
        <v>-108351.9</v>
      </c>
      <c r="AZ266" s="393">
        <f>AY107-AZ107</f>
        <v>18058.6500000004</v>
      </c>
      <c r="BA266" s="393">
        <f>AZ107-BA107</f>
        <v>18058.6500000004</v>
      </c>
      <c r="BB266" s="393">
        <f>BA107-BB107</f>
        <v>0</v>
      </c>
      <c r="BC266" s="393">
        <f>BB107-BC107</f>
        <v>0</v>
      </c>
      <c r="BD266" s="393">
        <f>BC107-BD107</f>
        <v>-18058.6500000004</v>
      </c>
      <c r="BE266" s="393">
        <f>BD107-BE107</f>
        <v>-18058.6500000004</v>
      </c>
      <c r="BF266" s="393">
        <f>BE107-BF107</f>
        <v>36117.3000000007</v>
      </c>
      <c r="BG266" s="393">
        <f>BF107-BG107</f>
        <v>-18058.6500000004</v>
      </c>
      <c r="BH266" s="393">
        <f>BG107-BH107</f>
        <v>-266994.925055601</v>
      </c>
      <c r="BI266" s="393">
        <f>BH107-BI107</f>
        <v>533006.465924148</v>
      </c>
      <c r="BJ266" s="393">
        <f>BI107-BJ107</f>
        <v>180586.5</v>
      </c>
      <c r="BK266" s="393">
        <f>BJ107-BK107</f>
        <v>0</v>
      </c>
      <c r="BL266" s="393">
        <f>BK107-BL107</f>
        <v>0</v>
      </c>
      <c r="BM266" s="393">
        <f>BL107-BM107</f>
        <v>-108351.9</v>
      </c>
      <c r="BN266" s="393">
        <f>BM107-BN107</f>
        <v>126410.550000001</v>
      </c>
      <c r="BO266" s="393">
        <f>BN107-BO107</f>
        <v>180586.5</v>
      </c>
      <c r="BP266" s="393">
        <f>BO107-BP107</f>
        <v>0</v>
      </c>
      <c r="BQ266" s="393">
        <f>BP107-BQ107</f>
        <v>0</v>
      </c>
      <c r="BR266" s="393">
        <f>BQ107-BR107</f>
        <v>-90293.25</v>
      </c>
      <c r="BS266" s="393">
        <f>BR107-BS107</f>
        <v>72234.6000000006</v>
      </c>
      <c r="BT266" s="393">
        <f>BS107-BT107</f>
        <v>126410.55</v>
      </c>
      <c r="BU266" s="393">
        <f>BT107-BU107</f>
        <v>90293.25</v>
      </c>
      <c r="BV266" s="393">
        <f>BU107-BV107</f>
        <v>72234.5999999996</v>
      </c>
      <c r="BW266" s="393">
        <f>BV107-BW107</f>
        <v>126410.55</v>
      </c>
      <c r="BX266" s="393">
        <f>BW107-BX107</f>
        <v>90293.25</v>
      </c>
      <c r="BY266" s="393">
        <f>BX107-BY107</f>
        <v>72234.5999999999</v>
      </c>
      <c r="BZ266" s="393">
        <f>BY107-BZ107</f>
        <v>126410.55</v>
      </c>
      <c r="CA266" s="393">
        <f>BZ107-CA107</f>
        <v>180586.5</v>
      </c>
      <c r="CB266" s="393">
        <f>CA107-CB107</f>
        <v>0</v>
      </c>
      <c r="CC266" s="393">
        <f>CB107-CC107</f>
        <v>0</v>
      </c>
      <c r="CD266" s="393">
        <f>CC107-CD107</f>
        <v>0</v>
      </c>
      <c r="CE266" s="393">
        <f>CD107-CE107</f>
        <v>0</v>
      </c>
      <c r="CF266" s="393">
        <f>CE107-CF107</f>
        <v>0</v>
      </c>
      <c r="CG266" s="393">
        <f>CF107-CG107</f>
        <v>0</v>
      </c>
      <c r="CH266" s="393">
        <f>CG107-CH107</f>
        <v>0</v>
      </c>
      <c r="CI266" s="393">
        <f>CH107-CI107</f>
        <v>0</v>
      </c>
      <c r="CJ266" s="393">
        <f>CI107-CJ107</f>
        <v>0</v>
      </c>
      <c r="CK266" s="393">
        <f>CJ107-CK107</f>
        <v>0</v>
      </c>
      <c r="CL266" s="393">
        <f>CK107-CL107</f>
        <v>0</v>
      </c>
      <c r="CM266" s="393">
        <f>CL107-CM107</f>
        <v>0</v>
      </c>
      <c r="CN266" s="393">
        <f>CM107-CN107</f>
        <v>0</v>
      </c>
      <c r="CO266" s="393">
        <f>CN107-CO107</f>
        <v>0</v>
      </c>
      <c r="CP266" s="393">
        <f>CO107-CP107</f>
        <v>0</v>
      </c>
      <c r="CQ266" s="393">
        <f>CP107-CQ107</f>
        <v>0</v>
      </c>
      <c r="CR266" s="393">
        <f>CQ107-CR107</f>
        <v>0</v>
      </c>
      <c r="CS266" s="393">
        <f>CR107-CS107</f>
        <v>0</v>
      </c>
      <c r="CT266" s="393">
        <f>CS107-CT107</f>
        <v>0</v>
      </c>
      <c r="CU266" s="393">
        <f>CT107-CU107</f>
        <v>0</v>
      </c>
      <c r="CV266" s="393">
        <f>CU107-CV107</f>
        <v>0</v>
      </c>
      <c r="CW266" s="393">
        <f>CV107-CW107</f>
        <v>0</v>
      </c>
      <c r="CX266" s="393">
        <f>CW107-CX107</f>
        <v>0</v>
      </c>
      <c r="CY266" s="393">
        <f>CX107-CY107</f>
        <v>0</v>
      </c>
      <c r="CZ266" s="393">
        <f>CY107-CZ107</f>
        <v>0</v>
      </c>
      <c r="DA266" s="393">
        <f>CZ107-DA107</f>
        <v>0</v>
      </c>
      <c r="DB266" s="393">
        <f>DA107-DB107</f>
        <v>0</v>
      </c>
      <c r="DC266" s="393">
        <f>DB107-DC107</f>
        <v>0</v>
      </c>
      <c r="DD266" s="393">
        <f>DC107-DD107</f>
        <v>0</v>
      </c>
      <c r="DE266" s="393">
        <f>DD107-DE107</f>
        <v>0</v>
      </c>
    </row>
    <row r="267" ht="15" customFormat="1" customHeight="1" s="381">
      <c r="A267" s="398" t="inlineStr">
        <is>
          <t>LV to Six Peak Liquidating Distribution</t>
        </is>
      </c>
      <c r="B267" s="393" t="n"/>
      <c r="C267" s="393" t="n"/>
      <c r="D267" s="393" t="n"/>
      <c r="E267" s="393" t="n"/>
      <c r="F267" s="393" t="n"/>
      <c r="G267" s="393" t="n"/>
      <c r="H267" s="393" t="n">
        <v>664258</v>
      </c>
      <c r="I267" s="393" t="n"/>
      <c r="J267" s="393" t="n"/>
      <c r="K267" s="393" t="n"/>
      <c r="L267" s="393" t="n"/>
      <c r="M267" s="393" t="n"/>
      <c r="N267" s="393" t="n"/>
      <c r="O267" s="393" t="n"/>
      <c r="P267" s="393" t="n"/>
      <c r="Q267" s="393" t="n"/>
      <c r="R267" s="393" t="n"/>
      <c r="S267" s="393" t="n"/>
      <c r="T267" s="393" t="n"/>
      <c r="U267" s="393" t="n"/>
      <c r="V267" s="393" t="n"/>
      <c r="W267" s="393" t="n"/>
      <c r="X267" s="393" t="n"/>
      <c r="Y267" s="393" t="n"/>
      <c r="Z267" s="393" t="n"/>
      <c r="AA267" s="393" t="n"/>
      <c r="AB267" s="393" t="n"/>
      <c r="AC267" s="393" t="n"/>
      <c r="AD267" s="393" t="n"/>
      <c r="AE267" s="393" t="n"/>
      <c r="AF267" s="393" t="n"/>
      <c r="AG267" s="393" t="n"/>
      <c r="AH267" s="393" t="n"/>
      <c r="AI267" s="393" t="n"/>
      <c r="AJ267" s="393" t="n"/>
      <c r="AK267" s="393" t="n"/>
      <c r="AL267" s="393" t="n"/>
      <c r="AM267" s="393" t="n"/>
      <c r="AN267" s="393" t="n"/>
      <c r="AO267" s="393" t="n"/>
      <c r="AP267" s="393" t="n"/>
      <c r="AQ267" s="393" t="n"/>
      <c r="AR267" s="393" t="n"/>
      <c r="AS267" s="393" t="n"/>
      <c r="AT267" s="393" t="n"/>
      <c r="AU267" s="393" t="n"/>
      <c r="AV267" s="393" t="n"/>
      <c r="AW267" s="393" t="n"/>
      <c r="AX267" s="393" t="n"/>
      <c r="AY267" s="393" t="n"/>
      <c r="AZ267" s="393" t="n"/>
      <c r="BA267" s="393" t="n"/>
      <c r="BB267" s="393" t="n"/>
      <c r="BC267" s="393" t="n"/>
      <c r="BD267" s="393" t="n"/>
      <c r="BE267" s="393" t="n"/>
      <c r="BF267" s="393" t="n"/>
      <c r="BG267" s="393" t="n"/>
      <c r="BH267" s="393" t="n"/>
      <c r="BI267" s="393" t="n"/>
      <c r="BJ267" s="393" t="n"/>
      <c r="BK267" s="393" t="n"/>
      <c r="BL267" s="393" t="n"/>
      <c r="BM267" s="393" t="n"/>
      <c r="BN267" s="393" t="n"/>
      <c r="BO267" s="393" t="n"/>
      <c r="BP267" s="393" t="n"/>
      <c r="BQ267" s="393" t="n"/>
      <c r="BR267" s="393" t="n"/>
      <c r="BS267" s="393" t="n"/>
      <c r="BT267" s="393" t="n"/>
      <c r="BU267" s="393" t="n"/>
      <c r="BV267" s="393" t="n"/>
      <c r="BW267" s="393" t="n"/>
      <c r="BX267" s="393" t="n"/>
      <c r="BY267" s="393" t="n"/>
      <c r="BZ267" s="393" t="n"/>
      <c r="CA267" s="393" t="n"/>
      <c r="CB267" s="393" t="n"/>
      <c r="CC267" s="393" t="n"/>
      <c r="CD267" s="393" t="n"/>
      <c r="CE267" s="393" t="n"/>
      <c r="CF267" s="393" t="n"/>
      <c r="CG267" s="393" t="n"/>
      <c r="CH267" s="393" t="n"/>
      <c r="CI267" s="393" t="n"/>
      <c r="CJ267" s="393" t="n"/>
      <c r="CK267" s="393" t="n"/>
      <c r="CL267" s="393" t="n"/>
      <c r="CM267" s="393" t="n"/>
      <c r="CN267" s="393" t="n"/>
      <c r="CO267" s="393" t="n"/>
      <c r="CP267" s="393" t="n"/>
      <c r="CQ267" s="393" t="n"/>
      <c r="CR267" s="393" t="n"/>
      <c r="CS267" s="393" t="n"/>
      <c r="CT267" s="393" t="n"/>
      <c r="CU267" s="393" t="n"/>
      <c r="CV267" s="393" t="n"/>
      <c r="CW267" s="393" t="n"/>
      <c r="CX267" s="393" t="n"/>
      <c r="CY267" s="393" t="n"/>
      <c r="CZ267" s="393" t="n"/>
      <c r="DA267" s="393" t="n"/>
      <c r="DB267" s="393" t="n"/>
      <c r="DC267" s="393" t="n"/>
      <c r="DD267" s="393" t="n"/>
      <c r="DE267" s="393" t="n"/>
    </row>
    <row r="268" ht="15" customFormat="1" customHeight="1" s="381">
      <c r="A268" s="398" t="inlineStr">
        <is>
          <t>LV Retention Withheld</t>
        </is>
      </c>
      <c r="B268" s="393" t="n"/>
      <c r="C268" s="393" t="n"/>
      <c r="D268" s="393" t="n"/>
      <c r="E268" s="393" t="n"/>
      <c r="F268" s="393" t="n"/>
      <c r="G268" s="393" t="n"/>
      <c r="H268" s="393">
        <f>-0.05*(H10+H11)</f>
        <v>-27472.335150382</v>
      </c>
      <c r="I268" s="393">
        <f>-0.05*(I10+I11)</f>
        <v>-42134.6022243756</v>
      </c>
      <c r="J268" s="393">
        <f>-0.05*(J10+J11)</f>
        <v>-41569.3251282753</v>
      </c>
      <c r="K268" s="393">
        <f>-0.05*(K10+K11)</f>
        <v>-40584.1722825703</v>
      </c>
      <c r="L268" s="393">
        <f>-0.05*(L10+L11)</f>
        <v>-44275.9274779619</v>
      </c>
      <c r="M268" s="393">
        <f>-0.05*(M10+M11)</f>
        <v>-39654.3171561298</v>
      </c>
      <c r="N268" s="393">
        <f>-0.05*(N10+N11)</f>
        <v>-47911.5240251843</v>
      </c>
      <c r="O268" s="393">
        <f>-0.05*(O10+O11)</f>
        <v>-46204.7499334331</v>
      </c>
      <c r="P268" s="393">
        <f>-0.05*(P10+P11)</f>
        <v>-44349.2265983877</v>
      </c>
      <c r="Q268" s="393">
        <f>-0.05*(Q10+Q11)</f>
        <v>-42435.2304399928</v>
      </c>
      <c r="R268" s="393">
        <f>-0.05*(R10+R11)</f>
        <v>-53783.0285135987</v>
      </c>
      <c r="S268" s="393">
        <f>-0.05*(S10+S11)</f>
        <v>-55391.7469649617</v>
      </c>
      <c r="T268" s="393">
        <f>-0.05*(T10+T11)</f>
        <v>-55656.8110819103</v>
      </c>
      <c r="U268" s="393">
        <f>-0.05*(U10+U11)</f>
        <v>-52613.5268776609</v>
      </c>
      <c r="V268" s="393">
        <f>-0.05*(V10+V11)</f>
        <v>-52473.0844033228</v>
      </c>
      <c r="W268" s="393">
        <f>-0.05*(W10+W11)</f>
        <v>-52342.6093535136</v>
      </c>
      <c r="X268" s="393">
        <f>-0.05*(X10+X11)</f>
        <v>-57751.6285561343</v>
      </c>
      <c r="Y268" s="393">
        <f>-0.05*(Y10+Y11)</f>
        <v>-57751.6285561343</v>
      </c>
      <c r="Z268" s="393">
        <f>-0.05*(Z10+Z11)</f>
        <v>-57751.6285561343</v>
      </c>
      <c r="AA268" s="393">
        <f>-0.05*(AA10+AA11)</f>
        <v>-61662.4627872232</v>
      </c>
      <c r="AB268" s="393">
        <f>-0.05*(AB10+AB11)</f>
        <v>-59258.3893250455</v>
      </c>
      <c r="AC268" s="393">
        <f>-0.05*(AC10+AC11)</f>
        <v>-59258.3893250455</v>
      </c>
      <c r="AD268" s="393">
        <f>-0.05*(AD10+AD11)</f>
        <v>-59258.3893250455</v>
      </c>
      <c r="AE268" s="393">
        <f>-0.05*(AE10+AE11)</f>
        <v>-67141.3713684728</v>
      </c>
      <c r="AF268" s="393">
        <f>-0.05*(AF10+AF11)</f>
        <v>-76866.5023982559</v>
      </c>
      <c r="AG268" s="393">
        <f>-0.05*(AG10+AG11)</f>
        <v>-62833.8353386897</v>
      </c>
      <c r="AH268" s="393">
        <f>-0.05*(AH10+AH11)</f>
        <v>-68251.4303386897</v>
      </c>
      <c r="AI268" s="393">
        <f>-0.05*(AI10+AI11)</f>
        <v>-79165.8993170772</v>
      </c>
      <c r="AJ268" s="393">
        <f>-0.05*(AJ10+AJ11)</f>
        <v>-76824.0177812954</v>
      </c>
      <c r="AK268" s="393">
        <f>-0.05*(AK10+AK11)</f>
        <v>-75525.4067158079</v>
      </c>
      <c r="AL268" s="393">
        <f>-0.05*(AL10+AL11)</f>
        <v>-95973.7502856749</v>
      </c>
      <c r="AM268" s="393">
        <f>-0.05*(AM10+AM11)</f>
        <v>-62203.8424892339</v>
      </c>
      <c r="AN268" s="393">
        <f>-0.05*(AN10+AN11)</f>
        <v>-66718.5049892339</v>
      </c>
      <c r="AO268" s="393">
        <f>-0.05*(AO10+AO11)</f>
        <v>-71233.1674892339</v>
      </c>
      <c r="AP268" s="393">
        <f>-0.05*(AP10+AP11)</f>
        <v>-76650.7624892339</v>
      </c>
      <c r="AQ268" s="393">
        <f>-0.05*(AQ10+AQ11)</f>
        <v>-81165.4249892339</v>
      </c>
      <c r="AR268" s="393">
        <f>-0.05*(AR10+AR11)</f>
        <v>-81165.4249892339</v>
      </c>
      <c r="AS268" s="393">
        <f>-0.05*(AS10+AS11)</f>
        <v>-81165.4249892339</v>
      </c>
      <c r="AT268" s="393">
        <f>-0.05*(AT10+AT11)</f>
        <v>-86583.0199892339</v>
      </c>
      <c r="AU268" s="393">
        <f>-0.05*(AU10+AU11)</f>
        <v>-102322.066669051</v>
      </c>
      <c r="AV268" s="393">
        <f>-0.05*(AV10+AV11)</f>
        <v>-71088.2570434273</v>
      </c>
      <c r="AW268" s="393">
        <f>-0.05*(AW10+AW11)</f>
        <v>-71088.2570434273</v>
      </c>
      <c r="AX268" s="393">
        <f>-0.05*(AX10+AX11)</f>
        <v>-71088.2570434273</v>
      </c>
      <c r="AY268" s="393">
        <f>-0.05*(AY10+AY11)</f>
        <v>-76505.8520434273</v>
      </c>
      <c r="AZ268" s="393">
        <f>-0.05*(AZ10+AZ11)</f>
        <v>-75602.9195434273</v>
      </c>
      <c r="BA268" s="393">
        <f>-0.05*(BA10+BA11)</f>
        <v>-74699.9870434273</v>
      </c>
      <c r="BB268" s="393">
        <f>-0.05*(BB10+BB11)</f>
        <v>-74699.9870434273</v>
      </c>
      <c r="BC268" s="393">
        <f>-0.05*(BC10+BC11)</f>
        <v>-74699.9870434273</v>
      </c>
      <c r="BD268" s="393">
        <f>-0.05*(BD10+BD11)</f>
        <v>-75602.9195434273</v>
      </c>
      <c r="BE268" s="393">
        <f>-0.05*(BE10+BE11)</f>
        <v>-76505.8520434273</v>
      </c>
      <c r="BF268" s="393">
        <f>-0.05*(BF10+BF11)</f>
        <v>-74699.9870434273</v>
      </c>
      <c r="BG268" s="393">
        <f>-0.05*(BG10+BG11)</f>
        <v>-75602.9195434273</v>
      </c>
      <c r="BH268" s="393">
        <f>-0.05*(BH10+BH11)</f>
        <v>-88952.6657962073</v>
      </c>
      <c r="BI268" s="393">
        <f>-0.05*(BI10+BI11)</f>
        <v>-62302.3425</v>
      </c>
      <c r="BJ268" s="393">
        <f>-0.05*(BJ10+BJ11)</f>
        <v>-53273.0175</v>
      </c>
      <c r="BK268" s="393">
        <f>-0.05*(BK10+BK11)</f>
        <v>-53273.0175</v>
      </c>
      <c r="BL268" s="393">
        <f>-0.05*(BL10+BL11)</f>
        <v>-53273.0175</v>
      </c>
      <c r="BM268" s="393">
        <f>-0.05*(BM10+BM11)</f>
        <v>-58690.6125</v>
      </c>
      <c r="BN268" s="393">
        <f>-0.05*(BN10+BN11)</f>
        <v>-52370.085</v>
      </c>
      <c r="BO268" s="393">
        <f>-0.05*(BO10+BO11)</f>
        <v>-43340.76</v>
      </c>
      <c r="BP268" s="393">
        <f>-0.05*(BP10+BP11)</f>
        <v>-43340.76</v>
      </c>
      <c r="BQ268" s="393">
        <f>-0.05*(BQ10+BQ11)</f>
        <v>-43340.76</v>
      </c>
      <c r="BR268" s="393">
        <f>-0.05*(BR10+BR11)</f>
        <v>-47855.4225</v>
      </c>
      <c r="BS268" s="393">
        <f>-0.05*(BS10+BS11)</f>
        <v>-44243.6925</v>
      </c>
      <c r="BT268" s="393">
        <f>-0.05*(BT10+BT11)</f>
        <v>-37923.165</v>
      </c>
      <c r="BU268" s="393">
        <f>-0.05*(BU10+BU11)</f>
        <v>-33408.5025</v>
      </c>
      <c r="BV268" s="393">
        <f>-0.05*(BV10+BV11)</f>
        <v>-29796.7725</v>
      </c>
      <c r="BW268" s="393">
        <f>-0.05*(BW10+BW11)</f>
        <v>-23476.245</v>
      </c>
      <c r="BX268" s="393">
        <f>-0.05*(BX10+BX11)</f>
        <v>-18961.5825</v>
      </c>
      <c r="BY268" s="393">
        <f>-0.05*(BY10+BY11)</f>
        <v>-15349.8525</v>
      </c>
      <c r="BZ268" s="393">
        <f>-0.05*(BZ10+BZ11)</f>
        <v>-9029.325</v>
      </c>
      <c r="CA268" s="393">
        <f>-0.05*(CA10+CA11)</f>
        <v>0</v>
      </c>
      <c r="CB268" s="393">
        <f>-0.05*(CB10+CB11)</f>
        <v>0</v>
      </c>
      <c r="CC268" s="393">
        <f>-0.05*(CC10+CC11)</f>
        <v>0</v>
      </c>
      <c r="CD268" s="393">
        <f>-0.05*(CD10+CD11)</f>
        <v>0</v>
      </c>
      <c r="CE268" s="393">
        <f>-0.05*(CE10+CE11)</f>
        <v>0</v>
      </c>
      <c r="CF268" s="393">
        <f>-0.05*(CF10+CF11)</f>
        <v>0</v>
      </c>
      <c r="CG268" s="393">
        <f>-0.05*(CG10+CG11)</f>
        <v>0</v>
      </c>
      <c r="CH268" s="393">
        <f>-0.05*(CH10+CH11)</f>
        <v>0</v>
      </c>
      <c r="CI268" s="393">
        <f>-0.05*(CI10+CI11)</f>
        <v>0</v>
      </c>
      <c r="CJ268" s="393">
        <f>-0.05*(CJ10+CJ11)</f>
        <v>0</v>
      </c>
      <c r="CK268" s="393">
        <f>-0.05*(CK10+CK11)</f>
        <v>0</v>
      </c>
      <c r="CL268" s="393">
        <f>-0.05*(CL10+CL11)</f>
        <v>0</v>
      </c>
      <c r="CM268" s="393">
        <f>-0.05*(CM10+CM11)</f>
        <v>0</v>
      </c>
      <c r="CN268" s="393">
        <f>-0.05*(CN10+CN11)</f>
        <v>0</v>
      </c>
      <c r="CO268" s="393">
        <f>-0.05*(CO10+CO11)</f>
        <v>0</v>
      </c>
      <c r="CP268" s="393">
        <f>-0.05*(CP10+CP11)</f>
        <v>0</v>
      </c>
      <c r="CQ268" s="393">
        <f>-0.05*(CQ10+CQ11)</f>
        <v>0</v>
      </c>
      <c r="CR268" s="393">
        <f>-0.05*(CR10+CR11)</f>
        <v>0</v>
      </c>
      <c r="CS268" s="393">
        <f>-0.05*(CS10+CS11)</f>
        <v>0</v>
      </c>
      <c r="CT268" s="393">
        <f>-0.05*(CT10+CT11)</f>
        <v>0</v>
      </c>
      <c r="CU268" s="393">
        <f>-0.05*(CU10+CU11)</f>
        <v>0</v>
      </c>
      <c r="CV268" s="393">
        <f>-0.05*(CV10+CV11)</f>
        <v>0</v>
      </c>
      <c r="CW268" s="393">
        <f>-0.05*(CW10+CW11)</f>
        <v>0</v>
      </c>
      <c r="CX268" s="393">
        <f>-0.05*(CX10+CX11)</f>
        <v>0</v>
      </c>
      <c r="CY268" s="393">
        <f>-0.05*(CY10+CY11)</f>
        <v>0</v>
      </c>
      <c r="CZ268" s="393">
        <f>-0.05*(CZ10+CZ11)</f>
        <v>0</v>
      </c>
      <c r="DA268" s="393">
        <f>-0.05*(DA10+DA11)</f>
        <v>0</v>
      </c>
      <c r="DB268" s="393">
        <f>-0.05*(DB10+DB11)</f>
        <v>0</v>
      </c>
      <c r="DC268" s="393">
        <f>-0.05*(DC10+DC11)</f>
        <v>0</v>
      </c>
      <c r="DD268" s="393">
        <f>-0.05*(DD10+DD11)</f>
        <v>0</v>
      </c>
      <c r="DE268" s="393">
        <f>-0.05*(DE10+DE11)</f>
        <v>0</v>
      </c>
    </row>
    <row r="269" ht="15" customFormat="1" customHeight="1" s="381">
      <c r="A269" s="398" t="inlineStr">
        <is>
          <t>LV Retention Collected</t>
        </is>
      </c>
      <c r="B269" s="393" t="n"/>
      <c r="C269" s="393" t="n"/>
      <c r="D269" s="393" t="n"/>
      <c r="E269" s="393" t="n"/>
      <c r="F269" s="393" t="n"/>
      <c r="G269" s="393" t="n"/>
      <c r="H269" s="393">
        <f>SUMIFS(Retention!$E$2:$E$44,Retention!$F$2:$F$44,H$3)</f>
        <v>0</v>
      </c>
      <c r="I269" s="393">
        <f>SUMIFS(Retention!$E$2:$E$44,Retention!$F$2:$F$44,I$3)</f>
        <v>0</v>
      </c>
      <c r="J269" s="393">
        <f>SUMIFS(Retention!$E$2:$E$44,Retention!$F$2:$F$44,J$3)</f>
        <v>0</v>
      </c>
      <c r="K269" s="393">
        <f>SUMIFS(Retention!$E$2:$E$44,Retention!$F$2:$F$44,K$3)</f>
        <v>0</v>
      </c>
      <c r="L269" s="393">
        <f>SUMIFS(Retention!$E$2:$E$44,Retention!$F$2:$F$44,L$3)</f>
        <v>77190.5575</v>
      </c>
      <c r="M269" s="393">
        <f>SUMIFS(Retention!$E$2:$E$44,Retention!$F$2:$F$44,M$3)</f>
        <v>0</v>
      </c>
      <c r="N269" s="393">
        <f>SUMIFS(Retention!$E$2:$E$44,Retention!$F$2:$F$44,N$3)</f>
        <v>0</v>
      </c>
      <c r="O269" s="393">
        <f>SUMIFS(Retention!$E$2:$E$44,Retention!$F$2:$F$44,O$3)</f>
        <v>0</v>
      </c>
      <c r="P269" s="393">
        <f>SUMIFS(Retention!$E$2:$E$44,Retention!$F$2:$F$44,P$3)</f>
        <v>0</v>
      </c>
      <c r="Q269" s="393">
        <f>SUMIFS(Retention!$E$2:$E$44,Retention!$F$2:$F$44,Q$3)</f>
        <v>0</v>
      </c>
      <c r="R269" s="393">
        <f>SUMIFS(Retention!$E$2:$E$44,Retention!$F$2:$F$44,R$3)</f>
        <v>0</v>
      </c>
      <c r="S269" s="393">
        <f>SUMIFS(Retention!$E$2:$E$44,Retention!$F$2:$F$44,S$3)</f>
        <v>216227.9585</v>
      </c>
      <c r="T269" s="393">
        <f>SUMIFS(Retention!$E$2:$E$44,Retention!$F$2:$F$44,T$3)</f>
        <v>137452.783</v>
      </c>
      <c r="U269" s="393">
        <f>SUMIFS(Retention!$E$2:$E$44,Retention!$F$2:$F$44,U$3)</f>
        <v>0</v>
      </c>
      <c r="V269" s="393">
        <f>SUMIFS(Retention!$E$2:$E$44,Retention!$F$2:$F$44,V$3)</f>
        <v>0</v>
      </c>
      <c r="W269" s="393">
        <f>SUMIFS(Retention!$E$2:$E$44,Retention!$F$2:$F$44,W$3)</f>
        <v>30101.9535</v>
      </c>
      <c r="X269" s="393">
        <f>SUMIFS(Retention!$E$2:$E$44,Retention!$F$2:$F$44,X$3)</f>
        <v>0</v>
      </c>
      <c r="Y269" s="393">
        <f>SUMIFS(Retention!$E$2:$E$44,Retention!$F$2:$F$44,Y$3)</f>
        <v>0</v>
      </c>
      <c r="Z269" s="393">
        <f>SUMIFS(Retention!$E$2:$E$44,Retention!$F$2:$F$44,Z$3)</f>
        <v>0</v>
      </c>
      <c r="AA269" s="393">
        <f>SUMIFS(Retention!$E$2:$E$44,Retention!$F$2:$F$44,AA$3)</f>
        <v>78216.6846217775</v>
      </c>
      <c r="AB269" s="393">
        <f>SUMIFS(Retention!$E$2:$E$44,Retention!$F$2:$F$44,AB$3)</f>
        <v>0</v>
      </c>
      <c r="AC269" s="393">
        <f>SUMIFS(Retention!$E$2:$E$44,Retention!$F$2:$F$44,AC$3)</f>
        <v>0</v>
      </c>
      <c r="AD269" s="393">
        <f>SUMIFS(Retention!$E$2:$E$44,Retention!$F$2:$F$44,AD$3)</f>
        <v>0</v>
      </c>
      <c r="AE269" s="393">
        <f>SUMIFS(Retention!$E$2:$E$44,Retention!$F$2:$F$44,AE$3)</f>
        <v>0</v>
      </c>
      <c r="AF269" s="393">
        <f>SUMIFS(Retention!$E$2:$E$44,Retention!$F$2:$F$44,AF$3)</f>
        <v>194502.620595663</v>
      </c>
      <c r="AG269" s="393">
        <f>SUMIFS(Retention!$E$2:$E$44,Retention!$F$2:$F$44,AG$3)</f>
        <v>0</v>
      </c>
      <c r="AH269" s="393">
        <f>SUMIFS(Retention!$E$2:$E$44,Retention!$F$2:$F$44,AH$3)</f>
        <v>0</v>
      </c>
      <c r="AI269" s="393">
        <f>SUMIFS(Retention!$E$2:$E$44,Retention!$F$2:$F$44,AI$3)</f>
        <v>127996.12956775</v>
      </c>
      <c r="AJ269" s="393">
        <f>SUMIFS(Retention!$E$2:$E$44,Retention!$F$2:$F$44,AJ$3)</f>
        <v>92195.51809325</v>
      </c>
      <c r="AK269" s="393">
        <f>SUMIFS(Retention!$E$2:$E$44,Retention!$F$2:$F$44,AK$3)</f>
        <v>68125.56487675</v>
      </c>
      <c r="AL269" s="393">
        <f>SUMIFS(Retention!$E$2:$E$44,Retention!$F$2:$F$44,AL$3)</f>
        <v>454924.75115084</v>
      </c>
      <c r="AM269" s="393">
        <f>SUMIFS(Retention!$E$2:$E$44,Retention!$F$2:$F$44,AM$3)</f>
        <v>0</v>
      </c>
      <c r="AN269" s="393">
        <f>SUMIFS(Retention!$E$2:$E$44,Retention!$F$2:$F$44,AN$3)</f>
        <v>0</v>
      </c>
      <c r="AO269" s="393">
        <f>SUMIFS(Retention!$E$2:$E$44,Retention!$F$2:$F$44,AO$3)</f>
        <v>0</v>
      </c>
      <c r="AP269" s="393">
        <f>SUMIFS(Retention!$E$2:$E$44,Retention!$F$2:$F$44,AP$3)</f>
        <v>0</v>
      </c>
      <c r="AQ269" s="393">
        <f>SUMIFS(Retention!$E$2:$E$44,Retention!$F$2:$F$44,AQ$3)</f>
        <v>0</v>
      </c>
      <c r="AR269" s="393">
        <f>SUMIFS(Retention!$E$2:$E$44,Retention!$F$2:$F$44,AR$3)</f>
        <v>0</v>
      </c>
      <c r="AS269" s="393">
        <f>SUMIFS(Retention!$E$2:$E$44,Retention!$F$2:$F$44,AS$3)</f>
        <v>0</v>
      </c>
      <c r="AT269" s="393">
        <f>SUMIFS(Retention!$E$2:$E$44,Retention!$F$2:$F$44,AT$3)</f>
        <v>108351.9</v>
      </c>
      <c r="AU269" s="393">
        <f>SUMIFS(Retention!$E$2:$E$44,Retention!$F$2:$F$44,AU$3)</f>
        <v>423132.833596339</v>
      </c>
      <c r="AV269" s="393">
        <f>SUMIFS(Retention!$E$2:$E$44,Retention!$F$2:$F$44,AV$3)</f>
        <v>0</v>
      </c>
      <c r="AW269" s="393">
        <f>SUMIFS(Retention!$E$2:$E$44,Retention!$F$2:$F$44,AW$3)</f>
        <v>0</v>
      </c>
      <c r="AX269" s="393">
        <f>SUMIFS(Retention!$E$2:$E$44,Retention!$F$2:$F$44,AX$3)</f>
        <v>0</v>
      </c>
      <c r="AY269" s="393">
        <f>SUMIFS(Retention!$E$2:$E$44,Retention!$F$2:$F$44,AY$3)</f>
        <v>108351.9</v>
      </c>
      <c r="AZ269" s="393">
        <f>SUMIFS(Retention!$E$2:$E$44,Retention!$F$2:$F$44,AZ$3)</f>
        <v>108351.9</v>
      </c>
      <c r="BA269" s="393">
        <f>SUMIFS(Retention!$E$2:$E$44,Retention!$F$2:$F$44,BA$3)</f>
        <v>90293.25</v>
      </c>
      <c r="BB269" s="393">
        <f>SUMIFS(Retention!$E$2:$E$44,Retention!$F$2:$F$44,BB$3)</f>
        <v>90293.25</v>
      </c>
      <c r="BC269" s="393">
        <f>SUMIFS(Retention!$E$2:$E$44,Retention!$F$2:$F$44,BC$3)</f>
        <v>90293.25</v>
      </c>
      <c r="BD269" s="393">
        <f>SUMIFS(Retention!$E$2:$E$44,Retention!$F$2:$F$44,BD$3)</f>
        <v>90293.25</v>
      </c>
      <c r="BE269" s="393">
        <f>SUMIFS(Retention!$E$2:$E$44,Retention!$F$2:$F$44,BE$3)</f>
        <v>108351.9</v>
      </c>
      <c r="BF269" s="393">
        <f>SUMIFS(Retention!$E$2:$E$44,Retention!$F$2:$F$44,BF$3)</f>
        <v>90293.25</v>
      </c>
      <c r="BG269" s="393">
        <f>SUMIFS(Retention!$E$2:$E$44,Retention!$F$2:$F$44,BG$3)</f>
        <v>90293.25</v>
      </c>
      <c r="BH269" s="393">
        <f>SUMIFS(Retention!$E$2:$E$44,Retention!$F$2:$F$44,BH$3)</f>
        <v>357288.1750556</v>
      </c>
      <c r="BI269" s="393">
        <f>SUMIFS(Retention!$E$2:$E$44,Retention!$F$2:$F$44,BI$3)</f>
        <v>90293.25</v>
      </c>
      <c r="BJ269" s="393">
        <f>SUMIFS(Retention!$E$2:$E$44,Retention!$F$2:$F$44,BJ$3)</f>
        <v>0</v>
      </c>
      <c r="BK269" s="393">
        <f>SUMIFS(Retention!$E$2:$E$44,Retention!$F$2:$F$44,BK$3)</f>
        <v>0</v>
      </c>
      <c r="BL269" s="393">
        <f>SUMIFS(Retention!$E$2:$E$44,Retention!$F$2:$F$44,BL$3)</f>
        <v>0</v>
      </c>
      <c r="BM269" s="393">
        <f>SUMIFS(Retention!$E$2:$E$44,Retention!$F$2:$F$44,BM$3)</f>
        <v>108351.9</v>
      </c>
      <c r="BN269" s="393">
        <f>SUMIFS(Retention!$E$2:$E$44,Retention!$F$2:$F$44,BN$3)</f>
        <v>90293.25</v>
      </c>
      <c r="BO269" s="393">
        <f>SUMIFS(Retention!$E$2:$E$44,Retention!$F$2:$F$44,BO$3)</f>
        <v>0</v>
      </c>
      <c r="BP269" s="393">
        <f>SUMIFS(Retention!$E$2:$E$44,Retention!$F$2:$F$44,BP$3)</f>
        <v>0</v>
      </c>
      <c r="BQ269" s="393">
        <f>SUMIFS(Retention!$E$2:$E$44,Retention!$F$2:$F$44,BQ$3)</f>
        <v>0</v>
      </c>
      <c r="BR269" s="393">
        <f>SUMIFS(Retention!$E$2:$E$44,Retention!$F$2:$F$44,BR$3)</f>
        <v>90293.25</v>
      </c>
      <c r="BS269" s="393">
        <f>SUMIFS(Retention!$E$2:$E$44,Retention!$F$2:$F$44,BS$3)</f>
        <v>108351.9</v>
      </c>
      <c r="BT269" s="393">
        <f>SUMIFS(Retention!$E$2:$E$44,Retention!$F$2:$F$44,BT$3)</f>
        <v>90293.25</v>
      </c>
      <c r="BU269" s="393">
        <f>SUMIFS(Retention!$E$2:$E$44,Retention!$F$2:$F$44,BU$3)</f>
        <v>90293.25</v>
      </c>
      <c r="BV269" s="393">
        <f>SUMIFS(Retention!$E$2:$E$44,Retention!$F$2:$F$44,BV$3)</f>
        <v>108351.9</v>
      </c>
      <c r="BW269" s="393">
        <f>SUMIFS(Retention!$E$2:$E$44,Retention!$F$2:$F$44,BW$3)</f>
        <v>90293.25</v>
      </c>
      <c r="BX269" s="393">
        <f>SUMIFS(Retention!$E$2:$E$44,Retention!$F$2:$F$44,BX$3)</f>
        <v>90293.25</v>
      </c>
      <c r="BY269" s="393">
        <f>SUMIFS(Retention!$E$2:$E$44,Retention!$F$2:$F$44,BY$3)</f>
        <v>108351.9</v>
      </c>
      <c r="BZ269" s="393">
        <f>SUMIFS(Retention!$E$2:$E$44,Retention!$F$2:$F$44,BZ$3)</f>
        <v>90293.25</v>
      </c>
      <c r="CA269" s="393">
        <f>SUMIFS(Retention!$E$2:$E$44,Retention!$F$2:$F$44,CA$3)</f>
        <v>0</v>
      </c>
      <c r="CB269" s="393">
        <f>SUMIFS(Retention!$E$2:$E$44,Retention!$F$2:$F$44,CB$3)</f>
        <v>0</v>
      </c>
      <c r="CC269" s="393">
        <f>SUMIFS(Retention!$E$2:$E$44,Retention!$F$2:$F$44,CC$3)</f>
        <v>0</v>
      </c>
      <c r="CD269" s="393">
        <f>SUMIFS(Retention!$E$2:$E$44,Retention!$F$2:$F$44,CD$3)</f>
        <v>0</v>
      </c>
      <c r="CE269" s="393">
        <f>SUMIFS(Retention!$E$2:$E$44,Retention!$F$2:$F$44,CE$3)</f>
        <v>0</v>
      </c>
      <c r="CF269" s="393">
        <f>SUMIFS(Retention!$E$2:$E$44,Retention!$F$2:$F$44,CF$3)</f>
        <v>0</v>
      </c>
      <c r="CG269" s="393">
        <f>SUMIFS(Retention!$E$2:$E$44,Retention!$F$2:$F$44,CG$3)</f>
        <v>0</v>
      </c>
      <c r="CH269" s="393">
        <f>SUMIFS(Retention!$E$2:$E$44,Retention!$F$2:$F$44,CH$3)</f>
        <v>0</v>
      </c>
      <c r="CI269" s="393">
        <f>SUMIFS(Retention!$E$2:$E$44,Retention!$F$2:$F$44,CI$3)</f>
        <v>0</v>
      </c>
      <c r="CJ269" s="393">
        <f>SUMIFS(Retention!$E$2:$E$44,Retention!$F$2:$F$44,CJ$3)</f>
        <v>0</v>
      </c>
      <c r="CK269" s="393">
        <f>SUMIFS(Retention!$E$2:$E$44,Retention!$F$2:$F$44,CK$3)</f>
        <v>0</v>
      </c>
      <c r="CL269" s="393">
        <f>SUMIFS(Retention!$E$2:$E$44,Retention!$F$2:$F$44,CL$3)</f>
        <v>0</v>
      </c>
      <c r="CM269" s="393">
        <f>SUMIFS(Retention!$E$2:$E$44,Retention!$F$2:$F$44,CM$3)</f>
        <v>0</v>
      </c>
      <c r="CN269" s="393">
        <f>SUMIFS(Retention!$E$2:$E$44,Retention!$F$2:$F$44,CN$3)</f>
        <v>0</v>
      </c>
      <c r="CO269" s="393">
        <f>SUMIFS(Retention!$E$2:$E$44,Retention!$F$2:$F$44,CO$3)</f>
        <v>0</v>
      </c>
      <c r="CP269" s="393">
        <f>SUMIFS(Retention!$E$2:$E$44,Retention!$F$2:$F$44,CP$3)</f>
        <v>0</v>
      </c>
      <c r="CQ269" s="393">
        <f>SUMIFS(Retention!$E$2:$E$44,Retention!$F$2:$F$44,CQ$3)</f>
        <v>0</v>
      </c>
      <c r="CR269" s="393">
        <f>SUMIFS(Retention!$E$2:$E$44,Retention!$F$2:$F$44,CR$3)</f>
        <v>0</v>
      </c>
      <c r="CS269" s="393">
        <f>SUMIFS(Retention!$E$2:$E$44,Retention!$F$2:$F$44,CS$3)</f>
        <v>0</v>
      </c>
      <c r="CT269" s="393">
        <f>SUMIFS(Retention!$E$2:$E$44,Retention!$F$2:$F$44,CT$3)</f>
        <v>0</v>
      </c>
      <c r="CU269" s="393">
        <f>SUMIFS(Retention!$E$2:$E$44,Retention!$F$2:$F$44,CU$3)</f>
        <v>0</v>
      </c>
      <c r="CV269" s="393">
        <f>SUMIFS(Retention!$E$2:$E$44,Retention!$F$2:$F$44,CV$3)</f>
        <v>0</v>
      </c>
      <c r="CW269" s="393">
        <f>SUMIFS(Retention!$E$2:$E$44,Retention!$F$2:$F$44,CW$3)</f>
        <v>0</v>
      </c>
      <c r="CX269" s="393">
        <f>SUMIFS(Retention!$E$2:$E$44,Retention!$F$2:$F$44,CX$3)</f>
        <v>0</v>
      </c>
      <c r="CY269" s="393">
        <f>SUMIFS(Retention!$E$2:$E$44,Retention!$F$2:$F$44,CY$3)</f>
        <v>0</v>
      </c>
      <c r="CZ269" s="393">
        <f>SUMIFS(Retention!$E$2:$E$44,Retention!$F$2:$F$44,CZ$3)</f>
        <v>0</v>
      </c>
      <c r="DA269" s="393">
        <f>SUMIFS(Retention!$E$2:$E$44,Retention!$F$2:$F$44,DA$3)</f>
        <v>0</v>
      </c>
      <c r="DB269" s="393">
        <f>SUMIFS(Retention!$E$2:$E$44,Retention!$F$2:$F$44,DB$3)</f>
        <v>0</v>
      </c>
      <c r="DC269" s="393">
        <f>SUMIFS(Retention!$E$2:$E$44,Retention!$F$2:$F$44,DC$3)</f>
        <v>0</v>
      </c>
      <c r="DD269" s="393">
        <f>SUMIFS(Retention!$E$2:$E$44,Retention!$F$2:$F$44,DD$3)</f>
        <v>0</v>
      </c>
      <c r="DE269" s="393">
        <f>SUMIFS(Retention!$E$2:$E$44,Retention!$F$2:$F$44,DE$3)</f>
        <v>0</v>
      </c>
    </row>
    <row r="270" ht="15" customFormat="1" customHeight="1" s="381">
      <c r="A270" s="447" t="inlineStr">
        <is>
          <t>LV Ending Cash</t>
        </is>
      </c>
      <c r="B270" s="448" t="n"/>
      <c r="C270" s="448" t="n"/>
      <c r="D270" s="448" t="n"/>
      <c r="E270" s="448" t="n"/>
      <c r="F270" s="448" t="n"/>
      <c r="G270" s="448" t="n"/>
      <c r="H270" s="448">
        <f>SUM(H262:H269)</f>
        <v>778701.069849618</v>
      </c>
      <c r="I270" s="448">
        <f>SUM(I262:I269)</f>
        <v>705531.282208546</v>
      </c>
      <c r="J270" s="448">
        <f>SUM(J262:J269)</f>
        <v>960356.590245573</v>
      </c>
      <c r="K270" s="448">
        <f>SUM(K262:K269)</f>
        <v>1166495.17094108</v>
      </c>
      <c r="L270" s="448">
        <f>SUM(L262:L269)</f>
        <v>1388524.53304863</v>
      </c>
      <c r="M270" s="448">
        <f>SUM(M262:M269)</f>
        <v>1235395.10925242</v>
      </c>
      <c r="N270" s="448">
        <f>SUM(N262:N269)</f>
        <v>1299231.46962144</v>
      </c>
      <c r="O270" s="448">
        <f>SUM(O262:O269)</f>
        <v>1560853.38702778</v>
      </c>
      <c r="P270" s="448">
        <f>SUM(P262:P269)</f>
        <v>1836707.92512643</v>
      </c>
      <c r="Q270" s="448">
        <f>SUM(Q262:Q269)</f>
        <v>2078052.62844127</v>
      </c>
      <c r="R270" s="448">
        <f>SUM(R262:R269)</f>
        <v>2169064.08049076</v>
      </c>
      <c r="S270" s="448">
        <f>SUM(S262:S269)</f>
        <v>1679017.22662443</v>
      </c>
      <c r="T270" s="448">
        <f>SUM(T262:T269)</f>
        <v>2022759.42549905</v>
      </c>
      <c r="U270" s="448">
        <f>SUM(U262:U269)</f>
        <v>2125466.47721155</v>
      </c>
      <c r="V270" s="448">
        <f>SUM(V262:V269)</f>
        <v>2544611.01631783</v>
      </c>
      <c r="W270" s="448">
        <f>SUM(W262:W269)</f>
        <v>2991205.08331629</v>
      </c>
      <c r="X270" s="448">
        <f>SUM(X262:X269)</f>
        <v>3399702.78381562</v>
      </c>
      <c r="Y270" s="448">
        <f>SUM(Y262:Y269)</f>
        <v>3853917.42029884</v>
      </c>
      <c r="Z270" s="448">
        <f>SUM(Z262:Z269)</f>
        <v>4370697.88323206</v>
      </c>
      <c r="AA270" s="448">
        <f>SUM(AA262:AA269)</f>
        <v>4961784.19655597</v>
      </c>
      <c r="AB270" s="448">
        <f>SUM(AB262:AB269)</f>
        <v>5555274.58334205</v>
      </c>
      <c r="AC270" s="448">
        <f>SUM(AC262:AC269)</f>
        <v>6046150.15795858</v>
      </c>
      <c r="AD270" s="448">
        <f>SUM(AD262:AD269)</f>
        <v>6582025.73257511</v>
      </c>
      <c r="AE270" s="448">
        <f>SUM(AE262:AE269)</f>
        <v>7110018.32514821</v>
      </c>
      <c r="AF270" s="448">
        <f>SUM(AF262:AF269)</f>
        <v>7256741.98815574</v>
      </c>
      <c r="AG270" s="448">
        <f>SUM(AG262:AG269)</f>
        <v>8141204.37822284</v>
      </c>
      <c r="AH270" s="448">
        <f>SUM(AH262:AH269)</f>
        <v>8694595.83209861</v>
      </c>
      <c r="AI270" s="448">
        <f>SUM(AI262:AI269)</f>
        <v>9473420.84656374</v>
      </c>
      <c r="AJ270" s="448">
        <f>SUM(AJ262:AJ269)</f>
        <v>10482076.5106579</v>
      </c>
      <c r="AK270" s="448">
        <f>SUM(AK262:AK269)</f>
        <v>11411916.6643854</v>
      </c>
      <c r="AL270" s="448">
        <f>SUM(AL262:AL269)</f>
        <v>12653841.9770074</v>
      </c>
      <c r="AM270" s="448">
        <f>SUM(AM262:AM269)</f>
        <v>13883579.3176723</v>
      </c>
      <c r="AN270" s="448">
        <f>SUM(AN262:AN269)</f>
        <v>14425903.8399085</v>
      </c>
      <c r="AO270" s="448">
        <f>SUM(AO262:AO269)</f>
        <v>15051782.93986</v>
      </c>
      <c r="AP270" s="448">
        <f>SUM(AP262:AP269)</f>
        <v>15762537.6948116</v>
      </c>
      <c r="AQ270" s="448">
        <f>SUM(AQ262:AQ269)</f>
        <v>16569629.6872632</v>
      </c>
      <c r="AR270" s="448">
        <f>SUM(AR262:AR269)</f>
        <v>17474514.9297148</v>
      </c>
      <c r="AS270" s="448">
        <f>SUM(AS262:AS269)</f>
        <v>18416900.1721664</v>
      </c>
      <c r="AT270" s="448">
        <f>SUM(AT262:AT269)</f>
        <v>19462219.719618</v>
      </c>
      <c r="AU270" s="448">
        <f>SUM(AU262:AU269)</f>
        <v>20914933.0539861</v>
      </c>
      <c r="AV270" s="448">
        <f>SUM(AV262:AV269)</f>
        <v>22245528.2979798</v>
      </c>
      <c r="AW270" s="448">
        <f>SUM(AW262:AW269)</f>
        <v>22958947.3494611</v>
      </c>
      <c r="AX270" s="448">
        <f>SUM(AX262:AX269)</f>
        <v>23709866.4009424</v>
      </c>
      <c r="AY270" s="448">
        <f>SUM(AY262:AY269)</f>
        <v>24563719.7574236</v>
      </c>
      <c r="AZ270" s="448">
        <f>SUM(AZ262:AZ269)</f>
        <v>25526827.9464049</v>
      </c>
      <c r="BA270" s="448">
        <f>SUM(BA262:BA269)</f>
        <v>26407303.277906</v>
      </c>
      <c r="BB270" s="448">
        <f>SUM(BB262:BB269)</f>
        <v>27262219.959407</v>
      </c>
      <c r="BC270" s="448">
        <f>SUM(BC262:BC269)</f>
        <v>28124636.6409081</v>
      </c>
      <c r="BD270" s="448">
        <f>SUM(BD262:BD269)</f>
        <v>28986150.3899091</v>
      </c>
      <c r="BE270" s="448">
        <f>SUM(BE262:BE269)</f>
        <v>29875378.5064102</v>
      </c>
      <c r="BF270" s="448">
        <f>SUM(BF262:BF269)</f>
        <v>30773912.4879112</v>
      </c>
      <c r="BG270" s="448">
        <f>SUM(BG262:BG269)</f>
        <v>31635426.2369123</v>
      </c>
      <c r="BH270" s="448">
        <f>SUM(BH262:BH269)</f>
        <v>32761143.8147162</v>
      </c>
      <c r="BI270" s="448">
        <f>SUM(BI262:BI269)</f>
        <v>33921011.7158162</v>
      </c>
      <c r="BJ270" s="448">
        <f>SUM(BJ262:BJ269)</f>
        <v>34504109.2259922</v>
      </c>
      <c r="BK270" s="448">
        <f>SUM(BK262:BK269)</f>
        <v>34906620.2361681</v>
      </c>
      <c r="BL270" s="448">
        <f>SUM(BL262:BL269)</f>
        <v>35309131.2463441</v>
      </c>
      <c r="BM270" s="448">
        <f>SUM(BM262:BM269)</f>
        <v>35804459.7017402</v>
      </c>
      <c r="BN270" s="448">
        <f>SUM(BN262:BN269)</f>
        <v>36396401.9346363</v>
      </c>
      <c r="BO270" s="448">
        <f>SUM(BO262:BO269)</f>
        <v>36780669.6925324</v>
      </c>
      <c r="BP270" s="448">
        <f>SUM(BP262:BP269)</f>
        <v>36984350.9504285</v>
      </c>
      <c r="BQ270" s="448">
        <f>SUM(BQ262:BQ269)</f>
        <v>37188032.2083247</v>
      </c>
      <c r="BR270" s="448">
        <f>SUM(BR262:BR269)</f>
        <v>37477492.0537208</v>
      </c>
      <c r="BS270" s="448">
        <f>SUM(BS262:BS269)</f>
        <v>37878915.5291169</v>
      </c>
      <c r="BT270" s="448">
        <f>SUM(BT262:BT269)</f>
        <v>38196366.282013</v>
      </c>
      <c r="BU270" s="448">
        <f>SUM(BU262:BU269)</f>
        <v>38391921.1474092</v>
      </c>
      <c r="BV270" s="448">
        <f>SUM(BV262:BV269)</f>
        <v>38518853.1428053</v>
      </c>
      <c r="BW270" s="448">
        <f>SUM(BW262:BW269)</f>
        <v>38561812.4157014</v>
      </c>
      <c r="BX270" s="448">
        <f>SUM(BX262:BX269)</f>
        <v>38482875.8010975</v>
      </c>
      <c r="BY270" s="448">
        <f>SUM(BY262:BY269)</f>
        <v>38324997.1195182</v>
      </c>
      <c r="BZ270" s="448">
        <f>SUM(BZ262:BZ269)</f>
        <v>38083145.7154389</v>
      </c>
      <c r="CA270" s="448">
        <f>SUM(CA262:CA269)</f>
        <v>37633619.8363597</v>
      </c>
      <c r="CB270" s="448">
        <f>SUM(CB262:CB269)</f>
        <v>37003507.4572804</v>
      </c>
      <c r="CC270" s="448">
        <f>SUM(CC262:CC269)</f>
        <v>36373395.0782011</v>
      </c>
      <c r="CD270" s="448">
        <f>SUM(CD262:CD269)</f>
        <v>35743282.6991218</v>
      </c>
      <c r="CE270" s="448">
        <f>SUM(CE262:CE269)</f>
        <v>35113170.3200425</v>
      </c>
      <c r="CF270" s="448">
        <f>SUM(CF262:CF269)</f>
        <v>34483057.9409632</v>
      </c>
      <c r="CG270" s="448">
        <f>SUM(CG262:CG269)</f>
        <v>33852945.5618839</v>
      </c>
      <c r="CH270" s="448">
        <f>SUM(CH262:CH269)</f>
        <v>33222833.1828046</v>
      </c>
      <c r="CI270" s="448">
        <f>SUM(CI262:CI269)</f>
        <v>32592720.8037253</v>
      </c>
      <c r="CJ270" s="448">
        <f>SUM(CJ262:CJ269)</f>
        <v>31962608.424646</v>
      </c>
      <c r="CK270" s="448">
        <f>SUM(CK262:CK269)</f>
        <v>31321970.4646518</v>
      </c>
      <c r="CL270" s="448">
        <f>SUM(CL262:CL269)</f>
        <v>30681332.5046576</v>
      </c>
      <c r="CM270" s="448">
        <f>SUM(CM262:CM269)</f>
        <v>30040694.5446634</v>
      </c>
      <c r="CN270" s="448">
        <f>SUM(CN262:CN269)</f>
        <v>29400056.5846692</v>
      </c>
      <c r="CO270" s="448">
        <f>SUM(CO262:CO269)</f>
        <v>28759418.624675</v>
      </c>
      <c r="CP270" s="448">
        <f>SUM(CP262:CP269)</f>
        <v>28118780.6646808</v>
      </c>
      <c r="CQ270" s="448">
        <f>SUM(CQ262:CQ269)</f>
        <v>27478142.7046866</v>
      </c>
      <c r="CR270" s="448">
        <f>SUM(CR262:CR269)</f>
        <v>26837504.7446924</v>
      </c>
      <c r="CS270" s="448">
        <f>SUM(CS262:CS269)</f>
        <v>26196866.7846982</v>
      </c>
      <c r="CT270" s="448">
        <f>SUM(CT262:CT269)</f>
        <v>25620319.5022209</v>
      </c>
      <c r="CU270" s="448">
        <f>SUM(CU262:CU269)</f>
        <v>25043772.2197437</v>
      </c>
      <c r="CV270" s="448">
        <f>SUM(CV262:CV269)</f>
        <v>24467224.9372665</v>
      </c>
      <c r="CW270" s="448">
        <f>SUM(CW262:CW269)</f>
        <v>23881223.3758064</v>
      </c>
      <c r="CX270" s="448">
        <f>SUM(CX262:CX269)</f>
        <v>23295221.8143463</v>
      </c>
      <c r="CY270" s="448">
        <f>SUM(CY262:CY269)</f>
        <v>22709220.2528862</v>
      </c>
      <c r="CZ270" s="448">
        <f>SUM(CZ262:CZ269)</f>
        <v>22123218.6914261</v>
      </c>
      <c r="DA270" s="448">
        <f>SUM(DA262:DA269)</f>
        <v>21537217.1299659</v>
      </c>
      <c r="DB270" s="448">
        <f>SUM(DB262:DB269)</f>
        <v>20951215.5685058</v>
      </c>
      <c r="DC270" s="448">
        <f>SUM(DC262:DC269)</f>
        <v>20365214.0070457</v>
      </c>
      <c r="DD270" s="448">
        <f>SUM(DD262:DD269)</f>
        <v>19779212.4455856</v>
      </c>
      <c r="DE270" s="448">
        <f>SUM(DE262:DE269)</f>
        <v>19193210.8841255</v>
      </c>
    </row>
    <row r="271" ht="15" customFormat="1" customHeight="1" s="381">
      <c r="A271" s="383" t="n"/>
      <c r="B271" s="393" t="n"/>
      <c r="C271" s="393" t="n"/>
      <c r="D271" s="393" t="n"/>
      <c r="E271" s="393" t="n"/>
      <c r="F271" s="393" t="n"/>
      <c r="G271" s="393" t="n"/>
      <c r="H271" s="393" t="n"/>
      <c r="I271" s="393" t="n"/>
      <c r="J271" s="393" t="n"/>
      <c r="K271" s="393" t="n"/>
      <c r="L271" s="393" t="n"/>
      <c r="M271" s="393" t="n"/>
      <c r="N271" s="393" t="n"/>
      <c r="O271" s="393" t="n"/>
      <c r="P271" s="393" t="n"/>
      <c r="Q271" s="393" t="n"/>
      <c r="R271" s="393" t="n"/>
      <c r="S271" s="393" t="n"/>
      <c r="T271" s="393" t="n"/>
      <c r="U271" s="393" t="n"/>
      <c r="V271" s="393" t="n"/>
      <c r="W271" s="393" t="n"/>
      <c r="X271" s="393" t="n"/>
      <c r="Y271" s="393" t="n"/>
      <c r="Z271" s="393" t="n"/>
      <c r="AA271" s="393" t="n"/>
      <c r="AB271" s="393" t="n"/>
      <c r="AC271" s="393" t="n"/>
      <c r="AD271" s="393" t="n"/>
      <c r="AE271" s="393" t="n"/>
      <c r="AF271" s="393" t="n"/>
      <c r="AG271" s="393" t="n"/>
      <c r="AH271" s="393" t="n"/>
      <c r="AI271" s="393" t="n"/>
      <c r="AJ271" s="393" t="n"/>
      <c r="AK271" s="393" t="n"/>
      <c r="AL271" s="393" t="n"/>
      <c r="AM271" s="393" t="n"/>
      <c r="AN271" s="393" t="n"/>
      <c r="AO271" s="393" t="n"/>
      <c r="AP271" s="393" t="n"/>
      <c r="AQ271" s="393" t="n"/>
      <c r="AR271" s="393" t="n"/>
      <c r="AS271" s="393" t="n"/>
      <c r="AT271" s="393" t="n"/>
      <c r="AU271" s="393" t="n"/>
      <c r="AV271" s="393" t="n"/>
      <c r="AW271" s="393" t="n"/>
      <c r="AX271" s="393" t="n"/>
      <c r="AY271" s="393" t="n"/>
      <c r="AZ271" s="393" t="n"/>
      <c r="BA271" s="393" t="n"/>
      <c r="BB271" s="393" t="n"/>
      <c r="BC271" s="393" t="n"/>
      <c r="BD271" s="393" t="n"/>
      <c r="BE271" s="393" t="n"/>
      <c r="BF271" s="393" t="n"/>
      <c r="BG271" s="393" t="n"/>
      <c r="BH271" s="393" t="n"/>
      <c r="BI271" s="393" t="n"/>
      <c r="BJ271" s="393" t="n"/>
      <c r="BK271" s="393" t="n"/>
      <c r="BL271" s="393" t="n"/>
      <c r="BM271" s="393" t="n"/>
      <c r="BN271" s="393" t="n"/>
      <c r="BO271" s="393" t="n"/>
      <c r="BP271" s="393" t="n"/>
      <c r="BQ271" s="393" t="n"/>
      <c r="BR271" s="393" t="n"/>
      <c r="BS271" s="393" t="n"/>
      <c r="BT271" s="393" t="n"/>
      <c r="BU271" s="393" t="n"/>
      <c r="BV271" s="393" t="n"/>
      <c r="BW271" s="393" t="n"/>
      <c r="BX271" s="393" t="n"/>
      <c r="BY271" s="393" t="n"/>
      <c r="BZ271" s="393" t="n"/>
      <c r="CA271" s="393" t="n"/>
      <c r="CB271" s="393" t="n"/>
      <c r="CC271" s="393" t="n"/>
      <c r="CD271" s="393" t="n"/>
      <c r="CE271" s="393" t="n"/>
      <c r="CF271" s="393" t="n"/>
      <c r="CG271" s="393" t="n"/>
      <c r="CH271" s="393" t="n"/>
      <c r="CI271" s="393" t="n"/>
      <c r="CJ271" s="393" t="n"/>
      <c r="CK271" s="393" t="n"/>
      <c r="CL271" s="393" t="n"/>
      <c r="CM271" s="393" t="n"/>
      <c r="CN271" s="393" t="n"/>
      <c r="CO271" s="393" t="n"/>
      <c r="CP271" s="393" t="n"/>
      <c r="CQ271" s="393" t="n"/>
      <c r="CR271" s="393" t="n"/>
      <c r="CS271" s="393" t="n"/>
      <c r="CT271" s="393" t="n"/>
      <c r="CU271" s="393" t="n"/>
      <c r="CV271" s="393" t="n"/>
      <c r="CW271" s="393" t="n"/>
      <c r="CX271" s="393" t="n"/>
      <c r="CY271" s="393" t="n"/>
      <c r="CZ271" s="393" t="n"/>
      <c r="DA271" s="393" t="n"/>
      <c r="DB271" s="393" t="n"/>
      <c r="DC271" s="393" t="n"/>
      <c r="DD271" s="393" t="n"/>
      <c r="DE271" s="393" t="n"/>
    </row>
    <row r="272" ht="15" customFormat="1" customHeight="1" s="381">
      <c r="A272" s="403" t="inlineStr">
        <is>
          <t>Six Peak Cash</t>
        </is>
      </c>
      <c r="B272" s="414" t="n"/>
      <c r="C272" s="414" t="n"/>
      <c r="D272" s="414" t="n"/>
      <c r="E272" s="414" t="n"/>
      <c r="F272" s="414" t="n"/>
      <c r="G272" s="414" t="n"/>
      <c r="H272" s="414" t="n"/>
      <c r="I272" s="414" t="n"/>
      <c r="J272" s="414" t="n"/>
      <c r="K272" s="414" t="n"/>
      <c r="L272" s="414" t="n"/>
      <c r="M272" s="414" t="n"/>
      <c r="N272" s="414" t="n"/>
      <c r="O272" s="414" t="n"/>
      <c r="P272" s="414" t="n"/>
      <c r="Q272" s="414" t="n"/>
      <c r="R272" s="414" t="n"/>
      <c r="S272" s="414" t="n"/>
      <c r="T272" s="414" t="n"/>
      <c r="U272" s="414" t="n"/>
      <c r="V272" s="414" t="n"/>
      <c r="W272" s="414" t="n"/>
      <c r="X272" s="414" t="n"/>
      <c r="Y272" s="414" t="n"/>
      <c r="Z272" s="414" t="n"/>
      <c r="AA272" s="414" t="n"/>
      <c r="AB272" s="414" t="n"/>
      <c r="AC272" s="414" t="n"/>
      <c r="AD272" s="414" t="n"/>
      <c r="AE272" s="414" t="n"/>
      <c r="AF272" s="414" t="n"/>
      <c r="AG272" s="414" t="n"/>
      <c r="AH272" s="414" t="n"/>
      <c r="AI272" s="414" t="n"/>
      <c r="AJ272" s="414" t="n"/>
      <c r="AK272" s="414" t="n"/>
      <c r="AL272" s="414" t="n"/>
      <c r="AM272" s="414" t="n"/>
      <c r="AN272" s="414" t="n"/>
      <c r="AO272" s="414" t="n"/>
      <c r="AP272" s="414" t="n"/>
      <c r="AQ272" s="414" t="n"/>
      <c r="AR272" s="414" t="n"/>
      <c r="AS272" s="414" t="n"/>
      <c r="AT272" s="414" t="n"/>
      <c r="AU272" s="414" t="n"/>
      <c r="AV272" s="414" t="n"/>
      <c r="AW272" s="414" t="n"/>
      <c r="AX272" s="414" t="n"/>
      <c r="AY272" s="414" t="n"/>
      <c r="AZ272" s="414" t="n"/>
      <c r="BA272" s="414" t="n"/>
      <c r="BB272" s="414" t="n"/>
      <c r="BC272" s="414" t="n"/>
      <c r="BD272" s="414" t="n"/>
      <c r="BE272" s="414" t="n"/>
      <c r="BF272" s="414" t="n"/>
      <c r="BG272" s="414" t="n"/>
      <c r="BH272" s="414" t="n"/>
      <c r="BI272" s="414" t="n"/>
      <c r="BJ272" s="414" t="n"/>
      <c r="BK272" s="414" t="n"/>
      <c r="BL272" s="414" t="n"/>
      <c r="BM272" s="414" t="n"/>
      <c r="BN272" s="414" t="n"/>
      <c r="BO272" s="414" t="n"/>
      <c r="BP272" s="414" t="n"/>
      <c r="BQ272" s="414" t="n"/>
      <c r="BR272" s="414" t="n"/>
      <c r="BS272" s="414" t="n"/>
      <c r="BT272" s="414" t="n"/>
      <c r="BU272" s="414" t="n"/>
      <c r="BV272" s="414" t="n"/>
      <c r="BW272" s="414" t="n"/>
      <c r="BX272" s="414" t="n"/>
      <c r="BY272" s="414" t="n"/>
      <c r="BZ272" s="414" t="n"/>
      <c r="CA272" s="414" t="n"/>
      <c r="CB272" s="414" t="n"/>
      <c r="CC272" s="414" t="n"/>
      <c r="CD272" s="414" t="n"/>
      <c r="CE272" s="414" t="n"/>
      <c r="CF272" s="414" t="n"/>
      <c r="CG272" s="414" t="n"/>
      <c r="CH272" s="414" t="n"/>
      <c r="CI272" s="414" t="n"/>
      <c r="CJ272" s="414" t="n"/>
      <c r="CK272" s="414" t="n"/>
      <c r="CL272" s="414" t="n"/>
      <c r="CM272" s="414" t="n"/>
      <c r="CN272" s="414" t="n"/>
      <c r="CO272" s="414" t="n"/>
      <c r="CP272" s="414" t="n"/>
      <c r="CQ272" s="414" t="n"/>
      <c r="CR272" s="414" t="n"/>
      <c r="CS272" s="414" t="n"/>
      <c r="CT272" s="414" t="n"/>
      <c r="CU272" s="414" t="n"/>
      <c r="CV272" s="414" t="n"/>
      <c r="CW272" s="414" t="n"/>
      <c r="CX272" s="414" t="n"/>
      <c r="CY272" s="414" t="n"/>
      <c r="CZ272" s="414" t="n"/>
      <c r="DA272" s="414" t="n"/>
      <c r="DB272" s="414" t="n"/>
      <c r="DC272" s="414" t="n"/>
      <c r="DD272" s="414" t="n"/>
      <c r="DE272" s="414" t="n"/>
    </row>
    <row r="273" ht="15" customFormat="1" customHeight="1" s="381">
      <c r="A273" s="398" t="inlineStr">
        <is>
          <t>SP Beginning Cash</t>
        </is>
      </c>
      <c r="B273" s="393" t="n"/>
      <c r="C273" s="393" t="n"/>
      <c r="D273" s="393" t="n"/>
      <c r="E273" s="393" t="n"/>
      <c r="F273" s="393" t="n"/>
      <c r="G273" s="393" t="n"/>
      <c r="H273" s="393">
        <f>Assumptions!B30</f>
        <v>165368</v>
      </c>
      <c r="I273" s="393">
        <f>H278</f>
        <v>133317.131190476</v>
      </c>
      <c r="J273" s="393">
        <f>I278</f>
        <v>107863.262380952</v>
      </c>
      <c r="K273" s="393">
        <f>J278</f>
        <v>85326.0635714286</v>
      </c>
      <c r="L273" s="393">
        <f>K278</f>
        <v>62788.8647619047</v>
      </c>
      <c r="M273" s="393">
        <f>L278</f>
        <v>30876.6659523809</v>
      </c>
      <c r="N273" s="393">
        <f>M278</f>
        <v>-3785.53285714291</v>
      </c>
      <c r="O273" s="393">
        <f>N278</f>
        <v>38613.3583333333</v>
      </c>
      <c r="P273" s="393">
        <f>O278</f>
        <v>-76346.7733333334</v>
      </c>
      <c r="Q273" s="393">
        <f>P278</f>
        <v>-190056.905</v>
      </c>
      <c r="R273" s="393">
        <f>Q278</f>
        <v>-282196.6081</v>
      </c>
      <c r="S273" s="393">
        <f>R278</f>
        <v>-380586.5112</v>
      </c>
      <c r="T273" s="393">
        <f>S278</f>
        <v>-478976.4143</v>
      </c>
      <c r="U273" s="393">
        <f>T278</f>
        <v>-605272.5674</v>
      </c>
      <c r="V273" s="393">
        <f>U278</f>
        <v>-732068.7205</v>
      </c>
      <c r="W273" s="393">
        <f>V278</f>
        <v>-858864.8736</v>
      </c>
      <c r="X273" s="393">
        <f>W278</f>
        <v>-969088.7643</v>
      </c>
      <c r="Y273" s="393">
        <f>X278</f>
        <v>-1064087.3926</v>
      </c>
      <c r="Z273" s="393">
        <f>Y278</f>
        <v>-1085138.7585</v>
      </c>
      <c r="AA273" s="393">
        <f>Z278</f>
        <v>-1171380.648</v>
      </c>
      <c r="AB273" s="393">
        <f>AA278</f>
        <v>-1492086.0355</v>
      </c>
      <c r="AC273" s="393">
        <f>AB278</f>
        <v>-1489879.933</v>
      </c>
      <c r="AD273" s="393">
        <f>AC278</f>
        <v>-1531105.37837</v>
      </c>
      <c r="AE273" s="393">
        <f>AD278</f>
        <v>-1556794.32774</v>
      </c>
      <c r="AF273" s="393">
        <f>AE278</f>
        <v>-1489553.2053886</v>
      </c>
      <c r="AG273" s="393">
        <f>AF278</f>
        <v>-1384914.5597586</v>
      </c>
      <c r="AH273" s="393">
        <f>AG278</f>
        <v>-1289718.3306286</v>
      </c>
      <c r="AI273" s="393">
        <f>AH278</f>
        <v>-1161231.9764986</v>
      </c>
      <c r="AJ273" s="393">
        <f>AI278</f>
        <v>-1091370.8523686</v>
      </c>
      <c r="AK273" s="393">
        <f>AJ278</f>
        <v>-1021079.5622386</v>
      </c>
      <c r="AL273" s="393">
        <f>AK278</f>
        <v>-950358.117108598</v>
      </c>
      <c r="AM273" s="393">
        <f>AL278</f>
        <v>-879206.511478598</v>
      </c>
      <c r="AN273" s="393">
        <f>AM278</f>
        <v>-1057624.7508486</v>
      </c>
      <c r="AO273" s="393">
        <f>AN278</f>
        <v>-971371.041718598</v>
      </c>
      <c r="AP273" s="393">
        <f>AO278</f>
        <v>-900553.853215998</v>
      </c>
      <c r="AQ273" s="393">
        <f>AP278</f>
        <v>-843548.292213398</v>
      </c>
      <c r="AR273" s="393">
        <f>AQ278</f>
        <v>-800354.358710798</v>
      </c>
      <c r="AS273" s="393">
        <f>AR278</f>
        <v>-770972.058208198</v>
      </c>
      <c r="AT273" s="393">
        <f>AS278</f>
        <v>-763214.153205598</v>
      </c>
      <c r="AU273" s="393">
        <f>AT278</f>
        <v>-768012.273202998</v>
      </c>
      <c r="AV273" s="393">
        <f>AU278</f>
        <v>-785366.423200398</v>
      </c>
      <c r="AW273" s="393">
        <f>AV278</f>
        <v>-815276.593197798</v>
      </c>
      <c r="AX273" s="393">
        <f>AW278</f>
        <v>-858227.374695198</v>
      </c>
      <c r="AY273" s="393">
        <f>AX278</f>
        <v>-860300.154692598</v>
      </c>
      <c r="AZ273" s="393">
        <f>AY278</f>
        <v>-1125320.00969</v>
      </c>
      <c r="BA273" s="393">
        <f>AZ278</f>
        <v>-1166133.2271874</v>
      </c>
      <c r="BB273" s="393">
        <f>BA278</f>
        <v>-1209034.00178475</v>
      </c>
      <c r="BC273" s="393">
        <f>BB278</f>
        <v>-1252364.94238209</v>
      </c>
      <c r="BD273" s="393">
        <f>BC278</f>
        <v>-1296126.03797944</v>
      </c>
      <c r="BE273" s="393">
        <f>BD278</f>
        <v>-1340317.29407679</v>
      </c>
      <c r="BF273" s="393">
        <f>BE278</f>
        <v>-1384938.71067414</v>
      </c>
      <c r="BG273" s="393">
        <f>BF278</f>
        <v>-1429990.28777149</v>
      </c>
      <c r="BH273" s="393">
        <f>BG278</f>
        <v>-1475472.02536883</v>
      </c>
      <c r="BI273" s="393">
        <f>BH278</f>
        <v>-1521383.92346618</v>
      </c>
      <c r="BJ273" s="393">
        <f>BI278</f>
        <v>-1567725.98206353</v>
      </c>
      <c r="BK273" s="393">
        <f>BJ278</f>
        <v>-1614498.20116088</v>
      </c>
      <c r="BL273" s="393">
        <f>BK278</f>
        <v>-1911700.58075823</v>
      </c>
      <c r="BM273" s="393">
        <f>BL278</f>
        <v>-1959333.11535557</v>
      </c>
      <c r="BN273" s="393">
        <f>BM278</f>
        <v>-1985585.86048487</v>
      </c>
      <c r="BO273" s="393">
        <f>BN278</f>
        <v>-2012268.76611416</v>
      </c>
      <c r="BP273" s="393">
        <f>BO278</f>
        <v>-1985555.54224346</v>
      </c>
      <c r="BQ273" s="393">
        <f>BP278</f>
        <v>-2071773.31337275</v>
      </c>
      <c r="BR273" s="393">
        <f>BQ278</f>
        <v>-2157991.08450205</v>
      </c>
      <c r="BS273" s="393">
        <f>BR278</f>
        <v>-2190958.50563134</v>
      </c>
      <c r="BT273" s="393">
        <f>BS278</f>
        <v>-2277176.27676064</v>
      </c>
      <c r="BU273" s="393">
        <f>BT278</f>
        <v>-2363394.04788993</v>
      </c>
      <c r="BV273" s="393">
        <f>BU278</f>
        <v>-2381849.81901923</v>
      </c>
      <c r="BW273" s="393">
        <f>BV278</f>
        <v>-2468067.59014852</v>
      </c>
      <c r="BX273" s="393">
        <f>BW278</f>
        <v>-2554285.36127782</v>
      </c>
      <c r="BY273" s="393">
        <f>BX278</f>
        <v>-2572741.13240711</v>
      </c>
      <c r="BZ273" s="393">
        <f>BY278</f>
        <v>-2660683.25895899</v>
      </c>
      <c r="CA273" s="393">
        <f>BZ278</f>
        <v>-2748625.38551087</v>
      </c>
      <c r="CB273" s="393">
        <f>CA278</f>
        <v>-2768805.51206275</v>
      </c>
      <c r="CC273" s="393">
        <f>CB278</f>
        <v>-2856747.63861464</v>
      </c>
      <c r="CD273" s="393">
        <f>CC278</f>
        <v>-2944689.76516652</v>
      </c>
      <c r="CE273" s="393">
        <f>CD278</f>
        <v>-2956132.8917184</v>
      </c>
      <c r="CF273" s="393">
        <f>CE278</f>
        <v>-3044075.01827028</v>
      </c>
      <c r="CG273" s="393">
        <f>CF278</f>
        <v>-3132017.14482216</v>
      </c>
      <c r="CH273" s="393">
        <f>CG278</f>
        <v>-3143460.27137404</v>
      </c>
      <c r="CI273" s="393">
        <f>CH278</f>
        <v>-3231402.39792592</v>
      </c>
      <c r="CJ273" s="393">
        <f>CI278</f>
        <v>-3319344.5244778</v>
      </c>
      <c r="CK273" s="393">
        <f>CJ278</f>
        <v>-3324179.6244232</v>
      </c>
      <c r="CL273" s="393">
        <f>CK278</f>
        <v>-3256019.59350612</v>
      </c>
      <c r="CM273" s="393">
        <f>CL278</f>
        <v>-3187859.56258904</v>
      </c>
      <c r="CN273" s="393">
        <f>CM278</f>
        <v>-3119699.53167196</v>
      </c>
      <c r="CO273" s="393">
        <f>CN278</f>
        <v>-3051539.50075488</v>
      </c>
      <c r="CP273" s="393">
        <f>CO278</f>
        <v>-2983379.4698378</v>
      </c>
      <c r="CQ273" s="393">
        <f>CP278</f>
        <v>-2915219.43892072</v>
      </c>
      <c r="CR273" s="393">
        <f>CQ278</f>
        <v>-2847059.40800363</v>
      </c>
      <c r="CS273" s="393">
        <f>CR278</f>
        <v>-2778899.37708655</v>
      </c>
      <c r="CT273" s="393">
        <f>CS278</f>
        <v>-2710739.34616947</v>
      </c>
      <c r="CU273" s="393">
        <f>CT278</f>
        <v>-2640670.82187749</v>
      </c>
      <c r="CV273" s="393">
        <f>CU278</f>
        <v>-2570602.29758551</v>
      </c>
      <c r="CW273" s="393">
        <f>CV278</f>
        <v>-2500533.77329354</v>
      </c>
      <c r="CX273" s="393">
        <f>CW278</f>
        <v>-2376512.94745213</v>
      </c>
      <c r="CY273" s="393">
        <f>CX278</f>
        <v>-2235045.27267431</v>
      </c>
      <c r="CZ273" s="393">
        <f>CY278</f>
        <v>-2093577.59789649</v>
      </c>
      <c r="DA273" s="393">
        <f>CZ278</f>
        <v>-1952109.92311867</v>
      </c>
      <c r="DB273" s="393">
        <f>DA278</f>
        <v>-1810642.24834086</v>
      </c>
      <c r="DC273" s="393">
        <f>DB278</f>
        <v>-1669174.57356304</v>
      </c>
      <c r="DD273" s="393">
        <f>DC278</f>
        <v>-1527706.89878522</v>
      </c>
      <c r="DE273" s="393">
        <f>DD278</f>
        <v>-1386239.2240074</v>
      </c>
    </row>
    <row r="274" ht="15" customFormat="1" customHeight="1" s="381">
      <c r="A274" s="398" t="inlineStr">
        <is>
          <t xml:space="preserve">SP Net Cash Flow (excl. non-cash revenue)</t>
        </is>
      </c>
      <c r="B274" s="393" t="n"/>
      <c r="C274" s="393" t="n"/>
      <c r="D274" s="393" t="n"/>
      <c r="E274" s="393" t="n"/>
      <c r="F274" s="393" t="n"/>
      <c r="G274" s="393" t="n"/>
      <c r="H274" s="393">
        <f>H200-H166</f>
        <v>-32050.8688095238</v>
      </c>
      <c r="I274" s="393">
        <f>I200-I166</f>
        <v>-25453.8688095238</v>
      </c>
      <c r="J274" s="393">
        <f>J200-J166</f>
        <v>-22537.1988095238</v>
      </c>
      <c r="K274" s="393">
        <f>K200-K166</f>
        <v>-22537.1988095238</v>
      </c>
      <c r="L274" s="393">
        <f>L200-L166</f>
        <v>-31912.1988095238</v>
      </c>
      <c r="M274" s="393">
        <f>M200-M166</f>
        <v>-34662.1988095238</v>
      </c>
      <c r="N274" s="393">
        <f>N200-N166</f>
        <v>154398.891190476</v>
      </c>
      <c r="O274" s="393">
        <f>O200-O166</f>
        <v>-2960.13166666668</v>
      </c>
      <c r="P274" s="393">
        <f>P200-P166</f>
        <v>-1710.13166666668</v>
      </c>
      <c r="Q274" s="393">
        <f>Q200-Q166</f>
        <v>19860.2969</v>
      </c>
      <c r="R274" s="393">
        <f>R200-R166</f>
        <v>13610.0969</v>
      </c>
      <c r="S274" s="393">
        <f>S200-S166</f>
        <v>13610.0969</v>
      </c>
      <c r="T274" s="393">
        <f>T200-T166</f>
        <v>-14296.1531</v>
      </c>
      <c r="U274" s="393">
        <f>U200-U166</f>
        <v>-14796.1531</v>
      </c>
      <c r="V274" s="393">
        <f>V200-V166</f>
        <v>-14796.1531</v>
      </c>
      <c r="W274" s="393">
        <f>W200-W166</f>
        <v>1776.1093</v>
      </c>
      <c r="X274" s="393">
        <f>X200-X166</f>
        <v>17001.3717</v>
      </c>
      <c r="Y274" s="393">
        <f>Y200-Y166</f>
        <v>90948.6341</v>
      </c>
      <c r="Z274" s="393">
        <f>Z200-Z166</f>
        <v>25758.1105</v>
      </c>
      <c r="AA274" s="393">
        <f>AA200-AA166</f>
        <v>41294.6125</v>
      </c>
      <c r="AB274" s="393">
        <f>AB200-AB166</f>
        <v>114206.1025</v>
      </c>
      <c r="AC274" s="393">
        <f>AC200-AC166</f>
        <v>70774.55463</v>
      </c>
      <c r="AD274" s="393">
        <f>AD200-AD166</f>
        <v>86311.05063</v>
      </c>
      <c r="AE274" s="393">
        <f>AE200-AE166</f>
        <v>159222.55263</v>
      </c>
      <c r="AF274" s="393">
        <f>AF200-AF166</f>
        <v>104638.64563</v>
      </c>
      <c r="AG274" s="393">
        <f>AG200-AG166</f>
        <v>95196.22913</v>
      </c>
      <c r="AH274" s="393">
        <f>AH200-AH166</f>
        <v>128486.35413</v>
      </c>
      <c r="AI274" s="393">
        <f>AI200-AI166</f>
        <v>69861.12413</v>
      </c>
      <c r="AJ274" s="393">
        <f>AJ200-AJ166</f>
        <v>70291.29013</v>
      </c>
      <c r="AK274" s="393">
        <f>AK200-AK166</f>
        <v>70721.44513</v>
      </c>
      <c r="AL274" s="393">
        <f>AL200-AL166</f>
        <v>71151.60563</v>
      </c>
      <c r="AM274" s="393">
        <f>AM200-AM166</f>
        <v>71581.76063</v>
      </c>
      <c r="AN274" s="393">
        <f>AN200-AN166</f>
        <v>86253.70913</v>
      </c>
      <c r="AO274" s="393">
        <f>AO200-AO166</f>
        <v>70817.1885026</v>
      </c>
      <c r="AP274" s="393">
        <f>AP200-AP166</f>
        <v>57005.5610026</v>
      </c>
      <c r="AQ274" s="393">
        <f>AQ200-AQ166</f>
        <v>43193.9335026</v>
      </c>
      <c r="AR274" s="393">
        <f>AR200-AR166</f>
        <v>29382.3005026</v>
      </c>
      <c r="AS274" s="393">
        <f>AS200-AS166</f>
        <v>7757.90500259999</v>
      </c>
      <c r="AT274" s="393">
        <f>AT200-AT166</f>
        <v>-4798.11999739998</v>
      </c>
      <c r="AU274" s="393">
        <f>AU200-AU166</f>
        <v>-17354.1499974</v>
      </c>
      <c r="AV274" s="393">
        <f>AV200-AV166</f>
        <v>-29910.1699974</v>
      </c>
      <c r="AW274" s="393">
        <f>AW200-AW166</f>
        <v>-42950.7814974</v>
      </c>
      <c r="AX274" s="393">
        <f>AX200-AX166</f>
        <v>-2072.77999740001</v>
      </c>
      <c r="AY274" s="393">
        <f>AY200-AY166</f>
        <v>-15019.8549974</v>
      </c>
      <c r="AZ274" s="393">
        <f>AZ200-AZ166</f>
        <v>-40813.2174974</v>
      </c>
      <c r="BA274" s="393">
        <f>BA200-BA166</f>
        <v>-42900.774597348</v>
      </c>
      <c r="BB274" s="393">
        <f>BB200-BB166</f>
        <v>-43330.940597348</v>
      </c>
      <c r="BC274" s="393">
        <f>BC200-BC166</f>
        <v>-43761.0955973479</v>
      </c>
      <c r="BD274" s="393">
        <f>BD200-BD166</f>
        <v>-44191.256097348</v>
      </c>
      <c r="BE274" s="393">
        <f>BE200-BE166</f>
        <v>-44621.416597348</v>
      </c>
      <c r="BF274" s="393">
        <f>BF200-BF166</f>
        <v>-45051.577097348</v>
      </c>
      <c r="BG274" s="393">
        <f>BG200-BG166</f>
        <v>-45481.737597348</v>
      </c>
      <c r="BH274" s="393">
        <f>BH200-BH166</f>
        <v>-45911.898097348</v>
      </c>
      <c r="BI274" s="393">
        <f>BI200-BI166</f>
        <v>-46342.058597348</v>
      </c>
      <c r="BJ274" s="393">
        <f>BJ200-BJ166</f>
        <v>-46772.219097348</v>
      </c>
      <c r="BK274" s="393">
        <f>BK200-BK166</f>
        <v>-47202.379597348</v>
      </c>
      <c r="BL274" s="393">
        <f>BL200-BL166</f>
        <v>-47632.534597348</v>
      </c>
      <c r="BM274" s="393">
        <f>BM200-BM166</f>
        <v>-26252.745129295</v>
      </c>
      <c r="BN274" s="393">
        <f>BN200-BN166</f>
        <v>-26682.905629295</v>
      </c>
      <c r="BO274" s="393">
        <f>BO200-BO166</f>
        <v>26713.223870705</v>
      </c>
      <c r="BP274" s="393">
        <f>BP200-BP166</f>
        <v>-86217.771129295</v>
      </c>
      <c r="BQ274" s="393">
        <f>BQ200-BQ166</f>
        <v>-86217.771129295</v>
      </c>
      <c r="BR274" s="393">
        <f>BR200-BR166</f>
        <v>-32967.421129295</v>
      </c>
      <c r="BS274" s="393">
        <f>BS200-BS166</f>
        <v>-86217.771129295</v>
      </c>
      <c r="BT274" s="393">
        <f>BT200-BT166</f>
        <v>-86217.771129295</v>
      </c>
      <c r="BU274" s="393">
        <f>BU200-BU166</f>
        <v>-18455.771129295</v>
      </c>
      <c r="BV274" s="393">
        <f>BV200-BV166</f>
        <v>-86217.771129295</v>
      </c>
      <c r="BW274" s="393">
        <f>BW200-BW166</f>
        <v>-86217.771129295</v>
      </c>
      <c r="BX274" s="393">
        <f>BX200-BX166</f>
        <v>-18455.771129295</v>
      </c>
      <c r="BY274" s="393">
        <f>BY200-BY166</f>
        <v>-87942.1265518809</v>
      </c>
      <c r="BZ274" s="393">
        <f>BZ200-BZ166</f>
        <v>-87942.1265518809</v>
      </c>
      <c r="CA274" s="393">
        <f>CA200-CA166</f>
        <v>-20180.1265518809</v>
      </c>
      <c r="CB274" s="393">
        <f>CB200-CB166</f>
        <v>-87942.1265518809</v>
      </c>
      <c r="CC274" s="393">
        <f>CC200-CC166</f>
        <v>-87942.1265518809</v>
      </c>
      <c r="CD274" s="393">
        <f>CD200-CD166</f>
        <v>-11443.1265518809</v>
      </c>
      <c r="CE274" s="393">
        <f>CE200-CE166</f>
        <v>-87942.1265518809</v>
      </c>
      <c r="CF274" s="393">
        <f>CF200-CF166</f>
        <v>-87942.1265518809</v>
      </c>
      <c r="CG274" s="393">
        <f>CG200-CG166</f>
        <v>-11443.1265518809</v>
      </c>
      <c r="CH274" s="393">
        <f>CH200-CH166</f>
        <v>-87942.1265518809</v>
      </c>
      <c r="CI274" s="393">
        <f>CI200-CI166</f>
        <v>-87942.1265518809</v>
      </c>
      <c r="CJ274" s="393">
        <f>CJ200-CJ166</f>
        <v>-4835.09994540163</v>
      </c>
      <c r="CK274" s="393">
        <f>CK200-CK166</f>
        <v>68160.0309170815</v>
      </c>
      <c r="CL274" s="393">
        <f>CL200-CL166</f>
        <v>68160.0309170815</v>
      </c>
      <c r="CM274" s="393">
        <f>CM200-CM166</f>
        <v>68160.0309170815</v>
      </c>
      <c r="CN274" s="393">
        <f>CN200-CN166</f>
        <v>68160.0309170815</v>
      </c>
      <c r="CO274" s="393">
        <f>CO200-CO166</f>
        <v>68160.0309170815</v>
      </c>
      <c r="CP274" s="393">
        <f>CP200-CP166</f>
        <v>68160.0309170815</v>
      </c>
      <c r="CQ274" s="393">
        <f>CQ200-CQ166</f>
        <v>68160.0309170815</v>
      </c>
      <c r="CR274" s="393">
        <f>CR200-CR166</f>
        <v>68160.0309170815</v>
      </c>
      <c r="CS274" s="393">
        <f>CS200-CS166</f>
        <v>68160.0309170815</v>
      </c>
      <c r="CT274" s="393">
        <f>CT200-CT166</f>
        <v>70068.524291978</v>
      </c>
      <c r="CU274" s="393">
        <f>CU200-CU166</f>
        <v>70068.524291978</v>
      </c>
      <c r="CV274" s="393">
        <f>CV200-CV166</f>
        <v>70068.524291978</v>
      </c>
      <c r="CW274" s="393">
        <f>CW200-CW166</f>
        <v>124020.82584141</v>
      </c>
      <c r="CX274" s="393">
        <f>CX200-CX166</f>
        <v>141467.674777818</v>
      </c>
      <c r="CY274" s="393">
        <f>CY200-CY166</f>
        <v>141467.674777818</v>
      </c>
      <c r="CZ274" s="393">
        <f>CZ200-CZ166</f>
        <v>141467.674777818</v>
      </c>
      <c r="DA274" s="393">
        <f>DA200-DA166</f>
        <v>141467.674777818</v>
      </c>
      <c r="DB274" s="393">
        <f>DB200-DB166</f>
        <v>141467.674777818</v>
      </c>
      <c r="DC274" s="393">
        <f>DC200-DC166</f>
        <v>141467.674777818</v>
      </c>
      <c r="DD274" s="393">
        <f>DD200-DD166</f>
        <v>141467.674777818</v>
      </c>
      <c r="DE274" s="393">
        <f>DE200-DE166</f>
        <v>141467.674777818</v>
      </c>
    </row>
    <row r="275" ht="15" customFormat="1" customHeight="1" s="381">
      <c r="A275" s="398" t="inlineStr">
        <is>
          <t>Debt Facility Payment</t>
        </is>
      </c>
      <c r="B275" s="393" t="n"/>
      <c r="C275" s="393" t="n"/>
      <c r="D275" s="393" t="n"/>
      <c r="E275" s="393" t="n"/>
      <c r="F275" s="393" t="n"/>
      <c r="G275" s="393" t="n"/>
      <c r="H275" s="393">
        <f>H217</f>
        <v>0</v>
      </c>
      <c r="I275" s="393">
        <f>I217</f>
        <v>0</v>
      </c>
      <c r="J275" s="393">
        <f>J217</f>
        <v>0</v>
      </c>
      <c r="K275" s="393">
        <f>K217</f>
        <v>0</v>
      </c>
      <c r="L275" s="393">
        <f>L217</f>
        <v>0</v>
      </c>
      <c r="M275" s="393">
        <f>M217</f>
        <v>0</v>
      </c>
      <c r="N275" s="393">
        <f>N217</f>
        <v>-112000</v>
      </c>
      <c r="O275" s="393">
        <f>O217</f>
        <v>-112000</v>
      </c>
      <c r="P275" s="393">
        <f>P217</f>
        <v>-112000</v>
      </c>
      <c r="Q275" s="393">
        <f>Q217</f>
        <v>-112000</v>
      </c>
      <c r="R275" s="393">
        <f>R217</f>
        <v>-112000</v>
      </c>
      <c r="S275" s="393">
        <f>S217</f>
        <v>-112000</v>
      </c>
      <c r="T275" s="393">
        <f>T217</f>
        <v>-112000</v>
      </c>
      <c r="U275" s="393">
        <f>U217</f>
        <v>-112000</v>
      </c>
      <c r="V275" s="393">
        <f>V217</f>
        <v>-112000</v>
      </c>
      <c r="W275" s="393">
        <f>W217</f>
        <v>-112000</v>
      </c>
      <c r="X275" s="393">
        <f>X217</f>
        <v>-112000</v>
      </c>
      <c r="Y275" s="393">
        <f>Y217</f>
        <v>-112000</v>
      </c>
      <c r="Z275" s="393">
        <f>Z217</f>
        <v>-112000</v>
      </c>
      <c r="AA275" s="393">
        <f>AA217</f>
        <v>-112000</v>
      </c>
      <c r="AB275" s="393">
        <f>AB217</f>
        <v>-112000</v>
      </c>
      <c r="AC275" s="393">
        <f>AC217</f>
        <v>-112000</v>
      </c>
      <c r="AD275" s="393">
        <f>AD217</f>
        <v>-112000</v>
      </c>
      <c r="AE275" s="393">
        <f>AE217</f>
        <v>-91981.4302785977</v>
      </c>
      <c r="AF275" s="393">
        <f>AF217</f>
        <v>0</v>
      </c>
      <c r="AG275" s="393">
        <f>AG217</f>
        <v>0</v>
      </c>
      <c r="AH275" s="393">
        <f>AH217</f>
        <v>0</v>
      </c>
      <c r="AI275" s="393">
        <f>AI217</f>
        <v>0</v>
      </c>
      <c r="AJ275" s="393">
        <f>AJ217</f>
        <v>0</v>
      </c>
      <c r="AK275" s="393">
        <f>AK217</f>
        <v>0</v>
      </c>
      <c r="AL275" s="393">
        <f>AL217</f>
        <v>0</v>
      </c>
      <c r="AM275" s="393">
        <f>AM217</f>
        <v>0</v>
      </c>
      <c r="AN275" s="393">
        <f>AN217</f>
        <v>0</v>
      </c>
      <c r="AO275" s="393">
        <f>AO217</f>
        <v>0</v>
      </c>
      <c r="AP275" s="393">
        <f>AP217</f>
        <v>0</v>
      </c>
      <c r="AQ275" s="393">
        <f>AQ217</f>
        <v>0</v>
      </c>
      <c r="AR275" s="393">
        <f>AR217</f>
        <v>0</v>
      </c>
      <c r="AS275" s="393">
        <f>AS217</f>
        <v>0</v>
      </c>
      <c r="AT275" s="393">
        <f>AT217</f>
        <v>0</v>
      </c>
      <c r="AU275" s="393">
        <f>AU217</f>
        <v>0</v>
      </c>
      <c r="AV275" s="393">
        <f>AV217</f>
        <v>0</v>
      </c>
      <c r="AW275" s="393">
        <f>AW217</f>
        <v>0</v>
      </c>
      <c r="AX275" s="393">
        <f>AX217</f>
        <v>0</v>
      </c>
      <c r="AY275" s="393">
        <f>AY217</f>
        <v>0</v>
      </c>
      <c r="AZ275" s="393">
        <f>AZ217</f>
        <v>0</v>
      </c>
      <c r="BA275" s="393">
        <f>BA217</f>
        <v>0</v>
      </c>
      <c r="BB275" s="393">
        <f>BB217</f>
        <v>0</v>
      </c>
      <c r="BC275" s="393">
        <f>BC217</f>
        <v>0</v>
      </c>
      <c r="BD275" s="393">
        <f>BD217</f>
        <v>0</v>
      </c>
      <c r="BE275" s="393">
        <f>BE217</f>
        <v>0</v>
      </c>
      <c r="BF275" s="393">
        <f>BF217</f>
        <v>0</v>
      </c>
      <c r="BG275" s="393">
        <f>BG217</f>
        <v>0</v>
      </c>
      <c r="BH275" s="393">
        <f>BH217</f>
        <v>0</v>
      </c>
      <c r="BI275" s="393">
        <f>BI217</f>
        <v>0</v>
      </c>
      <c r="BJ275" s="393">
        <f>BJ217</f>
        <v>0</v>
      </c>
      <c r="BK275" s="393">
        <f>BK217</f>
        <v>0</v>
      </c>
      <c r="BL275" s="393">
        <f>BL217</f>
        <v>0</v>
      </c>
      <c r="BM275" s="393">
        <f>BM217</f>
        <v>0</v>
      </c>
      <c r="BN275" s="393">
        <f>BN217</f>
        <v>0</v>
      </c>
      <c r="BO275" s="393">
        <f>BO217</f>
        <v>0</v>
      </c>
      <c r="BP275" s="393">
        <f>BP217</f>
        <v>0</v>
      </c>
      <c r="BQ275" s="393">
        <f>BQ217</f>
        <v>0</v>
      </c>
      <c r="BR275" s="393">
        <f>BR217</f>
        <v>0</v>
      </c>
      <c r="BS275" s="393">
        <f>BS217</f>
        <v>0</v>
      </c>
      <c r="BT275" s="393">
        <f>BT217</f>
        <v>0</v>
      </c>
      <c r="BU275" s="393">
        <f>BU217</f>
        <v>0</v>
      </c>
      <c r="BV275" s="393">
        <f>BV217</f>
        <v>0</v>
      </c>
      <c r="BW275" s="393">
        <f>BW217</f>
        <v>0</v>
      </c>
      <c r="BX275" s="393">
        <f>BX217</f>
        <v>0</v>
      </c>
      <c r="BY275" s="393">
        <f>BY217</f>
        <v>0</v>
      </c>
      <c r="BZ275" s="393">
        <f>BZ217</f>
        <v>0</v>
      </c>
      <c r="CA275" s="393">
        <f>CA217</f>
        <v>0</v>
      </c>
      <c r="CB275" s="393">
        <f>CB217</f>
        <v>0</v>
      </c>
      <c r="CC275" s="393">
        <f>CC217</f>
        <v>0</v>
      </c>
      <c r="CD275" s="393">
        <f>CD217</f>
        <v>0</v>
      </c>
      <c r="CE275" s="393">
        <f>CE217</f>
        <v>0</v>
      </c>
      <c r="CF275" s="393">
        <f>CF217</f>
        <v>0</v>
      </c>
      <c r="CG275" s="393">
        <f>CG217</f>
        <v>0</v>
      </c>
      <c r="CH275" s="393">
        <f>CH217</f>
        <v>0</v>
      </c>
      <c r="CI275" s="393">
        <f>CI217</f>
        <v>0</v>
      </c>
      <c r="CJ275" s="393">
        <f>CJ217</f>
        <v>0</v>
      </c>
      <c r="CK275" s="393">
        <f>CK217</f>
        <v>0</v>
      </c>
      <c r="CL275" s="393">
        <f>CL217</f>
        <v>0</v>
      </c>
      <c r="CM275" s="393">
        <f>CM217</f>
        <v>0</v>
      </c>
      <c r="CN275" s="393">
        <f>CN217</f>
        <v>0</v>
      </c>
      <c r="CO275" s="393">
        <f>CO217</f>
        <v>0</v>
      </c>
      <c r="CP275" s="393">
        <f>CP217</f>
        <v>0</v>
      </c>
      <c r="CQ275" s="393">
        <f>CQ217</f>
        <v>0</v>
      </c>
      <c r="CR275" s="393">
        <f>CR217</f>
        <v>0</v>
      </c>
      <c r="CS275" s="393">
        <f>CS217</f>
        <v>0</v>
      </c>
      <c r="CT275" s="393">
        <f>CT217</f>
        <v>0</v>
      </c>
      <c r="CU275" s="393">
        <f>CU217</f>
        <v>0</v>
      </c>
      <c r="CV275" s="393">
        <f>CV217</f>
        <v>0</v>
      </c>
      <c r="CW275" s="393">
        <f>CW217</f>
        <v>0</v>
      </c>
      <c r="CX275" s="393">
        <f>CX217</f>
        <v>0</v>
      </c>
      <c r="CY275" s="393">
        <f>CY217</f>
        <v>0</v>
      </c>
      <c r="CZ275" s="393">
        <f>CZ217</f>
        <v>0</v>
      </c>
      <c r="DA275" s="393">
        <f>DA217</f>
        <v>0</v>
      </c>
      <c r="DB275" s="393">
        <f>DB217</f>
        <v>0</v>
      </c>
      <c r="DC275" s="393">
        <f>DC217</f>
        <v>0</v>
      </c>
      <c r="DD275" s="393">
        <f>DD217</f>
        <v>0</v>
      </c>
      <c r="DE275" s="393">
        <f>DE217</f>
        <v>0</v>
      </c>
    </row>
    <row r="276" ht="15" customFormat="1" customHeight="1" s="381">
      <c r="A276" s="398" t="inlineStr">
        <is>
          <t>Row Run Capital Payment</t>
        </is>
      </c>
      <c r="B276" s="393" t="n"/>
      <c r="C276" s="393" t="n"/>
      <c r="D276" s="393" t="n"/>
      <c r="E276" s="393" t="n"/>
      <c r="F276" s="393" t="n"/>
      <c r="G276" s="393" t="n"/>
      <c r="H276" s="393">
        <f>H223</f>
        <v>0</v>
      </c>
      <c r="I276" s="393">
        <f>I223</f>
        <v>0</v>
      </c>
      <c r="J276" s="393">
        <f>J223</f>
        <v>0</v>
      </c>
      <c r="K276" s="393">
        <f>K223</f>
        <v>0</v>
      </c>
      <c r="L276" s="393">
        <f>L223</f>
        <v>0</v>
      </c>
      <c r="M276" s="393">
        <f>M223</f>
        <v>0</v>
      </c>
      <c r="N276" s="393">
        <f>N223</f>
        <v>0</v>
      </c>
      <c r="O276" s="393">
        <f>O223</f>
        <v>0</v>
      </c>
      <c r="P276" s="393">
        <f>P223</f>
        <v>0</v>
      </c>
      <c r="Q276" s="393">
        <f>Q223</f>
        <v>0</v>
      </c>
      <c r="R276" s="393">
        <f>R223</f>
        <v>0</v>
      </c>
      <c r="S276" s="393">
        <f>S223</f>
        <v>0</v>
      </c>
      <c r="T276" s="393">
        <f>T223</f>
        <v>0</v>
      </c>
      <c r="U276" s="393">
        <f>U223</f>
        <v>0</v>
      </c>
      <c r="V276" s="393">
        <f>V223</f>
        <v>0</v>
      </c>
      <c r="W276" s="393">
        <f>W223</f>
        <v>0</v>
      </c>
      <c r="X276" s="393">
        <f>X223</f>
        <v>0</v>
      </c>
      <c r="Y276" s="393">
        <f>Y223</f>
        <v>0</v>
      </c>
      <c r="Z276" s="393">
        <f>Z223</f>
        <v>0</v>
      </c>
      <c r="AA276" s="393">
        <f>AA223</f>
        <v>-250000</v>
      </c>
      <c r="AB276" s="393">
        <f>AB223</f>
        <v>0</v>
      </c>
      <c r="AC276" s="393">
        <f>AC223</f>
        <v>0</v>
      </c>
      <c r="AD276" s="393">
        <f>AD223</f>
        <v>0</v>
      </c>
      <c r="AE276" s="393">
        <f>AE223</f>
        <v>0</v>
      </c>
      <c r="AF276" s="393">
        <f>AF223</f>
        <v>0</v>
      </c>
      <c r="AG276" s="393">
        <f>AG223</f>
        <v>0</v>
      </c>
      <c r="AH276" s="393">
        <f>AH223</f>
        <v>0</v>
      </c>
      <c r="AI276" s="393">
        <f>AI223</f>
        <v>0</v>
      </c>
      <c r="AJ276" s="393">
        <f>AJ223</f>
        <v>0</v>
      </c>
      <c r="AK276" s="393">
        <f>AK223</f>
        <v>0</v>
      </c>
      <c r="AL276" s="393">
        <f>AL223</f>
        <v>0</v>
      </c>
      <c r="AM276" s="393">
        <f>AM223</f>
        <v>-250000</v>
      </c>
      <c r="AN276" s="393">
        <f>AN223</f>
        <v>0</v>
      </c>
      <c r="AO276" s="393">
        <f>AO223</f>
        <v>0</v>
      </c>
      <c r="AP276" s="393">
        <f>AP223</f>
        <v>0</v>
      </c>
      <c r="AQ276" s="393">
        <f>AQ223</f>
        <v>0</v>
      </c>
      <c r="AR276" s="393">
        <f>AR223</f>
        <v>0</v>
      </c>
      <c r="AS276" s="393">
        <f>AS223</f>
        <v>0</v>
      </c>
      <c r="AT276" s="393">
        <f>AT223</f>
        <v>0</v>
      </c>
      <c r="AU276" s="393">
        <f>AU223</f>
        <v>0</v>
      </c>
      <c r="AV276" s="393">
        <f>AV223</f>
        <v>0</v>
      </c>
      <c r="AW276" s="393">
        <f>AW223</f>
        <v>0</v>
      </c>
      <c r="AX276" s="393">
        <f>AX223</f>
        <v>0</v>
      </c>
      <c r="AY276" s="393">
        <f>AY223</f>
        <v>-250000</v>
      </c>
      <c r="AZ276" s="393">
        <f>AZ223</f>
        <v>0</v>
      </c>
      <c r="BA276" s="393">
        <f>BA223</f>
        <v>0</v>
      </c>
      <c r="BB276" s="393">
        <f>BB223</f>
        <v>0</v>
      </c>
      <c r="BC276" s="393">
        <f>BC223</f>
        <v>0</v>
      </c>
      <c r="BD276" s="393">
        <f>BD223</f>
        <v>0</v>
      </c>
      <c r="BE276" s="393">
        <f>BE223</f>
        <v>0</v>
      </c>
      <c r="BF276" s="393">
        <f>BF223</f>
        <v>0</v>
      </c>
      <c r="BG276" s="393">
        <f>BG223</f>
        <v>0</v>
      </c>
      <c r="BH276" s="393">
        <f>BH223</f>
        <v>0</v>
      </c>
      <c r="BI276" s="393">
        <f>BI223</f>
        <v>0</v>
      </c>
      <c r="BJ276" s="393">
        <f>BJ223</f>
        <v>0</v>
      </c>
      <c r="BK276" s="393">
        <f>BK223</f>
        <v>-250000</v>
      </c>
      <c r="BL276" s="393">
        <f>BL223</f>
        <v>0</v>
      </c>
      <c r="BM276" s="393">
        <f>BM223</f>
        <v>0</v>
      </c>
      <c r="BN276" s="393">
        <f>BN223</f>
        <v>0</v>
      </c>
      <c r="BO276" s="393">
        <f>BO223</f>
        <v>0</v>
      </c>
      <c r="BP276" s="393">
        <f>BP223</f>
        <v>0</v>
      </c>
      <c r="BQ276" s="393">
        <f>BQ223</f>
        <v>0</v>
      </c>
      <c r="BR276" s="393">
        <f>BR223</f>
        <v>0</v>
      </c>
      <c r="BS276" s="393">
        <f>BS223</f>
        <v>0</v>
      </c>
      <c r="BT276" s="393">
        <f>BT223</f>
        <v>0</v>
      </c>
      <c r="BU276" s="393">
        <f>BU223</f>
        <v>0</v>
      </c>
      <c r="BV276" s="393">
        <f>BV223</f>
        <v>0</v>
      </c>
      <c r="BW276" s="393">
        <f>BW223</f>
        <v>0</v>
      </c>
      <c r="BX276" s="393">
        <f>BX223</f>
        <v>0</v>
      </c>
      <c r="BY276" s="393">
        <f>BY223</f>
        <v>0</v>
      </c>
      <c r="BZ276" s="393">
        <f>BZ223</f>
        <v>0</v>
      </c>
      <c r="CA276" s="393">
        <f>CA223</f>
        <v>0</v>
      </c>
      <c r="CB276" s="393">
        <f>CB223</f>
        <v>0</v>
      </c>
      <c r="CC276" s="393">
        <f>CC223</f>
        <v>0</v>
      </c>
      <c r="CD276" s="393">
        <f>CD223</f>
        <v>0</v>
      </c>
      <c r="CE276" s="393">
        <f>CE223</f>
        <v>0</v>
      </c>
      <c r="CF276" s="393">
        <f>CF223</f>
        <v>0</v>
      </c>
      <c r="CG276" s="393">
        <f>CG223</f>
        <v>0</v>
      </c>
      <c r="CH276" s="393">
        <f>CH223</f>
        <v>0</v>
      </c>
      <c r="CI276" s="393">
        <f>CI223</f>
        <v>0</v>
      </c>
      <c r="CJ276" s="393">
        <f>CJ223</f>
        <v>0</v>
      </c>
      <c r="CK276" s="393">
        <f>CK223</f>
        <v>0</v>
      </c>
      <c r="CL276" s="393">
        <f>CL223</f>
        <v>0</v>
      </c>
      <c r="CM276" s="393">
        <f>CM223</f>
        <v>0</v>
      </c>
      <c r="CN276" s="393">
        <f>CN223</f>
        <v>0</v>
      </c>
      <c r="CO276" s="393">
        <f>CO223</f>
        <v>0</v>
      </c>
      <c r="CP276" s="393">
        <f>CP223</f>
        <v>0</v>
      </c>
      <c r="CQ276" s="393">
        <f>CQ223</f>
        <v>0</v>
      </c>
      <c r="CR276" s="393">
        <f>CR223</f>
        <v>0</v>
      </c>
      <c r="CS276" s="393">
        <f>CS223</f>
        <v>0</v>
      </c>
      <c r="CT276" s="393">
        <f>CT223</f>
        <v>0</v>
      </c>
      <c r="CU276" s="393">
        <f>CU223</f>
        <v>0</v>
      </c>
      <c r="CV276" s="393">
        <f>CV223</f>
        <v>0</v>
      </c>
      <c r="CW276" s="393">
        <f>CW223</f>
        <v>0</v>
      </c>
      <c r="CX276" s="393">
        <f>CX223</f>
        <v>0</v>
      </c>
      <c r="CY276" s="393">
        <f>CY223</f>
        <v>0</v>
      </c>
      <c r="CZ276" s="393">
        <f>CZ223</f>
        <v>0</v>
      </c>
      <c r="DA276" s="393">
        <f>DA223</f>
        <v>0</v>
      </c>
      <c r="DB276" s="393">
        <f>DB223</f>
        <v>0</v>
      </c>
      <c r="DC276" s="393">
        <f>DC223</f>
        <v>0</v>
      </c>
      <c r="DD276" s="393">
        <f>DD223</f>
        <v>0</v>
      </c>
      <c r="DE276" s="393">
        <f>DE223</f>
        <v>0</v>
      </c>
    </row>
    <row r="277" ht="15" customFormat="1" customHeight="1" s="381">
      <c r="A277" s="398" t="inlineStr">
        <is>
          <t>PIK Repayment (included in SP Expenses above)</t>
        </is>
      </c>
      <c r="B277" s="393" t="n"/>
      <c r="C277" s="393" t="n"/>
      <c r="D277" s="393" t="n"/>
      <c r="E277" s="393" t="n"/>
      <c r="F277" s="393" t="n"/>
      <c r="G277" s="393" t="n"/>
      <c r="H277" s="393" t="n">
        <v>0</v>
      </c>
      <c r="I277" s="393" t="n">
        <v>0</v>
      </c>
      <c r="J277" s="393" t="n">
        <v>0</v>
      </c>
      <c r="K277" s="393" t="n">
        <v>0</v>
      </c>
      <c r="L277" s="393" t="n">
        <v>0</v>
      </c>
      <c r="M277" s="393" t="n">
        <v>0</v>
      </c>
      <c r="N277" s="393" t="n">
        <v>0</v>
      </c>
      <c r="O277" s="393" t="n">
        <v>0</v>
      </c>
      <c r="P277" s="393" t="n">
        <v>0</v>
      </c>
      <c r="Q277" s="393" t="n">
        <v>0</v>
      </c>
      <c r="R277" s="393" t="n">
        <v>0</v>
      </c>
      <c r="S277" s="393" t="n">
        <v>0</v>
      </c>
      <c r="T277" s="393" t="n">
        <v>0</v>
      </c>
      <c r="U277" s="393" t="n">
        <v>0</v>
      </c>
      <c r="V277" s="393" t="n">
        <v>0</v>
      </c>
      <c r="W277" s="393" t="n">
        <v>0</v>
      </c>
      <c r="X277" s="393" t="n">
        <v>0</v>
      </c>
      <c r="Y277" s="393" t="n">
        <v>0</v>
      </c>
      <c r="Z277" s="393" t="n">
        <v>0</v>
      </c>
      <c r="AA277" s="393" t="n">
        <v>0</v>
      </c>
      <c r="AB277" s="393" t="n">
        <v>0</v>
      </c>
      <c r="AC277" s="393" t="n">
        <v>0</v>
      </c>
      <c r="AD277" s="393" t="n">
        <v>0</v>
      </c>
      <c r="AE277" s="393" t="n">
        <v>0</v>
      </c>
      <c r="AF277" s="393" t="n">
        <v>0</v>
      </c>
      <c r="AG277" s="393" t="n">
        <v>0</v>
      </c>
      <c r="AH277" s="393" t="n">
        <v>0</v>
      </c>
      <c r="AI277" s="393" t="n">
        <v>0</v>
      </c>
      <c r="AJ277" s="393" t="n">
        <v>0</v>
      </c>
      <c r="AK277" s="393" t="n">
        <v>0</v>
      </c>
      <c r="AL277" s="393" t="n">
        <v>0</v>
      </c>
      <c r="AM277" s="393" t="n">
        <v>0</v>
      </c>
      <c r="AN277" s="393" t="n">
        <v>0</v>
      </c>
      <c r="AO277" s="393" t="n">
        <v>0</v>
      </c>
      <c r="AP277" s="393" t="n">
        <v>0</v>
      </c>
      <c r="AQ277" s="393" t="n">
        <v>0</v>
      </c>
      <c r="AR277" s="393" t="n">
        <v>0</v>
      </c>
      <c r="AS277" s="393" t="n">
        <v>0</v>
      </c>
      <c r="AT277" s="393" t="n">
        <v>0</v>
      </c>
      <c r="AU277" s="393" t="n">
        <v>0</v>
      </c>
      <c r="AV277" s="393" t="n">
        <v>0</v>
      </c>
      <c r="AW277" s="393" t="n">
        <v>0</v>
      </c>
      <c r="AX277" s="393" t="n">
        <v>0</v>
      </c>
      <c r="AY277" s="393" t="n">
        <v>0</v>
      </c>
      <c r="AZ277" s="393" t="n">
        <v>0</v>
      </c>
      <c r="BA277" s="393" t="n">
        <v>0</v>
      </c>
      <c r="BB277" s="393" t="n">
        <v>0</v>
      </c>
      <c r="BC277" s="393" t="n">
        <v>0</v>
      </c>
      <c r="BD277" s="393" t="n">
        <v>0</v>
      </c>
      <c r="BE277" s="393" t="n">
        <v>0</v>
      </c>
      <c r="BF277" s="393" t="n">
        <v>0</v>
      </c>
      <c r="BG277" s="393" t="n">
        <v>0</v>
      </c>
      <c r="BH277" s="393" t="n">
        <v>0</v>
      </c>
      <c r="BI277" s="393" t="n">
        <v>0</v>
      </c>
      <c r="BJ277" s="393" t="n">
        <v>0</v>
      </c>
      <c r="BK277" s="393" t="n">
        <v>0</v>
      </c>
      <c r="BL277" s="393" t="n">
        <v>0</v>
      </c>
      <c r="BM277" s="393" t="n">
        <v>0</v>
      </c>
      <c r="BN277" s="393" t="n">
        <v>0</v>
      </c>
      <c r="BO277" s="393" t="n">
        <v>0</v>
      </c>
      <c r="BP277" s="393" t="n">
        <v>0</v>
      </c>
      <c r="BQ277" s="393" t="n">
        <v>0</v>
      </c>
      <c r="BR277" s="393" t="n">
        <v>0</v>
      </c>
      <c r="BS277" s="393" t="n">
        <v>0</v>
      </c>
      <c r="BT277" s="393" t="n">
        <v>0</v>
      </c>
      <c r="BU277" s="393" t="n">
        <v>0</v>
      </c>
      <c r="BV277" s="393" t="n">
        <v>0</v>
      </c>
      <c r="BW277" s="393" t="n">
        <v>0</v>
      </c>
      <c r="BX277" s="393" t="n">
        <v>0</v>
      </c>
      <c r="BY277" s="393" t="n">
        <v>0</v>
      </c>
      <c r="BZ277" s="393" t="n">
        <v>0</v>
      </c>
      <c r="CA277" s="393" t="n">
        <v>0</v>
      </c>
      <c r="CB277" s="393" t="n">
        <v>0</v>
      </c>
      <c r="CC277" s="393" t="n">
        <v>0</v>
      </c>
      <c r="CD277" s="393" t="n">
        <v>0</v>
      </c>
      <c r="CE277" s="393" t="n">
        <v>0</v>
      </c>
      <c r="CF277" s="393" t="n">
        <v>0</v>
      </c>
      <c r="CG277" s="393" t="n">
        <v>0</v>
      </c>
      <c r="CH277" s="393" t="n">
        <v>0</v>
      </c>
      <c r="CI277" s="393" t="n">
        <v>0</v>
      </c>
      <c r="CJ277" s="393" t="n">
        <v>0</v>
      </c>
      <c r="CK277" s="393" t="n">
        <v>0</v>
      </c>
      <c r="CL277" s="393" t="n">
        <v>0</v>
      </c>
      <c r="CM277" s="393" t="n">
        <v>0</v>
      </c>
      <c r="CN277" s="393" t="n">
        <v>0</v>
      </c>
      <c r="CO277" s="393" t="n">
        <v>0</v>
      </c>
      <c r="CP277" s="393" t="n">
        <v>0</v>
      </c>
      <c r="CQ277" s="393" t="n">
        <v>0</v>
      </c>
      <c r="CR277" s="393" t="n">
        <v>0</v>
      </c>
      <c r="CS277" s="393" t="n">
        <v>0</v>
      </c>
      <c r="CT277" s="393" t="n"/>
      <c r="CU277" s="393" t="n"/>
      <c r="CV277" s="393" t="n"/>
      <c r="CW277" s="393" t="n"/>
      <c r="CX277" s="393" t="n"/>
      <c r="CY277" s="393" t="n"/>
      <c r="CZ277" s="393" t="n"/>
      <c r="DA277" s="393" t="n"/>
      <c r="DB277" s="393" t="n"/>
      <c r="DC277" s="393" t="n"/>
      <c r="DD277" s="393" t="n"/>
      <c r="DE277" s="393" t="n"/>
    </row>
    <row r="278" ht="15" customFormat="1" customHeight="1" s="381">
      <c r="A278" s="447" t="inlineStr">
        <is>
          <t>SP Ending Cash</t>
        </is>
      </c>
      <c r="B278" s="448" t="n"/>
      <c r="C278" s="448" t="n"/>
      <c r="D278" s="448" t="n"/>
      <c r="E278" s="448" t="n"/>
      <c r="F278" s="448" t="n"/>
      <c r="G278" s="448" t="n"/>
      <c r="H278" s="448">
        <f>H273+H274+H275+H276+H277</f>
        <v>133317.131190476</v>
      </c>
      <c r="I278" s="448">
        <f>I273+I274+I275+I276+I277</f>
        <v>107863.262380952</v>
      </c>
      <c r="J278" s="448">
        <f>J273+J274+J275+J276+J277</f>
        <v>85326.0635714286</v>
      </c>
      <c r="K278" s="448">
        <f>K273+K274+K275+K276+K277</f>
        <v>62788.8647619047</v>
      </c>
      <c r="L278" s="448">
        <f>L273+L274+L275+L276+L277</f>
        <v>30876.6659523809</v>
      </c>
      <c r="M278" s="448">
        <f>M273+M274+M275+M276+M277</f>
        <v>-3785.53285714291</v>
      </c>
      <c r="N278" s="448">
        <f>N273+N274+N275+N276+N277</f>
        <v>38613.3583333333</v>
      </c>
      <c r="O278" s="448">
        <f>O273+O274+O275+O276+O277</f>
        <v>-76346.7733333334</v>
      </c>
      <c r="P278" s="448">
        <f>P273+P274+P275+P276+P277</f>
        <v>-190056.905</v>
      </c>
      <c r="Q278" s="448">
        <f>Q273+Q274+Q275+Q276+Q277</f>
        <v>-282196.6081</v>
      </c>
      <c r="R278" s="448">
        <f>R273+R274+R275+R276+R277</f>
        <v>-380586.5112</v>
      </c>
      <c r="S278" s="448">
        <f>S273+S274+S275+S276+S277</f>
        <v>-478976.4143</v>
      </c>
      <c r="T278" s="448">
        <f>T273+T274+T275+T276+T277</f>
        <v>-605272.5674</v>
      </c>
      <c r="U278" s="448">
        <f>U273+U274+U275+U276+U277</f>
        <v>-732068.7205</v>
      </c>
      <c r="V278" s="448">
        <f>V273+V274+V275+V276+V277</f>
        <v>-858864.8736</v>
      </c>
      <c r="W278" s="448">
        <f>W273+W274+W275+W276+W277</f>
        <v>-969088.7643</v>
      </c>
      <c r="X278" s="448">
        <f>X273+X274+X275+X276+X277</f>
        <v>-1064087.3926</v>
      </c>
      <c r="Y278" s="448">
        <f>Y273+Y274+Y275+Y276+Y277</f>
        <v>-1085138.7585</v>
      </c>
      <c r="Z278" s="448">
        <f>Z273+Z274+Z275+Z276+Z277</f>
        <v>-1171380.648</v>
      </c>
      <c r="AA278" s="448">
        <f>AA273+AA274+AA275+AA276+AA277</f>
        <v>-1492086.0355</v>
      </c>
      <c r="AB278" s="448">
        <f>AB273+AB274+AB275+AB276+AB277</f>
        <v>-1489879.933</v>
      </c>
      <c r="AC278" s="448">
        <f>AC273+AC274+AC275+AC276+AC277</f>
        <v>-1531105.37837</v>
      </c>
      <c r="AD278" s="448">
        <f>AD273+AD274+AD275+AD276+AD277</f>
        <v>-1556794.32774</v>
      </c>
      <c r="AE278" s="448">
        <f>AE273+AE274+AE275+AE276+AE277</f>
        <v>-1489553.2053886</v>
      </c>
      <c r="AF278" s="448">
        <f>AF273+AF274+AF275+AF276+AF277</f>
        <v>-1384914.5597586</v>
      </c>
      <c r="AG278" s="448">
        <f>AG273+AG274+AG275+AG276+AG277</f>
        <v>-1289718.3306286</v>
      </c>
      <c r="AH278" s="448">
        <f>AH273+AH274+AH275+AH276+AH277</f>
        <v>-1161231.9764986</v>
      </c>
      <c r="AI278" s="448">
        <f>AI273+AI274+AI275+AI276+AI277</f>
        <v>-1091370.8523686</v>
      </c>
      <c r="AJ278" s="448">
        <f>AJ273+AJ274+AJ275+AJ276+AJ277</f>
        <v>-1021079.5622386</v>
      </c>
      <c r="AK278" s="448">
        <f>AK273+AK274+AK275+AK276+AK277</f>
        <v>-950358.117108598</v>
      </c>
      <c r="AL278" s="448">
        <f>AL273+AL274+AL275+AL276+AL277</f>
        <v>-879206.511478598</v>
      </c>
      <c r="AM278" s="448">
        <f>AM273+AM274+AM275+AM276+AM277</f>
        <v>-1057624.7508486</v>
      </c>
      <c r="AN278" s="448">
        <f>AN273+AN274+AN275+AN276+AN277</f>
        <v>-971371.041718598</v>
      </c>
      <c r="AO278" s="448">
        <f>AO273+AO274+AO275+AO276+AO277</f>
        <v>-900553.853215998</v>
      </c>
      <c r="AP278" s="448">
        <f>AP273+AP274+AP275+AP276+AP277</f>
        <v>-843548.292213398</v>
      </c>
      <c r="AQ278" s="448">
        <f>AQ273+AQ274+AQ275+AQ276+AQ277</f>
        <v>-800354.358710798</v>
      </c>
      <c r="AR278" s="448">
        <f>AR273+AR274+AR275+AR276+AR277</f>
        <v>-770972.058208198</v>
      </c>
      <c r="AS278" s="448">
        <f>AS273+AS274+AS275+AS276+AS277</f>
        <v>-763214.153205598</v>
      </c>
      <c r="AT278" s="448">
        <f>AT273+AT274+AT275+AT276+AT277</f>
        <v>-768012.273202998</v>
      </c>
      <c r="AU278" s="448">
        <f>AU273+AU274+AU275+AU276+AU277</f>
        <v>-785366.423200398</v>
      </c>
      <c r="AV278" s="448">
        <f>AV273+AV274+AV275+AV276+AV277</f>
        <v>-815276.593197798</v>
      </c>
      <c r="AW278" s="448">
        <f>AW273+AW274+AW275+AW276+AW277</f>
        <v>-858227.374695198</v>
      </c>
      <c r="AX278" s="448">
        <f>AX273+AX274+AX275+AX276+AX277</f>
        <v>-860300.154692598</v>
      </c>
      <c r="AY278" s="448">
        <f>AY273+AY274+AY275+AY276+AY277</f>
        <v>-1125320.00969</v>
      </c>
      <c r="AZ278" s="448">
        <f>AZ273+AZ274+AZ275+AZ276+AZ277</f>
        <v>-1166133.2271874</v>
      </c>
      <c r="BA278" s="448">
        <f>BA273+BA274+BA275+BA276+BA277</f>
        <v>-1209034.00178475</v>
      </c>
      <c r="BB278" s="448">
        <f>BB273+BB274+BB275+BB276+BB277</f>
        <v>-1252364.94238209</v>
      </c>
      <c r="BC278" s="448">
        <f>BC273+BC274+BC275+BC276+BC277</f>
        <v>-1296126.03797944</v>
      </c>
      <c r="BD278" s="448">
        <f>BD273+BD274+BD275+BD276+BD277</f>
        <v>-1340317.29407679</v>
      </c>
      <c r="BE278" s="448">
        <f>BE273+BE274+BE275+BE276+BE277</f>
        <v>-1384938.71067414</v>
      </c>
      <c r="BF278" s="448">
        <f>BF273+BF274+BF275+BF276+BF277</f>
        <v>-1429990.28777149</v>
      </c>
      <c r="BG278" s="448">
        <f>BG273+BG274+BG275+BG276+BG277</f>
        <v>-1475472.02536883</v>
      </c>
      <c r="BH278" s="448">
        <f>BH273+BH274+BH275+BH276+BH277</f>
        <v>-1521383.92346618</v>
      </c>
      <c r="BI278" s="448">
        <f>BI273+BI274+BI275+BI276+BI277</f>
        <v>-1567725.98206353</v>
      </c>
      <c r="BJ278" s="448">
        <f>BJ273+BJ274+BJ275+BJ276+BJ277</f>
        <v>-1614498.20116088</v>
      </c>
      <c r="BK278" s="448">
        <f>BK273+BK274+BK275+BK276+BK277</f>
        <v>-1911700.58075823</v>
      </c>
      <c r="BL278" s="448">
        <f>BL273+BL274+BL275+BL276+BL277</f>
        <v>-1959333.11535557</v>
      </c>
      <c r="BM278" s="448">
        <f>BM273+BM274+BM275+BM276+BM277</f>
        <v>-1985585.86048487</v>
      </c>
      <c r="BN278" s="448">
        <f>BN273+BN274+BN275+BN276+BN277</f>
        <v>-2012268.76611416</v>
      </c>
      <c r="BO278" s="448">
        <f>BO273+BO274+BO275+BO276+BO277</f>
        <v>-1985555.54224346</v>
      </c>
      <c r="BP278" s="448">
        <f>BP273+BP274+BP275+BP276+BP277</f>
        <v>-2071773.31337275</v>
      </c>
      <c r="BQ278" s="448">
        <f>BQ273+BQ274+BQ275+BQ276+BQ277</f>
        <v>-2157991.08450205</v>
      </c>
      <c r="BR278" s="448">
        <f>BR273+BR274+BR275+BR276+BR277</f>
        <v>-2190958.50563134</v>
      </c>
      <c r="BS278" s="448">
        <f>BS273+BS274+BS275+BS276+BS277</f>
        <v>-2277176.27676064</v>
      </c>
      <c r="BT278" s="448">
        <f>BT273+BT274+BT275+BT276+BT277</f>
        <v>-2363394.04788993</v>
      </c>
      <c r="BU278" s="448">
        <f>BU273+BU274+BU275+BU276+BU277</f>
        <v>-2381849.81901923</v>
      </c>
      <c r="BV278" s="448">
        <f>BV273+BV274+BV275+BV276+BV277</f>
        <v>-2468067.59014852</v>
      </c>
      <c r="BW278" s="448">
        <f>BW273+BW274+BW275+BW276+BW277</f>
        <v>-2554285.36127782</v>
      </c>
      <c r="BX278" s="448">
        <f>BX273+BX274+BX275+BX276+BX277</f>
        <v>-2572741.13240711</v>
      </c>
      <c r="BY278" s="448">
        <f>BY273+BY274+BY275+BY276+BY277</f>
        <v>-2660683.25895899</v>
      </c>
      <c r="BZ278" s="448">
        <f>BZ273+BZ274+BZ275+BZ276+BZ277</f>
        <v>-2748625.38551087</v>
      </c>
      <c r="CA278" s="448">
        <f>CA273+CA274+CA275+CA276+CA277</f>
        <v>-2768805.51206275</v>
      </c>
      <c r="CB278" s="448">
        <f>CB273+CB274+CB275+CB276+CB277</f>
        <v>-2856747.63861464</v>
      </c>
      <c r="CC278" s="448">
        <f>CC273+CC274+CC275+CC276+CC277</f>
        <v>-2944689.76516652</v>
      </c>
      <c r="CD278" s="448">
        <f>CD273+CD274+CD275+CD276+CD277</f>
        <v>-2956132.8917184</v>
      </c>
      <c r="CE278" s="448">
        <f>CE273+CE274+CE275+CE276+CE277</f>
        <v>-3044075.01827028</v>
      </c>
      <c r="CF278" s="448">
        <f>CF273+CF274+CF275+CF276+CF277</f>
        <v>-3132017.14482216</v>
      </c>
      <c r="CG278" s="448">
        <f>CG273+CG274+CG275+CG276+CG277</f>
        <v>-3143460.27137404</v>
      </c>
      <c r="CH278" s="448">
        <f>CH273+CH274+CH275+CH276+CH277</f>
        <v>-3231402.39792592</v>
      </c>
      <c r="CI278" s="448">
        <f>CI273+CI274+CI275+CI276+CI277</f>
        <v>-3319344.5244778</v>
      </c>
      <c r="CJ278" s="448">
        <f>CJ273+CJ274+CJ275+CJ276+CJ277</f>
        <v>-3324179.6244232</v>
      </c>
      <c r="CK278" s="448">
        <f>CK273+CK274+CK275+CK276+CK277</f>
        <v>-3256019.59350612</v>
      </c>
      <c r="CL278" s="448">
        <f>CL273+CL274+CL275+CL276+CL277</f>
        <v>-3187859.56258904</v>
      </c>
      <c r="CM278" s="448">
        <f>CM273+CM274+CM275+CM276+CM277</f>
        <v>-3119699.53167196</v>
      </c>
      <c r="CN278" s="448">
        <f>CN273+CN274+CN275+CN276+CN277</f>
        <v>-3051539.50075488</v>
      </c>
      <c r="CO278" s="448">
        <f>CO273+CO274+CO275+CO276+CO277</f>
        <v>-2983379.4698378</v>
      </c>
      <c r="CP278" s="448">
        <f>CP273+CP274+CP275+CP276+CP277</f>
        <v>-2915219.43892072</v>
      </c>
      <c r="CQ278" s="448">
        <f>CQ273+CQ274+CQ275+CQ276+CQ277</f>
        <v>-2847059.40800363</v>
      </c>
      <c r="CR278" s="448">
        <f>CR273+CR274+CR275+CR276+CR277</f>
        <v>-2778899.37708655</v>
      </c>
      <c r="CS278" s="448">
        <f>CS273+CS274+CS275+CS276+CS277</f>
        <v>-2710739.34616947</v>
      </c>
      <c r="CT278" s="448">
        <f>CT273+CT274+CT275+CT276+CT277</f>
        <v>-2640670.82187749</v>
      </c>
      <c r="CU278" s="448">
        <f>CU273+CU274+CU275+CU276+CU277</f>
        <v>-2570602.29758551</v>
      </c>
      <c r="CV278" s="448">
        <f>CV273+CV274+CV275+CV276+CV277</f>
        <v>-2500533.77329354</v>
      </c>
      <c r="CW278" s="448">
        <f>CW273+CW274+CW275+CW276+CW277</f>
        <v>-2376512.94745213</v>
      </c>
      <c r="CX278" s="448">
        <f>CX273+CX274+CX275+CX276+CX277</f>
        <v>-2235045.27267431</v>
      </c>
      <c r="CY278" s="448">
        <f>CY273+CY274+CY275+CY276+CY277</f>
        <v>-2093577.59789649</v>
      </c>
      <c r="CZ278" s="448">
        <f>CZ273+CZ274+CZ275+CZ276+CZ277</f>
        <v>-1952109.92311867</v>
      </c>
      <c r="DA278" s="448">
        <f>DA273+DA274+DA275+DA276+DA277</f>
        <v>-1810642.24834086</v>
      </c>
      <c r="DB278" s="448">
        <f>DB273+DB274+DB275+DB276+DB277</f>
        <v>-1669174.57356304</v>
      </c>
      <c r="DC278" s="448">
        <f>DC273+DC274+DC275+DC276+DC277</f>
        <v>-1527706.89878522</v>
      </c>
      <c r="DD278" s="448">
        <f>DD273+DD274+DD275+DD276+DD277</f>
        <v>-1386239.2240074</v>
      </c>
      <c r="DE278" s="448">
        <f>DE273+DE274+DE275+DE276+DE277</f>
        <v>-1244771.54922959</v>
      </c>
    </row>
    <row r="279" ht="15" customFormat="1" customHeight="1" s="381">
      <c r="A279" s="383" t="n"/>
      <c r="B279" s="393" t="n"/>
      <c r="C279" s="393" t="n"/>
      <c r="D279" s="393" t="n"/>
      <c r="E279" s="393" t="n"/>
      <c r="F279" s="393" t="n"/>
      <c r="G279" s="393" t="n"/>
      <c r="H279" s="393" t="n"/>
      <c r="I279" s="393" t="n"/>
      <c r="J279" s="393" t="n"/>
      <c r="K279" s="393" t="n"/>
      <c r="L279" s="393" t="n"/>
      <c r="M279" s="393" t="n"/>
      <c r="N279" s="393" t="n"/>
      <c r="O279" s="393" t="n"/>
      <c r="P279" s="393" t="n"/>
      <c r="Q279" s="393" t="n"/>
      <c r="R279" s="393" t="n"/>
      <c r="S279" s="393" t="n"/>
      <c r="T279" s="393" t="n"/>
      <c r="U279" s="393" t="n"/>
      <c r="V279" s="393" t="n"/>
      <c r="W279" s="393" t="n"/>
      <c r="X279" s="393" t="n"/>
      <c r="Y279" s="393" t="n"/>
      <c r="Z279" s="393" t="n"/>
      <c r="AA279" s="393" t="n"/>
      <c r="AB279" s="393" t="n"/>
      <c r="AC279" s="393" t="n"/>
      <c r="AD279" s="393" t="n"/>
      <c r="AE279" s="393" t="n"/>
      <c r="AF279" s="393" t="n"/>
      <c r="AG279" s="393" t="n"/>
      <c r="AH279" s="393" t="n"/>
      <c r="AI279" s="393" t="n"/>
      <c r="AJ279" s="393" t="n"/>
      <c r="AK279" s="393" t="n"/>
      <c r="AL279" s="393" t="n"/>
      <c r="AM279" s="393" t="n"/>
      <c r="AN279" s="393" t="n"/>
      <c r="AO279" s="393" t="n"/>
      <c r="AP279" s="393" t="n"/>
      <c r="AQ279" s="393" t="n"/>
      <c r="AR279" s="393" t="n"/>
      <c r="AS279" s="393" t="n"/>
      <c r="AT279" s="393" t="n"/>
      <c r="AU279" s="393" t="n"/>
      <c r="AV279" s="393" t="n"/>
      <c r="AW279" s="393" t="n"/>
      <c r="AX279" s="393" t="n"/>
      <c r="AY279" s="393" t="n"/>
      <c r="AZ279" s="393" t="n"/>
      <c r="BA279" s="393" t="n"/>
      <c r="BB279" s="393" t="n"/>
      <c r="BC279" s="393" t="n"/>
      <c r="BD279" s="393" t="n"/>
      <c r="BE279" s="393" t="n"/>
      <c r="BF279" s="393" t="n"/>
      <c r="BG279" s="393" t="n"/>
      <c r="BH279" s="393" t="n"/>
      <c r="BI279" s="393" t="n"/>
      <c r="BJ279" s="393" t="n"/>
      <c r="BK279" s="393" t="n"/>
      <c r="BL279" s="393" t="n"/>
      <c r="BM279" s="393" t="n"/>
      <c r="BN279" s="393" t="n"/>
      <c r="BO279" s="393" t="n"/>
      <c r="BP279" s="393" t="n"/>
      <c r="BQ279" s="393" t="n"/>
      <c r="BR279" s="393" t="n"/>
      <c r="BS279" s="393" t="n"/>
      <c r="BT279" s="393" t="n"/>
      <c r="BU279" s="393" t="n"/>
      <c r="BV279" s="393" t="n"/>
      <c r="BW279" s="393" t="n"/>
      <c r="BX279" s="393" t="n"/>
      <c r="BY279" s="393" t="n"/>
      <c r="BZ279" s="393" t="n"/>
      <c r="CA279" s="393" t="n"/>
      <c r="CB279" s="393" t="n"/>
      <c r="CC279" s="393" t="n"/>
      <c r="CD279" s="393" t="n"/>
      <c r="CE279" s="393" t="n"/>
      <c r="CF279" s="393" t="n"/>
      <c r="CG279" s="393" t="n"/>
      <c r="CH279" s="393" t="n"/>
      <c r="CI279" s="393" t="n"/>
      <c r="CJ279" s="393" t="n"/>
      <c r="CK279" s="393" t="n"/>
      <c r="CL279" s="393" t="n"/>
      <c r="CM279" s="393" t="n"/>
      <c r="CN279" s="393" t="n"/>
      <c r="CO279" s="393" t="n"/>
      <c r="CP279" s="393" t="n"/>
      <c r="CQ279" s="393" t="n"/>
      <c r="CR279" s="393" t="n"/>
      <c r="CS279" s="393" t="n"/>
      <c r="CT279" s="393" t="n"/>
      <c r="CU279" s="393" t="n"/>
      <c r="CV279" s="393" t="n"/>
      <c r="CW279" s="393" t="n"/>
      <c r="CX279" s="393" t="n"/>
      <c r="CY279" s="393" t="n"/>
      <c r="CZ279" s="393" t="n"/>
      <c r="DA279" s="393" t="n"/>
      <c r="DB279" s="393" t="n"/>
      <c r="DC279" s="393" t="n"/>
      <c r="DD279" s="393" t="n"/>
      <c r="DE279" s="393" t="n"/>
    </row>
    <row r="280" ht="15" customFormat="1" customHeight="1" s="381">
      <c r="A280" s="403" t="inlineStr">
        <is>
          <t>Consolidated Cash</t>
        </is>
      </c>
      <c r="B280" s="414" t="n"/>
      <c r="C280" s="414" t="n"/>
      <c r="D280" s="414" t="n"/>
      <c r="E280" s="414" t="n"/>
      <c r="F280" s="414" t="n"/>
      <c r="G280" s="414" t="n"/>
      <c r="H280" s="414" t="n"/>
      <c r="I280" s="414" t="n"/>
      <c r="J280" s="414" t="n"/>
      <c r="K280" s="414" t="n"/>
      <c r="L280" s="414" t="n"/>
      <c r="M280" s="414" t="n"/>
      <c r="N280" s="414" t="n"/>
      <c r="O280" s="414" t="n"/>
      <c r="P280" s="414" t="n"/>
      <c r="Q280" s="414" t="n"/>
      <c r="R280" s="414" t="n"/>
      <c r="S280" s="414" t="n"/>
      <c r="T280" s="414" t="n"/>
      <c r="U280" s="414" t="n"/>
      <c r="V280" s="414" t="n"/>
      <c r="W280" s="414" t="n"/>
      <c r="X280" s="414" t="n"/>
      <c r="Y280" s="414" t="n"/>
      <c r="Z280" s="414" t="n"/>
      <c r="AA280" s="414" t="n"/>
      <c r="AB280" s="414" t="n"/>
      <c r="AC280" s="414" t="n"/>
      <c r="AD280" s="414" t="n"/>
      <c r="AE280" s="414" t="n"/>
      <c r="AF280" s="414" t="n"/>
      <c r="AG280" s="414" t="n"/>
      <c r="AH280" s="414" t="n"/>
      <c r="AI280" s="414" t="n"/>
      <c r="AJ280" s="414" t="n"/>
      <c r="AK280" s="414" t="n"/>
      <c r="AL280" s="414" t="n"/>
      <c r="AM280" s="414" t="n"/>
      <c r="AN280" s="414" t="n"/>
      <c r="AO280" s="414" t="n"/>
      <c r="AP280" s="414" t="n"/>
      <c r="AQ280" s="414" t="n"/>
      <c r="AR280" s="414" t="n"/>
      <c r="AS280" s="414" t="n"/>
      <c r="AT280" s="414" t="n"/>
      <c r="AU280" s="414" t="n"/>
      <c r="AV280" s="414" t="n"/>
      <c r="AW280" s="414" t="n"/>
      <c r="AX280" s="414" t="n"/>
      <c r="AY280" s="414" t="n"/>
      <c r="AZ280" s="414" t="n"/>
      <c r="BA280" s="414" t="n"/>
      <c r="BB280" s="414" t="n"/>
      <c r="BC280" s="414" t="n"/>
      <c r="BD280" s="414" t="n"/>
      <c r="BE280" s="414" t="n"/>
      <c r="BF280" s="414" t="n"/>
      <c r="BG280" s="414" t="n"/>
      <c r="BH280" s="414" t="n"/>
      <c r="BI280" s="414" t="n"/>
      <c r="BJ280" s="414" t="n"/>
      <c r="BK280" s="414" t="n"/>
      <c r="BL280" s="414" t="n"/>
      <c r="BM280" s="414" t="n"/>
      <c r="BN280" s="414" t="n"/>
      <c r="BO280" s="414" t="n"/>
      <c r="BP280" s="414" t="n"/>
      <c r="BQ280" s="414" t="n"/>
      <c r="BR280" s="414" t="n"/>
      <c r="BS280" s="414" t="n"/>
      <c r="BT280" s="414" t="n"/>
      <c r="BU280" s="414" t="n"/>
      <c r="BV280" s="414" t="n"/>
      <c r="BW280" s="414" t="n"/>
      <c r="BX280" s="414" t="n"/>
      <c r="BY280" s="414" t="n"/>
      <c r="BZ280" s="414" t="n"/>
      <c r="CA280" s="414" t="n"/>
      <c r="CB280" s="414" t="n"/>
      <c r="CC280" s="414" t="n"/>
      <c r="CD280" s="414" t="n"/>
      <c r="CE280" s="414" t="n"/>
      <c r="CF280" s="414" t="n"/>
      <c r="CG280" s="414" t="n"/>
      <c r="CH280" s="414" t="n"/>
      <c r="CI280" s="414" t="n"/>
      <c r="CJ280" s="414" t="n"/>
      <c r="CK280" s="414" t="n"/>
      <c r="CL280" s="414" t="n"/>
      <c r="CM280" s="414" t="n"/>
      <c r="CN280" s="414" t="n"/>
      <c r="CO280" s="414" t="n"/>
      <c r="CP280" s="414" t="n"/>
      <c r="CQ280" s="414" t="n"/>
      <c r="CR280" s="414" t="n"/>
      <c r="CS280" s="414" t="n"/>
      <c r="CT280" s="414" t="n"/>
      <c r="CU280" s="414" t="n"/>
      <c r="CV280" s="414" t="n"/>
      <c r="CW280" s="414" t="n"/>
      <c r="CX280" s="414" t="n"/>
      <c r="CY280" s="414" t="n"/>
      <c r="CZ280" s="414" t="n"/>
      <c r="DA280" s="414" t="n"/>
      <c r="DB280" s="414" t="n"/>
      <c r="DC280" s="414" t="n"/>
      <c r="DD280" s="414" t="n"/>
      <c r="DE280" s="414" t="n"/>
    </row>
    <row r="281" ht="15" customFormat="1" customHeight="1" s="381">
      <c r="A281" s="398" t="inlineStr">
        <is>
          <t>Total Beginning Cash</t>
        </is>
      </c>
      <c r="B281" s="393" t="n"/>
      <c r="C281" s="393" t="n"/>
      <c r="D281" s="393" t="n"/>
      <c r="E281" s="393" t="n"/>
      <c r="F281" s="393" t="n"/>
      <c r="G281" s="393" t="n"/>
      <c r="H281" s="393">
        <f>H262+H273</f>
        <v>471507</v>
      </c>
      <c r="I281" s="393">
        <f>I262+I273</f>
        <v>912018.201040094</v>
      </c>
      <c r="J281" s="393">
        <f>J262+J273</f>
        <v>813394.544589499</v>
      </c>
      <c r="K281" s="393">
        <f>K262+K273</f>
        <v>1045682.653817</v>
      </c>
      <c r="L281" s="393">
        <f>L262+L273</f>
        <v>1229284.03570299</v>
      </c>
      <c r="M281" s="393">
        <f>M262+M273</f>
        <v>1419401.19900101</v>
      </c>
      <c r="N281" s="393">
        <f>N262+N273</f>
        <v>1231609.57639528</v>
      </c>
      <c r="O281" s="393">
        <f>O262+O273</f>
        <v>1337844.82795477</v>
      </c>
      <c r="P281" s="393">
        <f>P262+P273</f>
        <v>1484506.61369445</v>
      </c>
      <c r="Q281" s="393">
        <f>Q262+Q273</f>
        <v>1646651.02012643</v>
      </c>
      <c r="R281" s="393">
        <f>R262+R273</f>
        <v>1795856.02034127</v>
      </c>
      <c r="S281" s="393">
        <f>S262+S273</f>
        <v>1788477.56929076</v>
      </c>
      <c r="T281" s="393">
        <f>T262+T273</f>
        <v>1200040.81232443</v>
      </c>
      <c r="U281" s="393">
        <f>U262+U273</f>
        <v>1417486.85809905</v>
      </c>
      <c r="V281" s="393">
        <f>V262+V273</f>
        <v>1393397.75671155</v>
      </c>
      <c r="W281" s="393">
        <f>W262+W273</f>
        <v>1685746.14271783</v>
      </c>
      <c r="X281" s="393">
        <f>X262+X273</f>
        <v>2022116.31901629</v>
      </c>
      <c r="Y281" s="393">
        <f>Y262+Y273</f>
        <v>2335615.39121562</v>
      </c>
      <c r="Z281" s="393">
        <f>Z262+Z273</f>
        <v>2768778.66179884</v>
      </c>
      <c r="AA281" s="393">
        <f>AA262+AA273</f>
        <v>3199317.23523206</v>
      </c>
      <c r="AB281" s="393">
        <f>AB262+AB273</f>
        <v>3469698.16105596</v>
      </c>
      <c r="AC281" s="393">
        <f>AC262+AC273</f>
        <v>4065394.65034205</v>
      </c>
      <c r="AD281" s="393">
        <f>AD262+AD273</f>
        <v>4515044.77958858</v>
      </c>
      <c r="AE281" s="393">
        <f>AE262+AE273</f>
        <v>5025231.40483511</v>
      </c>
      <c r="AF281" s="393">
        <f>AF262+AF273</f>
        <v>5620465.11975962</v>
      </c>
      <c r="AG281" s="393">
        <f>AG262+AG273</f>
        <v>5871827.42839715</v>
      </c>
      <c r="AH281" s="393">
        <f>AH262+AH273</f>
        <v>6851486.04759424</v>
      </c>
      <c r="AI281" s="393">
        <f>AI262+AI273</f>
        <v>7533363.85560001</v>
      </c>
      <c r="AJ281" s="393">
        <f>AJ262+AJ273</f>
        <v>8382049.99419515</v>
      </c>
      <c r="AK281" s="393">
        <f>AK262+AK273</f>
        <v>9460996.94841931</v>
      </c>
      <c r="AL281" s="393">
        <f>AL262+AL273</f>
        <v>10461558.5472768</v>
      </c>
      <c r="AM281" s="393">
        <f>AM262+AM273</f>
        <v>11774635.4655288</v>
      </c>
      <c r="AN281" s="393">
        <f>AN262+AN273</f>
        <v>12825954.5668238</v>
      </c>
      <c r="AO281" s="393">
        <f>AO262+AO273</f>
        <v>13454532.7981899</v>
      </c>
      <c r="AP281" s="393">
        <f>AP262+AP273</f>
        <v>14151229.0866441</v>
      </c>
      <c r="AQ281" s="393">
        <f>AQ262+AQ273</f>
        <v>14918989.4025982</v>
      </c>
      <c r="AR281" s="393">
        <f>AR262+AR273</f>
        <v>15769275.3285524</v>
      </c>
      <c r="AS281" s="393">
        <f>AS262+AS273</f>
        <v>16703542.8715066</v>
      </c>
      <c r="AT281" s="393">
        <f>AT262+AT273</f>
        <v>17653686.0189608</v>
      </c>
      <c r="AU281" s="393">
        <f>AU262+AU273</f>
        <v>18694207.446415</v>
      </c>
      <c r="AV281" s="393">
        <f>AV262+AV273</f>
        <v>20129566.6307857</v>
      </c>
      <c r="AW281" s="393">
        <f>AW262+AW273</f>
        <v>21430251.704782</v>
      </c>
      <c r="AX281" s="393">
        <f>AX262+AX273</f>
        <v>22100719.9747659</v>
      </c>
      <c r="AY281" s="393">
        <f>AY262+AY273</f>
        <v>22849566.2462498</v>
      </c>
      <c r="AZ281" s="393">
        <f>AZ262+AZ273</f>
        <v>23438399.7477336</v>
      </c>
      <c r="BA281" s="393">
        <f>BA262+BA273</f>
        <v>24360694.7192175</v>
      </c>
      <c r="BB281" s="393">
        <f>BB262+BB273</f>
        <v>25198269.2761212</v>
      </c>
      <c r="BC281" s="393">
        <f>BC262+BC273</f>
        <v>26009855.0170249</v>
      </c>
      <c r="BD281" s="393">
        <f>BD262+BD273</f>
        <v>26828510.6029286</v>
      </c>
      <c r="BE281" s="393">
        <f>BE262+BE273</f>
        <v>27645833.0958323</v>
      </c>
      <c r="BF281" s="393">
        <f>BF262+BF273</f>
        <v>28490439.795736</v>
      </c>
      <c r="BG281" s="393">
        <f>BG262+BG273</f>
        <v>29343922.2001397</v>
      </c>
      <c r="BH281" s="393">
        <f>BH262+BH273</f>
        <v>30159954.2115435</v>
      </c>
      <c r="BI281" s="393">
        <f>BI262+BI273</f>
        <v>31239759.89125</v>
      </c>
      <c r="BJ281" s="393">
        <f>BJ262+BJ273</f>
        <v>32353285.7337527</v>
      </c>
      <c r="BK281" s="393">
        <f>BK262+BK273</f>
        <v>32889611.0248313</v>
      </c>
      <c r="BL281" s="393">
        <f>BL262+BL273</f>
        <v>32994919.6554099</v>
      </c>
      <c r="BM281" s="393">
        <f>BM262+BM273</f>
        <v>33349798.1309885</v>
      </c>
      <c r="BN281" s="393">
        <f>BN262+BN273</f>
        <v>33818873.8412553</v>
      </c>
      <c r="BO281" s="393">
        <f>BO262+BO273</f>
        <v>34384133.1685221</v>
      </c>
      <c r="BP281" s="393">
        <f>BP262+BP273</f>
        <v>34795114.150289</v>
      </c>
      <c r="BQ281" s="393">
        <f>BQ262+BQ273</f>
        <v>34912577.6370558</v>
      </c>
      <c r="BR281" s="393">
        <f>BR262+BR273</f>
        <v>35030041.1238226</v>
      </c>
      <c r="BS281" s="393">
        <f>BS262+BS273</f>
        <v>35286533.5480895</v>
      </c>
      <c r="BT281" s="393">
        <f>BT262+BT273</f>
        <v>35601739.2523563</v>
      </c>
      <c r="BU281" s="393">
        <f>BU262+BU273</f>
        <v>35832972.2341231</v>
      </c>
      <c r="BV281" s="393">
        <f>BV262+BV273</f>
        <v>36010071.3283899</v>
      </c>
      <c r="BW281" s="393">
        <f>BW262+BW273</f>
        <v>36050785.5526568</v>
      </c>
      <c r="BX281" s="393">
        <f>BX262+BX273</f>
        <v>36007527.0544236</v>
      </c>
      <c r="BY281" s="393">
        <f>BY262+BY273</f>
        <v>35910134.6686904</v>
      </c>
      <c r="BZ281" s="393">
        <f>BZ262+BZ273</f>
        <v>35664313.8605592</v>
      </c>
      <c r="CA281" s="393">
        <f>CA262+CA273</f>
        <v>35334520.3299281</v>
      </c>
      <c r="CB281" s="393">
        <f>CB262+CB273</f>
        <v>34864814.3242969</v>
      </c>
      <c r="CC281" s="393">
        <f>CC262+CC273</f>
        <v>34146759.8186657</v>
      </c>
      <c r="CD281" s="393">
        <f>CD262+CD273</f>
        <v>33428705.3130346</v>
      </c>
      <c r="CE281" s="393">
        <f>CE262+CE273</f>
        <v>32787149.8074034</v>
      </c>
      <c r="CF281" s="393">
        <f>CF262+CF273</f>
        <v>32069095.3017722</v>
      </c>
      <c r="CG281" s="393">
        <f>CG262+CG273</f>
        <v>31351040.796141</v>
      </c>
      <c r="CH281" s="393">
        <f>CH262+CH273</f>
        <v>30709485.2905099</v>
      </c>
      <c r="CI281" s="393">
        <f>CI262+CI273</f>
        <v>29991430.7848787</v>
      </c>
      <c r="CJ281" s="393">
        <f>CJ262+CJ273</f>
        <v>29273376.2792475</v>
      </c>
      <c r="CK281" s="393">
        <f>CK262+CK273</f>
        <v>28638428.8002228</v>
      </c>
      <c r="CL281" s="393">
        <f>CL262+CL273</f>
        <v>28065950.8711457</v>
      </c>
      <c r="CM281" s="393">
        <f>CM262+CM273</f>
        <v>27493472.9420686</v>
      </c>
      <c r="CN281" s="393">
        <f>CN262+CN273</f>
        <v>26920995.0129915</v>
      </c>
      <c r="CO281" s="393">
        <f>CO262+CO273</f>
        <v>26348517.0839143</v>
      </c>
      <c r="CP281" s="393">
        <f>CP262+CP273</f>
        <v>25776039.1548372</v>
      </c>
      <c r="CQ281" s="393">
        <f>CQ262+CQ273</f>
        <v>25203561.2257601</v>
      </c>
      <c r="CR281" s="393">
        <f>CR262+CR273</f>
        <v>24631083.296683</v>
      </c>
      <c r="CS281" s="393">
        <f>CS262+CS273</f>
        <v>24058605.3676058</v>
      </c>
      <c r="CT281" s="393">
        <f>CT262+CT273</f>
        <v>23486127.4385287</v>
      </c>
      <c r="CU281" s="393">
        <f>CU262+CU273</f>
        <v>22979648.6803435</v>
      </c>
      <c r="CV281" s="393">
        <f>CV262+CV273</f>
        <v>22473169.9221582</v>
      </c>
      <c r="CW281" s="393">
        <f>CW262+CW273</f>
        <v>21966691.1639729</v>
      </c>
      <c r="CX281" s="393">
        <f>CX262+CX273</f>
        <v>21504710.4283543</v>
      </c>
      <c r="CY281" s="393">
        <f>CY262+CY273</f>
        <v>21060176.541672</v>
      </c>
      <c r="CZ281" s="393">
        <f>CZ262+CZ273</f>
        <v>20615642.6549897</v>
      </c>
      <c r="DA281" s="393">
        <f>DA262+DA273</f>
        <v>20171108.7683074</v>
      </c>
      <c r="DB281" s="393">
        <f>DB262+DB273</f>
        <v>19726574.8816251</v>
      </c>
      <c r="DC281" s="393">
        <f>DC262+DC273</f>
        <v>19282040.9949428</v>
      </c>
      <c r="DD281" s="393">
        <f>DD262+DD273</f>
        <v>18837507.1082605</v>
      </c>
      <c r="DE281" s="393">
        <f>DE262+DE273</f>
        <v>18392973.2215782</v>
      </c>
    </row>
    <row r="282" ht="15" customFormat="1" customHeight="1" s="381">
      <c r="A282" s="398" t="inlineStr">
        <is>
          <t>Tax Distribution (50.3% Consol NI)</t>
        </is>
      </c>
      <c r="B282" s="393" t="n"/>
      <c r="C282" s="393" t="n"/>
      <c r="D282" s="393" t="n"/>
      <c r="E282" s="393" t="n"/>
      <c r="F282" s="393" t="n"/>
      <c r="G282" s="393" t="n"/>
      <c r="H282" s="393" t="n">
        <v>0</v>
      </c>
      <c r="I282" s="393" t="n">
        <v>0</v>
      </c>
      <c r="J282" s="393" t="n">
        <v>0</v>
      </c>
      <c r="K282" s="393" t="n">
        <v>0</v>
      </c>
      <c r="L282" s="393" t="n">
        <v>0</v>
      </c>
      <c r="M282" s="393" t="n">
        <v>0</v>
      </c>
      <c r="N282" s="393" t="n">
        <v>0</v>
      </c>
      <c r="O282" s="393" t="n">
        <v>0</v>
      </c>
      <c r="P282" s="393">
        <f>IF((B209+C209+D209+E209+F209+G209+H209+I209+J209+K209+L209+M209)&gt;0,-(B209+C209+D209+E209+F209+G209+H209+I209+J209+K209+L209+M209)*0.503,0)</f>
        <v>-215674.499544381</v>
      </c>
      <c r="Q282" s="393" t="n">
        <v>0</v>
      </c>
      <c r="R282" s="393" t="n">
        <v>0</v>
      </c>
      <c r="S282" s="393" t="n">
        <v>0</v>
      </c>
      <c r="T282" s="393" t="n">
        <v>0</v>
      </c>
      <c r="U282" s="393" t="n">
        <v>0</v>
      </c>
      <c r="V282" s="393" t="n">
        <v>0</v>
      </c>
      <c r="W282" s="393" t="n">
        <v>0</v>
      </c>
      <c r="X282" s="393" t="n">
        <v>0</v>
      </c>
      <c r="Y282" s="393" t="n">
        <v>0</v>
      </c>
      <c r="Z282" s="393" t="n">
        <v>0</v>
      </c>
      <c r="AA282" s="393" t="n">
        <v>0</v>
      </c>
      <c r="AB282" s="393">
        <f>IF((N209+O209+P209+Q209+R209+S209+T209+U209+V209+W209+X209+Y209)&gt;0,-(N209+O209+P209+Q209+R209+S209+T209+U209+V209+W209+X209+Y209)*0.503,0)</f>
        <v>-1795278.53872378</v>
      </c>
      <c r="AC282" s="393" t="n">
        <v>0</v>
      </c>
      <c r="AD282" s="393" t="n">
        <v>0</v>
      </c>
      <c r="AE282" s="393" t="n">
        <v>0</v>
      </c>
      <c r="AF282" s="393" t="n">
        <v>0</v>
      </c>
      <c r="AG282" s="393" t="n">
        <v>0</v>
      </c>
      <c r="AH282" s="393" t="n">
        <v>0</v>
      </c>
      <c r="AI282" s="393" t="n">
        <v>0</v>
      </c>
      <c r="AJ282" s="393" t="n">
        <v>0</v>
      </c>
      <c r="AK282" s="393" t="n">
        <v>0</v>
      </c>
      <c r="AL282" s="393" t="n">
        <v>0</v>
      </c>
      <c r="AM282" s="393" t="n">
        <v>0</v>
      </c>
      <c r="AN282" s="393">
        <f>IF((Z209+AA209+AB209+AC209+AD209+AE209+AF209+AG209+AH209+AI209+AJ209+AK209)&gt;0,-(Z209+AA209+AB209+AC209+AD209+AE209+AF209+AG209+AH209+AI209+AJ209+AK209)*0.503,0)</f>
        <v>-4624078.03613714</v>
      </c>
      <c r="AO282" s="393" t="n">
        <v>0</v>
      </c>
      <c r="AP282" s="393" t="n">
        <v>0</v>
      </c>
      <c r="AQ282" s="393" t="n">
        <v>0</v>
      </c>
      <c r="AR282" s="393" t="n">
        <v>0</v>
      </c>
      <c r="AS282" s="393" t="n">
        <v>0</v>
      </c>
      <c r="AT282" s="393" t="n">
        <v>0</v>
      </c>
      <c r="AU282" s="393" t="n">
        <v>0</v>
      </c>
      <c r="AV282" s="393" t="n">
        <v>0</v>
      </c>
      <c r="AW282" s="393" t="n">
        <v>0</v>
      </c>
      <c r="AX282" s="393" t="n">
        <v>0</v>
      </c>
      <c r="AY282" s="393" t="n">
        <v>0</v>
      </c>
      <c r="AZ282" s="393">
        <f>IF((AL209+AM209+AN209+AO209+AP209+AQ209+AR209+AS209+AT209+AU209+AV209+AW209)&gt;0,-(AL209+AM209+AN209+AO209+AP209+AQ209+AR209+AS209+AT209+AU209+AV209+AW209)*0.503,0)</f>
        <v>-5915967.52693312</v>
      </c>
      <c r="BA282" s="393" t="n">
        <v>0</v>
      </c>
      <c r="BB282" s="393" t="n">
        <v>0</v>
      </c>
      <c r="BC282" s="393" t="n">
        <v>0</v>
      </c>
      <c r="BD282" s="393" t="n">
        <v>0</v>
      </c>
      <c r="BE282" s="393" t="n">
        <v>0</v>
      </c>
      <c r="BF282" s="393" t="n">
        <v>0</v>
      </c>
      <c r="BG282" s="393" t="n">
        <v>0</v>
      </c>
      <c r="BH282" s="393" t="n">
        <v>0</v>
      </c>
      <c r="BI282" s="393" t="n">
        <v>0</v>
      </c>
      <c r="BJ282" s="393" t="n">
        <v>0</v>
      </c>
      <c r="BK282" s="393" t="n">
        <v>0</v>
      </c>
      <c r="BL282" s="393">
        <f>IF((AX209+AY209+AZ209+BA209+BB209+BC209+BD209+BE209+BF209+BG209+BH209+BI209)&gt;0,-(AX209+AY209+AZ209+BA209+BB209+BC209+BD209+BE209+BF209+BG209+BH209+BI209)*0.503,0)</f>
        <v>-4986447.50320445</v>
      </c>
      <c r="BM282" s="393" t="n">
        <v>0</v>
      </c>
      <c r="BN282" s="393" t="n">
        <v>0</v>
      </c>
      <c r="BO282" s="393" t="n">
        <v>0</v>
      </c>
      <c r="BP282" s="393" t="n">
        <v>0</v>
      </c>
      <c r="BQ282" s="393" t="n">
        <v>0</v>
      </c>
      <c r="BR282" s="393" t="n">
        <v>0</v>
      </c>
      <c r="BS282" s="393" t="n">
        <v>0</v>
      </c>
      <c r="BT282" s="393" t="n">
        <v>0</v>
      </c>
      <c r="BU282" s="393" t="n">
        <v>0</v>
      </c>
      <c r="BV282" s="393" t="n">
        <v>0</v>
      </c>
      <c r="BW282" s="393" t="n">
        <v>0</v>
      </c>
      <c r="BX282" s="393">
        <f>IF((BJ209+BK209+BL209+BM209+BN209+BO209+BP209+BQ209+BR209+BS209+BT209+BU209)&gt;0,-(BJ209+BK209+BL209+BM209+BN209+BO209+BP209+BQ209+BR209+BS209+BT209+BU209)*0.503,0)</f>
        <v>-1667628.49799001</v>
      </c>
      <c r="BY282" s="393" t="n">
        <v>0</v>
      </c>
      <c r="BZ282" s="393" t="n">
        <v>0</v>
      </c>
      <c r="CA282" s="393" t="n">
        <v>0</v>
      </c>
      <c r="CB282" s="393" t="n">
        <v>0</v>
      </c>
      <c r="CC282" s="393" t="n">
        <v>0</v>
      </c>
      <c r="CD282" s="393" t="n">
        <v>0</v>
      </c>
      <c r="CE282" s="393" t="n">
        <v>0</v>
      </c>
      <c r="CF282" s="393" t="n">
        <v>0</v>
      </c>
      <c r="CG282" s="393" t="n">
        <v>0</v>
      </c>
      <c r="CH282" s="393" t="n">
        <v>0</v>
      </c>
      <c r="CI282" s="393" t="n">
        <v>0</v>
      </c>
      <c r="CJ282" s="393">
        <f>IF((BV209+BW209+BX209+BY209+BZ209+CA209+CB209+CC209+CD209+CE209+CF209+CG209)&gt;0,-(BV209+BW209+BX209+BY209+BZ209+CA209+CB209+CC209+CD209+CE209+CF209+CG209)*0.503,0)</f>
        <v>0</v>
      </c>
      <c r="CK282" s="393" t="n">
        <v>0</v>
      </c>
      <c r="CL282" s="393" t="n">
        <v>0</v>
      </c>
      <c r="CM282" s="393" t="n">
        <v>0</v>
      </c>
      <c r="CN282" s="393" t="n">
        <v>0</v>
      </c>
      <c r="CO282" s="393" t="n">
        <v>0</v>
      </c>
      <c r="CP282" s="393" t="n">
        <v>0</v>
      </c>
      <c r="CQ282" s="393" t="n">
        <v>0</v>
      </c>
      <c r="CR282" s="393" t="n">
        <v>0</v>
      </c>
      <c r="CS282" s="393" t="n">
        <v>0</v>
      </c>
      <c r="CT282" s="393" t="n">
        <v>0</v>
      </c>
      <c r="CU282" s="393" t="n">
        <v>0</v>
      </c>
      <c r="CV282" s="393" t="n">
        <v>0</v>
      </c>
      <c r="CW282" s="393" t="n">
        <v>0</v>
      </c>
      <c r="CX282" s="393" t="n">
        <v>0</v>
      </c>
      <c r="CY282" s="393" t="n">
        <v>0</v>
      </c>
      <c r="CZ282" s="393" t="n">
        <v>0</v>
      </c>
      <c r="DA282" s="393" t="n">
        <v>0</v>
      </c>
      <c r="DB282" s="393" t="n">
        <v>0</v>
      </c>
      <c r="DC282" s="393" t="n">
        <v>0</v>
      </c>
      <c r="DD282" s="393" t="n">
        <v>0</v>
      </c>
      <c r="DE282" s="393" t="n">
        <v>0</v>
      </c>
    </row>
    <row r="283" ht="15" customFormat="1" customHeight="1" s="381">
      <c r="A283" s="447" t="inlineStr">
        <is>
          <t>Total Ending Cash (Consolidated, net of Tax Distributions)</t>
        </is>
      </c>
      <c r="B283" s="448" t="n"/>
      <c r="C283" s="448" t="n"/>
      <c r="D283" s="448" t="n"/>
      <c r="E283" s="448" t="n"/>
      <c r="F283" s="448" t="n"/>
      <c r="G283" s="448" t="n"/>
      <c r="H283" s="448">
        <f>H270+H278+H282</f>
        <v>912018.201040094</v>
      </c>
      <c r="I283" s="448">
        <f>I270+I278+I282</f>
        <v>813394.544589499</v>
      </c>
      <c r="J283" s="448">
        <f>J270+J278+J282</f>
        <v>1045682.653817</v>
      </c>
      <c r="K283" s="448">
        <f>K270+K278+K282</f>
        <v>1229284.03570299</v>
      </c>
      <c r="L283" s="448">
        <f>L270+L278+L282</f>
        <v>1419401.19900101</v>
      </c>
      <c r="M283" s="448">
        <f>M270+M278+M282</f>
        <v>1231609.57639528</v>
      </c>
      <c r="N283" s="448">
        <f>N270+N278+N282</f>
        <v>1337844.82795477</v>
      </c>
      <c r="O283" s="448">
        <f>O270+O278+O282</f>
        <v>1484506.61369445</v>
      </c>
      <c r="P283" s="448">
        <f>P270+P278+P282</f>
        <v>1430976.52058205</v>
      </c>
      <c r="Q283" s="448">
        <f>Q270+Q278+Q282</f>
        <v>1795856.02034127</v>
      </c>
      <c r="R283" s="448">
        <f>R270+R278+R282</f>
        <v>1788477.56929076</v>
      </c>
      <c r="S283" s="448">
        <f>S270+S278+S282</f>
        <v>1200040.81232443</v>
      </c>
      <c r="T283" s="448">
        <f>T270+T278+T282</f>
        <v>1417486.85809905</v>
      </c>
      <c r="U283" s="448">
        <f>U270+U278+U282</f>
        <v>1393397.75671155</v>
      </c>
      <c r="V283" s="448">
        <f>V270+V278+V282</f>
        <v>1685746.14271783</v>
      </c>
      <c r="W283" s="448">
        <f>W270+W278+W282</f>
        <v>2022116.31901629</v>
      </c>
      <c r="X283" s="448">
        <f>X270+X278+X282</f>
        <v>2335615.39121562</v>
      </c>
      <c r="Y283" s="448">
        <f>Y270+Y278+Y282</f>
        <v>2768778.66179884</v>
      </c>
      <c r="Z283" s="448">
        <f>Z270+Z278+Z282</f>
        <v>3199317.23523206</v>
      </c>
      <c r="AA283" s="448">
        <f>AA270+AA278+AA282</f>
        <v>3469698.16105596</v>
      </c>
      <c r="AB283" s="448">
        <f>AB270+AB278+AB282</f>
        <v>2270116.11161827</v>
      </c>
      <c r="AC283" s="448">
        <f>AC270+AC278+AC282</f>
        <v>4515044.77958858</v>
      </c>
      <c r="AD283" s="448">
        <f>AD270+AD278+AD282</f>
        <v>5025231.40483511</v>
      </c>
      <c r="AE283" s="448">
        <f>AE270+AE278+AE282</f>
        <v>5620465.11975962</v>
      </c>
      <c r="AF283" s="448">
        <f>AF270+AF278+AF282</f>
        <v>5871827.42839715</v>
      </c>
      <c r="AG283" s="448">
        <f>AG270+AG278+AG282</f>
        <v>6851486.04759424</v>
      </c>
      <c r="AH283" s="448">
        <f>AH270+AH278+AH282</f>
        <v>7533363.85560001</v>
      </c>
      <c r="AI283" s="448">
        <f>AI270+AI278+AI282</f>
        <v>8382049.99419515</v>
      </c>
      <c r="AJ283" s="448">
        <f>AJ270+AJ278+AJ282</f>
        <v>9460996.94841931</v>
      </c>
      <c r="AK283" s="448">
        <f>AK270+AK278+AK282</f>
        <v>10461558.5472768</v>
      </c>
      <c r="AL283" s="448">
        <f>AL270+AL278+AL282</f>
        <v>11774635.4655288</v>
      </c>
      <c r="AM283" s="448">
        <f>AM270+AM278+AM282</f>
        <v>12825954.5668238</v>
      </c>
      <c r="AN283" s="448">
        <f>AN270+AN278+AN282</f>
        <v>8830454.76205272</v>
      </c>
      <c r="AO283" s="448">
        <f>AO270+AO278+AO282</f>
        <v>14151229.0866441</v>
      </c>
      <c r="AP283" s="448">
        <f>AP270+AP278+AP282</f>
        <v>14918989.4025982</v>
      </c>
      <c r="AQ283" s="448">
        <f>AQ270+AQ278+AQ282</f>
        <v>15769275.3285524</v>
      </c>
      <c r="AR283" s="448">
        <f>AR270+AR278+AR282</f>
        <v>16703542.8715066</v>
      </c>
      <c r="AS283" s="448">
        <f>AS270+AS278+AS282</f>
        <v>17653686.0189608</v>
      </c>
      <c r="AT283" s="448">
        <f>AT270+AT278+AT282</f>
        <v>18694207.446415</v>
      </c>
      <c r="AU283" s="448">
        <f>AU270+AU278+AU282</f>
        <v>20129566.6307857</v>
      </c>
      <c r="AV283" s="448">
        <f>AV270+AV278+AV282</f>
        <v>21430251.704782</v>
      </c>
      <c r="AW283" s="448">
        <f>AW270+AW278+AW282</f>
        <v>22100719.9747659</v>
      </c>
      <c r="AX283" s="448">
        <f>AX270+AX278+AX282</f>
        <v>22849566.2462498</v>
      </c>
      <c r="AY283" s="448">
        <f>AY270+AY278+AY282</f>
        <v>23438399.7477336</v>
      </c>
      <c r="AZ283" s="448">
        <f>AZ270+AZ278+AZ282</f>
        <v>18444727.1922844</v>
      </c>
      <c r="BA283" s="448">
        <f>BA270+BA278+BA282</f>
        <v>25198269.2761212</v>
      </c>
      <c r="BB283" s="448">
        <f>BB270+BB278+BB282</f>
        <v>26009855.0170249</v>
      </c>
      <c r="BC283" s="448">
        <f>BC270+BC278+BC282</f>
        <v>26828510.6029286</v>
      </c>
      <c r="BD283" s="448">
        <f>BD270+BD278+BD282</f>
        <v>27645833.0958323</v>
      </c>
      <c r="BE283" s="448">
        <f>BE270+BE278+BE282</f>
        <v>28490439.795736</v>
      </c>
      <c r="BF283" s="448">
        <f>BF270+BF278+BF282</f>
        <v>29343922.2001397</v>
      </c>
      <c r="BG283" s="448">
        <f>BG270+BG278+BG282</f>
        <v>30159954.2115435</v>
      </c>
      <c r="BH283" s="448">
        <f>BH270+BH278+BH282</f>
        <v>31239759.89125</v>
      </c>
      <c r="BI283" s="448">
        <f>BI270+BI278+BI282</f>
        <v>32353285.7337527</v>
      </c>
      <c r="BJ283" s="448">
        <f>BJ270+BJ278+BJ282</f>
        <v>32889611.0248313</v>
      </c>
      <c r="BK283" s="448">
        <f>BK270+BK278+BK282</f>
        <v>32994919.6554099</v>
      </c>
      <c r="BL283" s="448">
        <f>BL270+BL278+BL282</f>
        <v>28363350.627784</v>
      </c>
      <c r="BM283" s="448">
        <f>BM270+BM278+BM282</f>
        <v>33818873.8412553</v>
      </c>
      <c r="BN283" s="448">
        <f>BN270+BN278+BN282</f>
        <v>34384133.1685221</v>
      </c>
      <c r="BO283" s="448">
        <f>BO270+BO278+BO282</f>
        <v>34795114.150289</v>
      </c>
      <c r="BP283" s="448">
        <f>BP270+BP278+BP282</f>
        <v>34912577.6370558</v>
      </c>
      <c r="BQ283" s="448">
        <f>BQ270+BQ278+BQ282</f>
        <v>35030041.1238226</v>
      </c>
      <c r="BR283" s="448">
        <f>BR270+BR278+BR282</f>
        <v>35286533.5480895</v>
      </c>
      <c r="BS283" s="448">
        <f>BS270+BS278+BS282</f>
        <v>35601739.2523563</v>
      </c>
      <c r="BT283" s="448">
        <f>BT270+BT278+BT282</f>
        <v>35832972.2341231</v>
      </c>
      <c r="BU283" s="448">
        <f>BU270+BU278+BU282</f>
        <v>36010071.3283899</v>
      </c>
      <c r="BV283" s="448">
        <f>BV270+BV278+BV282</f>
        <v>36050785.5526568</v>
      </c>
      <c r="BW283" s="448">
        <f>BW270+BW278+BW282</f>
        <v>36007527.0544236</v>
      </c>
      <c r="BX283" s="448">
        <f>BX270+BX278+BX282</f>
        <v>34242506.1707004</v>
      </c>
      <c r="BY283" s="448">
        <f>BY270+BY278+BY282</f>
        <v>35664313.8605592</v>
      </c>
      <c r="BZ283" s="448">
        <f>BZ270+BZ278+BZ282</f>
        <v>35334520.3299281</v>
      </c>
      <c r="CA283" s="448">
        <f>CA270+CA278+CA282</f>
        <v>34864814.3242969</v>
      </c>
      <c r="CB283" s="448">
        <f>CB270+CB278+CB282</f>
        <v>34146759.8186657</v>
      </c>
      <c r="CC283" s="448">
        <f>CC270+CC278+CC282</f>
        <v>33428705.3130346</v>
      </c>
      <c r="CD283" s="448">
        <f>CD270+CD278+CD282</f>
        <v>32787149.8074034</v>
      </c>
      <c r="CE283" s="448">
        <f>CE270+CE278+CE282</f>
        <v>32069095.3017722</v>
      </c>
      <c r="CF283" s="448">
        <f>CF270+CF278+CF282</f>
        <v>31351040.796141</v>
      </c>
      <c r="CG283" s="448">
        <f>CG270+CG278+CG282</f>
        <v>30709485.2905099</v>
      </c>
      <c r="CH283" s="448">
        <f>CH270+CH278+CH282</f>
        <v>29991430.7848787</v>
      </c>
      <c r="CI283" s="448">
        <f>CI270+CI278+CI282</f>
        <v>29273376.2792475</v>
      </c>
      <c r="CJ283" s="448">
        <f>CJ270+CJ278+CJ282</f>
        <v>28638428.8002228</v>
      </c>
      <c r="CK283" s="448">
        <f>CK270+CK278+CK282</f>
        <v>28065950.8711457</v>
      </c>
      <c r="CL283" s="448">
        <f>CL270+CL278+CL282</f>
        <v>27493472.9420686</v>
      </c>
      <c r="CM283" s="448">
        <f>CM270+CM278+CM282</f>
        <v>26920995.0129915</v>
      </c>
      <c r="CN283" s="448">
        <f>CN270+CN278+CN282</f>
        <v>26348517.0839143</v>
      </c>
      <c r="CO283" s="448">
        <f>CO270+CO278+CO282</f>
        <v>25776039.1548372</v>
      </c>
      <c r="CP283" s="448">
        <f>CP270+CP278+CP282</f>
        <v>25203561.2257601</v>
      </c>
      <c r="CQ283" s="448">
        <f>CQ270+CQ278+CQ282</f>
        <v>24631083.296683</v>
      </c>
      <c r="CR283" s="448">
        <f>CR270+CR278+CR282</f>
        <v>24058605.3676058</v>
      </c>
      <c r="CS283" s="448">
        <f>CS270+CS278+CS282</f>
        <v>23486127.4385287</v>
      </c>
      <c r="CT283" s="448">
        <f>CT270+CT278+CT282</f>
        <v>22979648.6803435</v>
      </c>
      <c r="CU283" s="448">
        <f>CU270+CU278+CU282</f>
        <v>22473169.9221582</v>
      </c>
      <c r="CV283" s="448">
        <f>CV270+CV278+CV282</f>
        <v>21966691.1639729</v>
      </c>
      <c r="CW283" s="448">
        <f>CW270+CW278+CW282</f>
        <v>21504710.4283543</v>
      </c>
      <c r="CX283" s="448">
        <f>CX270+CX278+CX282</f>
        <v>21060176.541672</v>
      </c>
      <c r="CY283" s="448">
        <f>CY270+CY278+CY282</f>
        <v>20615642.6549897</v>
      </c>
      <c r="CZ283" s="448">
        <f>CZ270+CZ278+CZ282</f>
        <v>20171108.7683074</v>
      </c>
      <c r="DA283" s="448">
        <f>DA270+DA278+DA282</f>
        <v>19726574.8816251</v>
      </c>
      <c r="DB283" s="448">
        <f>DB270+DB278+DB282</f>
        <v>19282040.9949428</v>
      </c>
      <c r="DC283" s="448">
        <f>DC270+DC278+DC282</f>
        <v>18837507.1082605</v>
      </c>
      <c r="DD283" s="448">
        <f>DD270+DD278+DD282</f>
        <v>18392973.2215782</v>
      </c>
      <c r="DE283" s="448">
        <f>DE270+DE278+DE282</f>
        <v>17948439.3348959</v>
      </c>
    </row>
    <row r="284" ht="15" customFormat="1" customHeight="1" s="381">
      <c r="A284" s="383" t="n"/>
      <c r="B284" s="393" t="n"/>
      <c r="C284" s="393" t="n"/>
      <c r="D284" s="393" t="n"/>
      <c r="E284" s="393" t="n"/>
      <c r="F284" s="393" t="n"/>
      <c r="G284" s="393" t="n"/>
      <c r="H284" s="393" t="n"/>
      <c r="I284" s="393" t="n"/>
      <c r="J284" s="393" t="n"/>
      <c r="K284" s="393" t="n"/>
      <c r="L284" s="393" t="n"/>
      <c r="M284" s="393" t="n"/>
      <c r="N284" s="393" t="n"/>
      <c r="O284" s="393" t="n"/>
      <c r="P284" s="393" t="n"/>
      <c r="Q284" s="393" t="n"/>
      <c r="R284" s="393" t="n"/>
      <c r="S284" s="393" t="n"/>
      <c r="T284" s="393" t="n"/>
      <c r="U284" s="393" t="n"/>
      <c r="V284" s="393" t="n"/>
      <c r="W284" s="393" t="n"/>
      <c r="X284" s="393" t="n"/>
      <c r="Y284" s="393" t="n"/>
      <c r="Z284" s="393" t="n"/>
      <c r="AA284" s="393" t="n"/>
      <c r="AB284" s="393" t="n"/>
      <c r="AC284" s="393" t="n"/>
      <c r="AD284" s="393" t="n"/>
      <c r="AE284" s="393" t="n"/>
      <c r="AF284" s="393" t="n"/>
      <c r="AG284" s="393" t="n"/>
      <c r="AH284" s="393" t="n"/>
      <c r="AI284" s="393" t="n"/>
      <c r="AJ284" s="393" t="n"/>
      <c r="AK284" s="393" t="n"/>
      <c r="AL284" s="393" t="n"/>
      <c r="AM284" s="393" t="n"/>
      <c r="AN284" s="393" t="n"/>
      <c r="AO284" s="393" t="n"/>
      <c r="AP284" s="393" t="n"/>
      <c r="AQ284" s="393" t="n"/>
      <c r="AR284" s="393" t="n"/>
      <c r="AS284" s="393" t="n"/>
      <c r="AT284" s="393" t="n"/>
      <c r="AU284" s="393" t="n"/>
      <c r="AV284" s="393" t="n"/>
      <c r="AW284" s="393" t="n"/>
      <c r="AX284" s="393" t="n"/>
      <c r="AY284" s="393" t="n"/>
      <c r="AZ284" s="393" t="n"/>
      <c r="BA284" s="393" t="n"/>
      <c r="BB284" s="393" t="n"/>
      <c r="BC284" s="393" t="n"/>
      <c r="BD284" s="393" t="n"/>
      <c r="BE284" s="393" t="n"/>
      <c r="BF284" s="393" t="n"/>
      <c r="BG284" s="393" t="n"/>
      <c r="BH284" s="393" t="n"/>
      <c r="BI284" s="393" t="n"/>
      <c r="BJ284" s="393" t="n"/>
      <c r="BK284" s="393" t="n"/>
      <c r="BL284" s="393" t="n"/>
      <c r="BM284" s="393" t="n"/>
      <c r="BN284" s="393" t="n"/>
      <c r="BO284" s="393" t="n"/>
      <c r="BP284" s="393" t="n"/>
      <c r="BQ284" s="393" t="n"/>
      <c r="BR284" s="393" t="n"/>
      <c r="BS284" s="393" t="n"/>
      <c r="BT284" s="393" t="n"/>
      <c r="BU284" s="393" t="n"/>
      <c r="BV284" s="393" t="n"/>
      <c r="BW284" s="393" t="n"/>
      <c r="BX284" s="393" t="n"/>
      <c r="BY284" s="393" t="n"/>
      <c r="BZ284" s="393" t="n"/>
      <c r="CA284" s="393" t="n"/>
      <c r="CB284" s="393" t="n"/>
      <c r="CC284" s="393" t="n"/>
      <c r="CD284" s="393" t="n"/>
      <c r="CE284" s="393" t="n"/>
      <c r="CF284" s="393" t="n"/>
      <c r="CG284" s="393" t="n"/>
      <c r="CH284" s="393" t="n"/>
      <c r="CI284" s="393" t="n"/>
      <c r="CJ284" s="393" t="n"/>
      <c r="CK284" s="393" t="n"/>
      <c r="CL284" s="393" t="n"/>
      <c r="CM284" s="393" t="n"/>
      <c r="CN284" s="393" t="n"/>
      <c r="CO284" s="393" t="n"/>
      <c r="CP284" s="393" t="n"/>
      <c r="CQ284" s="393" t="n"/>
      <c r="CR284" s="393" t="n"/>
      <c r="CS284" s="393" t="n"/>
      <c r="CT284" s="393" t="n"/>
      <c r="CU284" s="393" t="n"/>
      <c r="CV284" s="393" t="n"/>
      <c r="CW284" s="393" t="n"/>
      <c r="CX284" s="393" t="n"/>
      <c r="CY284" s="393" t="n"/>
      <c r="CZ284" s="393" t="n"/>
      <c r="DA284" s="393" t="n"/>
      <c r="DB284" s="393" t="n"/>
      <c r="DC284" s="393" t="n"/>
      <c r="DD284" s="393" t="n"/>
      <c r="DE284" s="393" t="n"/>
    </row>
    <row r="285" ht="15" customFormat="1" customHeight="1" s="381">
      <c r="A285" s="382" t="inlineStr">
        <is>
          <t>Notes:</t>
        </is>
      </c>
      <c r="B285" s="393" t="n"/>
      <c r="C285" s="393" t="n"/>
      <c r="D285" s="393" t="n"/>
      <c r="E285" s="393" t="n"/>
      <c r="F285" s="393" t="n"/>
      <c r="G285" s="393" t="n"/>
      <c r="H285" s="393" t="n"/>
      <c r="I285" s="393" t="n"/>
      <c r="J285" s="393" t="n"/>
      <c r="K285" s="393" t="n"/>
      <c r="L285" s="393" t="n"/>
      <c r="M285" s="393" t="n"/>
      <c r="N285" s="393" t="n"/>
      <c r="O285" s="393" t="n"/>
      <c r="P285" s="393" t="n"/>
      <c r="Q285" s="393" t="n"/>
      <c r="R285" s="393" t="n"/>
      <c r="S285" s="393" t="n"/>
      <c r="T285" s="393" t="n"/>
      <c r="U285" s="393" t="n"/>
      <c r="V285" s="393" t="n"/>
      <c r="W285" s="393" t="n"/>
      <c r="X285" s="393" t="n"/>
      <c r="Y285" s="393" t="n"/>
      <c r="Z285" s="393" t="n"/>
      <c r="AA285" s="393" t="n"/>
      <c r="AB285" s="393" t="n"/>
      <c r="AC285" s="393" t="n"/>
      <c r="AD285" s="393" t="n"/>
      <c r="AE285" s="393" t="n"/>
      <c r="AF285" s="393" t="n"/>
      <c r="AG285" s="393" t="n"/>
      <c r="AH285" s="393" t="n"/>
      <c r="AI285" s="393" t="n"/>
      <c r="AJ285" s="393" t="n"/>
      <c r="AK285" s="393" t="n"/>
      <c r="AL285" s="393" t="n"/>
      <c r="AM285" s="393" t="n"/>
      <c r="AN285" s="393" t="n"/>
      <c r="AO285" s="393" t="n"/>
      <c r="AP285" s="393" t="n"/>
      <c r="AQ285" s="393" t="n"/>
      <c r="AR285" s="393" t="n"/>
      <c r="AS285" s="393" t="n"/>
      <c r="AT285" s="393" t="n"/>
      <c r="AU285" s="393" t="n"/>
      <c r="AV285" s="393" t="n"/>
      <c r="AW285" s="393" t="n"/>
      <c r="AX285" s="393" t="n"/>
      <c r="AY285" s="393" t="n"/>
      <c r="AZ285" s="393" t="n"/>
      <c r="BA285" s="393" t="n"/>
      <c r="BB285" s="393" t="n"/>
      <c r="BC285" s="393" t="n"/>
      <c r="BD285" s="393" t="n"/>
      <c r="BE285" s="393" t="n"/>
      <c r="BF285" s="393" t="n"/>
      <c r="BG285" s="393" t="n"/>
      <c r="BH285" s="393" t="n"/>
      <c r="BI285" s="393" t="n"/>
      <c r="BJ285" s="393" t="n"/>
      <c r="BK285" s="393" t="n"/>
      <c r="BL285" s="393" t="n"/>
      <c r="BM285" s="393" t="n"/>
      <c r="BN285" s="393" t="n"/>
      <c r="BO285" s="393" t="n"/>
      <c r="BP285" s="393" t="n"/>
      <c r="BQ285" s="393" t="n"/>
      <c r="BR285" s="393" t="n"/>
      <c r="BS285" s="393" t="n"/>
      <c r="BT285" s="393" t="n"/>
      <c r="BU285" s="393" t="n"/>
      <c r="BV285" s="393" t="n"/>
      <c r="BW285" s="393" t="n"/>
      <c r="BX285" s="393" t="n"/>
      <c r="BY285" s="393" t="n"/>
      <c r="BZ285" s="393" t="n"/>
      <c r="CA285" s="393" t="n"/>
      <c r="CB285" s="393" t="n"/>
      <c r="CC285" s="393" t="n"/>
      <c r="CD285" s="393" t="n"/>
      <c r="CE285" s="393" t="n"/>
      <c r="CF285" s="393" t="n"/>
      <c r="CG285" s="393" t="n"/>
      <c r="CH285" s="393" t="n"/>
      <c r="CI285" s="393" t="n"/>
      <c r="CJ285" s="393" t="n"/>
      <c r="CK285" s="393" t="n"/>
      <c r="CL285" s="393" t="n"/>
      <c r="CM285" s="393" t="n"/>
      <c r="CN285" s="393" t="n"/>
      <c r="CO285" s="393" t="n"/>
      <c r="CP285" s="393" t="n"/>
      <c r="CQ285" s="393" t="n"/>
      <c r="CR285" s="393" t="n"/>
      <c r="CS285" s="393" t="n"/>
      <c r="CT285" s="393" t="n"/>
      <c r="CU285" s="393" t="n"/>
      <c r="CV285" s="393" t="n"/>
      <c r="CW285" s="393" t="n"/>
      <c r="CX285" s="393" t="n"/>
      <c r="CY285" s="393" t="n"/>
      <c r="CZ285" s="393" t="n"/>
      <c r="DA285" s="393" t="n"/>
      <c r="DB285" s="393" t="n"/>
      <c r="DC285" s="393" t="n"/>
      <c r="DD285" s="393" t="n"/>
      <c r="DE285" s="393" t="n"/>
    </row>
    <row r="286" ht="15" customFormat="1" customHeight="1" s="381">
      <c r="A286" s="449" t="inlineStr">
        <is>
          <t>Outstanding Steyn Fee Balances Owed (paid from future LIHTC revenue):</t>
        </is>
      </c>
      <c r="B286" s="393" t="n"/>
      <c r="C286" s="393" t="n"/>
      <c r="D286" s="393" t="n"/>
      <c r="E286" s="393" t="n"/>
      <c r="F286" s="393" t="n"/>
      <c r="G286" s="393" t="n"/>
      <c r="H286" s="393" t="n"/>
      <c r="I286" s="393" t="n"/>
      <c r="J286" s="393" t="n"/>
      <c r="K286" s="393" t="n"/>
      <c r="L286" s="393" t="n"/>
      <c r="M286" s="393" t="n"/>
      <c r="N286" s="393" t="n"/>
      <c r="O286" s="393" t="n"/>
      <c r="P286" s="393" t="n"/>
      <c r="Q286" s="393" t="n"/>
      <c r="R286" s="393" t="n"/>
      <c r="S286" s="393" t="n"/>
      <c r="T286" s="393" t="n"/>
      <c r="U286" s="393" t="n"/>
      <c r="V286" s="393" t="n"/>
      <c r="W286" s="393" t="n"/>
      <c r="X286" s="393" t="n"/>
      <c r="Y286" s="393" t="n"/>
      <c r="Z286" s="393" t="n"/>
      <c r="AA286" s="393" t="n"/>
      <c r="AB286" s="393" t="n"/>
      <c r="AC286" s="393" t="n"/>
      <c r="AD286" s="393" t="n"/>
      <c r="AE286" s="393" t="n"/>
      <c r="AF286" s="393" t="n"/>
      <c r="AG286" s="393" t="n"/>
      <c r="AH286" s="393" t="n"/>
      <c r="AI286" s="393" t="n"/>
      <c r="AJ286" s="393" t="n"/>
      <c r="AK286" s="393" t="n"/>
      <c r="AL286" s="393" t="n"/>
      <c r="AM286" s="393" t="n"/>
      <c r="AN286" s="393" t="n"/>
      <c r="AO286" s="393" t="n"/>
      <c r="AP286" s="393" t="n"/>
      <c r="AQ286" s="393" t="n"/>
      <c r="AR286" s="393" t="n"/>
      <c r="AS286" s="393" t="n"/>
      <c r="AT286" s="393" t="n"/>
      <c r="AU286" s="393" t="n"/>
      <c r="AV286" s="393" t="n"/>
      <c r="AW286" s="393" t="n"/>
      <c r="AX286" s="393" t="n"/>
      <c r="AY286" s="393" t="n"/>
      <c r="AZ286" s="393" t="n"/>
      <c r="BA286" s="393" t="n"/>
      <c r="BB286" s="393" t="n"/>
      <c r="BC286" s="393" t="n"/>
      <c r="BD286" s="393" t="n"/>
      <c r="BE286" s="393" t="n"/>
      <c r="BF286" s="393" t="n"/>
      <c r="BG286" s="393" t="n"/>
      <c r="BH286" s="393" t="n"/>
      <c r="BI286" s="393" t="n"/>
      <c r="BJ286" s="393" t="n"/>
      <c r="BK286" s="393" t="n"/>
      <c r="BL286" s="393" t="n"/>
      <c r="BM286" s="393" t="n"/>
      <c r="BN286" s="393" t="n"/>
      <c r="BO286" s="393" t="n"/>
      <c r="BP286" s="393" t="n"/>
      <c r="BQ286" s="393" t="n"/>
      <c r="BR286" s="393" t="n"/>
      <c r="BS286" s="393" t="n"/>
      <c r="BT286" s="393" t="n"/>
      <c r="BU286" s="393" t="n"/>
      <c r="BV286" s="393" t="n"/>
      <c r="BW286" s="393" t="n"/>
      <c r="BX286" s="393" t="n"/>
      <c r="BY286" s="393" t="n"/>
      <c r="BZ286" s="393" t="n"/>
      <c r="CA286" s="393" t="n"/>
      <c r="CB286" s="393" t="n"/>
      <c r="CC286" s="393" t="n"/>
      <c r="CD286" s="393" t="n"/>
      <c r="CE286" s="393" t="n"/>
      <c r="CF286" s="393" t="n"/>
      <c r="CG286" s="393" t="n"/>
      <c r="CH286" s="393" t="n"/>
      <c r="CI286" s="393" t="n"/>
      <c r="CJ286" s="393" t="n"/>
      <c r="CK286" s="393" t="n"/>
      <c r="CL286" s="393" t="n"/>
      <c r="CM286" s="393" t="n"/>
      <c r="CN286" s="393" t="n"/>
      <c r="CO286" s="393" t="n"/>
      <c r="CP286" s="393" t="n"/>
      <c r="CQ286" s="393" t="n"/>
      <c r="CR286" s="393" t="n"/>
      <c r="CS286" s="393" t="n"/>
      <c r="CT286" s="393" t="n"/>
      <c r="CU286" s="393" t="n"/>
      <c r="CV286" s="393" t="n"/>
      <c r="CW286" s="393" t="n"/>
      <c r="CX286" s="393" t="n"/>
      <c r="CY286" s="393" t="n"/>
      <c r="CZ286" s="393" t="n"/>
      <c r="DA286" s="393" t="n"/>
      <c r="DB286" s="393" t="n"/>
      <c r="DC286" s="393" t="n"/>
      <c r="DD286" s="393" t="n"/>
      <c r="DE286" s="393" t="n"/>
    </row>
    <row r="287" ht="15" customFormat="1" customHeight="1" s="381">
      <c r="A287" s="450" t="inlineStr">
        <is>
          <t>3rd St: $563,546  (1% GMP + 3% liquidity requirement)</t>
        </is>
      </c>
      <c r="B287" s="393" t="n"/>
      <c r="C287" s="393" t="n"/>
      <c r="D287" s="393" t="n"/>
      <c r="E287" s="393" t="n"/>
      <c r="F287" s="393" t="n"/>
      <c r="G287" s="393" t="n"/>
      <c r="H287" s="393" t="n"/>
      <c r="I287" s="393" t="n"/>
      <c r="J287" s="393" t="n"/>
      <c r="K287" s="393" t="n"/>
      <c r="L287" s="393" t="n"/>
      <c r="M287" s="393" t="n"/>
      <c r="N287" s="393" t="n"/>
      <c r="O287" s="393" t="n"/>
      <c r="P287" s="393" t="n"/>
      <c r="Q287" s="393" t="n"/>
      <c r="R287" s="393" t="n"/>
      <c r="S287" s="393" t="n"/>
      <c r="T287" s="393" t="n"/>
      <c r="U287" s="393" t="n"/>
      <c r="V287" s="393" t="n"/>
      <c r="W287" s="393" t="n"/>
      <c r="X287" s="393" t="n"/>
      <c r="Y287" s="393" t="n"/>
      <c r="Z287" s="393" t="n"/>
      <c r="AA287" s="393" t="n"/>
      <c r="AB287" s="393" t="n"/>
      <c r="AC287" s="393" t="n"/>
      <c r="AD287" s="393" t="n"/>
      <c r="AE287" s="393" t="n"/>
      <c r="AF287" s="393" t="n"/>
      <c r="AG287" s="393" t="n"/>
      <c r="AH287" s="393" t="n"/>
      <c r="AI287" s="393" t="n"/>
      <c r="AJ287" s="393" t="n"/>
      <c r="AK287" s="393" t="n"/>
      <c r="AL287" s="393" t="n"/>
      <c r="AM287" s="393" t="n"/>
      <c r="AN287" s="393" t="n"/>
      <c r="AO287" s="393" t="n"/>
      <c r="AP287" s="393" t="n"/>
      <c r="AQ287" s="393" t="n"/>
      <c r="AR287" s="393" t="n"/>
      <c r="AS287" s="393" t="n"/>
      <c r="AT287" s="393" t="n"/>
      <c r="AU287" s="393" t="n"/>
      <c r="AV287" s="393" t="n"/>
      <c r="AW287" s="393" t="n"/>
      <c r="AX287" s="393" t="n"/>
      <c r="AY287" s="393" t="n"/>
      <c r="AZ287" s="393" t="n"/>
      <c r="BA287" s="393" t="n"/>
      <c r="BB287" s="393" t="n"/>
      <c r="BC287" s="393" t="n"/>
      <c r="BD287" s="393" t="n"/>
      <c r="BE287" s="393" t="n"/>
      <c r="BF287" s="393" t="n"/>
      <c r="BG287" s="393" t="n"/>
      <c r="BH287" s="393" t="n"/>
      <c r="BI287" s="393" t="n"/>
      <c r="BJ287" s="393" t="n"/>
      <c r="BK287" s="393" t="n"/>
      <c r="BL287" s="393" t="n"/>
      <c r="BM287" s="393" t="n"/>
      <c r="BN287" s="393" t="n"/>
      <c r="BO287" s="393" t="n"/>
      <c r="BP287" s="393" t="n"/>
      <c r="BQ287" s="393" t="n"/>
      <c r="BR287" s="393" t="n"/>
      <c r="BS287" s="393" t="n"/>
      <c r="BT287" s="393" t="n"/>
      <c r="BU287" s="393" t="n"/>
      <c r="BV287" s="393" t="n"/>
      <c r="BW287" s="393" t="n"/>
      <c r="BX287" s="393" t="n"/>
      <c r="BY287" s="393" t="n"/>
      <c r="BZ287" s="393" t="n"/>
      <c r="CA287" s="393" t="n"/>
      <c r="CB287" s="393" t="n"/>
      <c r="CC287" s="393" t="n"/>
      <c r="CD287" s="393" t="n"/>
      <c r="CE287" s="393" t="n"/>
      <c r="CF287" s="393" t="n"/>
      <c r="CG287" s="393" t="n"/>
      <c r="CH287" s="393" t="n"/>
      <c r="CI287" s="393" t="n"/>
      <c r="CJ287" s="393" t="n"/>
      <c r="CK287" s="393" t="n"/>
      <c r="CL287" s="393" t="n"/>
      <c r="CM287" s="393" t="n"/>
      <c r="CN287" s="393" t="n"/>
      <c r="CO287" s="393" t="n"/>
      <c r="CP287" s="393" t="n"/>
      <c r="CQ287" s="393" t="n"/>
      <c r="CR287" s="393" t="n"/>
      <c r="CS287" s="393" t="n"/>
      <c r="CT287" s="393" t="n"/>
      <c r="CU287" s="393" t="n"/>
      <c r="CV287" s="393" t="n"/>
      <c r="CW287" s="393" t="n"/>
      <c r="CX287" s="393" t="n"/>
      <c r="CY287" s="393" t="n"/>
      <c r="CZ287" s="393" t="n"/>
      <c r="DA287" s="393" t="n"/>
      <c r="DB287" s="393" t="n"/>
      <c r="DC287" s="393" t="n"/>
      <c r="DD287" s="393" t="n"/>
      <c r="DE287" s="393" t="n"/>
    </row>
    <row r="288" ht="15" customFormat="1" customHeight="1" s="381">
      <c r="A288" s="450" t="inlineStr">
        <is>
          <t>Francis: $579,684 paid quarterly from LIHTC revenue starting Mo 42 (Sep 2029). No PIK capital invested.</t>
        </is>
      </c>
      <c r="B288" s="393" t="n"/>
      <c r="C288" s="393" t="n"/>
      <c r="D288" s="393" t="n"/>
      <c r="E288" s="393" t="n"/>
      <c r="F288" s="393" t="n"/>
      <c r="G288" s="393" t="n"/>
      <c r="H288" s="393" t="n"/>
      <c r="I288" s="393" t="n"/>
      <c r="J288" s="393" t="n"/>
      <c r="K288" s="393" t="n"/>
      <c r="L288" s="393" t="n"/>
      <c r="M288" s="393" t="n"/>
      <c r="N288" s="393" t="n"/>
      <c r="O288" s="393" t="n"/>
      <c r="P288" s="393" t="n"/>
      <c r="Q288" s="393" t="n"/>
      <c r="R288" s="393" t="n"/>
      <c r="S288" s="393" t="n"/>
      <c r="T288" s="393" t="n"/>
      <c r="U288" s="393" t="n"/>
      <c r="V288" s="393" t="n"/>
      <c r="W288" s="393" t="n"/>
      <c r="X288" s="393" t="n"/>
      <c r="Y288" s="393" t="n"/>
      <c r="Z288" s="393" t="n"/>
      <c r="AA288" s="393" t="n"/>
      <c r="AB288" s="393" t="n"/>
      <c r="AC288" s="393" t="n"/>
      <c r="AD288" s="393" t="n"/>
      <c r="AE288" s="393" t="n"/>
      <c r="AF288" s="393" t="n"/>
      <c r="AG288" s="393" t="n"/>
      <c r="AH288" s="393" t="n"/>
      <c r="AI288" s="393" t="n"/>
      <c r="AJ288" s="393" t="n"/>
      <c r="AK288" s="393" t="n"/>
      <c r="AL288" s="393" t="n"/>
      <c r="AM288" s="393" t="n"/>
      <c r="AN288" s="393" t="n"/>
      <c r="AO288" s="393" t="n"/>
      <c r="AP288" s="393" t="n"/>
      <c r="AQ288" s="393" t="n"/>
      <c r="AR288" s="393" t="n"/>
      <c r="AS288" s="393" t="n"/>
      <c r="AT288" s="393" t="n"/>
      <c r="AU288" s="393" t="n"/>
      <c r="AV288" s="393" t="n"/>
      <c r="AW288" s="393" t="n"/>
      <c r="AX288" s="393" t="n"/>
      <c r="AY288" s="393" t="n"/>
      <c r="AZ288" s="393" t="n"/>
      <c r="BA288" s="393" t="n"/>
      <c r="BB288" s="393" t="n"/>
      <c r="BC288" s="393" t="n"/>
      <c r="BD288" s="393" t="n"/>
      <c r="BE288" s="393" t="n"/>
      <c r="BF288" s="393" t="n"/>
      <c r="BG288" s="393" t="n"/>
      <c r="BH288" s="393" t="n"/>
      <c r="BI288" s="393" t="n"/>
      <c r="BJ288" s="393" t="n"/>
      <c r="BK288" s="393" t="n"/>
      <c r="BL288" s="393" t="n"/>
      <c r="BM288" s="393" t="n"/>
      <c r="BN288" s="393" t="n"/>
      <c r="BO288" s="393" t="n"/>
      <c r="BP288" s="393" t="n"/>
      <c r="BQ288" s="393" t="n"/>
      <c r="BR288" s="393" t="n"/>
      <c r="BS288" s="393" t="n"/>
      <c r="BT288" s="393" t="n"/>
      <c r="BU288" s="393" t="n"/>
      <c r="BV288" s="393" t="n"/>
      <c r="BW288" s="393" t="n"/>
      <c r="BX288" s="393" t="n"/>
      <c r="BY288" s="393" t="n"/>
      <c r="BZ288" s="393" t="n"/>
      <c r="CA288" s="393" t="n"/>
      <c r="CB288" s="393" t="n"/>
      <c r="CC288" s="393" t="n"/>
      <c r="CD288" s="393" t="n"/>
      <c r="CE288" s="393" t="n"/>
      <c r="CF288" s="393" t="n"/>
      <c r="CG288" s="393" t="n"/>
      <c r="CH288" s="393" t="n"/>
      <c r="CI288" s="393" t="n"/>
      <c r="CJ288" s="393" t="n"/>
      <c r="CK288" s="393" t="n"/>
      <c r="CL288" s="393" t="n"/>
      <c r="CM288" s="393" t="n"/>
      <c r="CN288" s="393" t="n"/>
      <c r="CO288" s="393" t="n"/>
      <c r="CP288" s="393" t="n"/>
      <c r="CQ288" s="393" t="n"/>
      <c r="CR288" s="393" t="n"/>
      <c r="CS288" s="393" t="n"/>
      <c r="CT288" s="393" t="n"/>
      <c r="CU288" s="393" t="n"/>
      <c r="CV288" s="393" t="n"/>
      <c r="CW288" s="393" t="n"/>
      <c r="CX288" s="393" t="n"/>
      <c r="CY288" s="393" t="n"/>
      <c r="CZ288" s="393" t="n"/>
      <c r="DA288" s="393" t="n"/>
      <c r="DB288" s="393" t="n"/>
      <c r="DC288" s="393" t="n"/>
      <c r="DD288" s="393" t="n"/>
      <c r="DE288" s="393" t="n"/>
    </row>
    <row r="289" ht="15" customFormat="1" customHeight="1" s="381">
      <c r="A289" s="450" t="inlineStr">
        <is>
          <t>Reseda: $602,668 paid quarterly from LIHTC revenue starting Mo 45 (Dec 2029). Deal distributes $1,450,000 at project start (Mo 13).</t>
        </is>
      </c>
      <c r="B289" s="393" t="n"/>
      <c r="C289" s="393" t="n"/>
      <c r="D289" s="393" t="n"/>
      <c r="E289" s="393" t="n"/>
      <c r="F289" s="393" t="n"/>
      <c r="G289" s="393" t="n"/>
      <c r="H289" s="393" t="n"/>
      <c r="I289" s="393" t="n"/>
      <c r="J289" s="393" t="n"/>
      <c r="K289" s="393" t="n"/>
      <c r="L289" s="393" t="n"/>
      <c r="M289" s="393" t="n"/>
      <c r="N289" s="393" t="n"/>
      <c r="O289" s="393" t="n"/>
      <c r="P289" s="393" t="n"/>
      <c r="Q289" s="393" t="n"/>
      <c r="R289" s="393" t="n"/>
      <c r="S289" s="393" t="n"/>
      <c r="T289" s="393" t="n"/>
      <c r="U289" s="393" t="n"/>
      <c r="V289" s="393" t="n"/>
      <c r="W289" s="393" t="n"/>
      <c r="X289" s="393" t="n"/>
      <c r="Y289" s="393" t="n"/>
      <c r="Z289" s="393" t="n"/>
      <c r="AA289" s="393" t="n"/>
      <c r="AB289" s="393" t="n"/>
      <c r="AC289" s="393" t="n"/>
      <c r="AD289" s="393" t="n"/>
      <c r="AE289" s="393" t="n"/>
      <c r="AF289" s="393" t="n"/>
      <c r="AG289" s="393" t="n"/>
      <c r="AH289" s="393" t="n"/>
      <c r="AI289" s="393" t="n"/>
      <c r="AJ289" s="393" t="n"/>
      <c r="AK289" s="393" t="n"/>
      <c r="AL289" s="393" t="n"/>
      <c r="AM289" s="393" t="n"/>
      <c r="AN289" s="393" t="n"/>
      <c r="AO289" s="393" t="n"/>
      <c r="AP289" s="393" t="n"/>
      <c r="AQ289" s="393" t="n"/>
      <c r="AR289" s="393" t="n"/>
      <c r="AS289" s="393" t="n"/>
      <c r="AT289" s="393" t="n"/>
      <c r="AU289" s="393" t="n"/>
      <c r="AV289" s="393" t="n"/>
      <c r="AW289" s="393" t="n"/>
      <c r="AX289" s="393" t="n"/>
      <c r="AY289" s="393" t="n"/>
      <c r="AZ289" s="393" t="n"/>
      <c r="BA289" s="393" t="n"/>
      <c r="BB289" s="393" t="n"/>
      <c r="BC289" s="393" t="n"/>
      <c r="BD289" s="393" t="n"/>
      <c r="BE289" s="393" t="n"/>
      <c r="BF289" s="393" t="n"/>
      <c r="BG289" s="393" t="n"/>
      <c r="BH289" s="393" t="n"/>
      <c r="BI289" s="393" t="n"/>
      <c r="BJ289" s="393" t="n"/>
      <c r="BK289" s="393" t="n"/>
      <c r="BL289" s="393" t="n"/>
      <c r="BM289" s="393" t="n"/>
      <c r="BN289" s="393" t="n"/>
      <c r="BO289" s="393" t="n"/>
      <c r="BP289" s="393" t="n"/>
      <c r="BQ289" s="393" t="n"/>
      <c r="BR289" s="393" t="n"/>
      <c r="BS289" s="393" t="n"/>
      <c r="BT289" s="393" t="n"/>
      <c r="BU289" s="393" t="n"/>
      <c r="BV289" s="393" t="n"/>
      <c r="BW289" s="393" t="n"/>
      <c r="BX289" s="393" t="n"/>
      <c r="BY289" s="393" t="n"/>
      <c r="BZ289" s="393" t="n"/>
      <c r="CA289" s="393" t="n"/>
      <c r="CB289" s="393" t="n"/>
      <c r="CC289" s="393" t="n"/>
      <c r="CD289" s="393" t="n"/>
      <c r="CE289" s="393" t="n"/>
      <c r="CF289" s="393" t="n"/>
      <c r="CG289" s="393" t="n"/>
      <c r="CH289" s="393" t="n"/>
      <c r="CI289" s="393" t="n"/>
      <c r="CJ289" s="393" t="n"/>
      <c r="CK289" s="393" t="n"/>
      <c r="CL289" s="393" t="n"/>
      <c r="CM289" s="393" t="n"/>
      <c r="CN289" s="393" t="n"/>
      <c r="CO289" s="393" t="n"/>
      <c r="CP289" s="393" t="n"/>
      <c r="CQ289" s="393" t="n"/>
      <c r="CR289" s="393" t="n"/>
      <c r="CS289" s="393" t="n"/>
      <c r="CT289" s="393" t="n"/>
      <c r="CU289" s="393" t="n"/>
      <c r="CV289" s="393" t="n"/>
      <c r="CW289" s="393" t="n"/>
      <c r="CX289" s="393" t="n"/>
      <c r="CY289" s="393" t="n"/>
      <c r="CZ289" s="393" t="n"/>
      <c r="DA289" s="393" t="n"/>
      <c r="DB289" s="393" t="n"/>
      <c r="DC289" s="393" t="n"/>
      <c r="DD289" s="393" t="n"/>
      <c r="DE289" s="393" t="n"/>
    </row>
    <row r="290" ht="15" customFormat="1" customHeight="1" s="381">
      <c r="B290" s="451" t="n"/>
      <c r="C290" s="451" t="n"/>
      <c r="D290" s="451" t="n"/>
      <c r="E290" s="451" t="n"/>
      <c r="F290" s="451" t="n"/>
      <c r="G290" s="451" t="n"/>
      <c r="H290" s="451" t="n"/>
      <c r="I290" s="451" t="n"/>
      <c r="J290" s="451" t="n"/>
      <c r="K290" s="451" t="n"/>
      <c r="L290" s="451" t="n"/>
      <c r="M290" s="451" t="n"/>
      <c r="N290" s="451" t="n"/>
      <c r="O290" s="451" t="n"/>
      <c r="P290" s="451" t="n"/>
      <c r="Q290" s="451" t="n"/>
      <c r="R290" s="451" t="n"/>
      <c r="S290" s="451" t="n"/>
      <c r="T290" s="451" t="n"/>
      <c r="U290" s="451" t="n"/>
      <c r="V290" s="451" t="n"/>
      <c r="W290" s="451" t="n"/>
      <c r="X290" s="451" t="n"/>
      <c r="Y290" s="451" t="n"/>
      <c r="Z290" s="451" t="n"/>
      <c r="AA290" s="451" t="n"/>
      <c r="AB290" s="451" t="n"/>
      <c r="AC290" s="451" t="n"/>
      <c r="AD290" s="451" t="n"/>
      <c r="AE290" s="451" t="n"/>
      <c r="AF290" s="451" t="n"/>
      <c r="AG290" s="451" t="n"/>
      <c r="AH290" s="451" t="n"/>
      <c r="AI290" s="451" t="n"/>
      <c r="AJ290" s="451" t="n"/>
      <c r="AK290" s="451" t="n"/>
      <c r="AL290" s="451" t="n"/>
      <c r="AM290" s="451" t="n"/>
      <c r="AN290" s="451" t="n"/>
      <c r="AO290" s="451" t="n"/>
      <c r="AP290" s="451" t="n"/>
      <c r="AQ290" s="451" t="n"/>
      <c r="AR290" s="451" t="n"/>
      <c r="AS290" s="451" t="n"/>
      <c r="AT290" s="451" t="n"/>
      <c r="AU290" s="451" t="n"/>
      <c r="AV290" s="451" t="n"/>
      <c r="AW290" s="451" t="n"/>
      <c r="AX290" s="451" t="n"/>
      <c r="AY290" s="451" t="n"/>
      <c r="AZ290" s="451" t="n"/>
      <c r="BA290" s="451" t="n"/>
      <c r="BB290" s="451" t="n"/>
      <c r="BC290" s="451" t="n"/>
      <c r="BD290" s="451" t="n"/>
      <c r="BE290" s="451" t="n"/>
      <c r="BF290" s="451" t="n"/>
      <c r="BG290" s="451" t="n"/>
      <c r="BH290" s="451" t="n"/>
      <c r="BI290" s="451" t="n"/>
      <c r="BJ290" s="451" t="n"/>
      <c r="BK290" s="451" t="n"/>
      <c r="BL290" s="451" t="n"/>
      <c r="BM290" s="451" t="n"/>
      <c r="BN290" s="451" t="n"/>
      <c r="BO290" s="451" t="n"/>
      <c r="BP290" s="451" t="n"/>
      <c r="BQ290" s="451" t="n"/>
      <c r="BR290" s="451" t="n"/>
      <c r="BS290" s="451" t="n"/>
      <c r="BT290" s="451" t="n"/>
      <c r="BU290" s="451" t="n"/>
      <c r="BV290" s="451" t="n"/>
      <c r="BW290" s="451" t="n"/>
      <c r="BX290" s="451" t="n"/>
      <c r="BY290" s="451" t="n"/>
      <c r="BZ290" s="451" t="n"/>
      <c r="CA290" s="451" t="n"/>
      <c r="CB290" s="451" t="n"/>
      <c r="CC290" s="451" t="n"/>
      <c r="CD290" s="451" t="n"/>
      <c r="CE290" s="451" t="n"/>
      <c r="CF290" s="451" t="n"/>
      <c r="CG290" s="451" t="n"/>
      <c r="CH290" s="451" t="n"/>
      <c r="CI290" s="451" t="n"/>
      <c r="CJ290" s="451" t="n"/>
      <c r="CK290" s="451" t="n"/>
      <c r="CL290" s="451" t="n"/>
      <c r="CM290" s="451" t="n"/>
      <c r="CN290" s="451" t="n"/>
      <c r="CO290" s="451" t="n"/>
      <c r="CP290" s="451" t="n"/>
      <c r="CQ290" s="451" t="n"/>
      <c r="CR290" s="451" t="n"/>
      <c r="CS290" s="451" t="n"/>
      <c r="CT290" s="451" t="n"/>
      <c r="CU290" s="451" t="n"/>
      <c r="CV290" s="451" t="n"/>
      <c r="CW290" s="451" t="n"/>
      <c r="CX290" s="451" t="n"/>
      <c r="CY290" s="451" t="n"/>
      <c r="CZ290" s="451" t="n"/>
      <c r="DA290" s="451" t="n"/>
      <c r="DB290" s="451" t="n"/>
      <c r="DC290" s="451" t="n"/>
      <c r="DD290" s="451" t="n"/>
      <c r="DE290" s="451" t="n"/>
    </row>
    <row r="291" ht="15" customFormat="1" customHeight="1" s="381">
      <c r="B291" s="451" t="n"/>
      <c r="C291" s="451" t="n"/>
      <c r="D291" s="451" t="n"/>
      <c r="E291" s="451" t="n"/>
      <c r="F291" s="451" t="n"/>
      <c r="G291" s="451" t="n"/>
      <c r="H291" s="451" t="n"/>
      <c r="I291" s="451" t="n"/>
      <c r="J291" s="451" t="n"/>
      <c r="K291" s="451" t="n"/>
      <c r="L291" s="451" t="n"/>
      <c r="M291" s="451" t="n"/>
      <c r="N291" s="451" t="n"/>
      <c r="O291" s="451" t="n"/>
      <c r="P291" s="451" t="n"/>
      <c r="Q291" s="451" t="n"/>
      <c r="R291" s="451" t="n"/>
      <c r="S291" s="451" t="n"/>
      <c r="T291" s="451" t="n"/>
      <c r="U291" s="451" t="n"/>
      <c r="V291" s="451" t="n"/>
      <c r="W291" s="451" t="n"/>
      <c r="X291" s="451" t="n"/>
      <c r="Y291" s="451" t="n"/>
      <c r="Z291" s="451" t="n"/>
      <c r="AA291" s="451" t="n"/>
      <c r="AB291" s="451" t="n"/>
      <c r="AC291" s="451" t="n"/>
      <c r="AD291" s="451" t="n"/>
      <c r="AE291" s="451" t="n"/>
      <c r="AF291" s="451" t="n"/>
      <c r="AG291" s="451" t="n"/>
      <c r="AH291" s="451" t="n"/>
      <c r="AI291" s="451" t="n"/>
      <c r="AJ291" s="451" t="n"/>
      <c r="AK291" s="451" t="n"/>
      <c r="AL291" s="451" t="n"/>
      <c r="AM291" s="451" t="n"/>
      <c r="AN291" s="451" t="n"/>
      <c r="AO291" s="451" t="n"/>
      <c r="AP291" s="451" t="n"/>
      <c r="AQ291" s="451" t="n"/>
      <c r="AR291" s="451" t="n"/>
      <c r="AS291" s="451" t="n"/>
      <c r="AT291" s="451" t="n"/>
      <c r="AU291" s="451" t="n"/>
      <c r="AV291" s="451" t="n"/>
      <c r="AW291" s="451" t="n"/>
      <c r="AX291" s="451" t="n"/>
      <c r="AY291" s="451" t="n"/>
      <c r="AZ291" s="451" t="n"/>
      <c r="BA291" s="451" t="n"/>
      <c r="BB291" s="451" t="n"/>
      <c r="BC291" s="451" t="n"/>
      <c r="BD291" s="451" t="n"/>
      <c r="BE291" s="451" t="n"/>
      <c r="BF291" s="451" t="n"/>
      <c r="BG291" s="451" t="n"/>
      <c r="BH291" s="451" t="n"/>
      <c r="BI291" s="451" t="n"/>
      <c r="BJ291" s="451" t="n"/>
      <c r="BK291" s="451" t="n"/>
      <c r="BL291" s="451" t="n"/>
      <c r="BM291" s="451" t="n"/>
      <c r="BN291" s="451" t="n"/>
      <c r="BO291" s="451" t="n"/>
      <c r="BP291" s="451" t="n"/>
      <c r="BQ291" s="451" t="n"/>
      <c r="BR291" s="451" t="n"/>
      <c r="BS291" s="451" t="n"/>
      <c r="BT291" s="451" t="n"/>
      <c r="BU291" s="451" t="n"/>
      <c r="BV291" s="451" t="n"/>
      <c r="BW291" s="451" t="n"/>
      <c r="BX291" s="451" t="n"/>
      <c r="BY291" s="451" t="n"/>
      <c r="BZ291" s="451" t="n"/>
      <c r="CA291" s="451" t="n"/>
      <c r="CB291" s="451" t="n"/>
      <c r="CC291" s="451" t="n"/>
      <c r="CD291" s="451" t="n"/>
      <c r="CE291" s="451" t="n"/>
      <c r="CF291" s="451" t="n"/>
      <c r="CG291" s="451" t="n"/>
      <c r="CH291" s="451" t="n"/>
      <c r="CI291" s="451" t="n"/>
      <c r="CJ291" s="451" t="n"/>
      <c r="CK291" s="451" t="n"/>
      <c r="CL291" s="451" t="n"/>
      <c r="CM291" s="451" t="n"/>
      <c r="CN291" s="451" t="n"/>
      <c r="CO291" s="451" t="n"/>
      <c r="CP291" s="451" t="n"/>
      <c r="CQ291" s="451" t="n"/>
      <c r="CR291" s="451" t="n"/>
      <c r="CS291" s="451" t="n"/>
      <c r="CT291" s="451" t="n"/>
      <c r="CU291" s="451" t="n"/>
      <c r="CV291" s="451" t="n"/>
      <c r="CW291" s="451" t="n"/>
      <c r="CX291" s="451" t="n"/>
      <c r="CY291" s="451" t="n"/>
      <c r="CZ291" s="451" t="n"/>
      <c r="DA291" s="451" t="n"/>
      <c r="DB291" s="451" t="n"/>
      <c r="DC291" s="451" t="n"/>
      <c r="DD291" s="451" t="n"/>
      <c r="DE291" s="451" t="n"/>
    </row>
    <row r="292" ht="15" customFormat="1" customHeight="1" s="381">
      <c r="A292" s="452" t="n"/>
      <c r="B292" s="451" t="n"/>
      <c r="C292" s="451" t="n"/>
      <c r="D292" s="451" t="n"/>
      <c r="E292" s="451" t="n"/>
      <c r="F292" s="451" t="n"/>
      <c r="G292" s="451" t="n"/>
      <c r="H292" s="451" t="n"/>
      <c r="I292" s="451" t="n"/>
      <c r="J292" s="451" t="n"/>
      <c r="K292" s="451" t="n"/>
      <c r="L292" s="451" t="n"/>
      <c r="M292" s="451" t="n"/>
      <c r="N292" s="451" t="n"/>
      <c r="O292" s="451" t="n"/>
      <c r="P292" s="451" t="n"/>
      <c r="Q292" s="451" t="n"/>
      <c r="R292" s="451" t="n"/>
      <c r="S292" s="451" t="n"/>
      <c r="T292" s="451" t="n"/>
      <c r="U292" s="451" t="n"/>
      <c r="V292" s="451" t="n"/>
      <c r="W292" s="451" t="n"/>
      <c r="X292" s="451" t="n"/>
      <c r="Y292" s="451" t="n"/>
      <c r="Z292" s="451" t="n"/>
      <c r="AA292" s="451" t="n"/>
      <c r="AB292" s="451" t="n"/>
      <c r="AC292" s="451" t="n"/>
      <c r="AD292" s="451" t="n"/>
      <c r="AE292" s="451" t="n"/>
      <c r="AF292" s="451" t="n"/>
      <c r="AG292" s="451" t="n"/>
      <c r="AH292" s="451" t="n"/>
      <c r="AI292" s="451" t="n"/>
      <c r="AJ292" s="451" t="n"/>
      <c r="AK292" s="451" t="n"/>
      <c r="AL292" s="451" t="n"/>
      <c r="AM292" s="451" t="n"/>
      <c r="AN292" s="451" t="n"/>
      <c r="AO292" s="451" t="n"/>
      <c r="AP292" s="451" t="n"/>
      <c r="AQ292" s="451" t="n"/>
      <c r="AR292" s="451" t="n"/>
      <c r="AS292" s="451" t="n"/>
      <c r="AT292" s="451" t="n"/>
      <c r="AU292" s="451" t="n"/>
      <c r="AV292" s="451" t="n"/>
      <c r="AW292" s="451" t="n"/>
      <c r="AX292" s="451" t="n"/>
      <c r="AY292" s="451" t="n"/>
      <c r="AZ292" s="451" t="n"/>
      <c r="BA292" s="451" t="n"/>
      <c r="BB292" s="451" t="n"/>
      <c r="BC292" s="451" t="n"/>
      <c r="BD292" s="451" t="n"/>
      <c r="BE292" s="451" t="n"/>
      <c r="BF292" s="451" t="n"/>
      <c r="BG292" s="451" t="n"/>
      <c r="BH292" s="451" t="n"/>
      <c r="BI292" s="451" t="n"/>
      <c r="BJ292" s="451" t="n"/>
      <c r="BK292" s="451" t="n"/>
      <c r="BL292" s="451" t="n"/>
      <c r="BM292" s="451" t="n"/>
      <c r="BN292" s="451" t="n"/>
      <c r="BO292" s="451" t="n"/>
      <c r="BP292" s="451" t="n"/>
      <c r="BQ292" s="451" t="n"/>
      <c r="BR292" s="451" t="n"/>
      <c r="BS292" s="451" t="n"/>
      <c r="BT292" s="451" t="n"/>
      <c r="BU292" s="451" t="n"/>
      <c r="BV292" s="451" t="n"/>
      <c r="BW292" s="451" t="n"/>
      <c r="BX292" s="451" t="n"/>
      <c r="BY292" s="451" t="n"/>
      <c r="BZ292" s="451" t="n"/>
      <c r="CA292" s="451" t="n"/>
      <c r="CB292" s="451" t="n"/>
      <c r="CC292" s="451" t="n"/>
      <c r="CD292" s="451" t="n"/>
      <c r="CE292" s="451" t="n"/>
      <c r="CF292" s="451" t="n"/>
      <c r="CG292" s="451" t="n"/>
      <c r="CH292" s="451" t="n"/>
      <c r="CI292" s="451" t="n"/>
      <c r="CJ292" s="451" t="n"/>
      <c r="CK292" s="451" t="n"/>
      <c r="CL292" s="451" t="n"/>
      <c r="CM292" s="451" t="n"/>
      <c r="CN292" s="451" t="n"/>
      <c r="CO292" s="451" t="n"/>
      <c r="CP292" s="451" t="n"/>
      <c r="CQ292" s="451" t="n"/>
      <c r="CR292" s="451" t="n"/>
      <c r="CS292" s="451" t="n"/>
      <c r="CT292" s="451" t="n"/>
      <c r="CU292" s="451" t="n"/>
      <c r="CV292" s="451" t="n"/>
      <c r="CW292" s="451" t="n"/>
      <c r="CX292" s="451" t="n"/>
      <c r="CY292" s="451" t="n"/>
      <c r="CZ292" s="451" t="n"/>
      <c r="DA292" s="451" t="n"/>
      <c r="DB292" s="451" t="n"/>
      <c r="DC292" s="451" t="n"/>
      <c r="DD292" s="451" t="n"/>
      <c r="DE292" s="451" t="n"/>
    </row>
    <row r="293" ht="15" customFormat="1" customHeight="1" s="381">
      <c r="B293" s="451" t="n"/>
      <c r="C293" s="451" t="n"/>
      <c r="D293" s="451" t="n"/>
      <c r="E293" s="451" t="n"/>
      <c r="F293" s="451" t="n"/>
      <c r="G293" s="451" t="n"/>
      <c r="H293" s="451" t="n"/>
      <c r="I293" s="451" t="n"/>
      <c r="J293" s="451" t="n"/>
      <c r="K293" s="451" t="n"/>
      <c r="L293" s="451" t="n"/>
      <c r="M293" s="451" t="n"/>
      <c r="N293" s="451" t="n"/>
      <c r="O293" s="451" t="n"/>
      <c r="P293" s="451" t="n"/>
      <c r="Q293" s="451" t="n"/>
      <c r="R293" s="451" t="n"/>
      <c r="S293" s="451" t="n"/>
      <c r="T293" s="451" t="n"/>
      <c r="U293" s="451" t="n"/>
      <c r="V293" s="451" t="n"/>
      <c r="W293" s="451" t="n"/>
      <c r="X293" s="451" t="n"/>
      <c r="Y293" s="451" t="n"/>
      <c r="Z293" s="451" t="n"/>
      <c r="AA293" s="451" t="n"/>
      <c r="AB293" s="451" t="n"/>
      <c r="AC293" s="451" t="n"/>
      <c r="AD293" s="451" t="n"/>
      <c r="AE293" s="451" t="n"/>
      <c r="AF293" s="451" t="n"/>
      <c r="AG293" s="451" t="n"/>
      <c r="AH293" s="451" t="n"/>
      <c r="AI293" s="451" t="n"/>
      <c r="AJ293" s="451" t="n"/>
      <c r="AK293" s="451" t="n"/>
      <c r="AL293" s="451" t="n"/>
      <c r="AM293" s="451" t="n"/>
      <c r="AN293" s="451" t="n"/>
      <c r="AO293" s="451" t="n"/>
      <c r="AP293" s="451" t="n"/>
      <c r="AQ293" s="451" t="n"/>
      <c r="AR293" s="451" t="n"/>
      <c r="AS293" s="451" t="n"/>
      <c r="AT293" s="451" t="n"/>
      <c r="AU293" s="451" t="n"/>
      <c r="AV293" s="451" t="n"/>
      <c r="AW293" s="451" t="n"/>
      <c r="AX293" s="451" t="n"/>
      <c r="AY293" s="451" t="n"/>
      <c r="AZ293" s="451" t="n"/>
      <c r="BA293" s="451" t="n"/>
      <c r="BB293" s="451" t="n"/>
      <c r="BC293" s="451" t="n"/>
      <c r="BD293" s="451" t="n"/>
      <c r="BE293" s="451" t="n"/>
      <c r="BF293" s="451" t="n"/>
      <c r="BG293" s="451" t="n"/>
      <c r="BH293" s="451" t="n"/>
      <c r="BI293" s="451" t="n"/>
      <c r="BJ293" s="451" t="n"/>
      <c r="BK293" s="451" t="n"/>
      <c r="BL293" s="451" t="n"/>
      <c r="BM293" s="451" t="n"/>
      <c r="BN293" s="451" t="n"/>
      <c r="BO293" s="451" t="n"/>
      <c r="BP293" s="451" t="n"/>
      <c r="BQ293" s="451" t="n"/>
      <c r="BR293" s="451" t="n"/>
      <c r="BS293" s="451" t="n"/>
      <c r="BT293" s="451" t="n"/>
      <c r="BU293" s="451" t="n"/>
      <c r="BV293" s="451" t="n"/>
      <c r="BW293" s="451" t="n"/>
      <c r="BX293" s="451" t="n"/>
      <c r="BY293" s="451" t="n"/>
      <c r="BZ293" s="451" t="n"/>
      <c r="CA293" s="451" t="n"/>
      <c r="CB293" s="451" t="n"/>
      <c r="CC293" s="451" t="n"/>
      <c r="CD293" s="451" t="n"/>
      <c r="CE293" s="451" t="n"/>
      <c r="CF293" s="451" t="n"/>
      <c r="CG293" s="451" t="n"/>
      <c r="CH293" s="451" t="n"/>
      <c r="CI293" s="451" t="n"/>
      <c r="CJ293" s="451" t="n"/>
      <c r="CK293" s="451" t="n"/>
      <c r="CL293" s="451" t="n"/>
      <c r="CM293" s="451" t="n"/>
      <c r="CN293" s="451" t="n"/>
      <c r="CO293" s="451" t="n"/>
      <c r="CP293" s="451" t="n"/>
      <c r="CQ293" s="451" t="n"/>
      <c r="CR293" s="451" t="n"/>
      <c r="CS293" s="451" t="n"/>
      <c r="CT293" s="451" t="n"/>
      <c r="CU293" s="451" t="n"/>
      <c r="CV293" s="451" t="n"/>
      <c r="CW293" s="451" t="n"/>
      <c r="CX293" s="451" t="n"/>
      <c r="CY293" s="451" t="n"/>
      <c r="CZ293" s="451" t="n"/>
      <c r="DA293" s="451" t="n"/>
      <c r="DB293" s="451" t="n"/>
      <c r="DC293" s="451" t="n"/>
      <c r="DD293" s="451" t="n"/>
      <c r="DE293" s="451" t="n"/>
    </row>
    <row r="294" ht="15" customFormat="1" customHeight="1" s="381">
      <c r="A294" s="453" t="n"/>
      <c r="B294" s="451" t="n"/>
      <c r="C294" s="451" t="n"/>
      <c r="D294" s="451" t="n"/>
      <c r="E294" s="451" t="n"/>
      <c r="F294" s="451" t="n"/>
      <c r="G294" s="451" t="n"/>
      <c r="H294" s="451" t="n"/>
      <c r="I294" s="451" t="n"/>
      <c r="J294" s="451" t="n"/>
      <c r="K294" s="451" t="n"/>
      <c r="L294" s="451" t="n"/>
      <c r="M294" s="451" t="n"/>
      <c r="N294" s="451" t="n"/>
      <c r="O294" s="451" t="n"/>
      <c r="P294" s="451" t="n"/>
      <c r="Q294" s="451" t="n"/>
      <c r="R294" s="451" t="n"/>
      <c r="S294" s="451" t="n"/>
      <c r="T294" s="451" t="n"/>
      <c r="U294" s="451" t="n"/>
      <c r="V294" s="451" t="n"/>
      <c r="W294" s="451" t="n"/>
      <c r="X294" s="451" t="n"/>
      <c r="Y294" s="451" t="n"/>
      <c r="Z294" s="451" t="n"/>
      <c r="AA294" s="451" t="n"/>
      <c r="AB294" s="451" t="n"/>
      <c r="AC294" s="451" t="n"/>
      <c r="AD294" s="451" t="n"/>
      <c r="AE294" s="451" t="n"/>
      <c r="AF294" s="451" t="n"/>
      <c r="AG294" s="451" t="n"/>
      <c r="AH294" s="451" t="n"/>
      <c r="AI294" s="451" t="n"/>
      <c r="AJ294" s="451" t="n"/>
      <c r="AK294" s="451" t="n"/>
      <c r="AL294" s="451" t="n"/>
      <c r="AM294" s="451" t="n"/>
      <c r="AN294" s="451" t="n"/>
      <c r="AO294" s="451" t="n"/>
      <c r="AP294" s="451" t="n"/>
      <c r="AQ294" s="451" t="n"/>
      <c r="AR294" s="451" t="n"/>
      <c r="AS294" s="451" t="n"/>
      <c r="AT294" s="451" t="n"/>
      <c r="AU294" s="451" t="n"/>
      <c r="AV294" s="451" t="n"/>
      <c r="AW294" s="451" t="n"/>
      <c r="AX294" s="451" t="n"/>
      <c r="AY294" s="451" t="n"/>
      <c r="AZ294" s="451" t="n"/>
      <c r="BA294" s="451" t="n"/>
      <c r="BB294" s="451" t="n"/>
      <c r="BC294" s="451" t="n"/>
      <c r="BD294" s="451" t="n"/>
      <c r="BE294" s="451" t="n"/>
      <c r="BF294" s="451" t="n"/>
      <c r="BG294" s="451" t="n"/>
      <c r="BH294" s="451" t="n"/>
      <c r="BI294" s="451" t="n"/>
      <c r="BJ294" s="451" t="n"/>
      <c r="BK294" s="451" t="n"/>
      <c r="BL294" s="451" t="n"/>
      <c r="BM294" s="451" t="n"/>
      <c r="BN294" s="451" t="n"/>
      <c r="BO294" s="451" t="n"/>
      <c r="BP294" s="451" t="n"/>
      <c r="BQ294" s="451" t="n"/>
      <c r="BR294" s="451" t="n"/>
      <c r="BS294" s="451" t="n"/>
      <c r="BT294" s="451" t="n"/>
      <c r="BU294" s="451" t="n"/>
      <c r="BV294" s="451" t="n"/>
      <c r="BW294" s="451" t="n"/>
      <c r="BX294" s="451" t="n"/>
      <c r="BY294" s="451" t="n"/>
      <c r="BZ294" s="451" t="n"/>
      <c r="CA294" s="451" t="n"/>
      <c r="CB294" s="451" t="n"/>
      <c r="CC294" s="451" t="n"/>
      <c r="CD294" s="451" t="n"/>
      <c r="CE294" s="451" t="n"/>
      <c r="CF294" s="451" t="n"/>
      <c r="CG294" s="451" t="n"/>
      <c r="CH294" s="451" t="n"/>
      <c r="CI294" s="451" t="n"/>
      <c r="CJ294" s="451" t="n"/>
      <c r="CK294" s="451" t="n"/>
      <c r="CL294" s="451" t="n"/>
      <c r="CM294" s="451" t="n"/>
      <c r="CN294" s="451" t="n"/>
      <c r="CO294" s="451" t="n"/>
      <c r="CP294" s="451" t="n"/>
      <c r="CQ294" s="451" t="n"/>
      <c r="CR294" s="451" t="n"/>
      <c r="CS294" s="451" t="n"/>
      <c r="CT294" s="451" t="n"/>
      <c r="CU294" s="451" t="n"/>
      <c r="CV294" s="451" t="n"/>
      <c r="CW294" s="451" t="n"/>
      <c r="CX294" s="451" t="n"/>
      <c r="CY294" s="451" t="n"/>
      <c r="CZ294" s="451" t="n"/>
      <c r="DA294" s="451" t="n"/>
      <c r="DB294" s="451" t="n"/>
      <c r="DC294" s="451" t="n"/>
      <c r="DD294" s="451" t="n"/>
      <c r="DE294" s="451" t="n"/>
    </row>
    <row r="295" ht="15" customFormat="1" customHeight="1" s="381">
      <c r="A295" s="453" t="n"/>
      <c r="B295" s="451" t="n"/>
      <c r="C295" s="451" t="n"/>
      <c r="D295" s="451" t="n"/>
      <c r="E295" s="451" t="n"/>
      <c r="F295" s="451" t="n"/>
      <c r="G295" s="451" t="n"/>
      <c r="H295" s="451" t="n"/>
      <c r="I295" s="451" t="n"/>
      <c r="J295" s="451" t="n"/>
      <c r="K295" s="451" t="n"/>
      <c r="L295" s="451" t="n"/>
      <c r="M295" s="451" t="n"/>
      <c r="N295" s="451" t="n"/>
      <c r="O295" s="451" t="n"/>
      <c r="P295" s="451" t="n"/>
      <c r="Q295" s="451" t="n"/>
      <c r="R295" s="451" t="n"/>
      <c r="S295" s="451" t="n"/>
      <c r="T295" s="451" t="n"/>
      <c r="U295" s="451" t="n"/>
      <c r="V295" s="451" t="n"/>
      <c r="W295" s="451" t="n"/>
      <c r="X295" s="451" t="n"/>
      <c r="Y295" s="451" t="n"/>
      <c r="Z295" s="451" t="n"/>
      <c r="AA295" s="451" t="n"/>
      <c r="AB295" s="451" t="n"/>
      <c r="AC295" s="451" t="n"/>
      <c r="AD295" s="451" t="n"/>
      <c r="AE295" s="451" t="n"/>
      <c r="AF295" s="451" t="n"/>
      <c r="AG295" s="451" t="n"/>
      <c r="AH295" s="451" t="n"/>
      <c r="AI295" s="451" t="n"/>
      <c r="AJ295" s="451" t="n"/>
      <c r="AK295" s="451" t="n"/>
      <c r="AL295" s="451" t="n"/>
      <c r="AM295" s="451" t="n"/>
      <c r="AN295" s="451" t="n"/>
      <c r="AO295" s="451" t="n"/>
      <c r="AP295" s="451" t="n"/>
      <c r="AQ295" s="451" t="n"/>
      <c r="AR295" s="451" t="n"/>
      <c r="AS295" s="451" t="n"/>
      <c r="AT295" s="451" t="n"/>
      <c r="AU295" s="451" t="n"/>
      <c r="AV295" s="451" t="n"/>
      <c r="AW295" s="451" t="n"/>
      <c r="AX295" s="451" t="n"/>
      <c r="AY295" s="451" t="n"/>
      <c r="AZ295" s="451" t="n"/>
      <c r="BA295" s="451" t="n"/>
      <c r="BB295" s="451" t="n"/>
      <c r="BC295" s="451" t="n"/>
      <c r="BD295" s="451" t="n"/>
      <c r="BE295" s="451" t="n"/>
      <c r="BF295" s="451" t="n"/>
      <c r="BG295" s="451" t="n"/>
      <c r="BH295" s="451" t="n"/>
      <c r="BI295" s="451" t="n"/>
      <c r="BJ295" s="451" t="n"/>
      <c r="BK295" s="451" t="n"/>
      <c r="BL295" s="451" t="n"/>
      <c r="BM295" s="451" t="n"/>
      <c r="BN295" s="451" t="n"/>
      <c r="BO295" s="451" t="n"/>
      <c r="BP295" s="451" t="n"/>
      <c r="BQ295" s="451" t="n"/>
      <c r="BR295" s="451" t="n"/>
      <c r="BS295" s="451" t="n"/>
      <c r="BT295" s="451" t="n"/>
      <c r="BU295" s="451" t="n"/>
      <c r="BV295" s="451" t="n"/>
      <c r="BW295" s="451" t="n"/>
      <c r="BX295" s="451" t="n"/>
      <c r="BY295" s="451" t="n"/>
      <c r="BZ295" s="451" t="n"/>
      <c r="CA295" s="451" t="n"/>
      <c r="CB295" s="451" t="n"/>
      <c r="CC295" s="451" t="n"/>
      <c r="CD295" s="451" t="n"/>
      <c r="CE295" s="451" t="n"/>
      <c r="CF295" s="451" t="n"/>
      <c r="CG295" s="451" t="n"/>
      <c r="CH295" s="451" t="n"/>
      <c r="CI295" s="451" t="n"/>
      <c r="CJ295" s="451" t="n"/>
      <c r="CK295" s="451" t="n"/>
      <c r="CL295" s="451" t="n"/>
      <c r="CM295" s="451" t="n"/>
      <c r="CN295" s="451" t="n"/>
      <c r="CO295" s="451" t="n"/>
      <c r="CP295" s="451" t="n"/>
      <c r="CQ295" s="451" t="n"/>
      <c r="CR295" s="451" t="n"/>
      <c r="CS295" s="451" t="n"/>
      <c r="CT295" s="451" t="n"/>
      <c r="CU295" s="451" t="n"/>
      <c r="CV295" s="451" t="n"/>
      <c r="CW295" s="451" t="n"/>
      <c r="CX295" s="451" t="n"/>
      <c r="CY295" s="451" t="n"/>
      <c r="CZ295" s="451" t="n"/>
      <c r="DA295" s="451" t="n"/>
      <c r="DB295" s="451" t="n"/>
      <c r="DC295" s="451" t="n"/>
      <c r="DD295" s="451" t="n"/>
      <c r="DE295" s="451" t="n"/>
    </row>
    <row r="296" ht="15" customFormat="1" customHeight="1" s="381">
      <c r="A296" s="453" t="n"/>
      <c r="B296" s="451" t="n"/>
      <c r="C296" s="451" t="n"/>
      <c r="D296" s="451" t="n"/>
      <c r="E296" s="451" t="n"/>
      <c r="F296" s="451" t="n"/>
      <c r="G296" s="451" t="n"/>
      <c r="H296" s="451" t="n"/>
      <c r="I296" s="451" t="n"/>
      <c r="J296" s="451" t="n"/>
      <c r="K296" s="451" t="n"/>
      <c r="L296" s="451" t="n"/>
      <c r="M296" s="451" t="n"/>
      <c r="N296" s="451" t="n"/>
      <c r="O296" s="451" t="n"/>
      <c r="P296" s="451" t="n"/>
      <c r="Q296" s="451" t="n"/>
      <c r="R296" s="451" t="n"/>
      <c r="S296" s="451" t="n"/>
      <c r="T296" s="451" t="n"/>
      <c r="U296" s="451" t="n"/>
      <c r="V296" s="451" t="n"/>
      <c r="W296" s="451" t="n"/>
      <c r="X296" s="451" t="n"/>
      <c r="Y296" s="451" t="n"/>
      <c r="Z296" s="451" t="n"/>
      <c r="AA296" s="451" t="n"/>
      <c r="AB296" s="451" t="n"/>
      <c r="AC296" s="451" t="n"/>
      <c r="AD296" s="451" t="n"/>
      <c r="AE296" s="451" t="n"/>
      <c r="AF296" s="451" t="n"/>
      <c r="AG296" s="451" t="n"/>
      <c r="AH296" s="451" t="n"/>
      <c r="AI296" s="451" t="n"/>
      <c r="AJ296" s="451" t="n"/>
      <c r="AK296" s="451" t="n"/>
      <c r="AL296" s="451" t="n"/>
      <c r="AM296" s="451" t="n"/>
      <c r="AN296" s="451" t="n"/>
      <c r="AO296" s="451" t="n"/>
      <c r="AP296" s="451" t="n"/>
      <c r="AQ296" s="451" t="n"/>
      <c r="AR296" s="451" t="n"/>
      <c r="AS296" s="451" t="n"/>
      <c r="AT296" s="451" t="n"/>
      <c r="AU296" s="451" t="n"/>
      <c r="AV296" s="451" t="n"/>
      <c r="AW296" s="451" t="n"/>
      <c r="AX296" s="451" t="n"/>
      <c r="AY296" s="451" t="n"/>
      <c r="AZ296" s="451" t="n"/>
      <c r="BA296" s="451" t="n"/>
      <c r="BB296" s="451" t="n"/>
      <c r="BC296" s="451" t="n"/>
      <c r="BD296" s="451" t="n"/>
      <c r="BE296" s="451" t="n"/>
      <c r="BF296" s="451" t="n"/>
      <c r="BG296" s="451" t="n"/>
      <c r="BH296" s="451" t="n"/>
      <c r="BI296" s="451" t="n"/>
      <c r="BJ296" s="451" t="n"/>
      <c r="BK296" s="451" t="n"/>
      <c r="BL296" s="451" t="n"/>
      <c r="BM296" s="451" t="n"/>
      <c r="BN296" s="451" t="n"/>
      <c r="BO296" s="451" t="n"/>
      <c r="BP296" s="451" t="n"/>
      <c r="BQ296" s="451" t="n"/>
      <c r="BR296" s="451" t="n"/>
      <c r="BS296" s="451" t="n"/>
      <c r="BT296" s="451" t="n"/>
      <c r="BU296" s="451" t="n"/>
      <c r="BV296" s="451" t="n"/>
      <c r="BW296" s="451" t="n"/>
      <c r="BX296" s="451" t="n"/>
      <c r="BY296" s="451" t="n"/>
      <c r="BZ296" s="451" t="n"/>
      <c r="CA296" s="451" t="n"/>
      <c r="CB296" s="451" t="n"/>
      <c r="CC296" s="451" t="n"/>
      <c r="CD296" s="451" t="n"/>
      <c r="CE296" s="451" t="n"/>
      <c r="CF296" s="451" t="n"/>
      <c r="CG296" s="451" t="n"/>
      <c r="CH296" s="451" t="n"/>
      <c r="CI296" s="451" t="n"/>
      <c r="CJ296" s="451" t="n"/>
      <c r="CK296" s="451" t="n"/>
      <c r="CL296" s="451" t="n"/>
      <c r="CM296" s="451" t="n"/>
      <c r="CN296" s="451" t="n"/>
      <c r="CO296" s="451" t="n"/>
      <c r="CP296" s="451" t="n"/>
      <c r="CQ296" s="451" t="n"/>
      <c r="CR296" s="451" t="n"/>
      <c r="CS296" s="451" t="n"/>
      <c r="CT296" s="451" t="n"/>
      <c r="CU296" s="451" t="n"/>
      <c r="CV296" s="451" t="n"/>
      <c r="CW296" s="451" t="n"/>
      <c r="CX296" s="451" t="n"/>
      <c r="CY296" s="451" t="n"/>
      <c r="CZ296" s="451" t="n"/>
      <c r="DA296" s="451" t="n"/>
      <c r="DB296" s="451" t="n"/>
      <c r="DC296" s="451" t="n"/>
      <c r="DD296" s="451" t="n"/>
      <c r="DE296" s="451" t="n"/>
    </row>
    <row r="297" ht="15" customFormat="1" customHeight="1" s="381">
      <c r="A297" s="452" t="n"/>
      <c r="B297" s="451" t="n"/>
      <c r="C297" s="451" t="n"/>
      <c r="D297" s="451" t="n"/>
      <c r="E297" s="451" t="n"/>
      <c r="F297" s="451" t="n"/>
      <c r="G297" s="451" t="n"/>
      <c r="H297" s="451" t="n"/>
      <c r="I297" s="451" t="n"/>
      <c r="J297" s="451" t="n"/>
      <c r="K297" s="451" t="n"/>
      <c r="L297" s="451" t="n"/>
      <c r="M297" s="451" t="n"/>
      <c r="N297" s="451" t="n"/>
      <c r="O297" s="451" t="n"/>
      <c r="P297" s="451" t="n"/>
      <c r="Q297" s="451" t="n"/>
      <c r="R297" s="451" t="n"/>
      <c r="S297" s="451" t="n"/>
      <c r="T297" s="451" t="n"/>
      <c r="U297" s="451" t="n"/>
      <c r="V297" s="451" t="n"/>
      <c r="W297" s="451" t="n"/>
      <c r="X297" s="451" t="n"/>
      <c r="Y297" s="451" t="n"/>
      <c r="Z297" s="451" t="n"/>
      <c r="AA297" s="451" t="n"/>
      <c r="AB297" s="451" t="n"/>
      <c r="AC297" s="451" t="n"/>
      <c r="AD297" s="451" t="n"/>
      <c r="AE297" s="451" t="n"/>
      <c r="AF297" s="451" t="n"/>
      <c r="AG297" s="451" t="n"/>
      <c r="AH297" s="451" t="n"/>
      <c r="AI297" s="451" t="n"/>
      <c r="AJ297" s="451" t="n"/>
      <c r="AK297" s="451" t="n"/>
      <c r="AL297" s="451" t="n"/>
      <c r="AM297" s="451" t="n"/>
      <c r="AN297" s="451" t="n"/>
      <c r="AO297" s="451" t="n"/>
      <c r="AP297" s="451" t="n"/>
      <c r="AQ297" s="451" t="n"/>
      <c r="AR297" s="451" t="n"/>
      <c r="AS297" s="451" t="n"/>
      <c r="AT297" s="451" t="n"/>
      <c r="AU297" s="451" t="n"/>
      <c r="AV297" s="451" t="n"/>
      <c r="AW297" s="451" t="n"/>
      <c r="AX297" s="451" t="n"/>
      <c r="AY297" s="451" t="n"/>
      <c r="AZ297" s="451" t="n"/>
      <c r="BA297" s="451" t="n"/>
      <c r="BB297" s="451" t="n"/>
      <c r="BC297" s="451" t="n"/>
      <c r="BD297" s="451" t="n"/>
      <c r="BE297" s="451" t="n"/>
      <c r="BF297" s="451" t="n"/>
      <c r="BG297" s="451" t="n"/>
      <c r="BH297" s="451" t="n"/>
      <c r="BI297" s="451" t="n"/>
      <c r="BJ297" s="451" t="n"/>
      <c r="BK297" s="451" t="n"/>
      <c r="BL297" s="451" t="n"/>
      <c r="BM297" s="451" t="n"/>
      <c r="BN297" s="451" t="n"/>
      <c r="BO297" s="451" t="n"/>
      <c r="BP297" s="451" t="n"/>
      <c r="BQ297" s="451" t="n"/>
      <c r="BR297" s="451" t="n"/>
      <c r="BS297" s="451" t="n"/>
      <c r="BT297" s="451" t="n"/>
      <c r="BU297" s="451" t="n"/>
      <c r="BV297" s="451" t="n"/>
      <c r="BW297" s="451" t="n"/>
      <c r="BX297" s="451" t="n"/>
      <c r="BY297" s="451" t="n"/>
      <c r="BZ297" s="451" t="n"/>
      <c r="CA297" s="451" t="n"/>
      <c r="CB297" s="451" t="n"/>
      <c r="CC297" s="451" t="n"/>
      <c r="CD297" s="451" t="n"/>
      <c r="CE297" s="451" t="n"/>
      <c r="CF297" s="451" t="n"/>
      <c r="CG297" s="451" t="n"/>
      <c r="CH297" s="451" t="n"/>
      <c r="CI297" s="451" t="n"/>
      <c r="CJ297" s="451" t="n"/>
      <c r="CK297" s="451" t="n"/>
      <c r="CL297" s="451" t="n"/>
      <c r="CM297" s="451" t="n"/>
      <c r="CN297" s="451" t="n"/>
      <c r="CO297" s="451" t="n"/>
      <c r="CP297" s="451" t="n"/>
      <c r="CQ297" s="451" t="n"/>
      <c r="CR297" s="451" t="n"/>
      <c r="CS297" s="451" t="n"/>
      <c r="CT297" s="451" t="n"/>
      <c r="CU297" s="451" t="n"/>
      <c r="CV297" s="451" t="n"/>
      <c r="CW297" s="451" t="n"/>
      <c r="CX297" s="451" t="n"/>
      <c r="CY297" s="451" t="n"/>
      <c r="CZ297" s="451" t="n"/>
      <c r="DA297" s="451" t="n"/>
      <c r="DB297" s="451" t="n"/>
      <c r="DC297" s="451" t="n"/>
      <c r="DD297" s="451" t="n"/>
      <c r="DE297" s="451" t="n"/>
    </row>
    <row r="298" ht="15" customFormat="1" customHeight="1" s="381">
      <c r="A298" s="453" t="n"/>
      <c r="B298" s="451" t="n"/>
      <c r="C298" s="451" t="n"/>
      <c r="D298" s="451" t="n"/>
      <c r="E298" s="451" t="n"/>
      <c r="F298" s="451" t="n"/>
      <c r="G298" s="451" t="n"/>
      <c r="H298" s="451" t="n"/>
      <c r="I298" s="451" t="n"/>
      <c r="J298" s="451" t="n"/>
      <c r="K298" s="451" t="n"/>
      <c r="L298" s="451" t="n"/>
      <c r="M298" s="451" t="n"/>
      <c r="N298" s="451" t="n"/>
      <c r="O298" s="451" t="n"/>
      <c r="P298" s="451" t="n"/>
      <c r="Q298" s="451" t="n"/>
      <c r="R298" s="451" t="n"/>
      <c r="S298" s="451" t="n"/>
      <c r="T298" s="451" t="n"/>
      <c r="U298" s="451" t="n"/>
      <c r="V298" s="451" t="n"/>
      <c r="W298" s="451" t="n"/>
      <c r="X298" s="451" t="n"/>
      <c r="Y298" s="451" t="n"/>
      <c r="Z298" s="451" t="n"/>
      <c r="AA298" s="451" t="n"/>
      <c r="AB298" s="451" t="n"/>
      <c r="AC298" s="451" t="n"/>
      <c r="AD298" s="451" t="n"/>
      <c r="AE298" s="451" t="n"/>
      <c r="AF298" s="451" t="n"/>
      <c r="AG298" s="451" t="n"/>
      <c r="AH298" s="451" t="n"/>
      <c r="AI298" s="451" t="n"/>
      <c r="AJ298" s="451" t="n"/>
      <c r="AK298" s="451" t="n"/>
      <c r="AL298" s="451" t="n"/>
      <c r="AM298" s="451" t="n"/>
      <c r="AN298" s="451" t="n"/>
      <c r="AO298" s="451" t="n"/>
      <c r="AP298" s="451" t="n"/>
      <c r="AQ298" s="451" t="n"/>
      <c r="AR298" s="451" t="n"/>
      <c r="AS298" s="451" t="n"/>
      <c r="AT298" s="451" t="n"/>
      <c r="AU298" s="451" t="n"/>
      <c r="AV298" s="451" t="n"/>
      <c r="AW298" s="451" t="n"/>
      <c r="AX298" s="451" t="n"/>
      <c r="AY298" s="451" t="n"/>
      <c r="AZ298" s="451" t="n"/>
      <c r="BA298" s="451" t="n"/>
      <c r="BB298" s="451" t="n"/>
      <c r="BC298" s="451" t="n"/>
      <c r="BD298" s="451" t="n"/>
      <c r="BE298" s="451" t="n"/>
      <c r="BF298" s="451" t="n"/>
      <c r="BG298" s="451" t="n"/>
      <c r="BH298" s="451" t="n"/>
      <c r="BI298" s="451" t="n"/>
      <c r="BJ298" s="451" t="n"/>
      <c r="BK298" s="451" t="n"/>
      <c r="BL298" s="451" t="n"/>
      <c r="BM298" s="451" t="n"/>
      <c r="BN298" s="451" t="n"/>
      <c r="BO298" s="451" t="n"/>
      <c r="BP298" s="451" t="n"/>
      <c r="BQ298" s="451" t="n"/>
      <c r="BR298" s="451" t="n"/>
      <c r="BS298" s="451" t="n"/>
      <c r="BT298" s="451" t="n"/>
      <c r="BU298" s="451" t="n"/>
      <c r="BV298" s="451" t="n"/>
      <c r="BW298" s="451" t="n"/>
      <c r="BX298" s="451" t="n"/>
      <c r="BY298" s="451" t="n"/>
      <c r="BZ298" s="451" t="n"/>
      <c r="CA298" s="451" t="n"/>
      <c r="CB298" s="451" t="n"/>
      <c r="CC298" s="451" t="n"/>
      <c r="CD298" s="451" t="n"/>
      <c r="CE298" s="451" t="n"/>
      <c r="CF298" s="451" t="n"/>
      <c r="CG298" s="451" t="n"/>
      <c r="CH298" s="451" t="n"/>
      <c r="CI298" s="451" t="n"/>
      <c r="CJ298" s="451" t="n"/>
      <c r="CK298" s="451" t="n"/>
      <c r="CL298" s="451" t="n"/>
      <c r="CM298" s="451" t="n"/>
      <c r="CN298" s="451" t="n"/>
      <c r="CO298" s="451" t="n"/>
      <c r="CP298" s="451" t="n"/>
      <c r="CQ298" s="451" t="n"/>
      <c r="CR298" s="451" t="n"/>
      <c r="CS298" s="451" t="n"/>
      <c r="CT298" s="451" t="n"/>
      <c r="CU298" s="451" t="n"/>
      <c r="CV298" s="451" t="n"/>
      <c r="CW298" s="451" t="n"/>
      <c r="CX298" s="451" t="n"/>
      <c r="CY298" s="451" t="n"/>
      <c r="CZ298" s="451" t="n"/>
      <c r="DA298" s="451" t="n"/>
      <c r="DB298" s="451" t="n"/>
      <c r="DC298" s="451" t="n"/>
      <c r="DD298" s="451" t="n"/>
      <c r="DE298" s="451" t="n"/>
    </row>
    <row r="299" ht="15" customFormat="1" customHeight="1" s="381">
      <c r="A299" s="453" t="n"/>
      <c r="B299" s="454" t="n"/>
      <c r="C299" s="454" t="n"/>
      <c r="D299" s="454" t="n"/>
      <c r="E299" s="454" t="n"/>
      <c r="F299" s="454" t="n"/>
      <c r="G299" s="454" t="n"/>
      <c r="H299" s="454" t="n"/>
      <c r="I299" s="454" t="n"/>
      <c r="J299" s="454" t="n"/>
      <c r="K299" s="454" t="n"/>
      <c r="L299" s="454" t="n"/>
      <c r="M299" s="454" t="n"/>
      <c r="N299" s="454" t="n"/>
      <c r="O299" s="454" t="n"/>
      <c r="P299" s="454" t="n"/>
      <c r="Q299" s="454" t="n"/>
      <c r="R299" s="454" t="n"/>
      <c r="S299" s="454" t="n"/>
      <c r="T299" s="454" t="n"/>
      <c r="U299" s="454" t="n"/>
      <c r="V299" s="454" t="n"/>
      <c r="W299" s="454" t="n"/>
      <c r="X299" s="454" t="n"/>
      <c r="Y299" s="454" t="n"/>
      <c r="Z299" s="454" t="n"/>
      <c r="AA299" s="454" t="n"/>
      <c r="AB299" s="454" t="n"/>
      <c r="AC299" s="454" t="n"/>
      <c r="AD299" s="454" t="n"/>
      <c r="AE299" s="454" t="n"/>
      <c r="AF299" s="454" t="n"/>
      <c r="AG299" s="454" t="n"/>
      <c r="AH299" s="454" t="n"/>
      <c r="AI299" s="454" t="n"/>
      <c r="AJ299" s="454" t="n"/>
      <c r="AK299" s="454" t="n"/>
      <c r="AL299" s="454" t="n"/>
      <c r="AM299" s="454" t="n"/>
      <c r="AN299" s="454" t="n"/>
      <c r="AO299" s="454" t="n"/>
      <c r="AP299" s="454" t="n"/>
      <c r="AQ299" s="454" t="n"/>
      <c r="AR299" s="454" t="n"/>
      <c r="AS299" s="454" t="n"/>
      <c r="AT299" s="454" t="n"/>
      <c r="AU299" s="454" t="n"/>
      <c r="AV299" s="454" t="n"/>
      <c r="AW299" s="454" t="n"/>
      <c r="AX299" s="454" t="n"/>
      <c r="AY299" s="454" t="n"/>
      <c r="AZ299" s="454" t="n"/>
      <c r="BA299" s="454" t="n"/>
      <c r="BB299" s="454" t="n"/>
      <c r="BC299" s="454" t="n"/>
      <c r="BD299" s="454" t="n"/>
      <c r="BE299" s="454" t="n"/>
      <c r="BF299" s="454" t="n"/>
      <c r="BG299" s="454" t="n"/>
      <c r="BH299" s="454" t="n"/>
      <c r="BI299" s="454" t="n"/>
      <c r="BJ299" s="454" t="n"/>
      <c r="BK299" s="454" t="n"/>
      <c r="BL299" s="454" t="n"/>
      <c r="BM299" s="454" t="n"/>
      <c r="BN299" s="454" t="n"/>
      <c r="BO299" s="454" t="n"/>
      <c r="BP299" s="454" t="n"/>
      <c r="BQ299" s="454" t="n"/>
      <c r="BR299" s="454" t="n"/>
      <c r="BS299" s="454" t="n"/>
      <c r="BT299" s="454" t="n"/>
      <c r="BU299" s="454" t="n"/>
      <c r="BV299" s="454" t="n"/>
      <c r="BW299" s="454" t="n"/>
      <c r="BX299" s="454" t="n"/>
      <c r="BY299" s="454" t="n"/>
      <c r="BZ299" s="454" t="n"/>
      <c r="CA299" s="454" t="n"/>
      <c r="CB299" s="454" t="n"/>
      <c r="CC299" s="454" t="n"/>
      <c r="CD299" s="454" t="n"/>
      <c r="CE299" s="454" t="n"/>
      <c r="CF299" s="454" t="n"/>
      <c r="CG299" s="454" t="n"/>
      <c r="CH299" s="454" t="n"/>
      <c r="CI299" s="454" t="n"/>
      <c r="CJ299" s="454" t="n"/>
      <c r="CK299" s="454" t="n"/>
      <c r="CL299" s="454" t="n"/>
      <c r="CM299" s="454" t="n"/>
      <c r="CN299" s="454" t="n"/>
      <c r="CO299" s="454" t="n"/>
      <c r="CP299" s="454" t="n"/>
      <c r="CQ299" s="454" t="n"/>
      <c r="CR299" s="454" t="n"/>
      <c r="CS299" s="454" t="n"/>
      <c r="CT299" s="454" t="n"/>
      <c r="CU299" s="454" t="n"/>
      <c r="CV299" s="454" t="n"/>
      <c r="CW299" s="454" t="n"/>
      <c r="CX299" s="454" t="n"/>
      <c r="CY299" s="454" t="n"/>
      <c r="CZ299" s="454" t="n"/>
      <c r="DA299" s="454" t="n"/>
      <c r="DB299" s="454" t="n"/>
      <c r="DC299" s="454" t="n"/>
      <c r="DD299" s="454" t="n"/>
      <c r="DE299" s="454" t="n"/>
    </row>
    <row r="300" ht="15" customFormat="1" customHeight="1" s="381">
      <c r="A300" s="453" t="n"/>
      <c r="B300" s="454" t="n"/>
      <c r="C300" s="454" t="n"/>
      <c r="D300" s="454" t="n"/>
      <c r="E300" s="454" t="n"/>
      <c r="F300" s="454" t="n"/>
      <c r="G300" s="454" t="n"/>
      <c r="H300" s="454" t="n"/>
      <c r="I300" s="454" t="n"/>
      <c r="J300" s="454" t="n"/>
      <c r="K300" s="454" t="n"/>
      <c r="L300" s="454" t="n"/>
      <c r="M300" s="454" t="n"/>
      <c r="N300" s="454" t="n"/>
      <c r="O300" s="454" t="n"/>
      <c r="P300" s="454" t="n"/>
      <c r="Q300" s="454" t="n"/>
      <c r="R300" s="454" t="n"/>
      <c r="S300" s="454" t="n"/>
      <c r="T300" s="454" t="n"/>
      <c r="U300" s="454" t="n"/>
      <c r="V300" s="454" t="n"/>
      <c r="W300" s="454" t="n"/>
      <c r="X300" s="454" t="n"/>
      <c r="Y300" s="454" t="n"/>
      <c r="Z300" s="454" t="n"/>
      <c r="AA300" s="454" t="n"/>
      <c r="AB300" s="454" t="n"/>
      <c r="AC300" s="454" t="n"/>
      <c r="AD300" s="454" t="n"/>
      <c r="AE300" s="454" t="n"/>
      <c r="AF300" s="454" t="n"/>
      <c r="AG300" s="454" t="n"/>
      <c r="AH300" s="454" t="n"/>
      <c r="AI300" s="454" t="n"/>
      <c r="AJ300" s="454" t="n"/>
      <c r="AK300" s="454" t="n"/>
      <c r="AL300" s="454" t="n"/>
      <c r="AM300" s="454" t="n"/>
      <c r="AN300" s="454" t="n"/>
      <c r="AO300" s="454" t="n"/>
      <c r="AP300" s="454" t="n"/>
      <c r="AQ300" s="454" t="n"/>
      <c r="AR300" s="454" t="n"/>
      <c r="AS300" s="454" t="n"/>
      <c r="AT300" s="454" t="n"/>
      <c r="AU300" s="454" t="n"/>
      <c r="AV300" s="454" t="n"/>
      <c r="AW300" s="454" t="n"/>
      <c r="AX300" s="454" t="n"/>
      <c r="AY300" s="454" t="n"/>
      <c r="AZ300" s="454" t="n"/>
      <c r="BA300" s="454" t="n"/>
      <c r="BB300" s="454" t="n"/>
      <c r="BC300" s="454" t="n"/>
      <c r="BD300" s="454" t="n"/>
      <c r="BE300" s="454" t="n"/>
      <c r="BF300" s="454" t="n"/>
      <c r="BG300" s="454" t="n"/>
      <c r="BH300" s="454" t="n"/>
      <c r="BI300" s="454" t="n"/>
      <c r="BJ300" s="454" t="n"/>
      <c r="BK300" s="454" t="n"/>
      <c r="BL300" s="454" t="n"/>
      <c r="BM300" s="454" t="n"/>
      <c r="BN300" s="454" t="n"/>
      <c r="BO300" s="454" t="n"/>
      <c r="BP300" s="454" t="n"/>
      <c r="BQ300" s="454" t="n"/>
      <c r="BR300" s="454" t="n"/>
      <c r="BS300" s="454" t="n"/>
      <c r="BT300" s="454" t="n"/>
      <c r="BU300" s="454" t="n"/>
      <c r="BV300" s="454" t="n"/>
      <c r="BW300" s="454" t="n"/>
      <c r="BX300" s="454" t="n"/>
      <c r="BY300" s="454" t="n"/>
      <c r="BZ300" s="454" t="n"/>
      <c r="CA300" s="454" t="n"/>
      <c r="CB300" s="454" t="n"/>
      <c r="CC300" s="454" t="n"/>
      <c r="CD300" s="454" t="n"/>
      <c r="CE300" s="454" t="n"/>
      <c r="CF300" s="454" t="n"/>
      <c r="CG300" s="454" t="n"/>
      <c r="CH300" s="454" t="n"/>
      <c r="CI300" s="454" t="n"/>
      <c r="CJ300" s="454" t="n"/>
      <c r="CK300" s="454" t="n"/>
      <c r="CL300" s="454" t="n"/>
      <c r="CM300" s="454" t="n"/>
      <c r="CN300" s="454" t="n"/>
      <c r="CO300" s="454" t="n"/>
      <c r="CP300" s="454" t="n"/>
      <c r="CQ300" s="454" t="n"/>
      <c r="CR300" s="454" t="n"/>
      <c r="CS300" s="454" t="n"/>
      <c r="CT300" s="454" t="n"/>
      <c r="CU300" s="454" t="n"/>
      <c r="CV300" s="454" t="n"/>
      <c r="CW300" s="454" t="n"/>
      <c r="CX300" s="454" t="n"/>
      <c r="CY300" s="454" t="n"/>
      <c r="CZ300" s="454" t="n"/>
      <c r="DA300" s="454" t="n"/>
      <c r="DB300" s="454" t="n"/>
      <c r="DC300" s="454" t="n"/>
      <c r="DD300" s="454" t="n"/>
      <c r="DE300" s="454" t="n"/>
    </row>
    <row r="301" ht="15" customFormat="1" customHeight="1" s="381">
      <c r="A301" s="453" t="n"/>
      <c r="B301" s="455" t="n"/>
      <c r="C301" s="455" t="n"/>
      <c r="D301" s="455" t="n"/>
      <c r="E301" s="455" t="n"/>
      <c r="F301" s="455" t="n"/>
      <c r="G301" s="455" t="n"/>
      <c r="H301" s="455" t="n"/>
      <c r="I301" s="455" t="n"/>
      <c r="J301" s="455" t="n"/>
      <c r="K301" s="455" t="n"/>
      <c r="L301" s="455" t="n"/>
      <c r="M301" s="455" t="n"/>
      <c r="N301" s="455" t="n"/>
      <c r="O301" s="455" t="n"/>
      <c r="P301" s="455" t="n"/>
      <c r="Q301" s="455" t="n"/>
      <c r="R301" s="455" t="n"/>
      <c r="S301" s="455" t="n"/>
      <c r="T301" s="455" t="n"/>
      <c r="U301" s="455" t="n"/>
      <c r="V301" s="455" t="n"/>
      <c r="W301" s="455" t="n"/>
      <c r="X301" s="455" t="n"/>
      <c r="Y301" s="455" t="n"/>
      <c r="Z301" s="455" t="n"/>
      <c r="AA301" s="455" t="n"/>
      <c r="AB301" s="455" t="n"/>
      <c r="AC301" s="455" t="n"/>
      <c r="AD301" s="455" t="n"/>
      <c r="AE301" s="455" t="n"/>
      <c r="AF301" s="455" t="n"/>
      <c r="AG301" s="455" t="n"/>
      <c r="AH301" s="455" t="n"/>
      <c r="AI301" s="455" t="n"/>
      <c r="AJ301" s="455" t="n"/>
      <c r="AK301" s="455" t="n"/>
      <c r="AL301" s="455" t="n"/>
      <c r="AM301" s="455" t="n"/>
      <c r="AN301" s="455" t="n"/>
      <c r="AO301" s="455" t="n"/>
      <c r="AP301" s="455" t="n"/>
      <c r="AQ301" s="455" t="n"/>
      <c r="AR301" s="455" t="n"/>
      <c r="AS301" s="455" t="n"/>
      <c r="AT301" s="455" t="n"/>
      <c r="AU301" s="455" t="n"/>
      <c r="AV301" s="455" t="n"/>
      <c r="AW301" s="455" t="n"/>
      <c r="AX301" s="455" t="n"/>
      <c r="AY301" s="455" t="n"/>
      <c r="AZ301" s="455" t="n"/>
      <c r="BA301" s="455" t="n"/>
      <c r="BB301" s="455" t="n"/>
      <c r="BC301" s="455" t="n"/>
      <c r="BD301" s="455" t="n"/>
      <c r="BE301" s="455" t="n"/>
      <c r="BF301" s="455" t="n"/>
      <c r="BG301" s="455" t="n"/>
      <c r="BH301" s="455" t="n"/>
      <c r="BI301" s="455" t="n"/>
      <c r="BJ301" s="455" t="n"/>
      <c r="BK301" s="455" t="n"/>
      <c r="BL301" s="455" t="n"/>
      <c r="BM301" s="455" t="n"/>
      <c r="BN301" s="455" t="n"/>
      <c r="BO301" s="455" t="n"/>
      <c r="BP301" s="455" t="n"/>
      <c r="BQ301" s="455" t="n"/>
      <c r="BR301" s="455" t="n"/>
      <c r="BS301" s="455" t="n"/>
      <c r="BT301" s="455" t="n"/>
      <c r="BU301" s="455" t="n"/>
      <c r="BV301" s="455" t="n"/>
      <c r="BW301" s="455" t="n"/>
      <c r="BX301" s="455" t="n"/>
      <c r="BY301" s="455" t="n"/>
      <c r="BZ301" s="455" t="n"/>
      <c r="CA301" s="455" t="n"/>
      <c r="CB301" s="455" t="n"/>
      <c r="CC301" s="455" t="n"/>
      <c r="CD301" s="455" t="n"/>
      <c r="CE301" s="455" t="n"/>
      <c r="CF301" s="455" t="n"/>
      <c r="CG301" s="455" t="n"/>
      <c r="CH301" s="455" t="n"/>
      <c r="CI301" s="455" t="n"/>
      <c r="CJ301" s="455" t="n"/>
      <c r="CK301" s="455" t="n"/>
      <c r="CL301" s="455" t="n"/>
      <c r="CM301" s="455" t="n"/>
      <c r="CN301" s="455" t="n"/>
      <c r="CO301" s="455" t="n"/>
      <c r="CP301" s="455" t="n"/>
      <c r="CQ301" s="455" t="n"/>
      <c r="CR301" s="455" t="n"/>
      <c r="CS301" s="455" t="n"/>
      <c r="CT301" s="455" t="n"/>
      <c r="CU301" s="455" t="n"/>
      <c r="CV301" s="455" t="n"/>
      <c r="CW301" s="455" t="n"/>
      <c r="CX301" s="455" t="n"/>
      <c r="CY301" s="455" t="n"/>
      <c r="CZ301" s="455" t="n"/>
      <c r="DA301" s="455" t="n"/>
      <c r="DB301" s="455" t="n"/>
      <c r="DC301" s="455" t="n"/>
      <c r="DD301" s="455" t="n"/>
      <c r="DE301" s="455" t="n"/>
    </row>
    <row r="302" ht="15" customFormat="1" customHeight="1" s="381">
      <c r="A302" s="453" t="n"/>
      <c r="B302" s="454" t="n"/>
      <c r="C302" s="454" t="n"/>
      <c r="D302" s="454" t="n"/>
      <c r="E302" s="454" t="n"/>
      <c r="F302" s="454" t="n"/>
      <c r="G302" s="454" t="n"/>
      <c r="H302" s="454" t="n"/>
      <c r="I302" s="454" t="n"/>
      <c r="J302" s="454" t="n"/>
      <c r="K302" s="454" t="n"/>
      <c r="L302" s="454" t="n"/>
      <c r="M302" s="454" t="n"/>
      <c r="N302" s="454" t="n"/>
      <c r="O302" s="454" t="n"/>
      <c r="P302" s="454" t="n"/>
      <c r="Q302" s="454" t="n"/>
      <c r="R302" s="454" t="n"/>
      <c r="S302" s="454" t="n"/>
      <c r="T302" s="454" t="n"/>
      <c r="U302" s="454" t="n"/>
      <c r="V302" s="454" t="n"/>
      <c r="W302" s="454" t="n"/>
      <c r="X302" s="454" t="n"/>
      <c r="Y302" s="454" t="n"/>
      <c r="Z302" s="454" t="n"/>
      <c r="AA302" s="454" t="n"/>
      <c r="AB302" s="454" t="n"/>
      <c r="AC302" s="454" t="n"/>
      <c r="AD302" s="454" t="n"/>
      <c r="AE302" s="454" t="n"/>
      <c r="AF302" s="454" t="n"/>
      <c r="AG302" s="454" t="n"/>
      <c r="AH302" s="454" t="n"/>
      <c r="AI302" s="454" t="n"/>
      <c r="AJ302" s="454" t="n"/>
      <c r="AK302" s="454" t="n"/>
      <c r="AL302" s="454" t="n"/>
      <c r="AM302" s="454" t="n"/>
      <c r="AN302" s="454" t="n"/>
      <c r="AO302" s="454" t="n"/>
      <c r="AP302" s="454" t="n"/>
      <c r="AQ302" s="454" t="n"/>
      <c r="AR302" s="454" t="n"/>
      <c r="AS302" s="454" t="n"/>
      <c r="AT302" s="454" t="n"/>
      <c r="AU302" s="454" t="n"/>
      <c r="AV302" s="454" t="n"/>
      <c r="AW302" s="454" t="n"/>
      <c r="AX302" s="454" t="n"/>
      <c r="AY302" s="454" t="n"/>
      <c r="AZ302" s="454" t="n"/>
      <c r="BA302" s="454" t="n"/>
      <c r="BB302" s="454" t="n"/>
      <c r="BC302" s="454" t="n"/>
      <c r="BD302" s="454" t="n"/>
      <c r="BE302" s="454" t="n"/>
      <c r="BF302" s="454" t="n"/>
      <c r="BG302" s="454" t="n"/>
      <c r="BH302" s="454" t="n"/>
      <c r="BI302" s="454" t="n"/>
      <c r="BJ302" s="454" t="n"/>
      <c r="BK302" s="454" t="n"/>
      <c r="BL302" s="454" t="n"/>
      <c r="BM302" s="454" t="n"/>
      <c r="BN302" s="454" t="n"/>
      <c r="BO302" s="454" t="n"/>
      <c r="BP302" s="454" t="n"/>
      <c r="BQ302" s="454" t="n"/>
      <c r="BR302" s="454" t="n"/>
      <c r="BS302" s="454" t="n"/>
      <c r="BT302" s="454" t="n"/>
      <c r="BU302" s="454" t="n"/>
      <c r="BV302" s="454" t="n"/>
      <c r="BW302" s="454" t="n"/>
      <c r="BX302" s="454" t="n"/>
      <c r="BY302" s="454" t="n"/>
      <c r="BZ302" s="454" t="n"/>
      <c r="CA302" s="454" t="n"/>
      <c r="CB302" s="454" t="n"/>
      <c r="CC302" s="454" t="n"/>
      <c r="CD302" s="454" t="n"/>
      <c r="CE302" s="454" t="n"/>
      <c r="CF302" s="454" t="n"/>
      <c r="CG302" s="454" t="n"/>
      <c r="CH302" s="454" t="n"/>
      <c r="CI302" s="454" t="n"/>
      <c r="CJ302" s="454" t="n"/>
      <c r="CK302" s="454" t="n"/>
      <c r="CL302" s="454" t="n"/>
      <c r="CM302" s="454" t="n"/>
      <c r="CN302" s="454" t="n"/>
      <c r="CO302" s="454" t="n"/>
      <c r="CP302" s="454" t="n"/>
      <c r="CQ302" s="454" t="n"/>
      <c r="CR302" s="454" t="n"/>
      <c r="CS302" s="454" t="n"/>
      <c r="CT302" s="454" t="n"/>
      <c r="CU302" s="454" t="n"/>
      <c r="CV302" s="454" t="n"/>
      <c r="CW302" s="454" t="n"/>
      <c r="CX302" s="454" t="n"/>
      <c r="CY302" s="454" t="n"/>
      <c r="CZ302" s="454" t="n"/>
      <c r="DA302" s="454" t="n"/>
      <c r="DB302" s="454" t="n"/>
      <c r="DC302" s="454" t="n"/>
      <c r="DD302" s="454" t="n"/>
      <c r="DE302" s="454" t="n"/>
    </row>
    <row r="303" ht="15" customFormat="1" customHeight="1" s="381">
      <c r="A303" s="453" t="n"/>
      <c r="B303" s="456" t="n"/>
      <c r="C303" s="456" t="n"/>
      <c r="D303" s="456" t="n"/>
      <c r="E303" s="456" t="n"/>
      <c r="F303" s="456" t="n"/>
      <c r="G303" s="456" t="n"/>
      <c r="H303" s="456" t="n"/>
      <c r="I303" s="456" t="n"/>
      <c r="J303" s="456" t="n"/>
      <c r="K303" s="456" t="n"/>
      <c r="L303" s="456" t="n"/>
      <c r="M303" s="456" t="n"/>
      <c r="N303" s="456" t="n"/>
      <c r="O303" s="456" t="n"/>
      <c r="P303" s="456" t="n"/>
      <c r="Q303" s="456" t="n"/>
      <c r="R303" s="456" t="n"/>
      <c r="S303" s="456" t="n"/>
      <c r="T303" s="456" t="n"/>
      <c r="U303" s="456" t="n"/>
      <c r="V303" s="456" t="n"/>
      <c r="W303" s="456" t="n"/>
      <c r="X303" s="456" t="n"/>
      <c r="Y303" s="456" t="n"/>
      <c r="Z303" s="456" t="n"/>
      <c r="AA303" s="456" t="n"/>
      <c r="AB303" s="456" t="n"/>
      <c r="AC303" s="456" t="n"/>
      <c r="AD303" s="456" t="n"/>
      <c r="AE303" s="456" t="n"/>
      <c r="AF303" s="456" t="n"/>
      <c r="AG303" s="456" t="n"/>
      <c r="AH303" s="456" t="n"/>
      <c r="AI303" s="456" t="n"/>
      <c r="AJ303" s="456" t="n"/>
      <c r="AK303" s="456" t="n"/>
      <c r="AL303" s="456" t="n"/>
      <c r="AM303" s="456" t="n"/>
      <c r="AN303" s="456" t="n"/>
      <c r="AO303" s="456" t="n"/>
      <c r="AP303" s="456" t="n"/>
      <c r="AQ303" s="456" t="n"/>
      <c r="AR303" s="456" t="n"/>
      <c r="AS303" s="456" t="n"/>
      <c r="AT303" s="456" t="n"/>
      <c r="AU303" s="456" t="n"/>
      <c r="AV303" s="456" t="n"/>
      <c r="AW303" s="456" t="n"/>
      <c r="AX303" s="456" t="n"/>
      <c r="AY303" s="456" t="n"/>
      <c r="AZ303" s="456" t="n"/>
      <c r="BA303" s="456" t="n"/>
      <c r="BB303" s="456" t="n"/>
      <c r="BC303" s="456" t="n"/>
      <c r="BD303" s="456" t="n"/>
      <c r="BE303" s="456" t="n"/>
      <c r="BF303" s="456" t="n"/>
      <c r="BG303" s="456" t="n"/>
      <c r="BH303" s="456" t="n"/>
      <c r="BI303" s="456" t="n"/>
      <c r="BJ303" s="456" t="n"/>
      <c r="BK303" s="456" t="n"/>
      <c r="BL303" s="456" t="n"/>
      <c r="BM303" s="456" t="n"/>
      <c r="BN303" s="456" t="n"/>
      <c r="BO303" s="456" t="n"/>
      <c r="BP303" s="456" t="n"/>
      <c r="BQ303" s="456" t="n"/>
      <c r="BR303" s="456" t="n"/>
      <c r="BS303" s="456" t="n"/>
      <c r="BT303" s="456" t="n"/>
      <c r="BU303" s="456" t="n"/>
      <c r="BV303" s="456" t="n"/>
      <c r="BW303" s="456" t="n"/>
      <c r="BX303" s="456" t="n"/>
      <c r="BY303" s="456" t="n"/>
      <c r="BZ303" s="456" t="n"/>
      <c r="CA303" s="456" t="n"/>
      <c r="CB303" s="456" t="n"/>
      <c r="CC303" s="456" t="n"/>
      <c r="CD303" s="456" t="n"/>
      <c r="CE303" s="456" t="n"/>
      <c r="CF303" s="456" t="n"/>
      <c r="CG303" s="456" t="n"/>
      <c r="CH303" s="456" t="n"/>
      <c r="CI303" s="456" t="n"/>
      <c r="CJ303" s="456" t="n"/>
      <c r="CK303" s="456" t="n"/>
      <c r="CL303" s="456" t="n"/>
      <c r="CM303" s="456" t="n"/>
      <c r="CN303" s="456" t="n"/>
      <c r="CO303" s="456" t="n"/>
      <c r="CP303" s="456" t="n"/>
      <c r="CQ303" s="456" t="n"/>
      <c r="CR303" s="456" t="n"/>
      <c r="CS303" s="456" t="n"/>
      <c r="CT303" s="456" t="n"/>
      <c r="CU303" s="456" t="n"/>
      <c r="CV303" s="456" t="n"/>
      <c r="CW303" s="456" t="n"/>
      <c r="CX303" s="456" t="n"/>
      <c r="CY303" s="456" t="n"/>
      <c r="CZ303" s="456" t="n"/>
      <c r="DA303" s="456" t="n"/>
      <c r="DB303" s="456" t="n"/>
      <c r="DC303" s="456" t="n"/>
      <c r="DD303" s="456" t="n"/>
      <c r="DE303" s="456" t="n"/>
    </row>
    <row r="304" ht="15" customFormat="1" customHeight="1" s="381">
      <c r="A304" s="453" t="n"/>
      <c r="B304" s="451" t="n"/>
      <c r="C304" s="451" t="n"/>
      <c r="D304" s="451" t="n"/>
      <c r="E304" s="451" t="n"/>
      <c r="F304" s="451" t="n"/>
      <c r="G304" s="451" t="n"/>
      <c r="H304" s="451" t="n"/>
      <c r="I304" s="451" t="n"/>
      <c r="J304" s="451" t="n"/>
      <c r="K304" s="451" t="n"/>
      <c r="L304" s="451" t="n"/>
      <c r="M304" s="451" t="n"/>
      <c r="N304" s="451" t="n"/>
      <c r="O304" s="451" t="n"/>
      <c r="P304" s="451" t="n"/>
      <c r="Q304" s="451" t="n"/>
      <c r="R304" s="451" t="n"/>
      <c r="S304" s="451" t="n"/>
      <c r="T304" s="451" t="n"/>
      <c r="U304" s="451" t="n"/>
      <c r="V304" s="451" t="n"/>
      <c r="W304" s="451" t="n"/>
      <c r="X304" s="451" t="n"/>
      <c r="Y304" s="451" t="n"/>
      <c r="Z304" s="451" t="n"/>
      <c r="AA304" s="451" t="n"/>
      <c r="AB304" s="451" t="n"/>
      <c r="AC304" s="451" t="n"/>
      <c r="AD304" s="451" t="n"/>
      <c r="AE304" s="451" t="n"/>
      <c r="AF304" s="451" t="n"/>
      <c r="AG304" s="451" t="n"/>
      <c r="AH304" s="451" t="n"/>
      <c r="AI304" s="451" t="n"/>
      <c r="AJ304" s="451" t="n"/>
      <c r="AK304" s="451" t="n"/>
      <c r="AL304" s="451" t="n"/>
      <c r="AM304" s="451" t="n"/>
      <c r="AN304" s="451" t="n"/>
      <c r="AO304" s="451" t="n"/>
      <c r="AP304" s="451" t="n"/>
      <c r="AQ304" s="451" t="n"/>
      <c r="AR304" s="451" t="n"/>
      <c r="AS304" s="451" t="n"/>
      <c r="AT304" s="451" t="n"/>
      <c r="AU304" s="451" t="n"/>
      <c r="AV304" s="451" t="n"/>
      <c r="AW304" s="451" t="n"/>
      <c r="AX304" s="451" t="n"/>
      <c r="AY304" s="451" t="n"/>
      <c r="AZ304" s="451" t="n"/>
      <c r="BA304" s="451" t="n"/>
      <c r="BB304" s="451" t="n"/>
      <c r="BC304" s="451" t="n"/>
      <c r="BD304" s="451" t="n"/>
      <c r="BE304" s="451" t="n"/>
      <c r="BF304" s="451" t="n"/>
      <c r="BG304" s="451" t="n"/>
      <c r="BH304" s="451" t="n"/>
      <c r="BI304" s="451" t="n"/>
      <c r="BJ304" s="451" t="n"/>
      <c r="BK304" s="451" t="n"/>
      <c r="BL304" s="451" t="n"/>
      <c r="BM304" s="451" t="n"/>
      <c r="BN304" s="451" t="n"/>
      <c r="BO304" s="451" t="n"/>
      <c r="BP304" s="451" t="n"/>
      <c r="BQ304" s="451" t="n"/>
      <c r="BR304" s="451" t="n"/>
      <c r="BS304" s="451" t="n"/>
      <c r="BT304" s="451" t="n"/>
      <c r="BU304" s="451" t="n"/>
      <c r="BV304" s="451" t="n"/>
      <c r="BW304" s="451" t="n"/>
      <c r="BX304" s="451" t="n"/>
      <c r="BY304" s="451" t="n"/>
      <c r="BZ304" s="451" t="n"/>
      <c r="CA304" s="451" t="n"/>
      <c r="CB304" s="451" t="n"/>
      <c r="CC304" s="451" t="n"/>
      <c r="CD304" s="451" t="n"/>
      <c r="CE304" s="451" t="n"/>
      <c r="CF304" s="451" t="n"/>
      <c r="CG304" s="451" t="n"/>
      <c r="CH304" s="451" t="n"/>
      <c r="CI304" s="451" t="n"/>
      <c r="CJ304" s="451" t="n"/>
      <c r="CK304" s="451" t="n"/>
      <c r="CL304" s="451" t="n"/>
      <c r="CM304" s="451" t="n"/>
      <c r="CN304" s="451" t="n"/>
      <c r="CO304" s="451" t="n"/>
      <c r="CP304" s="451" t="n"/>
      <c r="CQ304" s="451" t="n"/>
      <c r="CR304" s="451" t="n"/>
      <c r="CS304" s="451" t="n"/>
      <c r="CT304" s="451" t="n"/>
      <c r="CU304" s="451" t="n"/>
      <c r="CV304" s="451" t="n"/>
      <c r="CW304" s="451" t="n"/>
      <c r="CX304" s="451" t="n"/>
      <c r="CY304" s="451" t="n"/>
      <c r="CZ304" s="451" t="n"/>
      <c r="DA304" s="451" t="n"/>
      <c r="DB304" s="451" t="n"/>
      <c r="DC304" s="451" t="n"/>
      <c r="DD304" s="451" t="n"/>
      <c r="DE304" s="451" t="n"/>
    </row>
    <row r="305" ht="15" customFormat="1" customHeight="1" s="381">
      <c r="A305" s="453" t="n"/>
      <c r="B305" s="451" t="n"/>
      <c r="C305" s="451" t="n"/>
      <c r="D305" s="451" t="n"/>
      <c r="E305" s="451" t="n"/>
      <c r="F305" s="451" t="n"/>
      <c r="G305" s="451" t="n"/>
      <c r="H305" s="451" t="n"/>
      <c r="I305" s="451" t="n"/>
      <c r="J305" s="451" t="n"/>
      <c r="K305" s="451" t="n"/>
      <c r="L305" s="451" t="n"/>
      <c r="M305" s="451" t="n"/>
      <c r="N305" s="451" t="n"/>
      <c r="O305" s="451" t="n"/>
      <c r="P305" s="451" t="n"/>
      <c r="Q305" s="451" t="n"/>
      <c r="R305" s="451" t="n"/>
      <c r="S305" s="451" t="n"/>
      <c r="T305" s="451" t="n"/>
      <c r="U305" s="451" t="n"/>
      <c r="V305" s="451" t="n"/>
      <c r="W305" s="451" t="n"/>
      <c r="X305" s="451" t="n"/>
      <c r="Y305" s="451" t="n"/>
      <c r="Z305" s="451" t="n"/>
      <c r="AA305" s="451" t="n"/>
      <c r="AB305" s="451" t="n"/>
      <c r="AC305" s="451" t="n"/>
      <c r="AD305" s="451" t="n"/>
      <c r="AE305" s="451" t="n"/>
      <c r="AF305" s="451" t="n"/>
      <c r="AG305" s="451" t="n"/>
      <c r="AH305" s="451" t="n"/>
      <c r="AI305" s="451" t="n"/>
      <c r="AJ305" s="451" t="n"/>
      <c r="AK305" s="451" t="n"/>
      <c r="AL305" s="451" t="n"/>
      <c r="AM305" s="451" t="n"/>
      <c r="AN305" s="451" t="n"/>
      <c r="AO305" s="451" t="n"/>
      <c r="AP305" s="451" t="n"/>
      <c r="AQ305" s="451" t="n"/>
      <c r="AR305" s="451" t="n"/>
      <c r="AS305" s="451" t="n"/>
      <c r="AT305" s="451" t="n"/>
      <c r="AU305" s="451" t="n"/>
      <c r="AV305" s="451" t="n"/>
      <c r="AW305" s="451" t="n"/>
      <c r="AX305" s="451" t="n"/>
      <c r="AY305" s="451" t="n"/>
      <c r="AZ305" s="451" t="n"/>
      <c r="BA305" s="451" t="n"/>
      <c r="BB305" s="451" t="n"/>
      <c r="BC305" s="451" t="n"/>
      <c r="BD305" s="451" t="n"/>
      <c r="BE305" s="451" t="n"/>
      <c r="BF305" s="451" t="n"/>
      <c r="BG305" s="451" t="n"/>
      <c r="BH305" s="451" t="n"/>
      <c r="BI305" s="451" t="n"/>
      <c r="BJ305" s="451" t="n"/>
      <c r="BK305" s="451" t="n"/>
      <c r="BL305" s="451" t="n"/>
      <c r="BM305" s="451" t="n"/>
      <c r="BN305" s="451" t="n"/>
      <c r="BO305" s="451" t="n"/>
      <c r="BP305" s="451" t="n"/>
      <c r="BQ305" s="451" t="n"/>
      <c r="BR305" s="451" t="n"/>
      <c r="BS305" s="451" t="n"/>
      <c r="BT305" s="451" t="n"/>
      <c r="BU305" s="451" t="n"/>
      <c r="BV305" s="451" t="n"/>
      <c r="BW305" s="451" t="n"/>
      <c r="BX305" s="451" t="n"/>
      <c r="BY305" s="451" t="n"/>
      <c r="BZ305" s="451" t="n"/>
      <c r="CA305" s="451" t="n"/>
      <c r="CB305" s="451" t="n"/>
      <c r="CC305" s="451" t="n"/>
      <c r="CD305" s="451" t="n"/>
      <c r="CE305" s="451" t="n"/>
      <c r="CF305" s="451" t="n"/>
      <c r="CG305" s="451" t="n"/>
      <c r="CH305" s="451" t="n"/>
      <c r="CI305" s="451" t="n"/>
      <c r="CJ305" s="451" t="n"/>
      <c r="CK305" s="451" t="n"/>
      <c r="CL305" s="451" t="n"/>
      <c r="CM305" s="451" t="n"/>
      <c r="CN305" s="451" t="n"/>
      <c r="CO305" s="451" t="n"/>
      <c r="CP305" s="451" t="n"/>
      <c r="CQ305" s="451" t="n"/>
      <c r="CR305" s="451" t="n"/>
      <c r="CS305" s="451" t="n"/>
      <c r="CT305" s="451" t="n"/>
      <c r="CU305" s="451" t="n"/>
      <c r="CV305" s="451" t="n"/>
      <c r="CW305" s="451" t="n"/>
      <c r="CX305" s="451" t="n"/>
      <c r="CY305" s="451" t="n"/>
      <c r="CZ305" s="451" t="n"/>
      <c r="DA305" s="451" t="n"/>
      <c r="DB305" s="451" t="n"/>
      <c r="DC305" s="451" t="n"/>
      <c r="DD305" s="451" t="n"/>
      <c r="DE305" s="451" t="n"/>
    </row>
    <row r="306" ht="15" customFormat="1" customHeight="1" s="381">
      <c r="A306" s="453" t="n"/>
      <c r="B306" s="451" t="n"/>
      <c r="C306" s="451" t="n"/>
      <c r="D306" s="451" t="n"/>
      <c r="E306" s="451" t="n"/>
      <c r="F306" s="451" t="n"/>
      <c r="G306" s="451" t="n"/>
      <c r="H306" s="451" t="n"/>
      <c r="I306" s="451" t="n"/>
      <c r="J306" s="451" t="n"/>
      <c r="K306" s="451" t="n"/>
      <c r="L306" s="451" t="n"/>
      <c r="M306" s="451" t="n"/>
      <c r="N306" s="451" t="n"/>
      <c r="O306" s="451" t="n"/>
      <c r="P306" s="451" t="n"/>
      <c r="Q306" s="451" t="n"/>
      <c r="R306" s="451" t="n"/>
      <c r="S306" s="451" t="n"/>
      <c r="T306" s="451" t="n"/>
      <c r="U306" s="451" t="n"/>
      <c r="V306" s="451" t="n"/>
      <c r="W306" s="451" t="n"/>
      <c r="X306" s="451" t="n"/>
      <c r="Y306" s="451" t="n"/>
      <c r="Z306" s="451" t="n"/>
      <c r="AA306" s="451" t="n"/>
      <c r="AB306" s="451" t="n"/>
      <c r="AC306" s="451" t="n"/>
      <c r="AD306" s="451" t="n"/>
      <c r="AE306" s="451" t="n"/>
      <c r="AF306" s="451" t="n"/>
      <c r="AG306" s="451" t="n"/>
      <c r="AH306" s="451" t="n"/>
      <c r="AI306" s="451" t="n"/>
      <c r="AJ306" s="451" t="n"/>
      <c r="AK306" s="451" t="n"/>
      <c r="AL306" s="451" t="n"/>
      <c r="AM306" s="451" t="n"/>
      <c r="AN306" s="451" t="n"/>
      <c r="AO306" s="451" t="n"/>
      <c r="AP306" s="451" t="n"/>
      <c r="AQ306" s="451" t="n"/>
      <c r="AR306" s="451" t="n"/>
      <c r="AS306" s="451" t="n"/>
      <c r="AT306" s="451" t="n"/>
      <c r="AU306" s="451" t="n"/>
      <c r="AV306" s="451" t="n"/>
      <c r="AW306" s="451" t="n"/>
      <c r="AX306" s="451" t="n"/>
      <c r="AY306" s="451" t="n"/>
      <c r="AZ306" s="451" t="n"/>
      <c r="BA306" s="451" t="n"/>
      <c r="BB306" s="451" t="n"/>
      <c r="BC306" s="451" t="n"/>
      <c r="BD306" s="451" t="n"/>
      <c r="BE306" s="451" t="n"/>
      <c r="BF306" s="451" t="n"/>
      <c r="BG306" s="451" t="n"/>
      <c r="BH306" s="451" t="n"/>
      <c r="BI306" s="451" t="n"/>
      <c r="BJ306" s="451" t="n"/>
      <c r="BK306" s="451" t="n"/>
      <c r="BL306" s="451" t="n"/>
      <c r="BM306" s="451" t="n"/>
      <c r="BN306" s="451" t="n"/>
      <c r="BO306" s="451" t="n"/>
      <c r="BP306" s="451" t="n"/>
      <c r="BQ306" s="451" t="n"/>
      <c r="BR306" s="451" t="n"/>
      <c r="BS306" s="451" t="n"/>
      <c r="BT306" s="451" t="n"/>
      <c r="BU306" s="451" t="n"/>
      <c r="BV306" s="451" t="n"/>
      <c r="BW306" s="451" t="n"/>
      <c r="BX306" s="451" t="n"/>
      <c r="BY306" s="451" t="n"/>
      <c r="BZ306" s="451" t="n"/>
      <c r="CA306" s="451" t="n"/>
      <c r="CB306" s="451" t="n"/>
      <c r="CC306" s="451" t="n"/>
      <c r="CD306" s="451" t="n"/>
      <c r="CE306" s="451" t="n"/>
      <c r="CF306" s="451" t="n"/>
      <c r="CG306" s="451" t="n"/>
      <c r="CH306" s="451" t="n"/>
      <c r="CI306" s="451" t="n"/>
      <c r="CJ306" s="451" t="n"/>
      <c r="CK306" s="451" t="n"/>
      <c r="CL306" s="451" t="n"/>
      <c r="CM306" s="451" t="n"/>
      <c r="CN306" s="451" t="n"/>
      <c r="CO306" s="451" t="n"/>
      <c r="CP306" s="451" t="n"/>
      <c r="CQ306" s="451" t="n"/>
      <c r="CR306" s="451" t="n"/>
      <c r="CS306" s="451" t="n"/>
      <c r="CT306" s="451" t="n"/>
      <c r="CU306" s="451" t="n"/>
      <c r="CV306" s="451" t="n"/>
      <c r="CW306" s="451" t="n"/>
      <c r="CX306" s="451" t="n"/>
      <c r="CY306" s="451" t="n"/>
      <c r="CZ306" s="451" t="n"/>
      <c r="DA306" s="451" t="n"/>
      <c r="DB306" s="451" t="n"/>
      <c r="DC306" s="451" t="n"/>
      <c r="DD306" s="451" t="n"/>
      <c r="DE306" s="451" t="n"/>
    </row>
    <row r="307" ht="15" customFormat="1" customHeight="1" s="381">
      <c r="A307" s="453" t="n"/>
      <c r="B307" s="451" t="n"/>
      <c r="C307" s="451" t="n"/>
      <c r="D307" s="451" t="n"/>
      <c r="E307" s="451" t="n"/>
      <c r="F307" s="451" t="n"/>
      <c r="G307" s="451" t="n"/>
      <c r="H307" s="451" t="n"/>
      <c r="I307" s="451" t="n"/>
      <c r="J307" s="451" t="n"/>
      <c r="K307" s="451" t="n"/>
      <c r="L307" s="451" t="n"/>
      <c r="M307" s="451" t="n"/>
      <c r="N307" s="451" t="n"/>
      <c r="O307" s="451" t="n"/>
      <c r="P307" s="451" t="n"/>
      <c r="Q307" s="451" t="n"/>
      <c r="R307" s="451" t="n"/>
      <c r="S307" s="451" t="n"/>
      <c r="T307" s="451" t="n"/>
      <c r="U307" s="451" t="n"/>
      <c r="V307" s="451" t="n"/>
      <c r="W307" s="451" t="n"/>
      <c r="X307" s="451" t="n"/>
      <c r="Y307" s="451" t="n"/>
      <c r="Z307" s="451" t="n"/>
      <c r="AA307" s="451" t="n"/>
      <c r="AB307" s="451" t="n"/>
      <c r="AC307" s="451" t="n"/>
      <c r="AD307" s="451" t="n"/>
      <c r="AE307" s="451" t="n"/>
      <c r="AF307" s="451" t="n"/>
      <c r="AG307" s="451" t="n"/>
      <c r="AH307" s="451" t="n"/>
      <c r="AI307" s="451" t="n"/>
      <c r="AJ307" s="451" t="n"/>
      <c r="AK307" s="451" t="n"/>
      <c r="AL307" s="451" t="n"/>
      <c r="AM307" s="451" t="n"/>
      <c r="AN307" s="451" t="n"/>
      <c r="AO307" s="451" t="n"/>
      <c r="AP307" s="451" t="n"/>
      <c r="AQ307" s="451" t="n"/>
      <c r="AR307" s="451" t="n"/>
      <c r="AS307" s="451" t="n"/>
      <c r="AT307" s="451" t="n"/>
      <c r="AU307" s="451" t="n"/>
      <c r="AV307" s="451" t="n"/>
      <c r="AW307" s="451" t="n"/>
      <c r="AX307" s="451" t="n"/>
      <c r="AY307" s="451" t="n"/>
      <c r="AZ307" s="451" t="n"/>
      <c r="BA307" s="451" t="n"/>
      <c r="BB307" s="451" t="n"/>
      <c r="BC307" s="451" t="n"/>
      <c r="BD307" s="451" t="n"/>
      <c r="BE307" s="451" t="n"/>
      <c r="BF307" s="451" t="n"/>
      <c r="BG307" s="451" t="n"/>
      <c r="BH307" s="451" t="n"/>
      <c r="BI307" s="451" t="n"/>
      <c r="BJ307" s="451" t="n"/>
      <c r="BK307" s="451" t="n"/>
      <c r="BL307" s="451" t="n"/>
      <c r="BM307" s="451" t="n"/>
      <c r="BN307" s="451" t="n"/>
      <c r="BO307" s="451" t="n"/>
      <c r="BP307" s="451" t="n"/>
      <c r="BQ307" s="451" t="n"/>
      <c r="BR307" s="451" t="n"/>
      <c r="BS307" s="451" t="n"/>
      <c r="BT307" s="451" t="n"/>
      <c r="BU307" s="451" t="n"/>
      <c r="BV307" s="451" t="n"/>
      <c r="BW307" s="451" t="n"/>
      <c r="BX307" s="451" t="n"/>
      <c r="BY307" s="451" t="n"/>
      <c r="BZ307" s="451" t="n"/>
      <c r="CA307" s="451" t="n"/>
      <c r="CB307" s="451" t="n"/>
      <c r="CC307" s="451" t="n"/>
      <c r="CD307" s="451" t="n"/>
      <c r="CE307" s="451" t="n"/>
      <c r="CF307" s="451" t="n"/>
      <c r="CG307" s="451" t="n"/>
      <c r="CH307" s="451" t="n"/>
      <c r="CI307" s="451" t="n"/>
      <c r="CJ307" s="451" t="n"/>
      <c r="CK307" s="451" t="n"/>
      <c r="CL307" s="451" t="n"/>
      <c r="CM307" s="451" t="n"/>
      <c r="CN307" s="451" t="n"/>
      <c r="CO307" s="451" t="n"/>
      <c r="CP307" s="451" t="n"/>
      <c r="CQ307" s="451" t="n"/>
      <c r="CR307" s="451" t="n"/>
      <c r="CS307" s="451" t="n"/>
      <c r="CT307" s="451" t="n"/>
      <c r="CU307" s="451" t="n"/>
      <c r="CV307" s="451" t="n"/>
      <c r="CW307" s="451" t="n"/>
      <c r="CX307" s="451" t="n"/>
      <c r="CY307" s="451" t="n"/>
      <c r="CZ307" s="451" t="n"/>
      <c r="DA307" s="451" t="n"/>
      <c r="DB307" s="451" t="n"/>
      <c r="DC307" s="451" t="n"/>
      <c r="DD307" s="451" t="n"/>
      <c r="DE307" s="451" t="n"/>
    </row>
    <row r="308" ht="15" customFormat="1" customHeight="1" s="381">
      <c r="A308" s="453" t="n"/>
      <c r="B308" s="451" t="n"/>
      <c r="C308" s="451" t="n"/>
      <c r="D308" s="451" t="n"/>
      <c r="E308" s="451" t="n"/>
      <c r="F308" s="451" t="n"/>
      <c r="G308" s="451" t="n"/>
      <c r="H308" s="451" t="n"/>
      <c r="I308" s="451" t="n"/>
      <c r="J308" s="451" t="n"/>
      <c r="K308" s="451" t="n"/>
      <c r="L308" s="451" t="n"/>
      <c r="M308" s="451" t="n"/>
      <c r="N308" s="451" t="n"/>
      <c r="O308" s="451" t="n"/>
      <c r="P308" s="451" t="n"/>
      <c r="Q308" s="451" t="n"/>
      <c r="R308" s="451" t="n"/>
      <c r="S308" s="451" t="n"/>
      <c r="T308" s="451" t="n"/>
      <c r="U308" s="451" t="n"/>
      <c r="V308" s="451" t="n"/>
      <c r="W308" s="451" t="n"/>
      <c r="X308" s="451" t="n"/>
      <c r="Y308" s="451" t="n"/>
      <c r="Z308" s="451" t="n"/>
      <c r="AA308" s="451" t="n"/>
      <c r="AB308" s="451" t="n"/>
      <c r="AC308" s="451" t="n"/>
      <c r="AD308" s="451" t="n"/>
      <c r="AE308" s="451" t="n"/>
      <c r="AF308" s="451" t="n"/>
      <c r="AG308" s="451" t="n"/>
      <c r="AH308" s="451" t="n"/>
      <c r="AI308" s="451" t="n"/>
      <c r="AJ308" s="451" t="n"/>
      <c r="AK308" s="451" t="n"/>
      <c r="AL308" s="451" t="n"/>
      <c r="AM308" s="451" t="n"/>
      <c r="AN308" s="451" t="n"/>
      <c r="AO308" s="451" t="n"/>
      <c r="AP308" s="451" t="n"/>
      <c r="AQ308" s="451" t="n"/>
      <c r="AR308" s="451" t="n"/>
      <c r="AS308" s="451" t="n"/>
      <c r="AT308" s="451" t="n"/>
      <c r="AU308" s="451" t="n"/>
      <c r="AV308" s="451" t="n"/>
      <c r="AW308" s="451" t="n"/>
      <c r="AX308" s="451" t="n"/>
      <c r="AY308" s="451" t="n"/>
      <c r="AZ308" s="451" t="n"/>
      <c r="BA308" s="451" t="n"/>
      <c r="BB308" s="451" t="n"/>
      <c r="BC308" s="451" t="n"/>
      <c r="BD308" s="451" t="n"/>
      <c r="BE308" s="451" t="n"/>
      <c r="BF308" s="451" t="n"/>
      <c r="BG308" s="451" t="n"/>
      <c r="BH308" s="451" t="n"/>
      <c r="BI308" s="451" t="n"/>
      <c r="BJ308" s="451" t="n"/>
      <c r="BK308" s="451" t="n"/>
      <c r="BL308" s="451" t="n"/>
      <c r="BM308" s="451" t="n"/>
      <c r="BN308" s="451" t="n"/>
      <c r="BO308" s="451" t="n"/>
      <c r="BP308" s="451" t="n"/>
      <c r="BQ308" s="451" t="n"/>
      <c r="BR308" s="451" t="n"/>
      <c r="BS308" s="451" t="n"/>
      <c r="BT308" s="451" t="n"/>
      <c r="BU308" s="451" t="n"/>
      <c r="BV308" s="451" t="n"/>
      <c r="BW308" s="451" t="n"/>
      <c r="BX308" s="451" t="n"/>
      <c r="BY308" s="451" t="n"/>
      <c r="BZ308" s="451" t="n"/>
      <c r="CA308" s="451" t="n"/>
      <c r="CB308" s="451" t="n"/>
      <c r="CC308" s="451" t="n"/>
      <c r="CD308" s="451" t="n"/>
      <c r="CE308" s="451" t="n"/>
      <c r="CF308" s="451" t="n"/>
      <c r="CG308" s="451" t="n"/>
      <c r="CH308" s="451" t="n"/>
      <c r="CI308" s="451" t="n"/>
      <c r="CJ308" s="451" t="n"/>
      <c r="CK308" s="451" t="n"/>
      <c r="CL308" s="451" t="n"/>
      <c r="CM308" s="451" t="n"/>
      <c r="CN308" s="451" t="n"/>
      <c r="CO308" s="451" t="n"/>
      <c r="CP308" s="451" t="n"/>
      <c r="CQ308" s="451" t="n"/>
      <c r="CR308" s="451" t="n"/>
      <c r="CS308" s="451" t="n"/>
      <c r="CT308" s="451" t="n"/>
      <c r="CU308" s="451" t="n"/>
      <c r="CV308" s="451" t="n"/>
      <c r="CW308" s="451" t="n"/>
      <c r="CX308" s="451" t="n"/>
      <c r="CY308" s="451" t="n"/>
      <c r="CZ308" s="451" t="n"/>
      <c r="DA308" s="451" t="n"/>
      <c r="DB308" s="451" t="n"/>
      <c r="DC308" s="451" t="n"/>
      <c r="DD308" s="451" t="n"/>
      <c r="DE308" s="451" t="n"/>
    </row>
    <row r="309" ht="15" customFormat="1" customHeight="1" s="381">
      <c r="A309" s="453" t="n"/>
      <c r="B309" s="451" t="n"/>
      <c r="C309" s="451" t="n"/>
      <c r="D309" s="451" t="n"/>
      <c r="E309" s="451" t="n"/>
      <c r="F309" s="451" t="n"/>
      <c r="G309" s="451" t="n"/>
      <c r="H309" s="451" t="n"/>
      <c r="I309" s="451" t="n"/>
      <c r="J309" s="451" t="n"/>
      <c r="K309" s="451" t="n"/>
      <c r="L309" s="451" t="n"/>
      <c r="M309" s="451" t="n"/>
      <c r="N309" s="451" t="n"/>
      <c r="O309" s="451" t="n"/>
      <c r="P309" s="451" t="n"/>
      <c r="Q309" s="451" t="n"/>
      <c r="R309" s="451" t="n"/>
      <c r="S309" s="451" t="n"/>
      <c r="T309" s="451" t="n"/>
      <c r="U309" s="451" t="n"/>
      <c r="V309" s="451" t="n"/>
      <c r="W309" s="451" t="n"/>
      <c r="X309" s="451" t="n"/>
      <c r="Y309" s="451" t="n"/>
      <c r="Z309" s="451" t="n"/>
      <c r="AA309" s="451" t="n"/>
      <c r="AB309" s="451" t="n"/>
      <c r="AC309" s="451" t="n"/>
      <c r="AD309" s="451" t="n"/>
      <c r="AE309" s="451" t="n"/>
      <c r="AF309" s="451" t="n"/>
      <c r="AG309" s="451" t="n"/>
      <c r="AH309" s="451" t="n"/>
      <c r="AI309" s="451" t="n"/>
      <c r="AJ309" s="451" t="n"/>
      <c r="AK309" s="451" t="n"/>
      <c r="AL309" s="451" t="n"/>
      <c r="AM309" s="451" t="n"/>
      <c r="AN309" s="451" t="n"/>
      <c r="AO309" s="451" t="n"/>
      <c r="AP309" s="451" t="n"/>
      <c r="AQ309" s="451" t="n"/>
      <c r="AR309" s="451" t="n"/>
      <c r="AS309" s="451" t="n"/>
      <c r="AT309" s="451" t="n"/>
      <c r="AU309" s="451" t="n"/>
      <c r="AV309" s="451" t="n"/>
      <c r="AW309" s="451" t="n"/>
      <c r="AX309" s="451" t="n"/>
      <c r="AY309" s="451" t="n"/>
      <c r="AZ309" s="451" t="n"/>
      <c r="BA309" s="451" t="n"/>
      <c r="BB309" s="451" t="n"/>
      <c r="BC309" s="451" t="n"/>
      <c r="BD309" s="451" t="n"/>
      <c r="BE309" s="451" t="n"/>
      <c r="BF309" s="451" t="n"/>
      <c r="BG309" s="451" t="n"/>
      <c r="BH309" s="451" t="n"/>
      <c r="BI309" s="451" t="n"/>
      <c r="BJ309" s="451" t="n"/>
      <c r="BK309" s="451" t="n"/>
      <c r="BL309" s="451" t="n"/>
      <c r="BM309" s="451" t="n"/>
      <c r="BN309" s="451" t="n"/>
      <c r="BO309" s="451" t="n"/>
      <c r="BP309" s="451" t="n"/>
      <c r="BQ309" s="451" t="n"/>
      <c r="BR309" s="451" t="n"/>
      <c r="BS309" s="451" t="n"/>
      <c r="BT309" s="451" t="n"/>
      <c r="BU309" s="451" t="n"/>
      <c r="BV309" s="451" t="n"/>
      <c r="BW309" s="451" t="n"/>
      <c r="BX309" s="451" t="n"/>
      <c r="BY309" s="451" t="n"/>
      <c r="BZ309" s="451" t="n"/>
      <c r="CA309" s="451" t="n"/>
      <c r="CB309" s="451" t="n"/>
      <c r="CC309" s="451" t="n"/>
      <c r="CD309" s="451" t="n"/>
      <c r="CE309" s="451" t="n"/>
      <c r="CF309" s="451" t="n"/>
      <c r="CG309" s="451" t="n"/>
      <c r="CH309" s="451" t="n"/>
      <c r="CI309" s="451" t="n"/>
      <c r="CJ309" s="451" t="n"/>
      <c r="CK309" s="451" t="n"/>
      <c r="CL309" s="451" t="n"/>
      <c r="CM309" s="451" t="n"/>
      <c r="CN309" s="451" t="n"/>
      <c r="CO309" s="451" t="n"/>
      <c r="CP309" s="451" t="n"/>
      <c r="CQ309" s="451" t="n"/>
      <c r="CR309" s="451" t="n"/>
      <c r="CS309" s="451" t="n"/>
      <c r="CT309" s="451" t="n"/>
      <c r="CU309" s="451" t="n"/>
      <c r="CV309" s="451" t="n"/>
      <c r="CW309" s="451" t="n"/>
      <c r="CX309" s="451" t="n"/>
      <c r="CY309" s="451" t="n"/>
      <c r="CZ309" s="451" t="n"/>
      <c r="DA309" s="451" t="n"/>
      <c r="DB309" s="451" t="n"/>
      <c r="DC309" s="451" t="n"/>
      <c r="DD309" s="451" t="n"/>
      <c r="DE309" s="451" t="n"/>
    </row>
    <row r="310" ht="15" customFormat="1" customHeight="1" s="381">
      <c r="A310" s="457" t="n"/>
      <c r="B310" s="458" t="n"/>
      <c r="C310" s="458" t="n"/>
      <c r="D310" s="458" t="n"/>
      <c r="E310" s="458" t="n"/>
      <c r="F310" s="458" t="n"/>
      <c r="G310" s="458" t="n"/>
      <c r="H310" s="458" t="n"/>
      <c r="I310" s="458" t="n"/>
      <c r="J310" s="458" t="n"/>
      <c r="K310" s="458" t="n"/>
      <c r="L310" s="458" t="n"/>
      <c r="M310" s="458" t="n"/>
      <c r="N310" s="458" t="n"/>
      <c r="O310" s="458" t="n"/>
      <c r="P310" s="458" t="n"/>
      <c r="Q310" s="458" t="n"/>
      <c r="R310" s="458" t="n"/>
      <c r="S310" s="458" t="n"/>
      <c r="T310" s="458" t="n"/>
      <c r="U310" s="458" t="n"/>
      <c r="V310" s="458" t="n"/>
      <c r="W310" s="458" t="n"/>
      <c r="X310" s="458" t="n"/>
      <c r="Y310" s="458" t="n"/>
      <c r="Z310" s="458" t="n"/>
      <c r="AA310" s="458" t="n"/>
      <c r="AB310" s="458" t="n"/>
      <c r="AC310" s="458" t="n"/>
      <c r="AD310" s="458" t="n"/>
      <c r="AE310" s="458" t="n"/>
      <c r="AF310" s="458" t="n"/>
      <c r="AG310" s="458" t="n"/>
      <c r="AH310" s="458" t="n"/>
      <c r="AI310" s="458" t="n"/>
      <c r="AJ310" s="458" t="n"/>
      <c r="AK310" s="458" t="n"/>
      <c r="AL310" s="458" t="n"/>
      <c r="AM310" s="458" t="n"/>
      <c r="AN310" s="458" t="n"/>
      <c r="AO310" s="458" t="n"/>
      <c r="AP310" s="458" t="n"/>
      <c r="AQ310" s="458" t="n"/>
      <c r="AR310" s="458" t="n"/>
      <c r="AS310" s="458" t="n"/>
      <c r="AT310" s="458" t="n"/>
      <c r="AU310" s="458" t="n"/>
      <c r="AV310" s="458" t="n"/>
      <c r="AW310" s="458" t="n"/>
      <c r="AX310" s="458" t="n"/>
      <c r="AY310" s="458" t="n"/>
      <c r="AZ310" s="458" t="n"/>
      <c r="BA310" s="458" t="n"/>
      <c r="BB310" s="458" t="n"/>
      <c r="BC310" s="458" t="n"/>
      <c r="BD310" s="458" t="n"/>
      <c r="BE310" s="458" t="n"/>
      <c r="BF310" s="458" t="n"/>
      <c r="BG310" s="458" t="n"/>
      <c r="BH310" s="458" t="n"/>
      <c r="BI310" s="458" t="n"/>
      <c r="BJ310" s="458" t="n"/>
      <c r="BK310" s="458" t="n"/>
      <c r="BL310" s="458" t="n"/>
      <c r="BM310" s="458" t="n"/>
      <c r="BN310" s="458" t="n"/>
      <c r="BO310" s="458" t="n"/>
      <c r="BP310" s="458" t="n"/>
      <c r="BQ310" s="458" t="n"/>
      <c r="BR310" s="458" t="n"/>
      <c r="BS310" s="458" t="n"/>
      <c r="BT310" s="458" t="n"/>
      <c r="BU310" s="458" t="n"/>
      <c r="BV310" s="458" t="n"/>
      <c r="BW310" s="458" t="n"/>
      <c r="BX310" s="458" t="n"/>
      <c r="BY310" s="458" t="n"/>
      <c r="BZ310" s="458" t="n"/>
      <c r="CA310" s="458" t="n"/>
      <c r="CB310" s="458" t="n"/>
      <c r="CC310" s="458" t="n"/>
      <c r="CD310" s="458" t="n"/>
      <c r="CE310" s="458" t="n"/>
      <c r="CF310" s="458" t="n"/>
      <c r="CG310" s="458" t="n"/>
      <c r="CH310" s="458" t="n"/>
      <c r="CI310" s="458" t="n"/>
      <c r="CJ310" s="458" t="n"/>
      <c r="CK310" s="458" t="n"/>
      <c r="CL310" s="458" t="n"/>
      <c r="CM310" s="458" t="n"/>
      <c r="CN310" s="458" t="n"/>
      <c r="CO310" s="458" t="n"/>
      <c r="CP310" s="458" t="n"/>
      <c r="CQ310" s="458" t="n"/>
      <c r="CR310" s="458" t="n"/>
      <c r="CS310" s="458" t="n"/>
      <c r="CT310" s="458" t="n"/>
      <c r="CU310" s="458" t="n"/>
      <c r="CV310" s="458" t="n"/>
      <c r="CW310" s="458" t="n"/>
      <c r="CX310" s="458" t="n"/>
      <c r="CY310" s="458" t="n"/>
      <c r="CZ310" s="458" t="n"/>
      <c r="DA310" s="458" t="n"/>
      <c r="DB310" s="458" t="n"/>
      <c r="DC310" s="458" t="n"/>
      <c r="DD310" s="458" t="n"/>
      <c r="DE310" s="458" t="n"/>
    </row>
    <row r="311" ht="15" customFormat="1" customHeight="1" s="381">
      <c r="A311" s="457" t="n"/>
      <c r="B311" s="458" t="n"/>
      <c r="C311" s="458" t="n"/>
      <c r="D311" s="458" t="n"/>
      <c r="E311" s="458" t="n"/>
      <c r="F311" s="458" t="n"/>
      <c r="G311" s="458" t="n"/>
      <c r="H311" s="458" t="n"/>
      <c r="I311" s="458" t="n"/>
      <c r="J311" s="458" t="n"/>
      <c r="K311" s="458" t="n"/>
      <c r="L311" s="458" t="n"/>
      <c r="M311" s="458" t="n"/>
      <c r="N311" s="458" t="n"/>
      <c r="O311" s="458" t="n"/>
      <c r="P311" s="458" t="n"/>
      <c r="Q311" s="458" t="n"/>
      <c r="R311" s="458" t="n"/>
      <c r="S311" s="458" t="n"/>
      <c r="T311" s="458" t="n"/>
      <c r="U311" s="458" t="n"/>
      <c r="V311" s="458" t="n"/>
      <c r="W311" s="458" t="n"/>
      <c r="X311" s="458" t="n"/>
      <c r="Y311" s="458" t="n"/>
      <c r="Z311" s="458" t="n"/>
      <c r="AA311" s="458" t="n"/>
      <c r="AB311" s="458" t="n"/>
      <c r="AC311" s="458" t="n"/>
      <c r="AD311" s="458" t="n"/>
      <c r="AE311" s="458" t="n"/>
      <c r="AF311" s="458" t="n"/>
      <c r="AG311" s="458" t="n"/>
      <c r="AH311" s="458" t="n"/>
      <c r="AI311" s="458" t="n"/>
      <c r="AJ311" s="458" t="n"/>
      <c r="AK311" s="458" t="n"/>
      <c r="AL311" s="458" t="n"/>
      <c r="AM311" s="458" t="n"/>
      <c r="AN311" s="458" t="n"/>
      <c r="AO311" s="458" t="n"/>
      <c r="AP311" s="458" t="n"/>
      <c r="AQ311" s="458" t="n"/>
      <c r="AR311" s="458" t="n"/>
      <c r="AS311" s="458" t="n"/>
      <c r="AT311" s="458" t="n"/>
      <c r="AU311" s="458" t="n"/>
      <c r="AV311" s="458" t="n"/>
      <c r="AW311" s="458" t="n"/>
      <c r="AX311" s="458" t="n"/>
      <c r="AY311" s="458" t="n"/>
      <c r="AZ311" s="458" t="n"/>
      <c r="BA311" s="458" t="n"/>
      <c r="BB311" s="458" t="n"/>
      <c r="BC311" s="458" t="n"/>
      <c r="BD311" s="458" t="n"/>
      <c r="BE311" s="458" t="n"/>
      <c r="BF311" s="458" t="n"/>
      <c r="BG311" s="458" t="n"/>
      <c r="BH311" s="458" t="n"/>
      <c r="BI311" s="458" t="n"/>
      <c r="BJ311" s="458" t="n"/>
      <c r="BK311" s="458" t="n"/>
      <c r="BL311" s="458" t="n"/>
      <c r="BM311" s="458" t="n"/>
      <c r="BN311" s="458" t="n"/>
      <c r="BO311" s="458" t="n"/>
      <c r="BP311" s="458" t="n"/>
      <c r="BQ311" s="458" t="n"/>
      <c r="BR311" s="458" t="n"/>
      <c r="BS311" s="458" t="n"/>
      <c r="BT311" s="458" t="n"/>
      <c r="BU311" s="458" t="n"/>
      <c r="BV311" s="458" t="n"/>
      <c r="BW311" s="458" t="n"/>
      <c r="BX311" s="458" t="n"/>
      <c r="BY311" s="458" t="n"/>
      <c r="BZ311" s="458" t="n"/>
      <c r="CA311" s="458" t="n"/>
      <c r="CB311" s="458" t="n"/>
      <c r="CC311" s="458" t="n"/>
      <c r="CD311" s="458" t="n"/>
      <c r="CE311" s="458" t="n"/>
      <c r="CF311" s="458" t="n"/>
      <c r="CG311" s="458" t="n"/>
      <c r="CH311" s="458" t="n"/>
      <c r="CI311" s="458" t="n"/>
      <c r="CJ311" s="458" t="n"/>
      <c r="CK311" s="458" t="n"/>
      <c r="CL311" s="458" t="n"/>
      <c r="CM311" s="458" t="n"/>
      <c r="CN311" s="458" t="n"/>
      <c r="CO311" s="458" t="n"/>
      <c r="CP311" s="458" t="n"/>
      <c r="CQ311" s="458" t="n"/>
      <c r="CR311" s="458" t="n"/>
      <c r="CS311" s="458" t="n"/>
      <c r="CT311" s="458" t="n"/>
      <c r="CU311" s="458" t="n"/>
      <c r="CV311" s="458" t="n"/>
      <c r="CW311" s="458" t="n"/>
      <c r="CX311" s="458" t="n"/>
      <c r="CY311" s="458" t="n"/>
      <c r="CZ311" s="458" t="n"/>
      <c r="DA311" s="458" t="n"/>
      <c r="DB311" s="458" t="n"/>
      <c r="DC311" s="458" t="n"/>
      <c r="DD311" s="458" t="n"/>
      <c r="DE311" s="45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J4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baseColWidth="8" defaultColWidth="8.71875" defaultRowHeight="15" zeroHeight="0" outlineLevelRow="0"/>
  <cols>
    <col width="38" customWidth="1" style="381" min="1" max="1"/>
    <col width="14" customWidth="1" style="381" min="2" max="9"/>
    <col width="13" customWidth="1" style="381" min="10" max="10"/>
  </cols>
  <sheetData>
    <row r="1" ht="17.25" customFormat="1" customHeight="1" s="381">
      <c r="A1" s="382" t="inlineStr">
        <is>
          <t>Six Peak Capital - Annual Summary</t>
        </is>
      </c>
      <c r="F1" s="383" t="n"/>
      <c r="G1" s="383" t="n"/>
      <c r="H1" s="383" t="n"/>
      <c r="I1" s="383" t="n"/>
    </row>
    <row r="2" ht="15" customFormat="1" customHeight="1" s="381">
      <c r="A2" s="396" t="inlineStr">
        <is>
          <t>GC CONSTRUCTION P&amp;L</t>
        </is>
      </c>
      <c r="B2" s="429" t="inlineStr">
        <is>
          <t>FY 2026</t>
        </is>
      </c>
      <c r="C2" s="429" t="inlineStr">
        <is>
          <t>FY 2027</t>
        </is>
      </c>
      <c r="D2" s="429" t="inlineStr">
        <is>
          <t>FY 2028</t>
        </is>
      </c>
      <c r="E2" s="429" t="inlineStr">
        <is>
          <t>FY 2029</t>
        </is>
      </c>
      <c r="F2" s="429" t="inlineStr">
        <is>
          <t>FY 2030</t>
        </is>
      </c>
      <c r="G2" s="429" t="inlineStr">
        <is>
          <t>FY 2031</t>
        </is>
      </c>
      <c r="H2" s="429" t="inlineStr">
        <is>
          <t>FY 2032</t>
        </is>
      </c>
      <c r="I2" s="429" t="inlineStr">
        <is>
          <t>FY 2033</t>
        </is>
      </c>
      <c r="J2" s="429" t="inlineStr">
        <is>
          <t>FY 2034</t>
        </is>
      </c>
    </row>
    <row r="3" ht="15" customFormat="1" customHeight="1" s="381">
      <c r="A3" s="441" t="n"/>
      <c r="B3" s="441" t="n"/>
      <c r="C3" s="441" t="n"/>
      <c r="D3" s="441" t="n"/>
      <c r="E3" s="441" t="n"/>
      <c r="F3" s="441" t="n"/>
      <c r="G3" s="441" t="n"/>
      <c r="H3" s="441" t="n"/>
      <c r="I3" s="441" t="n"/>
      <c r="J3" s="441" t="n"/>
    </row>
    <row r="4" ht="15" customFormat="1" customHeight="1" s="381">
      <c r="A4" s="398" t="inlineStr">
        <is>
          <t xml:space="preserve">  Other GC Income</t>
        </is>
      </c>
      <c r="B4" s="393">
        <f>SUM(Model!B10:M10)</f>
        <v>3945631.66870258</v>
      </c>
      <c r="C4" s="393">
        <f>SUM(Model!N10:Y10)</f>
        <v>7006792.12811349</v>
      </c>
      <c r="D4" s="393">
        <f>SUM(Model!Z10:AK10)</f>
        <v>9186278.76247722</v>
      </c>
      <c r="E4" s="393">
        <f>SUM(Model!AL10:AW10)</f>
        <v>10826969.9509461</v>
      </c>
      <c r="F4" s="393">
        <f>SUM(Model!AX10:BI10)</f>
        <v>10296749.1101953</v>
      </c>
      <c r="G4" s="393">
        <f>SUM(Model!BJ10:BU10)</f>
        <v>6449531.25</v>
      </c>
      <c r="H4" s="393">
        <f>SUM(Model!BV10:CG10)</f>
        <v>1104159.75</v>
      </c>
      <c r="I4" s="393">
        <f>SUM(Model!CH10:CS10)</f>
        <v>0</v>
      </c>
      <c r="J4" s="393">
        <f>SUM(Model!CT10:DE10)</f>
        <v>0</v>
      </c>
    </row>
    <row r="5" ht="15" customFormat="1" customHeight="1" s="381">
      <c r="A5" s="398" t="inlineStr">
        <is>
          <t xml:space="preserve">  GC Fee Income</t>
        </is>
      </c>
      <c r="B5" s="393">
        <f>SUM(Model!B11:M11)</f>
        <v>3085933.99969132</v>
      </c>
      <c r="C5" s="393">
        <f>SUM(Model!N11:Y11)</f>
        <v>5366503.7779712</v>
      </c>
      <c r="D5" s="393">
        <f>SUM(Model!Z11:AK11)</f>
        <v>6889675.68905843</v>
      </c>
      <c r="E5" s="393">
        <f>SUM(Model!AL11:AW11)</f>
        <v>8120188.1181629</v>
      </c>
      <c r="F5" s="393">
        <f>SUM(Model!AX11:BI11)</f>
        <v>7722524.41441435</v>
      </c>
      <c r="G5" s="393">
        <f>SUM(Model!BJ11:BU11)</f>
        <v>4837125</v>
      </c>
      <c r="H5" s="393">
        <f>SUM(Model!BV11:CG11)</f>
        <v>828115.8</v>
      </c>
      <c r="I5" s="393">
        <f>SUM(Model!CH11:CS11)</f>
        <v>0</v>
      </c>
      <c r="J5" s="393">
        <f>SUM(Model!CT11:DE11)</f>
        <v>0</v>
      </c>
    </row>
    <row r="6" ht="15" customFormat="1" customHeight="1" s="381">
      <c r="A6" s="398" t="inlineStr">
        <is>
          <t xml:space="preserve">  Trades and Site Cost Billing</t>
        </is>
      </c>
      <c r="B6" s="393">
        <f>SUM(Model!B57:M57)</f>
        <v>50998029.6660059</v>
      </c>
      <c r="C6" s="393">
        <f>SUM(Model!N57:Y57)</f>
        <v>99472213.5786676</v>
      </c>
      <c r="D6" s="393">
        <f>SUM(Model!Z57:AK57)</f>
        <v>123521256.094142</v>
      </c>
      <c r="E6" s="393">
        <f>SUM(Model!AL57:AW57)</f>
        <v>140423154.677194</v>
      </c>
      <c r="F6" s="393">
        <f>SUM(Model!AX57:BI57)</f>
        <v>119426255.395542</v>
      </c>
      <c r="G6" s="393">
        <f>SUM(Model!BJ57:BU57)</f>
        <v>90289686.75</v>
      </c>
      <c r="H6" s="393">
        <f>SUM(Model!BV57:CG57)</f>
        <v>6504546.45</v>
      </c>
      <c r="I6" s="393">
        <f>SUM(Model!CH57:CS57)</f>
        <v>0</v>
      </c>
      <c r="J6" s="393">
        <f>SUM(Model!CT57:DE57)</f>
        <v>0</v>
      </c>
    </row>
    <row r="7" ht="15" customFormat="1" customHeight="1" s="381">
      <c r="A7" s="409" t="inlineStr">
        <is>
          <t>Total Revenues</t>
        </is>
      </c>
      <c r="B7" s="410">
        <f>SUM(Model!B58:M58)</f>
        <v>58029595.3343998</v>
      </c>
      <c r="C7" s="410">
        <f>SUM(Model!N58:Y58)</f>
        <v>111845509.484752</v>
      </c>
      <c r="D7" s="410">
        <f>SUM(Model!Z58:AK58)</f>
        <v>139597210.545678</v>
      </c>
      <c r="E7" s="410">
        <f>SUM(Model!AL58:AW58)</f>
        <v>159370312.746303</v>
      </c>
      <c r="F7" s="410">
        <f>SUM(Model!AX58:BI58)</f>
        <v>137445528.920152</v>
      </c>
      <c r="G7" s="410">
        <f>SUM(Model!BJ58:BU58)</f>
        <v>101576343</v>
      </c>
      <c r="H7" s="410">
        <f>SUM(Model!BV58:CG58)</f>
        <v>8436822</v>
      </c>
      <c r="I7" s="410">
        <f>SUM(Model!CH58:CS58)</f>
        <v>0</v>
      </c>
      <c r="J7" s="410">
        <f>SUM(Model!CT58:DE58)</f>
        <v>0</v>
      </c>
    </row>
    <row r="8" ht="15" customFormat="1" customHeight="1" s="381">
      <c r="A8" s="398" t="inlineStr">
        <is>
          <t>COGS - Trade and Site Costs</t>
        </is>
      </c>
      <c r="B8" s="393">
        <f>SUM(Model!B104:M104)</f>
        <v>-51560863.409692</v>
      </c>
      <c r="C8" s="393">
        <f>SUM(Model!N104:Y104)</f>
        <v>-99849256.9449815</v>
      </c>
      <c r="D8" s="393">
        <f>SUM(Model!Z104:AK104)</f>
        <v>-123521256.094142</v>
      </c>
      <c r="E8" s="393">
        <f>SUM(Model!AL104:AW104)</f>
        <v>-140423154.677194</v>
      </c>
      <c r="F8" s="393">
        <f>SUM(Model!AX104:BI104)</f>
        <v>-119426255.395542</v>
      </c>
      <c r="G8" s="393">
        <f>SUM(Model!BJ104:BU104)</f>
        <v>-90289686.75</v>
      </c>
      <c r="H8" s="393">
        <f>SUM(Model!BV104:CG104)</f>
        <v>-6504546.45</v>
      </c>
      <c r="I8" s="393">
        <f>SUM(Model!CH104:CS104)</f>
        <v>0</v>
      </c>
      <c r="J8" s="393">
        <f>SUM(Model!CT104:DE104)</f>
        <v>0</v>
      </c>
    </row>
    <row r="9" ht="15" customFormat="1" customHeight="1" s="381">
      <c r="A9" s="398" t="inlineStr">
        <is>
          <t xml:space="preserve">  Bonding Revenue</t>
        </is>
      </c>
      <c r="B9" s="393">
        <f>SUM(Model!B105:M105)</f>
        <v>1561967.335</v>
      </c>
      <c r="C9" s="393">
        <f>SUM(Model!N105:Y105)</f>
        <v>1355144.085</v>
      </c>
      <c r="D9" s="393">
        <f>SUM(Model!Z105:AK105)</f>
        <v>620319.48</v>
      </c>
      <c r="E9" s="393">
        <f>SUM(Model!AL105:AW105)</f>
        <v>0</v>
      </c>
      <c r="F9" s="393">
        <f>SUM(Model!AX105:BI105)</f>
        <v>0</v>
      </c>
      <c r="G9" s="393">
        <f>SUM(Model!BJ105:BU105)</f>
        <v>0</v>
      </c>
      <c r="H9" s="393">
        <f>SUM(Model!BV105:CG105)</f>
        <v>0</v>
      </c>
      <c r="I9" s="393">
        <f>SUM(Model!CH105:CS105)</f>
        <v>0</v>
      </c>
      <c r="J9" s="393">
        <f>SUM(Model!CT105:DE105)</f>
        <v>0</v>
      </c>
    </row>
    <row r="10" ht="15" customFormat="1" customHeight="1" s="381">
      <c r="A10" s="398" t="inlineStr">
        <is>
          <t xml:space="preserve">  Bonding Costs</t>
        </is>
      </c>
      <c r="B10" s="393">
        <f>SUM(Model!B106:M106)</f>
        <v>-1898639.08580814</v>
      </c>
      <c r="C10" s="393">
        <f>SUM(Model!N106:Y106)</f>
        <v>-2936145.5175</v>
      </c>
      <c r="D10" s="393">
        <f>SUM(Model!Z106:AK106)</f>
        <v>-1344025.54</v>
      </c>
      <c r="E10" s="393">
        <f>SUM(Model!AL106:AW106)</f>
        <v>0</v>
      </c>
      <c r="F10" s="393">
        <f>SUM(Model!AX106:BI106)</f>
        <v>0</v>
      </c>
      <c r="G10" s="393">
        <f>SUM(Model!BJ106:BU106)</f>
        <v>0</v>
      </c>
      <c r="H10" s="393">
        <f>SUM(Model!BV106:CG106)</f>
        <v>0</v>
      </c>
      <c r="I10" s="393">
        <f>SUM(Model!CH106:CS106)</f>
        <v>0</v>
      </c>
      <c r="J10" s="393">
        <f>SUM(Model!CT106:DE106)</f>
        <v>0</v>
      </c>
    </row>
    <row r="11" ht="15" customFormat="1" customHeight="1" s="381">
      <c r="A11" s="459" t="inlineStr">
        <is>
          <t>Gross Profit</t>
        </is>
      </c>
      <c r="B11" s="412">
        <f>SUM(Model!B107:M107)</f>
        <v>6132060.17389965</v>
      </c>
      <c r="C11" s="412">
        <f>SUM(Model!N107:Y107)</f>
        <v>10415251.1072708</v>
      </c>
      <c r="D11" s="412">
        <f>SUM(Model!Z107:AK107)</f>
        <v>15352248.3915356</v>
      </c>
      <c r="E11" s="412">
        <f>SUM(Model!AL107:AW107)</f>
        <v>18947158.069109</v>
      </c>
      <c r="F11" s="412">
        <f>SUM(Model!AX107:BI107)</f>
        <v>18019273.5246096</v>
      </c>
      <c r="G11" s="412">
        <f>SUM(Model!BJ107:BU107)</f>
        <v>11286656.25</v>
      </c>
      <c r="H11" s="412">
        <f>SUM(Model!BV107:CG107)</f>
        <v>1932275.55</v>
      </c>
      <c r="I11" s="412">
        <f>SUM(Model!CH107:CS107)</f>
        <v>0</v>
      </c>
      <c r="J11" s="412">
        <f>SUM(Model!CT107:DE107)</f>
        <v>0</v>
      </c>
    </row>
    <row r="12" ht="15" customFormat="1" customHeight="1" s="381">
      <c r="A12" s="398" t="inlineStr">
        <is>
          <t>GC Gross Profit Margin %</t>
        </is>
      </c>
      <c r="B12" s="460">
        <f>IFERROR(B11/B7,0)</f>
        <v>0.105671255133923</v>
      </c>
      <c r="C12" s="460">
        <f>IFERROR(C11/C7,0)</f>
        <v>0.0931217637190047</v>
      </c>
      <c r="D12" s="460">
        <f>IFERROR(D11/D7,0)</f>
        <v>0.10997532351488</v>
      </c>
      <c r="E12" s="460">
        <f>IFERROR(E11/E7,0)</f>
        <v>0.118887625572213</v>
      </c>
      <c r="F12" s="460">
        <f>IFERROR(F11/F7,0)</f>
        <v>0.131101198170497</v>
      </c>
      <c r="G12" s="460">
        <f>IFERROR(G11/G7,0)</f>
        <v>0.11111500883626</v>
      </c>
      <c r="H12" s="460">
        <f>IFERROR(H11/H7,0)</f>
        <v>0.229028839295175</v>
      </c>
      <c r="I12" s="460">
        <f>IFERROR(I11/I7,0)</f>
        <v>0</v>
      </c>
      <c r="J12" s="460">
        <f>IFERROR(J11/J7,0)</f>
        <v>0</v>
      </c>
    </row>
    <row r="13" ht="15" customFormat="1" customHeight="1" s="381">
      <c r="A13" s="441" t="n"/>
      <c r="B13" s="441" t="n"/>
      <c r="C13" s="441" t="n"/>
      <c r="D13" s="441" t="n"/>
      <c r="E13" s="441" t="n"/>
      <c r="F13" s="441" t="n"/>
      <c r="G13" s="441" t="n"/>
      <c r="H13" s="441" t="n"/>
      <c r="I13" s="441" t="n"/>
      <c r="J13" s="441" t="n"/>
    </row>
    <row r="14" ht="15" customFormat="1" customHeight="1" s="381">
      <c r="A14" s="403" t="inlineStr">
        <is>
          <t>GC Costs</t>
        </is>
      </c>
      <c r="B14" s="393" t="n"/>
      <c r="C14" s="393" t="n"/>
      <c r="D14" s="393" t="n"/>
      <c r="E14" s="393" t="n"/>
      <c r="F14" s="393" t="n"/>
      <c r="G14" s="393" t="n"/>
      <c r="H14" s="393" t="n"/>
      <c r="I14" s="393" t="n"/>
      <c r="J14" s="393" t="n"/>
    </row>
    <row r="15" ht="15" customFormat="1" customHeight="1" s="381">
      <c r="A15" s="398" t="inlineStr">
        <is>
          <t xml:space="preserve">  GC Personnel</t>
        </is>
      </c>
      <c r="B15" s="393">
        <f>SUM(Model!B111:M112)+SUM(Model!B114:M118)</f>
        <v>-3083702.09</v>
      </c>
      <c r="C15" s="393">
        <f>SUM(Model!N111:Y112)+SUM(Model!N114:Y118)</f>
        <v>-4764277.1875</v>
      </c>
      <c r="D15" s="393">
        <f>SUM(Model!Z111:AK112)+SUM(Model!Z114:AK118)</f>
        <v>-5033667.42375</v>
      </c>
      <c r="E15" s="393">
        <f>SUM(Model!AL111:AW112)+SUM(Model!AL114:AW118)</f>
        <v>-5134340.772225</v>
      </c>
      <c r="F15" s="393">
        <f>SUM(Model!AX111:BI112)+SUM(Model!AX114:BI118)</f>
        <v>-5237027.5876695</v>
      </c>
      <c r="G15" s="393">
        <f>SUM(Model!BJ111:BU112)+SUM(Model!BJ114:BU118)</f>
        <v>-5341768.13942289</v>
      </c>
      <c r="H15" s="393">
        <f>SUM(Model!BV111:CG112)+SUM(Model!BV114:CG118)</f>
        <v>-5448603.50221135</v>
      </c>
      <c r="I15" s="393">
        <f>SUM(Model!CH111:CS112)+SUM(Model!CH114:CS118)</f>
        <v>-5557575.57225557</v>
      </c>
      <c r="J15" s="393">
        <f>SUM(Model!CT111:DE112)+SUM(Model!CT114:DE118)</f>
        <v>-4888102.6315439</v>
      </c>
    </row>
    <row r="16" ht="15" customFormat="1" customHeight="1" s="381">
      <c r="A16" s="398" t="inlineStr">
        <is>
          <t xml:space="preserve">  GC Expenses</t>
        </is>
      </c>
      <c r="B16" s="393">
        <f>SUM(Model!B119:M141)+SUM(Model!B143:M143)</f>
        <v>-1037245.16</v>
      </c>
      <c r="C16" s="393">
        <f>SUM(Model!N119:Y141)+SUM(Model!N143:Y143)</f>
        <v>-885248.4492</v>
      </c>
      <c r="D16" s="393">
        <f>SUM(Model!Z119:AK141)+SUM(Model!Z143:AK143)</f>
        <v>-772138.418184</v>
      </c>
      <c r="E16" s="393">
        <f>SUM(Model!AL119:AW141)+SUM(Model!AL143:AW143)</f>
        <v>-787581.18654768</v>
      </c>
      <c r="F16" s="393">
        <f>SUM(Model!AX119:BI141)+SUM(Model!AX143:BI143)</f>
        <v>-803332.810278634</v>
      </c>
      <c r="G16" s="393">
        <f>SUM(Model!BJ119:BU141)+SUM(Model!BJ143:BU143)</f>
        <v>-819399.466484206</v>
      </c>
      <c r="H16" s="393">
        <f>SUM(Model!BV119:CG141)+SUM(Model!BV143:CG143)</f>
        <v>-835787.45581389</v>
      </c>
      <c r="I16" s="393">
        <f>SUM(Model!CH119:CS141)+SUM(Model!CH143:CS143)</f>
        <v>-852503.204930168</v>
      </c>
      <c r="J16" s="393">
        <f>SUM(Model!CT119:DE141)+SUM(Model!CT143:DE143)</f>
        <v>-869553.269028772</v>
      </c>
    </row>
    <row r="17" ht="15" customFormat="1" customHeight="1" s="381">
      <c r="A17" s="398" t="inlineStr">
        <is>
          <t xml:space="preserve">  SP Allocated to LV</t>
        </is>
      </c>
      <c r="B17" s="393">
        <f>SUM(Model!B113:M113)</f>
        <v>-623000</v>
      </c>
      <c r="C17" s="393">
        <f>SUM(Model!N113:Y113)</f>
        <v>-1246000</v>
      </c>
      <c r="D17" s="393">
        <f>SUM(Model!Z113:AK113)</f>
        <v>-1246000</v>
      </c>
      <c r="E17" s="393">
        <f>SUM(Model!AL113:AW113)</f>
        <v>-1246000</v>
      </c>
      <c r="F17" s="393">
        <f>SUM(Model!AX113:BI113)</f>
        <v>-1246000</v>
      </c>
      <c r="G17" s="393">
        <f>SUM(Model!BJ113:BU113)</f>
        <v>-1246000</v>
      </c>
      <c r="H17" s="393">
        <f>SUM(Model!BV113:CG113)</f>
        <v>-1246000</v>
      </c>
      <c r="I17" s="393">
        <f>SUM(Model!CH113:CS113)</f>
        <v>-1246000</v>
      </c>
      <c r="J17" s="393">
        <f>SUM(Model!CT113:DE113)</f>
        <v>-1246000</v>
      </c>
    </row>
    <row r="18" ht="15" customFormat="1" customHeight="1" s="381">
      <c r="A18" s="398" t="inlineStr">
        <is>
          <t xml:space="preserve">  BD Commission</t>
        </is>
      </c>
      <c r="B18" s="393">
        <f>SUM(Model!B142:M142)</f>
        <v>0</v>
      </c>
      <c r="C18" s="393">
        <f>SUM(Model!N142:Y142)</f>
        <v>-213230.020825</v>
      </c>
      <c r="D18" s="393">
        <f>SUM(Model!Z142:AK142)</f>
        <v>-144206.5375</v>
      </c>
      <c r="E18" s="393">
        <f>SUM(Model!AL142:AW142)</f>
        <v>-360000</v>
      </c>
      <c r="F18" s="393">
        <f>SUM(Model!AX142:BI142)</f>
        <v>-360000</v>
      </c>
      <c r="G18" s="393">
        <f>SUM(Model!BJ142:BU142)</f>
        <v>0</v>
      </c>
      <c r="H18" s="393">
        <f>SUM(Model!BV142:CG142)</f>
        <v>0</v>
      </c>
      <c r="I18" s="393">
        <f>SUM(Model!CH142:CS142)</f>
        <v>0</v>
      </c>
      <c r="J18" s="393">
        <f>SUM(Model!CT142:DE142)</f>
        <v>0</v>
      </c>
    </row>
    <row r="19" ht="15" customFormat="1" customHeight="1" s="381">
      <c r="A19" s="409" t="inlineStr">
        <is>
          <t>Total GC Costs</t>
        </is>
      </c>
      <c r="B19" s="410">
        <f>SUM(Model!B144:M144)</f>
        <v>-4743947.25</v>
      </c>
      <c r="C19" s="410">
        <f>SUM(Model!N144:Y144)</f>
        <v>-7108755.657525</v>
      </c>
      <c r="D19" s="410">
        <f>SUM(Model!Z144:AK144)</f>
        <v>-7196012.379434</v>
      </c>
      <c r="E19" s="410">
        <f>SUM(Model!AL144:AW144)</f>
        <v>-7527921.95877268</v>
      </c>
      <c r="F19" s="410">
        <f>SUM(Model!AX144:BI144)</f>
        <v>-7646360.39794813</v>
      </c>
      <c r="G19" s="410">
        <f>SUM(Model!BJ144:BU144)</f>
        <v>-7407167.6059071</v>
      </c>
      <c r="H19" s="410">
        <f>SUM(Model!BV144:CG144)</f>
        <v>-7530390.95802524</v>
      </c>
      <c r="I19" s="410">
        <f>SUM(Model!CH144:CS144)</f>
        <v>-7656078.77718574</v>
      </c>
      <c r="J19" s="410">
        <f>SUM(Model!CT144:DE144)</f>
        <v>-7003655.90057267</v>
      </c>
    </row>
    <row r="20" ht="15" customFormat="1" customHeight="1" s="381">
      <c r="A20" s="409" t="inlineStr">
        <is>
          <t>GC Net Income</t>
        </is>
      </c>
      <c r="B20" s="410">
        <f>SUM(Model!B145:M145)</f>
        <v>1388112.92389965</v>
      </c>
      <c r="C20" s="410">
        <f>SUM(Model!N145:Y145)</f>
        <v>3306495.4497458</v>
      </c>
      <c r="D20" s="410">
        <f>SUM(Model!Z145:AK145)</f>
        <v>8156236.01210165</v>
      </c>
      <c r="E20" s="410">
        <f>SUM(Model!AL145:AW145)</f>
        <v>11419236.1103364</v>
      </c>
      <c r="F20" s="410">
        <f>SUM(Model!AX145:BI145)</f>
        <v>10372913.1266615</v>
      </c>
      <c r="G20" s="410">
        <f>SUM(Model!BJ145:BU145)</f>
        <v>3879488.6440929</v>
      </c>
      <c r="H20" s="410">
        <f>SUM(Model!BV145:CG145)</f>
        <v>-5598115.40802524</v>
      </c>
      <c r="I20" s="410">
        <f>SUM(Model!CH145:CS145)</f>
        <v>-7656078.77718574</v>
      </c>
      <c r="J20" s="410">
        <f>SUM(Model!CT145:DE145)</f>
        <v>-7003655.90057267</v>
      </c>
    </row>
    <row r="21" ht="15" customFormat="1" customHeight="1" s="381">
      <c r="A21" s="398" t="inlineStr">
        <is>
          <t>GC Net Profit Margin %</t>
        </is>
      </c>
      <c r="B21" s="460">
        <f>IFERROR(B20/B7,0)</f>
        <v>0.023920775526704</v>
      </c>
      <c r="C21" s="460">
        <f>IFERROR(C20/C7,0)</f>
        <v>0.0295630594824781</v>
      </c>
      <c r="D21" s="460">
        <f>IFERROR(D20/D7,0)</f>
        <v>0.0584269268721014</v>
      </c>
      <c r="E21" s="460">
        <f>IFERROR(E20/E7,0)</f>
        <v>0.0716522162349917</v>
      </c>
      <c r="F21" s="460">
        <f>IFERROR(F20/F7,0)</f>
        <v>0.0754692655931176</v>
      </c>
      <c r="G21" s="460">
        <f>IFERROR(G20/G7,0)</f>
        <v>0.0381928363388009</v>
      </c>
      <c r="H21" s="460">
        <f>IFERROR(H20/H7,0)</f>
        <v>-0.663533663270985</v>
      </c>
      <c r="I21" s="460">
        <f>IFERROR(I20/I7,0)</f>
        <v>0</v>
      </c>
      <c r="J21" s="460">
        <f>IFERROR(J20/J7,0)</f>
        <v>0</v>
      </c>
    </row>
    <row r="22" ht="15" customFormat="1" customHeight="1" s="381">
      <c r="A22" s="441" t="n"/>
      <c r="B22" s="441" t="n"/>
      <c r="C22" s="441" t="n"/>
      <c r="D22" s="441" t="n"/>
      <c r="E22" s="441" t="n"/>
      <c r="F22" s="441" t="n"/>
      <c r="G22" s="441" t="n"/>
      <c r="H22" s="441" t="n"/>
      <c r="I22" s="441" t="n"/>
      <c r="J22" s="441" t="n"/>
    </row>
    <row r="23" ht="15" customFormat="1" customHeight="1" s="381">
      <c r="A23" s="461" t="inlineStr">
        <is>
          <t>Six Peak Revenue</t>
        </is>
      </c>
      <c r="B23" s="462">
        <f>Model!E168+Model!F168+Model!G168+Model!H168+Model!I168+Model!J168+Model!K168+Model!L168+Model!M168+Model!B168+Model!C168+Model!D168</f>
        <v>803074.497142857</v>
      </c>
      <c r="C23" s="462">
        <f>Model!N168+Model!O168+Model!P168+Model!Q168+Model!R168+Model!S168+Model!T168+Model!U168+Model!V168+Model!W168+Model!X168+Model!Y168</f>
        <v>1505007.21085714</v>
      </c>
      <c r="D23" s="462">
        <f>Model!Z168+Model!AA168+Model!AB168+Model!AC168+Model!AD168+Model!AE168+Model!AF168+Model!AG168+Model!AH168+Model!AI168+Model!AJ168+Model!AK168</f>
        <v>2006922.1345</v>
      </c>
      <c r="E23" s="462">
        <f>Model!AL168+Model!AM168+Model!AN168+Model!AO168+Model!AP168+Model!AQ168+Model!AR168+Model!AS168+Model!AT168+Model!AU168+Model!AV168+Model!AW168</f>
        <v>1495059.0065</v>
      </c>
      <c r="F23" s="462">
        <f>Model!AX168+Model!AY168+Model!AZ168+Model!BA168+Model!BB168+Model!BC168+Model!BD168+Model!BE168+Model!BF168+Model!BG168+Model!BH168+Model!BI168</f>
        <v>1826812.922</v>
      </c>
      <c r="G23" s="462">
        <f>Model!BJ168+Model!BK168+Model!BL168+Model!BM168+Model!BN168+Model!BO168+Model!BP168+Model!BQ168+Model!BR168+Model!BS168+Model!BT168+Model!BU168</f>
        <v>890965.433</v>
      </c>
      <c r="H23" s="462">
        <f>Model!BV168+Model!BW168+Model!BX168+Model!BY168+Model!BZ168+Model!CA168+Model!CB168+Model!CC168+Model!CD168+Model!CE168+Model!CF168+Model!CG168</f>
        <v>819993</v>
      </c>
      <c r="I23" s="462">
        <f>Model!CH168+Model!CI168+Model!CJ168+Model!CK168+Model!CL168+Model!CM168+Model!CN168+Model!CO168+Model!CP168+Model!CQ168+Model!CR168+Model!CS168</f>
        <v>2310160</v>
      </c>
      <c r="J23" s="462">
        <f>Model!CT168+Model!CU168+Model!CV168+Model!CW168+Model!CX168+Model!CY168+Model!CZ168+Model!DA168+Model!DB168+Model!DC168+Model!DD168+Model!DE168</f>
        <v>2772192</v>
      </c>
    </row>
    <row r="24" ht="15" customFormat="1" customHeight="1" s="381">
      <c r="A24" s="398" t="inlineStr">
        <is>
          <t>Six Peak Expenses</t>
        </is>
      </c>
      <c r="B24" s="393">
        <f>Model!E199+Model!F199+Model!G199+Model!H199+Model!I199+Model!J199+Model!K199+Model!L199+Model!M199+Model!B199+Model!C199+Model!D199</f>
        <v>-1762411.08</v>
      </c>
      <c r="C24" s="393">
        <f>Model!N199+Model!O199+Model!P199+Model!Q199+Model!R199+Model!S199+Model!T199+Model!U199+Model!V199+Model!W199+Model!X199+Model!Y199</f>
        <v>-1242360.4365</v>
      </c>
      <c r="D24" s="393">
        <f>Model!Z199+Model!AA199+Model!AB199+Model!AC199+Model!AD199+Model!AE199+Model!AF199+Model!AG199+Model!AH199+Model!AI199+Model!AJ199+Model!AK199</f>
        <v>-970160.06283</v>
      </c>
      <c r="E24" s="393">
        <f>Model!AL199+Model!AM199+Model!AN199+Model!AO199+Model!AP199+Model!AQ199+Model!AR199+Model!AS199+Model!AT199+Model!AU199+Model!AV199+Model!AW199</f>
        <v>-1152928.2640866</v>
      </c>
      <c r="F24" s="393">
        <f>Model!AX199+Model!AY199+Model!AZ199+Model!BA199+Model!BB199+Model!BC199+Model!BD199+Model!BE199+Model!BF199+Model!BG199+Model!BH199+Model!BI199</f>
        <v>-2286311.52936833</v>
      </c>
      <c r="G24" s="393">
        <f>Model!BJ199+Model!BK199+Model!BL199+Model!BM199+Model!BN199+Model!BO199+Model!BP199+Model!BQ199+Model!BR199+Model!BS199+Model!BT199+Model!BU199</f>
        <v>-1455089.2699557</v>
      </c>
      <c r="H24" s="393">
        <f>Model!BV199+Model!BW199+Model!BX199+Model!BY199+Model!BZ199+Model!CA199+Model!CB199+Model!CC199+Model!CD199+Model!CE199+Model!CF199+Model!CG199</f>
        <v>-1581603.45235481</v>
      </c>
      <c r="I24" s="393">
        <f>Model!CH199+Model!CI199+Model!CJ199+Model!CK199+Model!CL199+Model!CM199+Model!CN199+Model!CO199+Model!CP199+Model!CQ199+Model!CR199+Model!CS199</f>
        <v>-1877439.07479543</v>
      </c>
      <c r="J24" s="393">
        <f>Model!CT199+Model!CU199+Model!CV199+Model!CW199+Model!CX199+Model!CY199+Model!CZ199+Model!DA199+Model!DB199+Model!DC199+Model!DD199+Model!DE199</f>
        <v>-1306224.20306012</v>
      </c>
    </row>
    <row r="25" ht="15" customFormat="1" customHeight="1" s="381">
      <c r="A25" s="416" t="inlineStr">
        <is>
          <t>Six Peak Net Income</t>
        </is>
      </c>
      <c r="B25" s="417">
        <f>Model!E200+Model!F200+Model!G200+Model!H200+Model!I200+Model!J200+Model!K200+Model!L200+Model!M200+Model!B200+Model!C200+Model!D200</f>
        <v>-959336.582857143</v>
      </c>
      <c r="C25" s="417">
        <f>Model!N200+Model!O200+Model!P200+Model!Q200+Model!R200+Model!S200+Model!T200+Model!U200+Model!V200+Model!W200+Model!X200+Model!Y200</f>
        <v>262646.774357143</v>
      </c>
      <c r="D25" s="417">
        <f>Model!Z200+Model!AA200+Model!AB200+Model!AC200+Model!AD200+Model!AE200+Model!AF200+Model!AG200+Model!AH200+Model!AI200+Model!AJ200+Model!AK200</f>
        <v>1036762.07167</v>
      </c>
      <c r="E25" s="417">
        <f>Model!AL200+Model!AM200+Model!AN200+Model!AO200+Model!AP200+Model!AQ200+Model!AR200+Model!AS200+Model!AT200+Model!AU200+Model!AV200+Model!AW200</f>
        <v>342130.7424134</v>
      </c>
      <c r="F25" s="417">
        <f>Model!AX200+Model!AY200+Model!AZ200+Model!BA200+Model!BB200+Model!BC200+Model!BD200+Model!BE200+Model!BF200+Model!BG200+Model!BH200+Model!BI200</f>
        <v>-459498.607368332</v>
      </c>
      <c r="G25" s="417">
        <f>Model!BJ200+Model!BK200+Model!BL200+Model!BM200+Model!BN200+Model!BO200+Model!BP200+Model!BQ200+Model!BR200+Model!BS200+Model!BT200+Model!BU200</f>
        <v>-564123.836955699</v>
      </c>
      <c r="H25" s="417">
        <f>Model!BV200+Model!BW200+Model!BX200+Model!BY200+Model!BZ200+Model!CA200+Model!CB200+Model!CC200+Model!CD200+Model!CE200+Model!CF200+Model!CG200</f>
        <v>-761610.452354813</v>
      </c>
      <c r="I25" s="417">
        <f>Model!CH200+Model!CI200+Model!CJ200+Model!CK200+Model!CL200+Model!CM200+Model!CN200+Model!CO200+Model!CP200+Model!CQ200+Model!CR200+Model!CS200</f>
        <v>432720.92520457</v>
      </c>
      <c r="J25" s="417">
        <f>Model!CT200+Model!CU200+Model!CV200+Model!CW200+Model!CX200+Model!CY200+Model!CZ200+Model!DA200+Model!DB200+Model!DC200+Model!DD200+Model!DE200</f>
        <v>1465967.79693988</v>
      </c>
    </row>
    <row r="26" ht="15" customFormat="1" customHeight="1" s="381">
      <c r="A26" s="383" t="n"/>
      <c r="B26" s="393" t="n"/>
      <c r="C26" s="393" t="n"/>
      <c r="D26" s="393" t="n"/>
      <c r="E26" s="393" t="n"/>
      <c r="F26" s="393" t="n"/>
      <c r="G26" s="393" t="n"/>
      <c r="H26" s="393" t="n"/>
      <c r="I26" s="463" t="n"/>
      <c r="J26" s="463" t="n"/>
    </row>
    <row r="27" ht="15" customFormat="1" customHeight="1" s="381">
      <c r="A27" s="416" t="inlineStr">
        <is>
          <t>Consolidated Net Income (Projection)</t>
        </is>
      </c>
      <c r="B27" s="417">
        <f>Model!E209+Model!F209+Model!G209+Model!H209+Model!I209+Model!J209+Model!K209+Model!L209+Model!M209+Model!B209+Model!C209+Model!D209</f>
        <v>428776.341042507</v>
      </c>
      <c r="C27" s="417">
        <f>Model!N209+Model!O209+Model!P209+Model!Q209+Model!R209+Model!S209+Model!T209+Model!U209+Model!V209+Model!W209+Model!X209+Model!Y209</f>
        <v>3569142.22410295</v>
      </c>
      <c r="D27" s="417">
        <f>Model!Z209+Model!AA209+Model!AB209+Model!AC209+Model!AD209+Model!AE209+Model!AF209+Model!AG209+Model!AH209+Model!AI209+Model!AJ209+Model!AK209</f>
        <v>9192998.08377165</v>
      </c>
      <c r="E27" s="417">
        <f>Model!AL209+Model!AM209+Model!AN209+Model!AO209+Model!AP209+Model!AQ209+Model!AR209+Model!AS209+Model!AT209+Model!AU209+Model!AV209+Model!AW209</f>
        <v>11761366.8527498</v>
      </c>
      <c r="F27" s="417">
        <f>Model!AX209+Model!AY209+Model!AZ209+Model!BA209+Model!BB209+Model!BC209+Model!BD209+Model!BE209+Model!BF209+Model!BG209+Model!BH209+Model!BI209</f>
        <v>9913414.51929314</v>
      </c>
      <c r="G27" s="417">
        <f>Model!BJ209+Model!BK209+Model!BL209+Model!BM209+Model!BN209+Model!BO209+Model!BP209+Model!BQ209+Model!BR209+Model!BS209+Model!BT209+Model!BU209</f>
        <v>3315364.8071372</v>
      </c>
      <c r="H27" s="417">
        <f>Model!BV209+Model!BW209+Model!BX209+Model!BY209+Model!BZ209+Model!CA209+Model!CB209+Model!CC209+Model!CD209+Model!CE209+Model!CF209+Model!CG209</f>
        <v>-6359725.86038005</v>
      </c>
      <c r="I27" s="417">
        <f>Model!CH209+Model!CI209+Model!CJ209+Model!CK209+Model!CL209+Model!CM209+Model!CN209+Model!CO209+Model!CP209+Model!CQ209+Model!CR209+Model!CS209</f>
        <v>-7223357.85198117</v>
      </c>
      <c r="J27" s="417">
        <f>Model!CT209+Model!CU209+Model!CV209+Model!CW209+Model!CX209+Model!CY209+Model!CZ209+Model!DA209+Model!DB209+Model!DC209+Model!DD209+Model!DE209</f>
        <v>-5537688.10363279</v>
      </c>
    </row>
    <row r="28" ht="15" customFormat="1" customHeight="1" s="381">
      <c r="A28" s="383" t="n"/>
      <c r="B28" s="393" t="n"/>
      <c r="C28" s="393" t="n"/>
      <c r="D28" s="393" t="n"/>
      <c r="E28" s="393" t="n"/>
      <c r="F28" s="393" t="n"/>
      <c r="G28" s="393" t="n"/>
      <c r="H28" s="393" t="n"/>
      <c r="I28" s="463" t="n"/>
      <c r="J28" s="463" t="n"/>
    </row>
    <row r="29" ht="15" customFormat="1" customHeight="1" s="381">
      <c r="A29" s="403" t="inlineStr">
        <is>
          <t>Steyn Group Fees</t>
        </is>
      </c>
      <c r="B29" s="414" t="n"/>
      <c r="C29" s="414" t="n"/>
      <c r="D29" s="414" t="n"/>
      <c r="E29" s="414" t="n"/>
      <c r="F29" s="414" t="n"/>
      <c r="G29" s="414" t="n"/>
      <c r="H29" s="414" t="n"/>
      <c r="I29" s="405" t="n"/>
      <c r="J29" s="405" t="n"/>
    </row>
    <row r="30" ht="15" customFormat="1" customHeight="1" s="381">
      <c r="A30" s="398" t="inlineStr">
        <is>
          <t xml:space="preserve">  Completion Guaranty Fee</t>
        </is>
      </c>
      <c r="B30" s="393">
        <f>Model!E194+Model!F194+Model!G194+Model!H194+Model!I194+Model!J194+Model!K194+Model!L194+Model!M194+Model!B194+Model!C194+Model!D194</f>
        <v>0</v>
      </c>
      <c r="C30" s="393">
        <f>Model!N194+Model!O194+Model!P194+Model!Q194+Model!R194+Model!S194+Model!T194+Model!U194+Model!V194+Model!W194+Model!X194+Model!Y194</f>
        <v>-171223.12</v>
      </c>
      <c r="D30" s="393">
        <f>Model!Z194+Model!AA194+Model!AB194+Model!AC194+Model!AD194+Model!AE194+Model!AF194+Model!AG194+Model!AH194+Model!AI194+Model!AJ194+Model!AK194</f>
        <v>0</v>
      </c>
      <c r="E30" s="393">
        <f>Model!AL194+Model!AM194+Model!AN194+Model!AO194+Model!AP194+Model!AQ194+Model!AR194+Model!AS194+Model!AT194+Model!AU194+Model!AV194+Model!AW194</f>
        <v>0</v>
      </c>
      <c r="F30" s="393">
        <f>Model!AX194+Model!AY194+Model!AZ194+Model!BA194+Model!BB194+Model!BC194+Model!BD194+Model!BE194+Model!BF194+Model!BG194+Model!BH194+Model!BI194</f>
        <v>0</v>
      </c>
      <c r="G30" s="393">
        <f>Model!BJ194+Model!BK194+Model!BL194+Model!BM194+Model!BN194+Model!BO194+Model!BP194+Model!BQ194+Model!BR194+Model!BS194+Model!BT194+Model!BU194</f>
        <v>0</v>
      </c>
      <c r="H30" s="393">
        <f>Model!BV194+Model!BW194+Model!BX194+Model!BY194+Model!BZ194+Model!CA194+Model!CB194+Model!CC194+Model!CD194+Model!CE194+Model!CF194+Model!CG194</f>
        <v>0</v>
      </c>
      <c r="I30" s="393">
        <f>Model!CH194+Model!CI194+Model!CJ194+Model!CK194+Model!CL194+Model!CM194+Model!CN194+Model!CO194+Model!CP194+Model!CQ194+Model!CR194+Model!CS194</f>
        <v>0</v>
      </c>
      <c r="J30" s="393">
        <f>Model!CT194+Model!CU194+Model!CV194+Model!CW194+Model!CX194+Model!CY194+Model!CZ194+Model!DA194+Model!DB194+Model!DC194+Model!DD194+Model!DE194</f>
        <v>0</v>
      </c>
    </row>
    <row r="31" ht="15" customFormat="1" customHeight="1" s="381">
      <c r="A31" s="398" t="inlineStr">
        <is>
          <t xml:space="preserve">  Liquidity Guarantee Fee</t>
        </is>
      </c>
      <c r="B31" s="393">
        <f>Model!E195+Model!F195+Model!G195+Model!H195+Model!I195+Model!J195+Model!K195+Model!L195+Model!M195+Model!B195+Model!C195+Model!D195</f>
        <v>0</v>
      </c>
      <c r="C31" s="393">
        <f>Model!N195+Model!O195+Model!P195+Model!Q195+Model!R195+Model!S195+Model!T195+Model!U195+Model!V195+Model!W195+Model!X195+Model!Y195</f>
        <v>-120000</v>
      </c>
      <c r="D31" s="393">
        <f>Model!Z195+Model!AA195+Model!AB195+Model!AC195+Model!AD195+Model!AE195+Model!AF195+Model!AG195+Model!AH195+Model!AI195+Model!AJ195+Model!AK195</f>
        <v>0</v>
      </c>
      <c r="E31" s="393">
        <f>Model!AL195+Model!AM195+Model!AN195+Model!AO195+Model!AP195+Model!AQ195+Model!AR195+Model!AS195+Model!AT195+Model!AU195+Model!AV195+Model!AW195</f>
        <v>0</v>
      </c>
      <c r="F31" s="393">
        <f>Model!AX195+Model!AY195+Model!AZ195+Model!BA195+Model!BB195+Model!BC195+Model!BD195+Model!BE195+Model!BF195+Model!BG195+Model!BH195+Model!BI195</f>
        <v>0</v>
      </c>
      <c r="G31" s="393">
        <f>Model!BJ195+Model!BK195+Model!BL195+Model!BM195+Model!BN195+Model!BO195+Model!BP195+Model!BQ195+Model!BR195+Model!BS195+Model!BT195+Model!BU195</f>
        <v>0</v>
      </c>
      <c r="H31" s="393">
        <f>Model!BV195+Model!BW195+Model!BX195+Model!BY195+Model!BZ195+Model!CA195+Model!CB195+Model!CC195+Model!CD195+Model!CE195+Model!CF195+Model!CG195</f>
        <v>0</v>
      </c>
      <c r="I31" s="393">
        <f>Model!CH195+Model!CI195+Model!CJ195+Model!CK195+Model!CL195+Model!CM195+Model!CN195+Model!CO195+Model!CP195+Model!CQ195+Model!CR195+Model!CS195</f>
        <v>0</v>
      </c>
      <c r="J31" s="393">
        <f>Model!CT195+Model!CU195+Model!CV195+Model!CW195+Model!CX195+Model!CY195+Model!CZ195+Model!DA195+Model!DB195+Model!DC195+Model!DD195+Model!DE195</f>
        <v>0</v>
      </c>
    </row>
    <row r="32" ht="15" customFormat="1" customHeight="1" s="381">
      <c r="A32" s="398" t="inlineStr">
        <is>
          <t xml:space="preserve">  Francis Steyn Fee + PIK (LIHTC)</t>
        </is>
      </c>
      <c r="B32" s="393">
        <f>Model!E196+Model!F196+Model!G196+Model!H196+Model!I196+Model!J196+Model!K196+Model!L196+Model!M196+Model!B196+Model!C196+Model!D196</f>
        <v>0</v>
      </c>
      <c r="C32" s="393">
        <f>Model!N196+Model!O196+Model!P196+Model!Q196+Model!R196+Model!S196+Model!T196+Model!U196+Model!V196+Model!W196+Model!X196+Model!Y196</f>
        <v>0</v>
      </c>
      <c r="D32" s="393">
        <f>Model!Z196+Model!AA196+Model!AB196+Model!AC196+Model!AD196+Model!AE196+Model!AF196+Model!AG196+Model!AH196+Model!AI196+Model!AJ196+Model!AK196</f>
        <v>0</v>
      </c>
      <c r="E32" s="393">
        <f>Model!AL196+Model!AM196+Model!AN196+Model!AO196+Model!AP196+Model!AQ196+Model!AR196+Model!AS196+Model!AT196+Model!AU196+Model!AV196+Model!AW196</f>
        <v>-163365</v>
      </c>
      <c r="F32" s="393">
        <f>Model!AX196+Model!AY196+Model!AZ196+Model!BA196+Model!BB196+Model!BC196+Model!BD196+Model!BE196+Model!BF196+Model!BG196+Model!BH196+Model!BI196</f>
        <v>-281718</v>
      </c>
      <c r="G32" s="393">
        <f>Model!BJ196+Model!BK196+Model!BL196+Model!BM196+Model!BN196+Model!BO196+Model!BP196+Model!BQ196+Model!BR196+Model!BS196+Model!BT196+Model!BU196</f>
        <v>-132864.65</v>
      </c>
      <c r="H32" s="393">
        <f>Model!BV196+Model!BW196+Model!BX196+Model!BY196+Model!BZ196+Model!CA196+Model!CB196+Model!CC196+Model!CD196+Model!CE196+Model!CF196+Model!CG196</f>
        <v>0</v>
      </c>
      <c r="I32" s="393">
        <f>Model!CH196+Model!CI196+Model!CJ196+Model!CK196+Model!CL196+Model!CM196+Model!CN196+Model!CO196+Model!CP196+Model!CQ196+Model!CR196+Model!CS196</f>
        <v>0</v>
      </c>
      <c r="J32" s="393">
        <f>Model!CT196+Model!CU196+Model!CV196+Model!CW196+Model!CX196+Model!CY196+Model!CZ196+Model!DA196+Model!DB196+Model!DC196+Model!DD196+Model!DE196</f>
        <v>0</v>
      </c>
    </row>
    <row r="33" ht="15" customFormat="1" customHeight="1" s="381">
      <c r="A33" s="398" t="inlineStr">
        <is>
          <t xml:space="preserve">  Reseda Steyn Fee + PIK (LIHTC)</t>
        </is>
      </c>
      <c r="B33" s="393">
        <f>Model!E197+Model!F197+Model!G197+Model!H197+Model!I197+Model!J197+Model!K197+Model!L197+Model!M197+Model!B197+Model!C197+Model!D197</f>
        <v>0</v>
      </c>
      <c r="C33" s="393">
        <f>Model!N197+Model!O197+Model!P197+Model!Q197+Model!R197+Model!S197+Model!T197+Model!U197+Model!V197+Model!W197+Model!X197+Model!Y197</f>
        <v>0</v>
      </c>
      <c r="D33" s="393">
        <f>Model!Z197+Model!AA197+Model!AB197+Model!AC197+Model!AD197+Model!AE197+Model!AF197+Model!AG197+Model!AH197+Model!AI197+Model!AJ197+Model!AK197</f>
        <v>0</v>
      </c>
      <c r="E33" s="393">
        <f>Model!AL197+Model!AM197+Model!AN197+Model!AO197+Model!AP197+Model!AQ197+Model!AR197+Model!AS197+Model!AT197+Model!AU197+Model!AV197+Model!AW197</f>
        <v>0</v>
      </c>
      <c r="F33" s="393">
        <f>Model!AX197+Model!AY197+Model!AZ197+Model!BA197+Model!BB197+Model!BC197+Model!BD197+Model!BE197+Model!BF197+Model!BG197+Model!BH197+Model!BI197</f>
        <v>-995239</v>
      </c>
      <c r="G33" s="393">
        <f>Model!BJ197+Model!BK197+Model!BL197+Model!BM197+Model!BN197+Model!BO197+Model!BP197+Model!BQ197+Model!BR197+Model!BS197+Model!BT197+Model!BU197</f>
        <v>-292683</v>
      </c>
      <c r="H33" s="393">
        <f>Model!BV197+Model!BW197+Model!BX197+Model!BY197+Model!BZ197+Model!CA197+Model!CB197+Model!CC197+Model!CD197+Model!CE197+Model!CF197+Model!CG197</f>
        <v>-312005</v>
      </c>
      <c r="I33" s="393">
        <f>Model!CH197+Model!CI197+Model!CJ197+Model!CK197+Model!CL197+Model!CM197+Model!CN197+Model!CO197+Model!CP197+Model!CQ197+Model!CR197+Model!CS197</f>
        <v>-74753.9733935208</v>
      </c>
      <c r="J33" s="393">
        <f>Model!CT197+Model!CU197+Model!CV197+Model!CW197+Model!CX197+Model!CY197+Model!CZ197+Model!DA197+Model!DB197+Model!DC197+Model!DD197+Model!DE197</f>
        <v>0</v>
      </c>
    </row>
    <row r="34" ht="15" customFormat="1" customHeight="1" s="381">
      <c r="A34" s="398" t="inlineStr">
        <is>
          <t xml:space="preserve">  3rd St Steyn Fee + PIK (LIHTC)</t>
        </is>
      </c>
      <c r="B34" s="393">
        <f>Model!E198+Model!F198+Model!G198+Model!H198+Model!I198+Model!J198+Model!K198+Model!L198+Model!M198+Model!B198+Model!C198+Model!D198</f>
        <v>0</v>
      </c>
      <c r="C34" s="393">
        <f>Model!N198+Model!O198+Model!P198+Model!Q198+Model!R198+Model!S198+Model!T198+Model!U198+Model!V198+Model!W198+Model!X198+Model!Y198</f>
        <v>0</v>
      </c>
      <c r="D34" s="393">
        <f>Model!Z198+Model!AA198+Model!AB198+Model!AC198+Model!AD198+Model!AE198+Model!AF198+Model!AG198+Model!AH198+Model!AI198+Model!AJ198+Model!AK198</f>
        <v>0</v>
      </c>
      <c r="E34" s="393">
        <f>Model!AL198+Model!AM198+Model!AN198+Model!AO198+Model!AP198+Model!AQ198+Model!AR198+Model!AS198+Model!AT198+Model!AU198+Model!AV198+Model!AW198</f>
        <v>0</v>
      </c>
      <c r="F34" s="393">
        <f>Model!AX198+Model!AY198+Model!AZ198+Model!BA198+Model!BB198+Model!BC198+Model!BD198+Model!BE198+Model!BF198+Model!BG198+Model!BH198+Model!BI198</f>
        <v>0</v>
      </c>
      <c r="G34" s="393">
        <f>Model!BJ198+Model!BK198+Model!BL198+Model!BM198+Model!BN198+Model!BO198+Model!BP198+Model!BQ198+Model!BR198+Model!BS198+Model!BT198+Model!BU198</f>
        <v>0</v>
      </c>
      <c r="H34" s="393">
        <f>Model!BV198+Model!BW198+Model!BX198+Model!BY198+Model!BZ198+Model!CA198+Model!CB198+Model!CC198+Model!CD198+Model!CE198+Model!CF198+Model!CG198</f>
        <v>-219466</v>
      </c>
      <c r="I34" s="393">
        <f>Model!CH198+Model!CI198+Model!CJ198+Model!CK198+Model!CL198+Model!CM198+Model!CN198+Model!CO198+Model!CP198+Model!CQ198+Model!CR198+Model!CS198</f>
        <v>-731550</v>
      </c>
      <c r="J34" s="393">
        <f>Model!CT198+Model!CU198+Model!CV198+Model!CW198+Model!CX198+Model!CY198+Model!CZ198+Model!DA198+Model!DB198+Model!DC198+Model!DD198+Model!DE198</f>
        <v>-236911.848936407</v>
      </c>
    </row>
    <row r="35" ht="15" customFormat="1" customHeight="1" s="381">
      <c r="A35" s="383" t="n"/>
      <c r="B35" s="393" t="n"/>
      <c r="C35" s="393" t="n"/>
      <c r="D35" s="393" t="n"/>
      <c r="E35" s="393" t="n"/>
      <c r="F35" s="393" t="n"/>
      <c r="G35" s="393" t="n"/>
      <c r="H35" s="393" t="n"/>
      <c r="I35" s="463" t="n"/>
      <c r="J35" s="463" t="n"/>
    </row>
    <row r="36" ht="15" customFormat="1" customHeight="1" s="381">
      <c r="A36" s="403" t="inlineStr">
        <is>
          <t>Debt Facilities</t>
        </is>
      </c>
      <c r="B36" s="414" t="n"/>
      <c r="C36" s="414" t="n"/>
      <c r="D36" s="414" t="n"/>
      <c r="E36" s="414" t="n"/>
      <c r="F36" s="414" t="n"/>
      <c r="G36" s="414" t="n"/>
      <c r="H36" s="414" t="n"/>
      <c r="I36" s="405" t="n"/>
      <c r="J36" s="405" t="n"/>
    </row>
    <row r="37" ht="15" customFormat="1" customHeight="1" s="381">
      <c r="A37" s="398" t="inlineStr">
        <is>
          <t xml:space="preserve">  Debt Facility Payment</t>
        </is>
      </c>
      <c r="B37" s="393">
        <f>Model!E217+Model!F217+Model!G217+Model!H217+Model!I217+Model!J217+Model!K217+Model!L217+Model!M217+Model!B217+Model!C217+Model!D217</f>
        <v>0</v>
      </c>
      <c r="C37" s="393">
        <f>Model!N217+Model!O217+Model!P217+Model!Q217+Model!R217+Model!S217+Model!T217+Model!U217+Model!V217+Model!W217+Model!X217+Model!Y217</f>
        <v>-1344000</v>
      </c>
      <c r="D37" s="393">
        <f>Model!Z217+Model!AA217+Model!AB217+Model!AC217+Model!AD217+Model!AE217+Model!AF217+Model!AG217+Model!AH217+Model!AI217+Model!AJ217+Model!AK217</f>
        <v>-651981.430278598</v>
      </c>
      <c r="E37" s="393">
        <f>Model!AL217+Model!AM217+Model!AN217+Model!AO217+Model!AP217+Model!AQ217+Model!AR217+Model!AS217+Model!AT217+Model!AU217+Model!AV217+Model!AW217</f>
        <v>0</v>
      </c>
      <c r="F37" s="393">
        <f>Model!AX217+Model!AY217+Model!AZ217+Model!BA217+Model!BB217+Model!BC217+Model!BD217+Model!BE217+Model!BF217+Model!BG217+Model!BH217+Model!BI217</f>
        <v>0</v>
      </c>
      <c r="G37" s="393">
        <f>Model!BJ217+Model!BK217+Model!BL217+Model!BM217+Model!BN217+Model!BO217+Model!BP217+Model!BQ217+Model!BR217+Model!BS217+Model!BT217+Model!BU217</f>
        <v>0</v>
      </c>
      <c r="H37" s="393">
        <f>Model!BV217+Model!BW217+Model!BX217+Model!BY217+Model!BZ217+Model!CA217+Model!CB217+Model!CC217+Model!CD217+Model!CE217+Model!CF217+Model!CG217</f>
        <v>0</v>
      </c>
      <c r="I37" s="393">
        <f>Model!CH217+Model!CI217+Model!CJ217+Model!CK217+Model!CL217+Model!CM217+Model!CN217+Model!CO217+Model!CP217+Model!CQ217+Model!CR217+Model!CS217</f>
        <v>0</v>
      </c>
      <c r="J37" s="393">
        <f>Model!CT217+Model!CU217+Model!CV217+Model!CW217+Model!CX217+Model!CY217+Model!CZ217+Model!DA217+Model!DB217+Model!DC217+Model!DD217+Model!DE217</f>
        <v>0</v>
      </c>
    </row>
    <row r="38" ht="15" customFormat="1" customHeight="1" s="381">
      <c r="A38" s="398" t="inlineStr">
        <is>
          <t xml:space="preserve">  Debt Facility Balance</t>
        </is>
      </c>
      <c r="B38" s="393">
        <f>Model!M218</f>
        <v>1804127.58143555</v>
      </c>
      <c r="C38" s="393">
        <f>Model!Y218</f>
        <v>633307.759294967</v>
      </c>
      <c r="D38" s="393">
        <f>Model!AK218</f>
        <v>0</v>
      </c>
      <c r="E38" s="393">
        <f>Model!AW218</f>
        <v>0</v>
      </c>
      <c r="F38" s="393">
        <f>Model!BI218</f>
        <v>0</v>
      </c>
      <c r="G38" s="393">
        <f>Model!BU218</f>
        <v>0</v>
      </c>
      <c r="H38" s="393">
        <f>Model!CG218</f>
        <v>0</v>
      </c>
      <c r="I38" s="393">
        <f>Model!CS218</f>
        <v>0</v>
      </c>
      <c r="J38" s="393">
        <f>Model!DE218</f>
        <v>0</v>
      </c>
    </row>
    <row r="39" ht="15" customFormat="1" customHeight="1" s="381">
      <c r="A39" s="398" t="inlineStr">
        <is>
          <t xml:space="preserve">  Row Run Capital Payment</t>
        </is>
      </c>
      <c r="B39" s="393">
        <f>Model!E223+Model!F223+Model!G223+Model!H223+Model!I223+Model!J223+Model!K223+Model!L223+Model!M223+Model!B223+Model!C223+Model!D223</f>
        <v>0</v>
      </c>
      <c r="C39" s="393">
        <f>Model!N223+Model!O223+Model!P223+Model!Q223+Model!R223+Model!S223+Model!T223+Model!U223+Model!V223+Model!W223+Model!X223+Model!Y223</f>
        <v>0</v>
      </c>
      <c r="D39" s="393">
        <f>Model!Z223+Model!AA223+Model!AB223+Model!AC223+Model!AD223+Model!AE223+Model!AF223+Model!AG223+Model!AH223+Model!AI223+Model!AJ223+Model!AK223</f>
        <v>-250000</v>
      </c>
      <c r="E39" s="393">
        <f>Model!AL223+Model!AM223+Model!AN223+Model!AO223+Model!AP223+Model!AQ223+Model!AR223+Model!AS223+Model!AT223+Model!AU223+Model!AV223+Model!AW223</f>
        <v>-250000</v>
      </c>
      <c r="F39" s="393">
        <f>Model!AX223+Model!AY223+Model!AZ223+Model!BA223+Model!BB223+Model!BC223+Model!BD223+Model!BE223+Model!BF223+Model!BG223+Model!BH223+Model!BI223</f>
        <v>-250000</v>
      </c>
      <c r="G39" s="393">
        <f>Model!BJ223+Model!BK223+Model!BL223+Model!BM223+Model!BN223+Model!BO223+Model!BP223+Model!BQ223+Model!BR223+Model!BS223+Model!BT223+Model!BU223</f>
        <v>-250000</v>
      </c>
      <c r="H39" s="393">
        <f>Model!BV223+Model!BW223+Model!BX223+Model!BY223+Model!BZ223+Model!CA223+Model!CB223+Model!CC223+Model!CD223+Model!CE223+Model!CF223+Model!CG223</f>
        <v>0</v>
      </c>
      <c r="I39" s="393">
        <f>Model!CH223+Model!CI223+Model!CJ223+Model!CK223+Model!CL223+Model!CM223+Model!CN223+Model!CO223+Model!CP223+Model!CQ223+Model!CR223+Model!CS223</f>
        <v>0</v>
      </c>
      <c r="J39" s="393">
        <f>Model!CT223+Model!CU223+Model!CV223+Model!CW223+Model!CX223+Model!CY223+Model!CZ223+Model!DA223+Model!DB223+Model!DC223+Model!DD223+Model!DE223</f>
        <v>0</v>
      </c>
    </row>
    <row r="40" ht="15" customFormat="1" customHeight="1" s="381">
      <c r="A40" s="398" t="inlineStr">
        <is>
          <t xml:space="preserve">  Row Run Capital Balance</t>
        </is>
      </c>
      <c r="B40" s="393">
        <f>Model!M224</f>
        <v>1000000</v>
      </c>
      <c r="C40" s="393">
        <f>Model!Y224</f>
        <v>1000000</v>
      </c>
      <c r="D40" s="393">
        <f>Model!AK224</f>
        <v>750000</v>
      </c>
      <c r="E40" s="393">
        <f>Model!AW224</f>
        <v>500000</v>
      </c>
      <c r="F40" s="393">
        <f>Model!BI224</f>
        <v>250000</v>
      </c>
      <c r="G40" s="393">
        <f>Model!BU224</f>
        <v>0</v>
      </c>
      <c r="H40" s="393">
        <f>Model!CG224</f>
        <v>0</v>
      </c>
      <c r="I40" s="393">
        <f>Model!CS224</f>
        <v>0</v>
      </c>
      <c r="J40" s="393">
        <f>Model!DE224</f>
        <v>0</v>
      </c>
    </row>
    <row r="41" ht="15" customFormat="1" customHeight="1" s="381">
      <c r="A41" s="398" t="inlineStr">
        <is>
          <t xml:space="preserve">  PIK Repayment (in Steyn + PIK above)</t>
        </is>
      </c>
      <c r="B41" s="393">
        <f>Model!E277+Model!F277+Model!G277+Model!H277+Model!I277+Model!J277+Model!K277+Model!L277+Model!M277+Model!B277+Model!C277+Model!D277</f>
        <v>0</v>
      </c>
      <c r="C41" s="393">
        <f>Model!N277+Model!O277+Model!P277+Model!Q277+Model!R277+Model!S277+Model!T277+Model!U277+Model!V277+Model!W277+Model!X277+Model!Y277</f>
        <v>0</v>
      </c>
      <c r="D41" s="393">
        <f>Model!Z277+Model!AA277+Model!AB277+Model!AC277+Model!AD277+Model!AE277+Model!AF277+Model!AG277+Model!AH277+Model!AI277+Model!AJ277+Model!AK277</f>
        <v>0</v>
      </c>
      <c r="E41" s="393">
        <f>Model!AL277+Model!AM277+Model!AN277+Model!AO277+Model!AP277+Model!AQ277+Model!AR277+Model!AS277+Model!AT277+Model!AU277+Model!AV277+Model!AW277</f>
        <v>0</v>
      </c>
      <c r="F41" s="393">
        <f>Model!AX277+Model!AY277+Model!AZ277+Model!BA277+Model!BB277+Model!BC277+Model!BD277+Model!BE277+Model!BF277+Model!BG277+Model!BH277+Model!BI277</f>
        <v>0</v>
      </c>
      <c r="G41" s="393">
        <f>Model!BJ277+Model!BK277+Model!BL277+Model!BM277+Model!BN277+Model!BO277+Model!BP277+Model!BQ277+Model!BR277+Model!BS277+Model!BT277+Model!BU277</f>
        <v>0</v>
      </c>
      <c r="H41" s="393">
        <f>Model!BV277+Model!BW277+Model!BX277+Model!BY277+Model!BZ277+Model!CA277+Model!CB277+Model!CC277+Model!CD277+Model!CE277+Model!CF277+Model!CG277</f>
        <v>0</v>
      </c>
      <c r="I41" s="393">
        <f>Model!CH277+Model!CI277+Model!CJ277+Model!CK277+Model!CL277+Model!CM277+Model!CN277+Model!CO277+Model!CP277+Model!CQ277+Model!CR277+Model!CS277</f>
        <v>0</v>
      </c>
      <c r="J41" s="393">
        <f>Model!CT277+Model!CU277+Model!CV277+Model!CW277+Model!CX277+Model!CY277+Model!CZ277+Model!DA277+Model!DB277+Model!DC277+Model!DD277+Model!DE277</f>
        <v>0</v>
      </c>
    </row>
    <row r="42" ht="15" customFormat="1" customHeight="1" s="381">
      <c r="A42" s="398" t="inlineStr">
        <is>
          <t xml:space="preserve">  Investment Capital Outstanding</t>
        </is>
      </c>
      <c r="B42" s="393">
        <f>Model!M231+Model!M236+Model!M241+Model!M246</f>
        <v>2378399.92018311</v>
      </c>
      <c r="C42" s="393">
        <f>Model!Y231+Model!Y236+Model!Y241+Model!Y246</f>
        <v>1714451.09866009</v>
      </c>
      <c r="D42" s="393">
        <f>Model!AK231+Model!AK236+Model!AK241+Model!AK246</f>
        <v>1035128.51554915</v>
      </c>
      <c r="E42" s="393">
        <f>Model!AW231+Model!AW236+Model!AW241+Model!AW246</f>
        <v>1199352.08415979</v>
      </c>
      <c r="F42" s="393">
        <f>Model!BI231+Model!BI236+Model!BI241+Model!BI246</f>
        <v>975331.495449082</v>
      </c>
      <c r="G42" s="393">
        <f>Model!BU231+Model!BU236+Model!BU241+Model!BU246</f>
        <v>820735.28594806</v>
      </c>
      <c r="H42" s="393">
        <f>Model!CG231+Model!CG236+Model!CG241+Model!CG246</f>
        <v>621470.381107174</v>
      </c>
      <c r="I42" s="393">
        <f>Model!CS231+Model!CS236+Model!CS241+Model!CS246</f>
        <v>233637.0833122</v>
      </c>
      <c r="J42" s="393">
        <f>Model!DE231+Model!DE236+Model!DE241+Model!DE246</f>
        <v>0</v>
      </c>
    </row>
    <row r="43" ht="15" customFormat="1" customHeight="1" s="381">
      <c r="A43" s="383" t="n"/>
      <c r="B43" s="393" t="n"/>
      <c r="C43" s="393" t="n"/>
      <c r="D43" s="393" t="n"/>
      <c r="E43" s="393" t="n"/>
      <c r="F43" s="393" t="n"/>
      <c r="G43" s="393" t="n"/>
      <c r="H43" s="393" t="n"/>
      <c r="I43" s="463" t="n"/>
      <c r="J43" s="463" t="n"/>
    </row>
    <row r="44" ht="15" customFormat="1" customHeight="1" s="381">
      <c r="A44" s="398" t="inlineStr">
        <is>
          <t>Bonding Outstanding</t>
        </is>
      </c>
      <c r="B44" s="393">
        <f>Model!M257</f>
        <v>87859272.6014299</v>
      </c>
      <c r="C44" s="393">
        <f>Model!Y257</f>
        <v>87461656.1828859</v>
      </c>
      <c r="D44" s="393">
        <f>Model!AK257</f>
        <v>47780701.5977726</v>
      </c>
      <c r="E44" s="393">
        <f>Model!AW257</f>
        <v>13258584.501624</v>
      </c>
      <c r="F44" s="393">
        <f>Model!BI257</f>
        <v>0</v>
      </c>
      <c r="G44" s="393">
        <f>Model!BU257</f>
        <v>0</v>
      </c>
      <c r="H44" s="393">
        <f>Model!CG257</f>
        <v>0</v>
      </c>
      <c r="I44" s="393">
        <f>Model!CS257</f>
        <v>0</v>
      </c>
      <c r="J44" s="393">
        <f>Model!DE257</f>
        <v>0</v>
      </c>
    </row>
    <row r="45" ht="15" customFormat="1" customHeight="1" s="381">
      <c r="A45" s="383" t="n"/>
      <c r="B45" s="393" t="n"/>
      <c r="C45" s="393" t="n"/>
      <c r="D45" s="393" t="n"/>
      <c r="E45" s="393" t="n"/>
      <c r="F45" s="393" t="n"/>
      <c r="G45" s="393" t="n"/>
      <c r="H45" s="393" t="n"/>
      <c r="I45" s="463" t="n"/>
      <c r="J45" s="463" t="n"/>
    </row>
    <row r="46" ht="15" customFormat="1" customHeight="1" s="381">
      <c r="A46" s="464" t="inlineStr">
        <is>
          <t>LV Ending Cash</t>
        </is>
      </c>
      <c r="B46" s="465">
        <f>Model!M270</f>
        <v>1235395.10925242</v>
      </c>
      <c r="C46" s="465">
        <f>Model!Y270</f>
        <v>3853917.42029884</v>
      </c>
      <c r="D46" s="465">
        <f>Model!AK270</f>
        <v>11411916.6643854</v>
      </c>
      <c r="E46" s="465">
        <f>Model!AW270</f>
        <v>22958947.3494611</v>
      </c>
      <c r="F46" s="465">
        <f>Model!BI270</f>
        <v>33921011.7158162</v>
      </c>
      <c r="G46" s="465">
        <f>Model!BU270</f>
        <v>38391921.1474092</v>
      </c>
      <c r="H46" s="465">
        <f>Model!CG270</f>
        <v>33852945.5618839</v>
      </c>
      <c r="I46" s="465">
        <f>Model!CS270</f>
        <v>26196866.7846982</v>
      </c>
      <c r="J46" s="465">
        <f>Model!DE270</f>
        <v>19193210.8841255</v>
      </c>
    </row>
    <row r="47" ht="15" customFormat="1" customHeight="1" s="381">
      <c r="A47" s="464" t="inlineStr">
        <is>
          <t>SP Ending Cash</t>
        </is>
      </c>
      <c r="B47" s="465">
        <f>Model!M278</f>
        <v>-3785.53285714291</v>
      </c>
      <c r="C47" s="465">
        <f>Model!Y278</f>
        <v>-1085138.7585</v>
      </c>
      <c r="D47" s="465">
        <f>Model!AK278</f>
        <v>-950358.117108598</v>
      </c>
      <c r="E47" s="465">
        <f>Model!AW278</f>
        <v>-858227.374695198</v>
      </c>
      <c r="F47" s="465">
        <f>Model!BI278</f>
        <v>-1567725.98206353</v>
      </c>
      <c r="G47" s="465">
        <f>Model!BU278</f>
        <v>-2381849.81901923</v>
      </c>
      <c r="H47" s="465">
        <f>Model!CG278</f>
        <v>-3143460.27137404</v>
      </c>
      <c r="I47" s="465">
        <f>Model!CS278</f>
        <v>-2710739.34616947</v>
      </c>
      <c r="J47" s="465">
        <f>Model!DE278</f>
        <v>-1244771.54922959</v>
      </c>
    </row>
    <row r="48" ht="15" customFormat="1" customHeight="1" s="381">
      <c r="A48" s="464" t="inlineStr">
        <is>
          <t>Tax Distribution (50.3% Consol NI)</t>
        </is>
      </c>
      <c r="B48" s="465">
        <f>Model!E282+Model!F282+Model!G282+Model!H282+Model!I282+Model!J282+Model!K282+Model!L282+Model!M282+Model!B282+Model!C282+Model!D282</f>
        <v>0</v>
      </c>
      <c r="C48" s="465">
        <f>Model!N282+Model!O282+Model!P282+Model!Q282+Model!R282+Model!S282+Model!T282+Model!U282+Model!V282+Model!W282+Model!X282+Model!Y282</f>
        <v>-215674.499544381</v>
      </c>
      <c r="D48" s="465">
        <f>Model!Z282+Model!AA282+Model!AB282+Model!AC282+Model!AD282+Model!AE282+Model!AF282+Model!AG282+Model!AH282+Model!AI282+Model!AJ282+Model!AK282</f>
        <v>-1795278.53872378</v>
      </c>
      <c r="E48" s="465">
        <f>Model!AL282+Model!AM282+Model!AN282+Model!AO282+Model!AP282+Model!AQ282+Model!AR282+Model!AS282+Model!AT282+Model!AU282+Model!AV282+Model!AW282</f>
        <v>-4624078.03613714</v>
      </c>
      <c r="F48" s="465">
        <f>Model!AX282+Model!AY282+Model!AZ282+Model!BA282+Model!BB282+Model!BC282+Model!BD282+Model!BE282+Model!BF282+Model!BG282+Model!BH282+Model!BI282</f>
        <v>-5915967.52693312</v>
      </c>
      <c r="G48" s="465">
        <f>Model!BJ282+Model!BK282+Model!BL282+Model!BM282+Model!BN282+Model!BO282+Model!BP282+Model!BQ282+Model!BR282+Model!BS282+Model!BT282+Model!BU282</f>
        <v>-4986447.50320445</v>
      </c>
      <c r="H48" s="465">
        <f>Model!BV282+Model!BW282+Model!BX282+Model!BY282+Model!BZ282+Model!CA282+Model!CB282+Model!CC282+Model!CD282+Model!CE282+Model!CF282+Model!CG282</f>
        <v>-1667628.49799001</v>
      </c>
      <c r="I48" s="465">
        <f>Model!CH282+Model!CI282+Model!CJ282+Model!CK282+Model!CL282+Model!CM282+Model!CN282+Model!CO282+Model!CP282+Model!CQ282+Model!CR282+Model!CS282</f>
        <v>0</v>
      </c>
      <c r="J48" s="465">
        <f>Model!CT282+Model!CU282+Model!CV282+Model!CW282+Model!CX282+Model!CY282+Model!CZ282+Model!DA282+Model!DB282+Model!DC282+Model!DD282+Model!DE282</f>
        <v>0</v>
      </c>
    </row>
    <row r="49" ht="15" customFormat="1" customHeight="1" s="381">
      <c r="A49" s="407" t="inlineStr">
        <is>
          <t>Total Ending Cash (net of Tax Distributions)</t>
        </is>
      </c>
      <c r="B49" s="466">
        <f>Model!M283</f>
        <v>1231609.57639528</v>
      </c>
      <c r="C49" s="466">
        <f>Model!Y283</f>
        <v>2768778.66179884</v>
      </c>
      <c r="D49" s="466">
        <f>Model!AK283</f>
        <v>10461558.5472768</v>
      </c>
      <c r="E49" s="466">
        <f>Model!AW283</f>
        <v>22100719.9747659</v>
      </c>
      <c r="F49" s="466">
        <f>Model!BI283</f>
        <v>32353285.7337527</v>
      </c>
      <c r="G49" s="466">
        <f>Model!BU283</f>
        <v>36010071.3283899</v>
      </c>
      <c r="H49" s="466">
        <f>Model!CG283</f>
        <v>30709485.2905099</v>
      </c>
      <c r="I49" s="466">
        <f>Model!CS283</f>
        <v>23486127.4385287</v>
      </c>
      <c r="J49" s="466">
        <f>Model!DE283</f>
        <v>17948439.3348959</v>
      </c>
    </row>
    <row r="1048575" ht="12.75" customHeight="1" s="467"/>
    <row r="1048576" ht="12.75" customHeight="1" s="467"/>
  </sheetData>
  <mergeCells count="1">
    <mergeCell ref="A1:E1"/>
  </mergeCells>
  <conditionalFormatting sqref="B3:J48">
    <cfRule type="cellIs" rank="0" priority="2" equalAverage="0" operator="lessThan" aboveAverage="0" dxfId="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K4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baseColWidth="8" defaultColWidth="8.71875" defaultRowHeight="15" zeroHeight="0" outlineLevelRow="0"/>
  <cols>
    <col width="38" customWidth="1" style="381" min="1" max="1"/>
    <col width="13" customWidth="1" style="381" min="2" max="37"/>
  </cols>
  <sheetData>
    <row r="1" ht="17.25" customFormat="1" customHeight="1" s="381">
      <c r="A1" s="382" t="inlineStr">
        <is>
          <t>Six Peak Capital - QTR Summary</t>
        </is>
      </c>
      <c r="F1" s="383" t="n"/>
      <c r="G1" s="383" t="n"/>
      <c r="H1" s="383" t="n"/>
      <c r="I1" s="383" t="n"/>
      <c r="J1" s="383" t="n"/>
      <c r="K1" s="383" t="n"/>
      <c r="L1" s="383" t="n"/>
      <c r="M1" s="383" t="n"/>
      <c r="N1" s="383" t="n"/>
      <c r="O1" s="383" t="n"/>
      <c r="P1" s="383" t="n"/>
      <c r="Q1" s="383" t="n"/>
      <c r="R1" s="383" t="n"/>
      <c r="S1" s="383" t="n"/>
      <c r="T1" s="383" t="n"/>
      <c r="U1" s="383" t="n"/>
      <c r="V1" s="383" t="n"/>
      <c r="W1" s="383" t="n"/>
      <c r="X1" s="383" t="n"/>
      <c r="Y1" s="383" t="n"/>
      <c r="Z1" s="383" t="n"/>
      <c r="AA1" s="383" t="n"/>
      <c r="AB1" s="383" t="n"/>
      <c r="AC1" s="383" t="n"/>
      <c r="AD1" s="383" t="n"/>
    </row>
    <row r="2" ht="15" customFormat="1" customHeight="1" s="381">
      <c r="A2" s="396" t="inlineStr">
        <is>
          <t>GC CONSTRUCTION P&amp;L</t>
        </is>
      </c>
      <c r="B2" s="468" t="inlineStr">
        <is>
          <t>Q1 2026</t>
        </is>
      </c>
      <c r="C2" s="469" t="inlineStr">
        <is>
          <t>Q2 2026</t>
        </is>
      </c>
      <c r="D2" s="469" t="inlineStr">
        <is>
          <t>Q3 2026</t>
        </is>
      </c>
      <c r="E2" s="469" t="inlineStr">
        <is>
          <t>Q4 2026</t>
        </is>
      </c>
      <c r="F2" s="469" t="inlineStr">
        <is>
          <t>Q1 2027</t>
        </is>
      </c>
      <c r="G2" s="469" t="inlineStr">
        <is>
          <t>Q2 2027</t>
        </is>
      </c>
      <c r="H2" s="469" t="inlineStr">
        <is>
          <t>Q3 2027</t>
        </is>
      </c>
      <c r="I2" s="469" t="inlineStr">
        <is>
          <t>Q4 2027</t>
        </is>
      </c>
      <c r="J2" s="469" t="inlineStr">
        <is>
          <t>Q1 2028</t>
        </is>
      </c>
      <c r="K2" s="469" t="inlineStr">
        <is>
          <t>Q2 2028</t>
        </is>
      </c>
      <c r="L2" s="469" t="inlineStr">
        <is>
          <t>Q3 2028</t>
        </is>
      </c>
      <c r="M2" s="469" t="inlineStr">
        <is>
          <t>Q4 2028</t>
        </is>
      </c>
      <c r="N2" s="469" t="inlineStr">
        <is>
          <t>Q1 2029</t>
        </is>
      </c>
      <c r="O2" s="469" t="inlineStr">
        <is>
          <t>Q2 2029</t>
        </is>
      </c>
      <c r="P2" s="469" t="inlineStr">
        <is>
          <t>Q3 2029</t>
        </is>
      </c>
      <c r="Q2" s="469" t="inlineStr">
        <is>
          <t>Q4 2029</t>
        </is>
      </c>
      <c r="R2" s="469" t="inlineStr">
        <is>
          <t>Q1 2030</t>
        </is>
      </c>
      <c r="S2" s="469" t="inlineStr">
        <is>
          <t>Q2 2030</t>
        </is>
      </c>
      <c r="T2" s="469" t="inlineStr">
        <is>
          <t>Q3 2030</t>
        </is>
      </c>
      <c r="U2" s="469" t="inlineStr">
        <is>
          <t>Q4 2030</t>
        </is>
      </c>
      <c r="V2" s="469" t="inlineStr">
        <is>
          <t>Q1 2031</t>
        </is>
      </c>
      <c r="W2" s="469" t="inlineStr">
        <is>
          <t>Q2 2031</t>
        </is>
      </c>
      <c r="X2" s="469" t="inlineStr">
        <is>
          <t>Q3 2031</t>
        </is>
      </c>
      <c r="Y2" s="469" t="inlineStr">
        <is>
          <t>Q4 2031</t>
        </is>
      </c>
      <c r="Z2" s="469" t="inlineStr">
        <is>
          <t>Q1 2032</t>
        </is>
      </c>
      <c r="AA2" s="469" t="inlineStr">
        <is>
          <t>Q2 2032</t>
        </is>
      </c>
      <c r="AB2" s="469" t="inlineStr">
        <is>
          <t>Q3 2032</t>
        </is>
      </c>
      <c r="AC2" s="469" t="inlineStr">
        <is>
          <t>Q4 2032</t>
        </is>
      </c>
      <c r="AD2" s="469" t="inlineStr">
        <is>
          <t>Q1 2033</t>
        </is>
      </c>
      <c r="AE2" s="469" t="inlineStr">
        <is>
          <t>Q2 2033</t>
        </is>
      </c>
      <c r="AF2" s="469" t="inlineStr">
        <is>
          <t>Q3 2033</t>
        </is>
      </c>
      <c r="AG2" s="469" t="inlineStr">
        <is>
          <t>Q4 2033</t>
        </is>
      </c>
      <c r="AH2" s="469" t="inlineStr">
        <is>
          <t>Q1 2034</t>
        </is>
      </c>
      <c r="AI2" s="469" t="inlineStr">
        <is>
          <t>Q2 2034</t>
        </is>
      </c>
      <c r="AJ2" s="469" t="inlineStr">
        <is>
          <t>Q3 2034</t>
        </is>
      </c>
      <c r="AK2" s="469" t="inlineStr">
        <is>
          <t>Q4 2034</t>
        </is>
      </c>
    </row>
    <row r="3" ht="15" customFormat="1" customHeight="1" s="381">
      <c r="A3" s="441" t="n"/>
      <c r="B3" s="441" t="n"/>
      <c r="C3" s="441" t="n"/>
      <c r="D3" s="441" t="n"/>
      <c r="E3" s="441" t="n"/>
      <c r="F3" s="441" t="n"/>
      <c r="G3" s="441" t="n"/>
      <c r="H3" s="441" t="n"/>
      <c r="I3" s="441" t="n"/>
      <c r="J3" s="441" t="n"/>
      <c r="K3" s="441" t="n"/>
      <c r="L3" s="441" t="n"/>
      <c r="M3" s="441" t="n"/>
      <c r="N3" s="441" t="n"/>
      <c r="O3" s="441" t="n"/>
      <c r="P3" s="441" t="n"/>
      <c r="Q3" s="441" t="n"/>
      <c r="R3" s="441" t="n"/>
      <c r="S3" s="441" t="n"/>
      <c r="T3" s="441" t="n"/>
      <c r="U3" s="441" t="n"/>
      <c r="V3" s="441" t="n"/>
      <c r="W3" s="441" t="n"/>
      <c r="X3" s="441" t="n"/>
      <c r="Y3" s="441" t="n"/>
      <c r="Z3" s="441" t="n"/>
      <c r="AA3" s="441" t="n"/>
      <c r="AB3" s="441" t="n"/>
      <c r="AC3" s="441" t="n"/>
      <c r="AD3" s="441" t="n"/>
      <c r="AE3" s="441" t="n"/>
      <c r="AF3" s="441" t="n"/>
      <c r="AG3" s="441" t="n"/>
      <c r="AH3" s="441" t="n"/>
      <c r="AI3" s="441" t="n"/>
      <c r="AJ3" s="441" t="n"/>
      <c r="AK3" s="441" t="n"/>
    </row>
    <row r="4" ht="15" customFormat="1" customHeight="1" s="381">
      <c r="A4" s="398" t="inlineStr">
        <is>
          <t xml:space="preserve">  Other GC Income</t>
        </is>
      </c>
      <c r="B4" s="393">
        <f>SUM(Model!B10:D10)</f>
        <v>474538.45</v>
      </c>
      <c r="C4" s="393">
        <f>SUM(Model!E10:G10)</f>
        <v>854579.17</v>
      </c>
      <c r="D4" s="393">
        <f>SUM(Model!H10:J10)</f>
        <v>1231864.04913256</v>
      </c>
      <c r="E4" s="393">
        <f>SUM(Model!K10:M10)</f>
        <v>1384649.99957002</v>
      </c>
      <c r="F4" s="393">
        <f>SUM(Model!N10:P10)</f>
        <v>1551235.06078649</v>
      </c>
      <c r="G4" s="393">
        <f>SUM(Model!Q10:S10)</f>
        <v>1709784.0523169</v>
      </c>
      <c r="H4" s="393">
        <f>SUM(Model!T10:V10)</f>
        <v>1829008.91438647</v>
      </c>
      <c r="I4" s="393">
        <f>SUM(Model!W10:Y10)</f>
        <v>1916764.10062363</v>
      </c>
      <c r="J4" s="393">
        <f>SUM(Model!Z10:AB10)</f>
        <v>2041975.44792929</v>
      </c>
      <c r="K4" s="393">
        <f>SUM(Model!AC10:AE10)</f>
        <v>2121811.83485927</v>
      </c>
      <c r="L4" s="393">
        <f>SUM(Model!AF10:AH10)</f>
        <v>2376596.57030232</v>
      </c>
      <c r="M4" s="393">
        <f>SUM(Model!AI10:AK10)</f>
        <v>2645894.90938634</v>
      </c>
      <c r="N4" s="393">
        <f>SUM(Model!AL10:AN10)</f>
        <v>2570246.45458285</v>
      </c>
      <c r="O4" s="393">
        <f>SUM(Model!AO10:AQ10)</f>
        <v>2617712.34976087</v>
      </c>
      <c r="P4" s="393">
        <f>SUM(Model!AR10:AT10)</f>
        <v>2844735.84976087</v>
      </c>
      <c r="Q4" s="393">
        <f>SUM(Model!AU10:AW10)</f>
        <v>2794275.29684154</v>
      </c>
      <c r="R4" s="393">
        <f>SUM(Model!AX10:AZ10)</f>
        <v>2550828.4813018</v>
      </c>
      <c r="S4" s="393">
        <f>SUM(Model!BA10:BC10)</f>
        <v>2561147.7313018</v>
      </c>
      <c r="T4" s="393">
        <f>SUM(Model!BD10:BF10)</f>
        <v>2592105.4813018</v>
      </c>
      <c r="U4" s="393">
        <f>SUM(Model!BG10:BI10)</f>
        <v>2592667.41628987</v>
      </c>
      <c r="V4" s="393">
        <f>SUM(Model!BJ10:BL10)</f>
        <v>1826507.25</v>
      </c>
      <c r="W4" s="393">
        <f>SUM(Model!BM10:BO10)</f>
        <v>1764591.75</v>
      </c>
      <c r="X4" s="393">
        <f>SUM(Model!BP10:BR10)</f>
        <v>1537568.25</v>
      </c>
      <c r="Y4" s="393">
        <f>SUM(Model!BS10:BU10)</f>
        <v>1320864</v>
      </c>
      <c r="Z4" s="393">
        <f>SUM(Model!BV10:BX10)</f>
        <v>825540</v>
      </c>
      <c r="AA4" s="393">
        <f>SUM(Model!BY10:CA10)</f>
        <v>278619.75</v>
      </c>
      <c r="AB4" s="393">
        <f>SUM(Model!CB10:CD10)</f>
        <v>0</v>
      </c>
      <c r="AC4" s="393">
        <f>SUM(Model!CE10:CG10)</f>
        <v>0</v>
      </c>
      <c r="AD4" s="393">
        <f>SUM(Model!CH10:CJ10)</f>
        <v>0</v>
      </c>
      <c r="AE4" s="393">
        <f>SUM(Model!CK10:CM10)</f>
        <v>0</v>
      </c>
      <c r="AF4" s="393">
        <f>SUM(Model!CN10:CP10)</f>
        <v>0</v>
      </c>
      <c r="AG4" s="393">
        <f>SUM(Model!CQ10:CS10)</f>
        <v>0</v>
      </c>
      <c r="AH4" s="393">
        <f>SUM(Model!CT10:CV10)</f>
        <v>0</v>
      </c>
      <c r="AI4" s="393">
        <f>SUM(Model!CW10:CY10)</f>
        <v>0</v>
      </c>
      <c r="AJ4" s="393">
        <f>SUM(Model!CZ10:DB10)</f>
        <v>0</v>
      </c>
      <c r="AK4" s="393">
        <f>SUM(Model!DC10:DE10)</f>
        <v>0</v>
      </c>
    </row>
    <row r="5" ht="15" customFormat="1" customHeight="1" s="381">
      <c r="A5" s="398" t="inlineStr">
        <is>
          <t xml:space="preserve">  GC Fee Income</t>
        </is>
      </c>
      <c r="B5" s="393">
        <f>SUM(Model!B11:D11)</f>
        <v>319091.99</v>
      </c>
      <c r="C5" s="393">
        <f>SUM(Model!E11:G11)</f>
        <v>669542.47</v>
      </c>
      <c r="D5" s="393">
        <f>SUM(Model!H11:J11)</f>
        <v>991661.200928096</v>
      </c>
      <c r="E5" s="393">
        <f>SUM(Model!K11:M11)</f>
        <v>1105638.33876322</v>
      </c>
      <c r="F5" s="393">
        <f>SUM(Model!N11:P11)</f>
        <v>1218074.95035361</v>
      </c>
      <c r="G5" s="393">
        <f>SUM(Model!Q11:S11)</f>
        <v>1322416.06605417</v>
      </c>
      <c r="H5" s="393">
        <f>SUM(Model!T11:V11)</f>
        <v>1385859.53287141</v>
      </c>
      <c r="I5" s="393">
        <f>SUM(Model!W11:Y11)</f>
        <v>1440153.22869201</v>
      </c>
      <c r="J5" s="393">
        <f>SUM(Model!Z11:AB11)</f>
        <v>1531474.16543877</v>
      </c>
      <c r="K5" s="393">
        <f>SUM(Model!AC11:AE11)</f>
        <v>1591351.16551201</v>
      </c>
      <c r="L5" s="393">
        <f>SUM(Model!AF11:AH11)</f>
        <v>1782438.79121039</v>
      </c>
      <c r="M5" s="393">
        <f>SUM(Model!AI11:AK11)</f>
        <v>1984411.56689727</v>
      </c>
      <c r="N5" s="393">
        <f>SUM(Model!AL11:AN11)</f>
        <v>1927675.5007</v>
      </c>
      <c r="O5" s="393">
        <f>SUM(Model!AO11:AQ11)</f>
        <v>1963274.74959316</v>
      </c>
      <c r="P5" s="393">
        <f>SUM(Model!AR11:AT11)</f>
        <v>2133541.54959316</v>
      </c>
      <c r="Q5" s="393">
        <f>SUM(Model!AU11:AW11)</f>
        <v>2095696.31827657</v>
      </c>
      <c r="R5" s="393">
        <f>SUM(Model!AX11:AZ11)</f>
        <v>1913112.09130384</v>
      </c>
      <c r="S5" s="393">
        <f>SUM(Model!BA11:BC11)</f>
        <v>1920851.49130384</v>
      </c>
      <c r="T5" s="393">
        <f>SUM(Model!BD11:BF11)</f>
        <v>1944069.69130384</v>
      </c>
      <c r="U5" s="393">
        <f>SUM(Model!BG11:BI11)</f>
        <v>1944491.14050283</v>
      </c>
      <c r="V5" s="393">
        <f>SUM(Model!BJ11:BL11)</f>
        <v>1369873.8</v>
      </c>
      <c r="W5" s="393">
        <f>SUM(Model!BM11:BO11)</f>
        <v>1323437.4</v>
      </c>
      <c r="X5" s="393">
        <f>SUM(Model!BP11:BR11)</f>
        <v>1153170.6</v>
      </c>
      <c r="Y5" s="393">
        <f>SUM(Model!BS11:BU11)</f>
        <v>990643.2</v>
      </c>
      <c r="Z5" s="393">
        <f>SUM(Model!BV11:BX11)</f>
        <v>619152</v>
      </c>
      <c r="AA5" s="393">
        <f>SUM(Model!BY11:CA11)</f>
        <v>208963.8</v>
      </c>
      <c r="AB5" s="393">
        <f>SUM(Model!CB11:CD11)</f>
        <v>0</v>
      </c>
      <c r="AC5" s="393">
        <f>SUM(Model!CE11:CG11)</f>
        <v>0</v>
      </c>
      <c r="AD5" s="393">
        <f>SUM(Model!CH11:CJ11)</f>
        <v>0</v>
      </c>
      <c r="AE5" s="393">
        <f>SUM(Model!CK11:CM11)</f>
        <v>0</v>
      </c>
      <c r="AF5" s="393">
        <f>SUM(Model!CN11:CP11)</f>
        <v>0</v>
      </c>
      <c r="AG5" s="393">
        <f>SUM(Model!CQ11:CS11)</f>
        <v>0</v>
      </c>
      <c r="AH5" s="393">
        <f>SUM(Model!CT11:CV11)</f>
        <v>0</v>
      </c>
      <c r="AI5" s="393">
        <f>SUM(Model!CW11:CY11)</f>
        <v>0</v>
      </c>
      <c r="AJ5" s="393">
        <f>SUM(Model!CZ11:DB11)</f>
        <v>0</v>
      </c>
      <c r="AK5" s="393">
        <f>SUM(Model!DC11:DE11)</f>
        <v>0</v>
      </c>
    </row>
    <row r="6" ht="15" customFormat="1" customHeight="1" s="381">
      <c r="A6" s="398" t="inlineStr">
        <is>
          <t xml:space="preserve">  Trades and Site Cost Billing</t>
        </is>
      </c>
      <c r="B6" s="393">
        <f>SUM(Model!B57:D57)</f>
        <v>6354898.1</v>
      </c>
      <c r="C6" s="393">
        <f>SUM(Model!E57:G57)</f>
        <v>12836560.87</v>
      </c>
      <c r="D6" s="393">
        <f>SUM(Model!H57:J57)</f>
        <v>15112757.5894338</v>
      </c>
      <c r="E6" s="393">
        <f>SUM(Model!K57:M57)</f>
        <v>16693813.1065722</v>
      </c>
      <c r="F6" s="393">
        <f>SUM(Model!N57:P57)</f>
        <v>19184914.1619089</v>
      </c>
      <c r="G6" s="393">
        <f>SUM(Model!Q57:S57)</f>
        <v>23104365.5723846</v>
      </c>
      <c r="H6" s="393">
        <f>SUM(Model!T57:V57)</f>
        <v>26510002.278302</v>
      </c>
      <c r="I6" s="393">
        <f>SUM(Model!W57:Y57)</f>
        <v>30672931.5660721</v>
      </c>
      <c r="J6" s="393">
        <f>SUM(Model!Z57:AB57)</f>
        <v>32498404.8788291</v>
      </c>
      <c r="K6" s="393">
        <f>SUM(Model!AC57:AE57)</f>
        <v>32046157.2276469</v>
      </c>
      <c r="L6" s="393">
        <f>SUM(Model!AF57:AH57)</f>
        <v>29742551.7830206</v>
      </c>
      <c r="M6" s="393">
        <f>SUM(Model!AI57:AK57)</f>
        <v>29234142.2046453</v>
      </c>
      <c r="N6" s="393">
        <f>SUM(Model!AL57:AN57)</f>
        <v>29644986.6854769</v>
      </c>
      <c r="O6" s="393">
        <f>SUM(Model!AO57:AQ57)</f>
        <v>35108288.8049912</v>
      </c>
      <c r="P6" s="393">
        <f>SUM(Model!AR57:AT57)</f>
        <v>38093081.182002</v>
      </c>
      <c r="Q6" s="393">
        <f>SUM(Model!AU57:AW57)</f>
        <v>37576798.0047239</v>
      </c>
      <c r="R6" s="393">
        <f>SUM(Model!AX57:AZ57)</f>
        <v>34411298.0414744</v>
      </c>
      <c r="S6" s="393">
        <f>SUM(Model!BA57:BC57)</f>
        <v>29621657.1266184</v>
      </c>
      <c r="T6" s="393">
        <f>SUM(Model!BD57:BF57)</f>
        <v>27578417.7790344</v>
      </c>
      <c r="U6" s="393">
        <f>SUM(Model!BG57:BI57)</f>
        <v>27814882.4484153</v>
      </c>
      <c r="V6" s="393">
        <f>SUM(Model!BJ57:BL57)</f>
        <v>28622401.95</v>
      </c>
      <c r="W6" s="393">
        <f>SUM(Model!BM57:BO57)</f>
        <v>26747099.85</v>
      </c>
      <c r="X6" s="393">
        <f>SUM(Model!BP57:BR57)</f>
        <v>21672435.15</v>
      </c>
      <c r="Y6" s="393">
        <f>SUM(Model!BS57:BU57)</f>
        <v>13247749.8</v>
      </c>
      <c r="Z6" s="393">
        <f>SUM(Model!BV57:BX57)</f>
        <v>5625654</v>
      </c>
      <c r="AA6" s="393">
        <f>SUM(Model!BY57:CA57)</f>
        <v>878892.45</v>
      </c>
      <c r="AB6" s="393">
        <f>SUM(Model!CB57:CD57)</f>
        <v>0</v>
      </c>
      <c r="AC6" s="393">
        <f>SUM(Model!CE57:CG57)</f>
        <v>0</v>
      </c>
      <c r="AD6" s="393">
        <f>SUM(Model!CH57:CJ57)</f>
        <v>0</v>
      </c>
      <c r="AE6" s="393">
        <f>SUM(Model!CK57:CM57)</f>
        <v>0</v>
      </c>
      <c r="AF6" s="393">
        <f>SUM(Model!CN57:CP57)</f>
        <v>0</v>
      </c>
      <c r="AG6" s="393">
        <f>SUM(Model!CQ57:CS57)</f>
        <v>0</v>
      </c>
      <c r="AH6" s="393">
        <f>SUM(Model!CT57:CV57)</f>
        <v>0</v>
      </c>
      <c r="AI6" s="393">
        <f>SUM(Model!CW57:CY57)</f>
        <v>0</v>
      </c>
      <c r="AJ6" s="393">
        <f>SUM(Model!CZ57:DB57)</f>
        <v>0</v>
      </c>
      <c r="AK6" s="393">
        <f>SUM(Model!DC57:DE57)</f>
        <v>0</v>
      </c>
    </row>
    <row r="7" ht="15" customFormat="1" customHeight="1" s="381">
      <c r="A7" s="470" t="inlineStr">
        <is>
          <t>Total Revenues</t>
        </is>
      </c>
      <c r="B7" s="471">
        <f>SUM(Model!B58:D58)</f>
        <v>7148528.54</v>
      </c>
      <c r="C7" s="471">
        <f>SUM(Model!E58:G58)</f>
        <v>14360682.51</v>
      </c>
      <c r="D7" s="471">
        <f>SUM(Model!H58:J58)</f>
        <v>17336282.8394944</v>
      </c>
      <c r="E7" s="471">
        <f>SUM(Model!K58:M58)</f>
        <v>19184101.4449054</v>
      </c>
      <c r="F7" s="471">
        <f>SUM(Model!N58:P58)</f>
        <v>21954224.173049</v>
      </c>
      <c r="G7" s="471">
        <f>SUM(Model!Q58:S58)</f>
        <v>26136565.6907557</v>
      </c>
      <c r="H7" s="471">
        <f>SUM(Model!T58:V58)</f>
        <v>29724870.7255599</v>
      </c>
      <c r="I7" s="471">
        <f>SUM(Model!W58:Y58)</f>
        <v>34029848.8953878</v>
      </c>
      <c r="J7" s="471">
        <f>SUM(Model!Z58:AB58)</f>
        <v>36071854.4921972</v>
      </c>
      <c r="K7" s="471">
        <f>SUM(Model!AC58:AE58)</f>
        <v>35759320.2280182</v>
      </c>
      <c r="L7" s="471">
        <f>SUM(Model!AF58:AH58)</f>
        <v>33901587.1445333</v>
      </c>
      <c r="M7" s="471">
        <f>SUM(Model!AI58:AK58)</f>
        <v>33864448.6809289</v>
      </c>
      <c r="N7" s="471">
        <f>SUM(Model!AL58:AN58)</f>
        <v>34142908.6407598</v>
      </c>
      <c r="O7" s="471">
        <f>SUM(Model!AO58:AQ58)</f>
        <v>39689275.9043452</v>
      </c>
      <c r="P7" s="471">
        <f>SUM(Model!AR58:AT58)</f>
        <v>43071358.581356</v>
      </c>
      <c r="Q7" s="471">
        <f>SUM(Model!AU58:AW58)</f>
        <v>42466769.619842</v>
      </c>
      <c r="R7" s="471">
        <f>SUM(Model!AX58:AZ58)</f>
        <v>38875238.61408</v>
      </c>
      <c r="S7" s="471">
        <f>SUM(Model!BA58:BC58)</f>
        <v>34103656.349224</v>
      </c>
      <c r="T7" s="471">
        <f>SUM(Model!BD58:BF58)</f>
        <v>32114592.95164</v>
      </c>
      <c r="U7" s="471">
        <f>SUM(Model!BG58:BI58)</f>
        <v>32352041.005208</v>
      </c>
      <c r="V7" s="471">
        <f>SUM(Model!BJ58:BL58)</f>
        <v>31818783</v>
      </c>
      <c r="W7" s="471">
        <f>SUM(Model!BM58:BO58)</f>
        <v>29835129</v>
      </c>
      <c r="X7" s="471">
        <f>SUM(Model!BP58:BR58)</f>
        <v>24363174</v>
      </c>
      <c r="Y7" s="471">
        <f>SUM(Model!BS58:BU58)</f>
        <v>15559257</v>
      </c>
      <c r="Z7" s="471">
        <f>SUM(Model!BV58:BX58)</f>
        <v>7070346</v>
      </c>
      <c r="AA7" s="471">
        <f>SUM(Model!BY58:CA58)</f>
        <v>1366476</v>
      </c>
      <c r="AB7" s="471">
        <f>SUM(Model!CB58:CD58)</f>
        <v>0</v>
      </c>
      <c r="AC7" s="471">
        <f>SUM(Model!CE58:CG58)</f>
        <v>0</v>
      </c>
      <c r="AD7" s="471">
        <f>SUM(Model!CH58:CJ58)</f>
        <v>0</v>
      </c>
      <c r="AE7" s="471">
        <f>SUM(Model!CK58:CM58)</f>
        <v>0</v>
      </c>
      <c r="AF7" s="471">
        <f>SUM(Model!CN58:CP58)</f>
        <v>0</v>
      </c>
      <c r="AG7" s="471">
        <f>SUM(Model!CQ58:CS58)</f>
        <v>0</v>
      </c>
      <c r="AH7" s="471">
        <f>SUM(Model!CT58:CV58)</f>
        <v>0</v>
      </c>
      <c r="AI7" s="471">
        <f>SUM(Model!CW58:CY58)</f>
        <v>0</v>
      </c>
      <c r="AJ7" s="471">
        <f>SUM(Model!CZ58:DB58)</f>
        <v>0</v>
      </c>
      <c r="AK7" s="471">
        <f>SUM(Model!DC58:DE58)</f>
        <v>0</v>
      </c>
    </row>
    <row r="8" ht="15" customFormat="1" customHeight="1" s="381">
      <c r="A8" s="398" t="inlineStr">
        <is>
          <t>COGS - Trade and Site Costs</t>
        </is>
      </c>
      <c r="B8" s="393">
        <f>SUM(Model!B104:D104)</f>
        <v>-6384621.43</v>
      </c>
      <c r="C8" s="393">
        <f>SUM(Model!E104:G104)</f>
        <v>-12787892.43</v>
      </c>
      <c r="D8" s="393">
        <f>SUM(Model!H104:J104)</f>
        <v>-15408867.8004596</v>
      </c>
      <c r="E8" s="393">
        <f>SUM(Model!K104:M104)</f>
        <v>-16979481.7492324</v>
      </c>
      <c r="F8" s="393">
        <f>SUM(Model!N104:P104)</f>
        <v>-19409861.8840823</v>
      </c>
      <c r="G8" s="393">
        <f>SUM(Model!Q104:S104)</f>
        <v>-23247620.1347374</v>
      </c>
      <c r="H8" s="393">
        <f>SUM(Model!T104:V104)</f>
        <v>-26518740.9817081</v>
      </c>
      <c r="I8" s="393">
        <f>SUM(Model!W104:Y104)</f>
        <v>-30673033.9444536</v>
      </c>
      <c r="J8" s="393">
        <f>SUM(Model!Z104:AB104)</f>
        <v>-32498404.8788291</v>
      </c>
      <c r="K8" s="393">
        <f>SUM(Model!AC104:AE104)</f>
        <v>-32046157.2276469</v>
      </c>
      <c r="L8" s="393">
        <f>SUM(Model!AF104:AH104)</f>
        <v>-29742551.7830206</v>
      </c>
      <c r="M8" s="393">
        <f>SUM(Model!AI104:AK104)</f>
        <v>-29234142.2046453</v>
      </c>
      <c r="N8" s="393">
        <f>SUM(Model!AL104:AN104)</f>
        <v>-29644986.6854769</v>
      </c>
      <c r="O8" s="393">
        <f>SUM(Model!AO104:AQ104)</f>
        <v>-35108288.8049912</v>
      </c>
      <c r="P8" s="393">
        <f>SUM(Model!AR104:AT104)</f>
        <v>-38093081.182002</v>
      </c>
      <c r="Q8" s="393">
        <f>SUM(Model!AU104:AW104)</f>
        <v>-37576798.0047239</v>
      </c>
      <c r="R8" s="393">
        <f>SUM(Model!AX104:AZ104)</f>
        <v>-34411298.0414744</v>
      </c>
      <c r="S8" s="393">
        <f>SUM(Model!BA104:BC104)</f>
        <v>-29621657.1266184</v>
      </c>
      <c r="T8" s="393">
        <f>SUM(Model!BD104:BF104)</f>
        <v>-27578417.7790344</v>
      </c>
      <c r="U8" s="393">
        <f>SUM(Model!BG104:BI104)</f>
        <v>-27814882.4484153</v>
      </c>
      <c r="V8" s="393">
        <f>SUM(Model!BJ104:BL104)</f>
        <v>-28622401.95</v>
      </c>
      <c r="W8" s="393">
        <f>SUM(Model!BM104:BO104)</f>
        <v>-26747099.85</v>
      </c>
      <c r="X8" s="393">
        <f>SUM(Model!BP104:BR104)</f>
        <v>-21672435.15</v>
      </c>
      <c r="Y8" s="393">
        <f>SUM(Model!BS104:BU104)</f>
        <v>-13247749.8</v>
      </c>
      <c r="Z8" s="393">
        <f>SUM(Model!BV104:BX104)</f>
        <v>-5625654</v>
      </c>
      <c r="AA8" s="393">
        <f>SUM(Model!BY104:CA104)</f>
        <v>-878892.45</v>
      </c>
      <c r="AB8" s="393">
        <f>SUM(Model!CB104:CD104)</f>
        <v>0</v>
      </c>
      <c r="AC8" s="393">
        <f>SUM(Model!CE104:CG104)</f>
        <v>0</v>
      </c>
      <c r="AD8" s="393">
        <f>SUM(Model!CH104:CJ104)</f>
        <v>0</v>
      </c>
      <c r="AE8" s="393">
        <f>SUM(Model!CK104:CM104)</f>
        <v>0</v>
      </c>
      <c r="AF8" s="393">
        <f>SUM(Model!CN104:CP104)</f>
        <v>0</v>
      </c>
      <c r="AG8" s="393">
        <f>SUM(Model!CQ104:CS104)</f>
        <v>0</v>
      </c>
      <c r="AH8" s="393">
        <f>SUM(Model!CT104:CV104)</f>
        <v>0</v>
      </c>
      <c r="AI8" s="393">
        <f>SUM(Model!CW104:CY104)</f>
        <v>0</v>
      </c>
      <c r="AJ8" s="393">
        <f>SUM(Model!CZ104:DB104)</f>
        <v>0</v>
      </c>
      <c r="AK8" s="393">
        <f>SUM(Model!DC104:DE104)</f>
        <v>0</v>
      </c>
    </row>
    <row r="9" ht="15" customFormat="1" customHeight="1" s="381">
      <c r="A9" s="398" t="inlineStr">
        <is>
          <t xml:space="preserve">  Bonding Revenue</t>
        </is>
      </c>
      <c r="B9" s="393">
        <f>SUM(Model!B105:D105)</f>
        <v>0</v>
      </c>
      <c r="C9" s="393">
        <f>SUM(Model!E105:G105)</f>
        <v>0</v>
      </c>
      <c r="D9" s="393">
        <f>SUM(Model!H105:J105)</f>
        <v>1243016.26</v>
      </c>
      <c r="E9" s="393">
        <f>SUM(Model!K105:M105)</f>
        <v>318951.075</v>
      </c>
      <c r="F9" s="393">
        <f>SUM(Model!N105:P105)</f>
        <v>0</v>
      </c>
      <c r="G9" s="393">
        <f>SUM(Model!Q105:S105)</f>
        <v>1078502.55</v>
      </c>
      <c r="H9" s="393">
        <f>SUM(Model!T105:V105)</f>
        <v>276641.535</v>
      </c>
      <c r="I9" s="393">
        <f>SUM(Model!W105:Y105)</f>
        <v>0</v>
      </c>
      <c r="J9" s="393">
        <f>SUM(Model!Z105:AB105)</f>
        <v>0</v>
      </c>
      <c r="K9" s="393">
        <f>SUM(Model!AC105:AE105)</f>
        <v>620319.48</v>
      </c>
      <c r="L9" s="393">
        <f>SUM(Model!AF105:AH105)</f>
        <v>0</v>
      </c>
      <c r="M9" s="393">
        <f>SUM(Model!AI105:AK105)</f>
        <v>0</v>
      </c>
      <c r="N9" s="393">
        <f>SUM(Model!AL105:AN105)</f>
        <v>0</v>
      </c>
      <c r="O9" s="393">
        <f>SUM(Model!AO105:AQ105)</f>
        <v>0</v>
      </c>
      <c r="P9" s="393">
        <f>SUM(Model!AR105:AT105)</f>
        <v>0</v>
      </c>
      <c r="Q9" s="393">
        <f>SUM(Model!AU105:AW105)</f>
        <v>0</v>
      </c>
      <c r="R9" s="393">
        <f>SUM(Model!AX105:AZ105)</f>
        <v>0</v>
      </c>
      <c r="S9" s="393">
        <f>SUM(Model!BA105:BC105)</f>
        <v>0</v>
      </c>
      <c r="T9" s="393">
        <f>SUM(Model!BD105:BF105)</f>
        <v>0</v>
      </c>
      <c r="U9" s="393">
        <f>SUM(Model!BG105:BI105)</f>
        <v>0</v>
      </c>
      <c r="V9" s="393">
        <f>SUM(Model!BJ105:BL105)</f>
        <v>0</v>
      </c>
      <c r="W9" s="393">
        <f>SUM(Model!BM105:BO105)</f>
        <v>0</v>
      </c>
      <c r="X9" s="393">
        <f>SUM(Model!BP105:BR105)</f>
        <v>0</v>
      </c>
      <c r="Y9" s="393">
        <f>SUM(Model!BS105:BU105)</f>
        <v>0</v>
      </c>
      <c r="Z9" s="393">
        <f>SUM(Model!BV105:BX105)</f>
        <v>0</v>
      </c>
      <c r="AA9" s="393">
        <f>SUM(Model!BY105:CA105)</f>
        <v>0</v>
      </c>
      <c r="AB9" s="393">
        <f>SUM(Model!CB105:CD105)</f>
        <v>0</v>
      </c>
      <c r="AC9" s="393">
        <f>SUM(Model!CE105:CG105)</f>
        <v>0</v>
      </c>
      <c r="AD9" s="393">
        <f>SUM(Model!CH105:CJ105)</f>
        <v>0</v>
      </c>
      <c r="AE9" s="393">
        <f>SUM(Model!CK105:CM105)</f>
        <v>0</v>
      </c>
      <c r="AF9" s="393">
        <f>SUM(Model!CN105:CP105)</f>
        <v>0</v>
      </c>
      <c r="AG9" s="393">
        <f>SUM(Model!CQ105:CS105)</f>
        <v>0</v>
      </c>
      <c r="AH9" s="393">
        <f>SUM(Model!CT105:CV105)</f>
        <v>0</v>
      </c>
      <c r="AI9" s="393">
        <f>SUM(Model!CW105:CY105)</f>
        <v>0</v>
      </c>
      <c r="AJ9" s="393">
        <f>SUM(Model!CZ105:DB105)</f>
        <v>0</v>
      </c>
      <c r="AK9" s="393">
        <f>SUM(Model!DC105:DE105)</f>
        <v>0</v>
      </c>
    </row>
    <row r="10" ht="15" customFormat="1" customHeight="1" s="381">
      <c r="A10" s="398" t="inlineStr">
        <is>
          <t xml:space="preserve">  Bonding Costs</t>
        </is>
      </c>
      <c r="B10" s="393">
        <f>SUM(Model!B106:D106)</f>
        <v>-1966.5</v>
      </c>
      <c r="C10" s="393">
        <f>SUM(Model!E106:G106)</f>
        <v>0</v>
      </c>
      <c r="D10" s="393">
        <f>SUM(Model!H106:J106)</f>
        <v>-1205611.92330814</v>
      </c>
      <c r="E10" s="393">
        <f>SUM(Model!K106:M106)</f>
        <v>-691060.6625</v>
      </c>
      <c r="F10" s="393">
        <f>SUM(Model!N106:P106)</f>
        <v>0</v>
      </c>
      <c r="G10" s="393">
        <f>SUM(Model!Q106:S106)</f>
        <v>-2336755.525</v>
      </c>
      <c r="H10" s="393">
        <f>SUM(Model!T106:V106)</f>
        <v>-599389.9925</v>
      </c>
      <c r="I10" s="393">
        <f>SUM(Model!W106:Y106)</f>
        <v>0</v>
      </c>
      <c r="J10" s="393">
        <f>SUM(Model!Z106:AB106)</f>
        <v>0</v>
      </c>
      <c r="K10" s="393">
        <f>SUM(Model!AC106:AE106)</f>
        <v>-1344025.54</v>
      </c>
      <c r="L10" s="393">
        <f>SUM(Model!AF106:AH106)</f>
        <v>0</v>
      </c>
      <c r="M10" s="393">
        <f>SUM(Model!AI106:AK106)</f>
        <v>0</v>
      </c>
      <c r="N10" s="393">
        <f>SUM(Model!AL106:AN106)</f>
        <v>0</v>
      </c>
      <c r="O10" s="393">
        <f>SUM(Model!AO106:AQ106)</f>
        <v>0</v>
      </c>
      <c r="P10" s="393">
        <f>SUM(Model!AR106:AT106)</f>
        <v>0</v>
      </c>
      <c r="Q10" s="393">
        <f>SUM(Model!AU106:AW106)</f>
        <v>0</v>
      </c>
      <c r="R10" s="393">
        <f>SUM(Model!AX106:AZ106)</f>
        <v>0</v>
      </c>
      <c r="S10" s="393">
        <f>SUM(Model!BA106:BC106)</f>
        <v>0</v>
      </c>
      <c r="T10" s="393">
        <f>SUM(Model!BD106:BF106)</f>
        <v>0</v>
      </c>
      <c r="U10" s="393">
        <f>SUM(Model!BG106:BI106)</f>
        <v>0</v>
      </c>
      <c r="V10" s="393">
        <f>SUM(Model!BJ106:BL106)</f>
        <v>0</v>
      </c>
      <c r="W10" s="393">
        <f>SUM(Model!BM106:BO106)</f>
        <v>0</v>
      </c>
      <c r="X10" s="393">
        <f>SUM(Model!BP106:BR106)</f>
        <v>0</v>
      </c>
      <c r="Y10" s="393">
        <f>SUM(Model!BS106:BU106)</f>
        <v>0</v>
      </c>
      <c r="Z10" s="393">
        <f>SUM(Model!BV106:BX106)</f>
        <v>0</v>
      </c>
      <c r="AA10" s="393">
        <f>SUM(Model!BY106:CA106)</f>
        <v>0</v>
      </c>
      <c r="AB10" s="393">
        <f>SUM(Model!CB106:CD106)</f>
        <v>0</v>
      </c>
      <c r="AC10" s="393">
        <f>SUM(Model!CE106:CG106)</f>
        <v>0</v>
      </c>
      <c r="AD10" s="393">
        <f>SUM(Model!CH106:CJ106)</f>
        <v>0</v>
      </c>
      <c r="AE10" s="393">
        <f>SUM(Model!CK106:CM106)</f>
        <v>0</v>
      </c>
      <c r="AF10" s="393">
        <f>SUM(Model!CN106:CP106)</f>
        <v>0</v>
      </c>
      <c r="AG10" s="393">
        <f>SUM(Model!CQ106:CS106)</f>
        <v>0</v>
      </c>
      <c r="AH10" s="393">
        <f>SUM(Model!CT106:CV106)</f>
        <v>0</v>
      </c>
      <c r="AI10" s="393">
        <f>SUM(Model!CW106:CY106)</f>
        <v>0</v>
      </c>
      <c r="AJ10" s="393">
        <f>SUM(Model!CZ106:DB106)</f>
        <v>0</v>
      </c>
      <c r="AK10" s="393">
        <f>SUM(Model!DC106:DE106)</f>
        <v>0</v>
      </c>
    </row>
    <row r="11" ht="15" customFormat="1" customHeight="1" s="381">
      <c r="A11" s="459" t="inlineStr">
        <is>
          <t>Gross Profit</t>
        </is>
      </c>
      <c r="B11" s="412">
        <f>SUM(Model!B107:D107)</f>
        <v>761940.61</v>
      </c>
      <c r="C11" s="412">
        <f>SUM(Model!E107:G107)</f>
        <v>1572790.08</v>
      </c>
      <c r="D11" s="412">
        <f>SUM(Model!H107:J107)</f>
        <v>1964819.37572669</v>
      </c>
      <c r="E11" s="412">
        <f>SUM(Model!K107:M107)</f>
        <v>1832510.10817296</v>
      </c>
      <c r="F11" s="412">
        <f>SUM(Model!N107:P107)</f>
        <v>2544362.28896664</v>
      </c>
      <c r="G11" s="412">
        <f>SUM(Model!Q107:S107)</f>
        <v>1630692.58101825</v>
      </c>
      <c r="H11" s="412">
        <f>SUM(Model!T107:V107)</f>
        <v>2883381.28635174</v>
      </c>
      <c r="I11" s="412">
        <f>SUM(Model!W107:Y107)</f>
        <v>3356814.95093417</v>
      </c>
      <c r="J11" s="412">
        <f>SUM(Model!Z107:AB107)</f>
        <v>3573449.61336806</v>
      </c>
      <c r="K11" s="412">
        <f>SUM(Model!AC107:AE107)</f>
        <v>2989456.94037127</v>
      </c>
      <c r="L11" s="412">
        <f>SUM(Model!AF107:AH107)</f>
        <v>4159035.36151271</v>
      </c>
      <c r="M11" s="412">
        <f>SUM(Model!AI107:AK107)</f>
        <v>4630306.47628361</v>
      </c>
      <c r="N11" s="412">
        <f>SUM(Model!AL107:AN107)</f>
        <v>4497921.95528285</v>
      </c>
      <c r="O11" s="412">
        <f>SUM(Model!AO107:AQ107)</f>
        <v>4580987.09935403</v>
      </c>
      <c r="P11" s="412">
        <f>SUM(Model!AR107:AT107)</f>
        <v>4978277.39935403</v>
      </c>
      <c r="Q11" s="412">
        <f>SUM(Model!AU107:AW107)</f>
        <v>4889971.61511811</v>
      </c>
      <c r="R11" s="412">
        <f>SUM(Model!AX107:AZ107)</f>
        <v>4463940.57260564</v>
      </c>
      <c r="S11" s="412">
        <f>SUM(Model!BA107:BC107)</f>
        <v>4481999.22260564</v>
      </c>
      <c r="T11" s="412">
        <f>SUM(Model!BD107:BF107)</f>
        <v>4536175.17260564</v>
      </c>
      <c r="U11" s="412">
        <f>SUM(Model!BG107:BI107)</f>
        <v>4537158.55679269</v>
      </c>
      <c r="V11" s="412">
        <f>SUM(Model!BJ107:BL107)</f>
        <v>3196381.05</v>
      </c>
      <c r="W11" s="412">
        <f>SUM(Model!BM107:BO107)</f>
        <v>3088029.15</v>
      </c>
      <c r="X11" s="412">
        <f>SUM(Model!BP107:BR107)</f>
        <v>2690738.85</v>
      </c>
      <c r="Y11" s="412">
        <f>SUM(Model!BS107:BU107)</f>
        <v>2311507.2</v>
      </c>
      <c r="Z11" s="412">
        <f>SUM(Model!BV107:BX107)</f>
        <v>1444692</v>
      </c>
      <c r="AA11" s="412">
        <f>SUM(Model!BY107:CA107)</f>
        <v>487583.55</v>
      </c>
      <c r="AB11" s="412">
        <f>SUM(Model!CB107:CD107)</f>
        <v>0</v>
      </c>
      <c r="AC11" s="412">
        <f>SUM(Model!CE107:CG107)</f>
        <v>0</v>
      </c>
      <c r="AD11" s="412">
        <f>SUM(Model!CH107:CJ107)</f>
        <v>0</v>
      </c>
      <c r="AE11" s="412">
        <f>SUM(Model!CK107:CM107)</f>
        <v>0</v>
      </c>
      <c r="AF11" s="412">
        <f>SUM(Model!CN107:CP107)</f>
        <v>0</v>
      </c>
      <c r="AG11" s="412">
        <f>SUM(Model!CQ107:CS107)</f>
        <v>0</v>
      </c>
      <c r="AH11" s="412">
        <f>SUM(Model!CT107:CV107)</f>
        <v>0</v>
      </c>
      <c r="AI11" s="412">
        <f>SUM(Model!CW107:CY107)</f>
        <v>0</v>
      </c>
      <c r="AJ11" s="412">
        <f>SUM(Model!CZ107:DB107)</f>
        <v>0</v>
      </c>
      <c r="AK11" s="412">
        <f>SUM(Model!DC107:DE107)</f>
        <v>0</v>
      </c>
    </row>
    <row r="12" ht="15" customFormat="1" customHeight="1" s="472">
      <c r="A12" s="398" t="inlineStr">
        <is>
          <t>GC Gross Profit Margin %</t>
        </is>
      </c>
      <c r="B12" s="473">
        <f>IFERROR(B11/B7,0)</f>
        <v>0.10658705574672</v>
      </c>
      <c r="C12" s="473">
        <f>IFERROR(C11/C7,0)</f>
        <v>0.109520566233868</v>
      </c>
      <c r="D12" s="473">
        <f>IFERROR(D11/D7,0)</f>
        <v>0.113335678352603</v>
      </c>
      <c r="E12" s="473">
        <f>IFERROR(E11/E7,0)</f>
        <v>0.0955223320433188</v>
      </c>
      <c r="F12" s="473">
        <f>IFERROR(F11/F7,0)</f>
        <v>0.115893974157834</v>
      </c>
      <c r="G12" s="473">
        <f>IFERROR(G11/G7,0)</f>
        <v>0.062391233810608</v>
      </c>
      <c r="H12" s="473">
        <f>IFERROR(H11/H7,0)</f>
        <v>0.097002315433869</v>
      </c>
      <c r="I12" s="473">
        <f>IFERROR(I11/I7,0)</f>
        <v>0.0986432517303695</v>
      </c>
      <c r="J12" s="473">
        <f>IFERROR(J11/J7,0)</f>
        <v>0.0990647601481383</v>
      </c>
      <c r="K12" s="473">
        <f>IFERROR(K11/K7,0)</f>
        <v>0.0835993783245625</v>
      </c>
      <c r="L12" s="473">
        <f>IFERROR(L11/L7,0)</f>
        <v>0.122679665225743</v>
      </c>
      <c r="M12" s="473">
        <f>IFERROR(M11/M7,0)</f>
        <v>0.136730602642033</v>
      </c>
      <c r="N12" s="473">
        <f>IFERROR(N11/N7,0)</f>
        <v>0.131738101244053</v>
      </c>
      <c r="O12" s="473">
        <f>IFERROR(O11/O7,0)</f>
        <v>0.115421281819165</v>
      </c>
      <c r="P12" s="473">
        <f>IFERROR(P11/P7,0)</f>
        <v>0.115582084320622</v>
      </c>
      <c r="Q12" s="473">
        <f>IFERROR(Q11/Q7,0)</f>
        <v>0.115148189016792</v>
      </c>
      <c r="R12" s="473">
        <f>IFERROR(R11/R7,0)</f>
        <v>0.114827348506328</v>
      </c>
      <c r="S12" s="473">
        <f>IFERROR(S11/S7,0)</f>
        <v>0.131422835625296</v>
      </c>
      <c r="T12" s="473">
        <f>IFERROR(T11/T7,0)</f>
        <v>0.141249654929037</v>
      </c>
      <c r="U12" s="473">
        <f>IFERROR(U11/U7,0)</f>
        <v>0.140243348358217</v>
      </c>
      <c r="V12" s="473">
        <f>IFERROR(V11/V7,0)</f>
        <v>0.100455792102419</v>
      </c>
      <c r="W12" s="473">
        <f>IFERROR(W11/W7,0)</f>
        <v>0.1035031271358</v>
      </c>
      <c r="X12" s="473">
        <f>IFERROR(X11/X7,0)</f>
        <v>0.110442869635951</v>
      </c>
      <c r="Y12" s="473">
        <f>IFERROR(Y11/Y7,0)</f>
        <v>0.148561541209841</v>
      </c>
      <c r="Z12" s="473">
        <f>IFERROR(Z11/Z7,0)</f>
        <v>0.204331160030924</v>
      </c>
      <c r="AA12" s="473">
        <f>IFERROR(AA11/AA7,0)</f>
        <v>0.356818231714278</v>
      </c>
      <c r="AB12" s="473">
        <f>IFERROR(AB11/AB7,0)</f>
        <v>0</v>
      </c>
      <c r="AC12" s="473">
        <f>IFERROR(AC11/AC7,0)</f>
        <v>0</v>
      </c>
      <c r="AD12" s="473">
        <f>IFERROR(AD11/AD7,0)</f>
        <v>0</v>
      </c>
      <c r="AE12" s="473">
        <f>IFERROR(AE11/AE7,0)</f>
        <v>0</v>
      </c>
      <c r="AF12" s="473">
        <f>IFERROR(AF11/AF7,0)</f>
        <v>0</v>
      </c>
      <c r="AG12" s="473">
        <f>IFERROR(AG11/AG7,0)</f>
        <v>0</v>
      </c>
      <c r="AH12" s="473">
        <f>IFERROR(AH11/AH7,0)</f>
        <v>0</v>
      </c>
      <c r="AI12" s="473">
        <f>IFERROR(AI11/AI7,0)</f>
        <v>0</v>
      </c>
      <c r="AJ12" s="473">
        <f>IFERROR(AJ11/AJ7,0)</f>
        <v>0</v>
      </c>
      <c r="AK12" s="473">
        <f>IFERROR(AK11/AK7,0)</f>
        <v>0</v>
      </c>
    </row>
    <row r="13" ht="15" customFormat="1" customHeight="1" s="381">
      <c r="A13" s="441" t="n"/>
      <c r="B13" s="441" t="n"/>
      <c r="C13" s="441" t="n"/>
      <c r="D13" s="441" t="n"/>
      <c r="E13" s="441" t="n"/>
      <c r="F13" s="441" t="n"/>
      <c r="G13" s="441" t="n"/>
      <c r="H13" s="441" t="n"/>
      <c r="I13" s="441" t="n"/>
      <c r="J13" s="441" t="n"/>
      <c r="K13" s="441" t="n"/>
      <c r="L13" s="441" t="n"/>
      <c r="M13" s="441" t="n"/>
      <c r="N13" s="441" t="n"/>
      <c r="O13" s="441" t="n"/>
      <c r="P13" s="441" t="n"/>
      <c r="Q13" s="441" t="n"/>
      <c r="R13" s="441" t="n"/>
      <c r="S13" s="441" t="n"/>
      <c r="T13" s="441" t="n"/>
      <c r="U13" s="441" t="n"/>
      <c r="V13" s="441" t="n"/>
      <c r="W13" s="441" t="n"/>
      <c r="X13" s="441" t="n"/>
      <c r="Y13" s="441" t="n"/>
      <c r="Z13" s="441" t="n"/>
      <c r="AA13" s="441" t="n"/>
      <c r="AB13" s="441" t="n"/>
      <c r="AC13" s="441" t="n"/>
      <c r="AD13" s="441" t="n"/>
      <c r="AE13" s="441" t="n"/>
      <c r="AF13" s="441" t="n"/>
      <c r="AG13" s="441" t="n"/>
      <c r="AH13" s="441" t="n"/>
      <c r="AI13" s="441" t="n"/>
      <c r="AJ13" s="441" t="n"/>
      <c r="AK13" s="441" t="n"/>
    </row>
    <row r="14" ht="15" customFormat="1" customHeight="1" s="381">
      <c r="A14" s="403" t="inlineStr">
        <is>
          <t>GC Costs</t>
        </is>
      </c>
      <c r="B14" s="393" t="n"/>
      <c r="C14" s="393" t="n"/>
      <c r="D14" s="393" t="n"/>
      <c r="E14" s="393" t="n"/>
      <c r="F14" s="393" t="n"/>
      <c r="G14" s="393" t="n"/>
      <c r="H14" s="393" t="n"/>
      <c r="I14" s="393" t="n"/>
      <c r="J14" s="393" t="n"/>
      <c r="K14" s="393" t="n"/>
      <c r="L14" s="393" t="n"/>
      <c r="M14" s="393" t="n"/>
      <c r="N14" s="393" t="n"/>
      <c r="O14" s="393" t="n"/>
      <c r="P14" s="393" t="n"/>
      <c r="Q14" s="393" t="n"/>
      <c r="R14" s="393" t="n"/>
      <c r="S14" s="393" t="n"/>
      <c r="T14" s="393" t="n"/>
      <c r="U14" s="393" t="n"/>
      <c r="V14" s="393" t="n"/>
      <c r="W14" s="393" t="n"/>
      <c r="X14" s="393" t="n"/>
      <c r="Y14" s="393" t="n"/>
      <c r="Z14" s="393" t="n"/>
      <c r="AA14" s="393" t="n"/>
      <c r="AB14" s="393" t="n"/>
      <c r="AC14" s="393" t="n"/>
      <c r="AD14" s="393" t="n"/>
      <c r="AE14" s="393" t="n"/>
      <c r="AF14" s="393" t="n"/>
      <c r="AG14" s="393" t="n"/>
      <c r="AH14" s="393" t="n"/>
      <c r="AI14" s="393" t="n"/>
      <c r="AJ14" s="393" t="n"/>
      <c r="AK14" s="393" t="n"/>
    </row>
    <row r="15" ht="15" customFormat="1" customHeight="1" s="381">
      <c r="A15" s="398" t="inlineStr">
        <is>
          <t xml:space="preserve">  GC Personnel</t>
        </is>
      </c>
      <c r="B15" s="393">
        <f>SUM(Model!B111:D112)+SUM(Model!B114:D118)</f>
        <v>-637683.26</v>
      </c>
      <c r="C15" s="393">
        <f>SUM(Model!E111:G112)+SUM(Model!E114:G118)</f>
        <v>-493512.62</v>
      </c>
      <c r="D15" s="393">
        <f>SUM(Model!H111:J112)+SUM(Model!H114:J118)</f>
        <v>-954784.355</v>
      </c>
      <c r="E15" s="393">
        <f>SUM(Model!K111:M112)+SUM(Model!K114:M118)</f>
        <v>-997721.855</v>
      </c>
      <c r="F15" s="393">
        <f>SUM(Model!N111:P112)+SUM(Model!N114:P118)</f>
        <v>-1088128.125</v>
      </c>
      <c r="G15" s="393">
        <f>SUM(Model!Q111:S112)+SUM(Model!Q114:S118)</f>
        <v>-1196509.9375</v>
      </c>
      <c r="H15" s="393">
        <f>SUM(Model!T111:V112)+SUM(Model!T114:V118)</f>
        <v>-1239819.5625</v>
      </c>
      <c r="I15" s="393">
        <f>SUM(Model!W111:Y112)+SUM(Model!W114:Y118)</f>
        <v>-1239819.5625</v>
      </c>
      <c r="J15" s="393">
        <f>SUM(Model!Z111:AB112)+SUM(Model!Z114:AB118)</f>
        <v>-1239819.5625</v>
      </c>
      <c r="K15" s="393">
        <f>SUM(Model!AC111:AE112)+SUM(Model!AC114:AE118)</f>
        <v>-1264615.95375</v>
      </c>
      <c r="L15" s="393">
        <f>SUM(Model!AF111:AH112)+SUM(Model!AF114:AH118)</f>
        <v>-1264615.95375</v>
      </c>
      <c r="M15" s="393">
        <f>SUM(Model!AI111:AK112)+SUM(Model!AI114:AK118)</f>
        <v>-1264615.95375</v>
      </c>
      <c r="N15" s="393">
        <f>SUM(Model!AL111:AN112)+SUM(Model!AL114:AN118)</f>
        <v>-1264615.95375</v>
      </c>
      <c r="O15" s="393">
        <f>SUM(Model!AO111:AQ112)+SUM(Model!AO114:AQ118)</f>
        <v>-1289908.272825</v>
      </c>
      <c r="P15" s="393">
        <f>SUM(Model!AR111:AT112)+SUM(Model!AR114:AT118)</f>
        <v>-1289908.272825</v>
      </c>
      <c r="Q15" s="393">
        <f>SUM(Model!AU111:AW112)+SUM(Model!AU114:AW118)</f>
        <v>-1289908.272825</v>
      </c>
      <c r="R15" s="393">
        <f>SUM(Model!AX111:AZ112)+SUM(Model!AX114:AZ118)</f>
        <v>-1289908.272825</v>
      </c>
      <c r="S15" s="393">
        <f>SUM(Model!BA111:BC112)+SUM(Model!BA114:BC118)</f>
        <v>-1315706.4382815</v>
      </c>
      <c r="T15" s="393">
        <f>SUM(Model!BD111:BF112)+SUM(Model!BD114:BF118)</f>
        <v>-1315706.4382815</v>
      </c>
      <c r="U15" s="393">
        <f>SUM(Model!BG111:BI112)+SUM(Model!BG114:BI118)</f>
        <v>-1315706.4382815</v>
      </c>
      <c r="V15" s="393">
        <f>SUM(Model!BJ111:BL112)+SUM(Model!BJ114:BL118)</f>
        <v>-1315706.4382815</v>
      </c>
      <c r="W15" s="393">
        <f>SUM(Model!BM111:BO112)+SUM(Model!BM114:BO118)</f>
        <v>-1342020.56704713</v>
      </c>
      <c r="X15" s="393">
        <f>SUM(Model!BP111:BR112)+SUM(Model!BP114:BR118)</f>
        <v>-1342020.56704713</v>
      </c>
      <c r="Y15" s="393">
        <f>SUM(Model!BS111:BU112)+SUM(Model!BS114:BU118)</f>
        <v>-1342020.56704713</v>
      </c>
      <c r="Z15" s="393">
        <f>SUM(Model!BV111:BX112)+SUM(Model!BV114:BX118)</f>
        <v>-1342020.56704713</v>
      </c>
      <c r="AA15" s="393">
        <f>SUM(Model!BY111:CA112)+SUM(Model!BY114:CA118)</f>
        <v>-1368860.97838807</v>
      </c>
      <c r="AB15" s="393">
        <f>SUM(Model!CB111:CD112)+SUM(Model!CB114:CD118)</f>
        <v>-1368860.97838807</v>
      </c>
      <c r="AC15" s="393">
        <f>SUM(Model!CE111:CG112)+SUM(Model!CE114:CG118)</f>
        <v>-1368860.97838807</v>
      </c>
      <c r="AD15" s="393">
        <f>SUM(Model!CH111:CJ112)+SUM(Model!CH114:CJ118)</f>
        <v>-1368860.97838807</v>
      </c>
      <c r="AE15" s="393">
        <f>SUM(Model!CK111:CM112)+SUM(Model!CK114:CM118)</f>
        <v>-1396238.19795583</v>
      </c>
      <c r="AF15" s="393">
        <f>SUM(Model!CN111:CP112)+SUM(Model!CN114:CP118)</f>
        <v>-1396238.19795583</v>
      </c>
      <c r="AG15" s="393">
        <f>SUM(Model!CQ111:CS112)+SUM(Model!CQ114:CS118)</f>
        <v>-1396238.19795583</v>
      </c>
      <c r="AH15" s="393">
        <f>SUM(Model!CT111:CV112)+SUM(Model!CT114:CV118)</f>
        <v>-1203966.1654049</v>
      </c>
      <c r="AI15" s="393">
        <f>SUM(Model!CW111:CY112)+SUM(Model!CW114:CY118)</f>
        <v>-1228045.488713</v>
      </c>
      <c r="AJ15" s="393">
        <f>SUM(Model!CZ111:DB112)+SUM(Model!CZ114:DB118)</f>
        <v>-1228045.488713</v>
      </c>
      <c r="AK15" s="393">
        <f>SUM(Model!DC111:DE112)+SUM(Model!DC114:DE118)</f>
        <v>-1228045.488713</v>
      </c>
    </row>
    <row r="16" ht="15" customFormat="1" customHeight="1" s="381">
      <c r="A16" s="398" t="inlineStr">
        <is>
          <t xml:space="preserve">  GC Expenses</t>
        </is>
      </c>
      <c r="B16" s="393">
        <f>SUM(Model!B119:D141)+SUM(Model!B143:D143)</f>
        <v>-235164.52</v>
      </c>
      <c r="C16" s="393">
        <f>SUM(Model!E119:G141)+SUM(Model!E143:G143)</f>
        <v>-340675</v>
      </c>
      <c r="D16" s="393">
        <f>SUM(Model!H119:J141)+SUM(Model!H143:J143)</f>
        <v>-231452.82</v>
      </c>
      <c r="E16" s="393">
        <f>SUM(Model!K119:M141)+SUM(Model!K143:M143)</f>
        <v>-229952.82</v>
      </c>
      <c r="F16" s="393">
        <f>SUM(Model!N119:P141)+SUM(Model!N143:P143)</f>
        <v>-247952.82</v>
      </c>
      <c r="G16" s="393">
        <f>SUM(Model!Q119:S141)+SUM(Model!Q143:S143)</f>
        <v>-256931.8764</v>
      </c>
      <c r="H16" s="393">
        <f>SUM(Model!T119:V141)+SUM(Model!T143:V143)</f>
        <v>-190181.8764</v>
      </c>
      <c r="I16" s="393">
        <f>SUM(Model!W119:Y141)+SUM(Model!W143:Y143)</f>
        <v>-190181.8764</v>
      </c>
      <c r="J16" s="393">
        <f>SUM(Model!Z119:AB141)+SUM(Model!Z143:AB143)</f>
        <v>-190181.8764</v>
      </c>
      <c r="K16" s="393">
        <f>SUM(Model!AC119:AE141)+SUM(Model!AC143:AE143)</f>
        <v>-193985.513928</v>
      </c>
      <c r="L16" s="393">
        <f>SUM(Model!AF119:AH141)+SUM(Model!AF143:AH143)</f>
        <v>-193985.513928</v>
      </c>
      <c r="M16" s="393">
        <f>SUM(Model!AI119:AK141)+SUM(Model!AI143:AK143)</f>
        <v>-193985.513928</v>
      </c>
      <c r="N16" s="393">
        <f>SUM(Model!AL119:AN141)+SUM(Model!AL143:AN143)</f>
        <v>-193985.513928</v>
      </c>
      <c r="O16" s="393">
        <f>SUM(Model!AO119:AQ141)+SUM(Model!AO143:AQ143)</f>
        <v>-197865.22420656</v>
      </c>
      <c r="P16" s="393">
        <f>SUM(Model!AR119:AT141)+SUM(Model!AR143:AT143)</f>
        <v>-197865.22420656</v>
      </c>
      <c r="Q16" s="393">
        <f>SUM(Model!AU119:AW141)+SUM(Model!AU143:AW143)</f>
        <v>-197865.22420656</v>
      </c>
      <c r="R16" s="393">
        <f>SUM(Model!AX119:AZ141)+SUM(Model!AX143:AZ143)</f>
        <v>-197865.22420656</v>
      </c>
      <c r="S16" s="393">
        <f>SUM(Model!BA119:BC141)+SUM(Model!BA143:BC143)</f>
        <v>-201822.528690691</v>
      </c>
      <c r="T16" s="393">
        <f>SUM(Model!BD119:BF141)+SUM(Model!BD143:BF143)</f>
        <v>-201822.528690691</v>
      </c>
      <c r="U16" s="393">
        <f>SUM(Model!BG119:BI141)+SUM(Model!BG143:BI143)</f>
        <v>-201822.528690691</v>
      </c>
      <c r="V16" s="393">
        <f>SUM(Model!BJ119:BL141)+SUM(Model!BJ143:BL143)</f>
        <v>-201822.528690691</v>
      </c>
      <c r="W16" s="393">
        <f>SUM(Model!BM119:BO141)+SUM(Model!BM143:BO143)</f>
        <v>-205858.979264505</v>
      </c>
      <c r="X16" s="393">
        <f>SUM(Model!BP119:BR141)+SUM(Model!BP143:BR143)</f>
        <v>-205858.979264505</v>
      </c>
      <c r="Y16" s="393">
        <f>SUM(Model!BS119:BU141)+SUM(Model!BS143:BU143)</f>
        <v>-205858.979264505</v>
      </c>
      <c r="Z16" s="393">
        <f>SUM(Model!BV119:BX141)+SUM(Model!BV143:BX143)</f>
        <v>-205858.979264505</v>
      </c>
      <c r="AA16" s="393">
        <f>SUM(Model!BY119:CA141)+SUM(Model!BY143:CA143)</f>
        <v>-209976.158849795</v>
      </c>
      <c r="AB16" s="393">
        <f>SUM(Model!CB119:CD141)+SUM(Model!CB143:CD143)</f>
        <v>-209976.158849795</v>
      </c>
      <c r="AC16" s="393">
        <f>SUM(Model!CE119:CG141)+SUM(Model!CE143:CG143)</f>
        <v>-209976.158849795</v>
      </c>
      <c r="AD16" s="393">
        <f>SUM(Model!CH119:CJ141)+SUM(Model!CH143:CJ143)</f>
        <v>-209976.158849795</v>
      </c>
      <c r="AE16" s="393">
        <f>SUM(Model!CK119:CM141)+SUM(Model!CK143:CM143)</f>
        <v>-214175.682026791</v>
      </c>
      <c r="AF16" s="393">
        <f>SUM(Model!CN119:CP141)+SUM(Model!CN143:CP143)</f>
        <v>-214175.682026791</v>
      </c>
      <c r="AG16" s="393">
        <f>SUM(Model!CQ119:CS141)+SUM(Model!CQ143:CS143)</f>
        <v>-214175.682026791</v>
      </c>
      <c r="AH16" s="393">
        <f>SUM(Model!CT119:CV141)+SUM(Model!CT143:CV143)</f>
        <v>-214175.682026791</v>
      </c>
      <c r="AI16" s="393">
        <f>SUM(Model!CW119:CY141)+SUM(Model!CW143:CY143)</f>
        <v>-218459.195667327</v>
      </c>
      <c r="AJ16" s="393">
        <f>SUM(Model!CZ119:DB141)+SUM(Model!CZ143:DB143)</f>
        <v>-218459.195667327</v>
      </c>
      <c r="AK16" s="393">
        <f>SUM(Model!DC119:DE141)+SUM(Model!DC143:DE143)</f>
        <v>-218459.195667327</v>
      </c>
    </row>
    <row r="17" ht="15" customFormat="1" customHeight="1" s="381">
      <c r="A17" s="398" t="inlineStr">
        <is>
          <t xml:space="preserve">  SP Allocated to LV</t>
        </is>
      </c>
      <c r="B17" s="393">
        <f>SUM(Model!B113:D113)</f>
        <v>0</v>
      </c>
      <c r="C17" s="393">
        <f>SUM(Model!E113:G113)</f>
        <v>0</v>
      </c>
      <c r="D17" s="393">
        <f>SUM(Model!H113:J113)</f>
        <v>-311500</v>
      </c>
      <c r="E17" s="393">
        <f>SUM(Model!K113:M113)</f>
        <v>-311500</v>
      </c>
      <c r="F17" s="393">
        <f>SUM(Model!N113:P113)</f>
        <v>-311500</v>
      </c>
      <c r="G17" s="393">
        <f>SUM(Model!Q113:S113)</f>
        <v>-311500</v>
      </c>
      <c r="H17" s="393">
        <f>SUM(Model!T113:V113)</f>
        <v>-311500</v>
      </c>
      <c r="I17" s="393">
        <f>SUM(Model!W113:Y113)</f>
        <v>-311500</v>
      </c>
      <c r="J17" s="393">
        <f>SUM(Model!Z113:AB113)</f>
        <v>-311500</v>
      </c>
      <c r="K17" s="393">
        <f>SUM(Model!AC113:AE113)</f>
        <v>-311500</v>
      </c>
      <c r="L17" s="393">
        <f>SUM(Model!AF113:AH113)</f>
        <v>-311500</v>
      </c>
      <c r="M17" s="393">
        <f>SUM(Model!AI113:AK113)</f>
        <v>-311500</v>
      </c>
      <c r="N17" s="393">
        <f>SUM(Model!AL113:AN113)</f>
        <v>-311500</v>
      </c>
      <c r="O17" s="393">
        <f>SUM(Model!AO113:AQ113)</f>
        <v>-311500</v>
      </c>
      <c r="P17" s="393">
        <f>SUM(Model!AR113:AT113)</f>
        <v>-311500</v>
      </c>
      <c r="Q17" s="393">
        <f>SUM(Model!AU113:AW113)</f>
        <v>-311500</v>
      </c>
      <c r="R17" s="393">
        <f>SUM(Model!AX113:AZ113)</f>
        <v>-311500</v>
      </c>
      <c r="S17" s="393">
        <f>SUM(Model!BA113:BC113)</f>
        <v>-311500</v>
      </c>
      <c r="T17" s="393">
        <f>SUM(Model!BD113:BF113)</f>
        <v>-311500</v>
      </c>
      <c r="U17" s="393">
        <f>SUM(Model!BG113:BI113)</f>
        <v>-311500</v>
      </c>
      <c r="V17" s="393">
        <f>SUM(Model!BJ113:BL113)</f>
        <v>-311500</v>
      </c>
      <c r="W17" s="393">
        <f>SUM(Model!BM113:BO113)</f>
        <v>-311500</v>
      </c>
      <c r="X17" s="393">
        <f>SUM(Model!BP113:BR113)</f>
        <v>-311500</v>
      </c>
      <c r="Y17" s="393">
        <f>SUM(Model!BS113:BU113)</f>
        <v>-311500</v>
      </c>
      <c r="Z17" s="393">
        <f>SUM(Model!BV113:BX113)</f>
        <v>-311500</v>
      </c>
      <c r="AA17" s="393">
        <f>SUM(Model!BY113:CA113)</f>
        <v>-311500</v>
      </c>
      <c r="AB17" s="393">
        <f>SUM(Model!CB113:CD113)</f>
        <v>-311500</v>
      </c>
      <c r="AC17" s="393">
        <f>SUM(Model!CE113:CG113)</f>
        <v>-311500</v>
      </c>
      <c r="AD17" s="393">
        <f>SUM(Model!CH113:CJ113)</f>
        <v>-311500</v>
      </c>
      <c r="AE17" s="393">
        <f>SUM(Model!CK113:CM113)</f>
        <v>-311500</v>
      </c>
      <c r="AF17" s="393">
        <f>SUM(Model!CN113:CP113)</f>
        <v>-311500</v>
      </c>
      <c r="AG17" s="393">
        <f>SUM(Model!CQ113:CS113)</f>
        <v>-311500</v>
      </c>
      <c r="AH17" s="393">
        <f>SUM(Model!CT113:CV113)</f>
        <v>-311500</v>
      </c>
      <c r="AI17" s="393">
        <f>SUM(Model!CW113:CY113)</f>
        <v>-311500</v>
      </c>
      <c r="AJ17" s="393">
        <f>SUM(Model!CZ113:DB113)</f>
        <v>-311500</v>
      </c>
      <c r="AK17" s="393">
        <f>SUM(Model!DC113:DE113)</f>
        <v>-311500</v>
      </c>
    </row>
    <row r="18" ht="15" customFormat="1" customHeight="1" s="381">
      <c r="A18" s="398" t="inlineStr">
        <is>
          <t xml:space="preserve">  BD Commission</t>
        </is>
      </c>
      <c r="B18" s="393">
        <f>SUM(Model!B142:D142)</f>
        <v>0</v>
      </c>
      <c r="C18" s="393">
        <f>SUM(Model!E142:G142)</f>
        <v>0</v>
      </c>
      <c r="D18" s="393">
        <f>SUM(Model!H142:J142)</f>
        <v>0</v>
      </c>
      <c r="E18" s="393">
        <f>SUM(Model!K142:M142)</f>
        <v>0</v>
      </c>
      <c r="F18" s="393">
        <f>SUM(Model!N142:P142)</f>
        <v>-37973.771875</v>
      </c>
      <c r="G18" s="393">
        <f>SUM(Model!Q142:S142)</f>
        <v>-38290.0375</v>
      </c>
      <c r="H18" s="393">
        <f>SUM(Model!T142:V142)</f>
        <v>-74400.385</v>
      </c>
      <c r="I18" s="393">
        <f>SUM(Model!W142:Y142)</f>
        <v>-62565.82645</v>
      </c>
      <c r="J18" s="393">
        <f>SUM(Model!Z142:AB142)</f>
        <v>0</v>
      </c>
      <c r="K18" s="393">
        <f>SUM(Model!AC142:AE142)</f>
        <v>-45000</v>
      </c>
      <c r="L18" s="393">
        <f>SUM(Model!AF142:AH142)</f>
        <v>-45000</v>
      </c>
      <c r="M18" s="393">
        <f>SUM(Model!AI142:AK142)</f>
        <v>-54206.5375</v>
      </c>
      <c r="N18" s="393">
        <f>SUM(Model!AL142:AN142)</f>
        <v>-120000</v>
      </c>
      <c r="O18" s="393">
        <f>SUM(Model!AO142:AQ142)</f>
        <v>-120000</v>
      </c>
      <c r="P18" s="393">
        <f>SUM(Model!AR142:AT142)</f>
        <v>-37500</v>
      </c>
      <c r="Q18" s="393">
        <f>SUM(Model!AU142:AW142)</f>
        <v>-82500</v>
      </c>
      <c r="R18" s="393">
        <f>SUM(Model!AX142:AZ142)</f>
        <v>0</v>
      </c>
      <c r="S18" s="393">
        <f>SUM(Model!BA142:BC142)</f>
        <v>-120000</v>
      </c>
      <c r="T18" s="393">
        <f>SUM(Model!BD142:BF142)</f>
        <v>-120000</v>
      </c>
      <c r="U18" s="393">
        <f>SUM(Model!BG142:BI142)</f>
        <v>-120000</v>
      </c>
      <c r="V18" s="393">
        <f>SUM(Model!BJ142:BL142)</f>
        <v>0</v>
      </c>
      <c r="W18" s="393">
        <f>SUM(Model!BM142:BO142)</f>
        <v>0</v>
      </c>
      <c r="X18" s="393">
        <f>SUM(Model!BP142:BR142)</f>
        <v>0</v>
      </c>
      <c r="Y18" s="393">
        <f>SUM(Model!BS142:BU142)</f>
        <v>0</v>
      </c>
      <c r="Z18" s="393">
        <f>SUM(Model!BV142:BX142)</f>
        <v>0</v>
      </c>
      <c r="AA18" s="393">
        <f>SUM(Model!BY142:CA142)</f>
        <v>0</v>
      </c>
      <c r="AB18" s="393">
        <f>SUM(Model!CB142:CD142)</f>
        <v>0</v>
      </c>
      <c r="AC18" s="393">
        <f>SUM(Model!CE142:CG142)</f>
        <v>0</v>
      </c>
      <c r="AD18" s="393">
        <f>SUM(Model!CH142:CJ142)</f>
        <v>0</v>
      </c>
      <c r="AE18" s="393">
        <f>SUM(Model!CK142:CM142)</f>
        <v>0</v>
      </c>
      <c r="AF18" s="393">
        <f>SUM(Model!CN142:CP142)</f>
        <v>0</v>
      </c>
      <c r="AG18" s="393">
        <f>SUM(Model!CQ142:CS142)</f>
        <v>0</v>
      </c>
      <c r="AH18" s="393">
        <f>SUM(Model!CT142:CV142)</f>
        <v>0</v>
      </c>
      <c r="AI18" s="393">
        <f>SUM(Model!CW142:CY142)</f>
        <v>0</v>
      </c>
      <c r="AJ18" s="393">
        <f>SUM(Model!CZ142:DB142)</f>
        <v>0</v>
      </c>
      <c r="AK18" s="393">
        <f>SUM(Model!DC142:DE142)</f>
        <v>0</v>
      </c>
    </row>
    <row r="19" ht="15" customFormat="1" customHeight="1" s="381">
      <c r="A19" s="470" t="inlineStr">
        <is>
          <t>Total GC Costs</t>
        </is>
      </c>
      <c r="B19" s="471">
        <f>SUM(Model!B144:D144)</f>
        <v>-872847.78</v>
      </c>
      <c r="C19" s="471">
        <f>SUM(Model!E144:G144)</f>
        <v>-834187.62</v>
      </c>
      <c r="D19" s="471">
        <f>SUM(Model!H144:J144)</f>
        <v>-1497737.175</v>
      </c>
      <c r="E19" s="471">
        <f>SUM(Model!K144:M144)</f>
        <v>-1539174.675</v>
      </c>
      <c r="F19" s="471">
        <f>SUM(Model!N144:P144)</f>
        <v>-1685554.716875</v>
      </c>
      <c r="G19" s="471">
        <f>SUM(Model!Q144:S144)</f>
        <v>-1803231.8514</v>
      </c>
      <c r="H19" s="471">
        <f>SUM(Model!T144:V144)</f>
        <v>-1815901.8239</v>
      </c>
      <c r="I19" s="471">
        <f>SUM(Model!W144:Y144)</f>
        <v>-1804067.26535</v>
      </c>
      <c r="J19" s="471">
        <f>SUM(Model!Z144:AB144)</f>
        <v>-1741501.4389</v>
      </c>
      <c r="K19" s="471">
        <f>SUM(Model!AC144:AE144)</f>
        <v>-1815101.467678</v>
      </c>
      <c r="L19" s="471">
        <f>SUM(Model!AF144:AH144)</f>
        <v>-1815101.467678</v>
      </c>
      <c r="M19" s="471">
        <f>SUM(Model!AI144:AK144)</f>
        <v>-1824308.005178</v>
      </c>
      <c r="N19" s="471">
        <f>SUM(Model!AL144:AN144)</f>
        <v>-1890101.467678</v>
      </c>
      <c r="O19" s="471">
        <f>SUM(Model!AO144:AQ144)</f>
        <v>-1919273.49703156</v>
      </c>
      <c r="P19" s="471">
        <f>SUM(Model!AR144:AT144)</f>
        <v>-1836773.49703156</v>
      </c>
      <c r="Q19" s="471">
        <f>SUM(Model!AU144:AW144)</f>
        <v>-1881773.49703156</v>
      </c>
      <c r="R19" s="471">
        <f>SUM(Model!AX144:AZ144)</f>
        <v>-1799273.49703156</v>
      </c>
      <c r="S19" s="471">
        <f>SUM(Model!BA144:BC144)</f>
        <v>-1949028.96697219</v>
      </c>
      <c r="T19" s="471">
        <f>SUM(Model!BD144:BF144)</f>
        <v>-1949028.96697219</v>
      </c>
      <c r="U19" s="471">
        <f>SUM(Model!BG144:BI144)</f>
        <v>-1949028.96697219</v>
      </c>
      <c r="V19" s="471">
        <f>SUM(Model!BJ144:BL144)</f>
        <v>-1829028.96697219</v>
      </c>
      <c r="W19" s="471">
        <f>SUM(Model!BM144:BO144)</f>
        <v>-1859379.54631163</v>
      </c>
      <c r="X19" s="471">
        <f>SUM(Model!BP144:BR144)</f>
        <v>-1859379.54631163</v>
      </c>
      <c r="Y19" s="471">
        <f>SUM(Model!BS144:BU144)</f>
        <v>-1859379.54631163</v>
      </c>
      <c r="Z19" s="471">
        <f>SUM(Model!BV144:BX144)</f>
        <v>-1859379.54631163</v>
      </c>
      <c r="AA19" s="471">
        <f>SUM(Model!BY144:CA144)</f>
        <v>-1890337.13723787</v>
      </c>
      <c r="AB19" s="471">
        <f>SUM(Model!CB144:CD144)</f>
        <v>-1890337.13723787</v>
      </c>
      <c r="AC19" s="471">
        <f>SUM(Model!CE144:CG144)</f>
        <v>-1890337.13723787</v>
      </c>
      <c r="AD19" s="471">
        <f>SUM(Model!CH144:CJ144)</f>
        <v>-1890337.13723787</v>
      </c>
      <c r="AE19" s="471">
        <f>SUM(Model!CK144:CM144)</f>
        <v>-1921913.87998262</v>
      </c>
      <c r="AF19" s="471">
        <f>SUM(Model!CN144:CP144)</f>
        <v>-1921913.87998262</v>
      </c>
      <c r="AG19" s="471">
        <f>SUM(Model!CQ144:CS144)</f>
        <v>-1921913.87998262</v>
      </c>
      <c r="AH19" s="471">
        <f>SUM(Model!CT144:CV144)</f>
        <v>-1729641.84743169</v>
      </c>
      <c r="AI19" s="471">
        <f>SUM(Model!CW144:CY144)</f>
        <v>-1758004.68438033</v>
      </c>
      <c r="AJ19" s="471">
        <f>SUM(Model!CZ144:DB144)</f>
        <v>-1758004.68438033</v>
      </c>
      <c r="AK19" s="471">
        <f>SUM(Model!DC144:DE144)</f>
        <v>-1758004.68438033</v>
      </c>
    </row>
    <row r="20" ht="15" customFormat="1" customHeight="1" s="381">
      <c r="A20" s="470" t="inlineStr">
        <is>
          <t>GC Net Income</t>
        </is>
      </c>
      <c r="B20" s="474">
        <f>SUM(Model!B145:D145)</f>
        <v>-110907.17</v>
      </c>
      <c r="C20" s="474">
        <f>SUM(Model!E145:G145)</f>
        <v>738602.460000001</v>
      </c>
      <c r="D20" s="474">
        <f>SUM(Model!H145:J145)</f>
        <v>467082.200726685</v>
      </c>
      <c r="E20" s="474">
        <f>SUM(Model!K145:M145)</f>
        <v>293335.433172965</v>
      </c>
      <c r="F20" s="474">
        <f>SUM(Model!N145:P145)</f>
        <v>858807.572091642</v>
      </c>
      <c r="G20" s="474">
        <f>SUM(Model!Q145:S145)</f>
        <v>-172539.270381748</v>
      </c>
      <c r="H20" s="474">
        <f>SUM(Model!T145:V145)</f>
        <v>1067479.46245174</v>
      </c>
      <c r="I20" s="474">
        <f>SUM(Model!W145:Y145)</f>
        <v>1552747.68558417</v>
      </c>
      <c r="J20" s="474">
        <f>SUM(Model!Z145:AB145)</f>
        <v>1831948.17446806</v>
      </c>
      <c r="K20" s="474">
        <f>SUM(Model!AC145:AE145)</f>
        <v>1174355.47269327</v>
      </c>
      <c r="L20" s="474">
        <f>SUM(Model!AF145:AH145)</f>
        <v>2343933.89383471</v>
      </c>
      <c r="M20" s="474">
        <f>SUM(Model!AI145:AK145)</f>
        <v>2805998.47110561</v>
      </c>
      <c r="N20" s="474">
        <f>SUM(Model!AL145:AN145)</f>
        <v>2607820.48760485</v>
      </c>
      <c r="O20" s="474">
        <f>SUM(Model!AO145:AQ145)</f>
        <v>2661713.60232247</v>
      </c>
      <c r="P20" s="474">
        <f>SUM(Model!AR145:AT145)</f>
        <v>3141503.90232247</v>
      </c>
      <c r="Q20" s="474">
        <f>SUM(Model!AU145:AW145)</f>
        <v>3008198.11808655</v>
      </c>
      <c r="R20" s="474">
        <f>SUM(Model!AX145:AZ145)</f>
        <v>2664667.07557408</v>
      </c>
      <c r="S20" s="474">
        <f>SUM(Model!BA145:BC145)</f>
        <v>2532970.25563345</v>
      </c>
      <c r="T20" s="474">
        <f>SUM(Model!BD145:BF145)</f>
        <v>2587146.20563345</v>
      </c>
      <c r="U20" s="474">
        <f>SUM(Model!BG145:BI145)</f>
        <v>2588129.5898205</v>
      </c>
      <c r="V20" s="474">
        <f>SUM(Model!BJ145:BL145)</f>
        <v>1367352.08302781</v>
      </c>
      <c r="W20" s="474">
        <f>SUM(Model!BM145:BO145)</f>
        <v>1228649.60368836</v>
      </c>
      <c r="X20" s="474">
        <f>SUM(Model!BP145:BR145)</f>
        <v>831359.303688366</v>
      </c>
      <c r="Y20" s="474">
        <f>SUM(Model!BS145:BU145)</f>
        <v>452127.653688365</v>
      </c>
      <c r="Z20" s="474">
        <f>SUM(Model!BV145:BX145)</f>
        <v>-414687.546311635</v>
      </c>
      <c r="AA20" s="474">
        <f>SUM(Model!BY145:CA145)</f>
        <v>-1402753.58723787</v>
      </c>
      <c r="AB20" s="474">
        <f>SUM(Model!CB145:CD145)</f>
        <v>-1890337.13723787</v>
      </c>
      <c r="AC20" s="474">
        <f>SUM(Model!CE145:CG145)</f>
        <v>-1890337.13723787</v>
      </c>
      <c r="AD20" s="474">
        <f>SUM(Model!CH145:CJ145)</f>
        <v>-1890337.13723787</v>
      </c>
      <c r="AE20" s="474">
        <f>SUM(Model!CK145:CM145)</f>
        <v>-1921913.87998262</v>
      </c>
      <c r="AF20" s="474">
        <f>SUM(Model!CN145:CP145)</f>
        <v>-1921913.87998262</v>
      </c>
      <c r="AG20" s="474">
        <f>SUM(Model!CQ145:CS145)</f>
        <v>-1921913.87998262</v>
      </c>
      <c r="AH20" s="474">
        <f>SUM(Model!CT145:CV145)</f>
        <v>-1729641.84743169</v>
      </c>
      <c r="AI20" s="474">
        <f>SUM(Model!CW145:CY145)</f>
        <v>-1758004.68438033</v>
      </c>
      <c r="AJ20" s="474">
        <f>SUM(Model!CZ145:DB145)</f>
        <v>-1758004.68438033</v>
      </c>
      <c r="AK20" s="474">
        <f>SUM(Model!DC145:DE145)</f>
        <v>-1758004.68438033</v>
      </c>
    </row>
    <row r="21" ht="15" customFormat="1" customHeight="1" s="381">
      <c r="A21" s="398" t="inlineStr">
        <is>
          <t>GC Net Profit Margin %</t>
        </is>
      </c>
      <c r="B21" s="473">
        <f>IFERROR(B20/B7,0)</f>
        <v>-0.0155146852082093</v>
      </c>
      <c r="C21" s="473">
        <f>IFERROR(C20/C7,0)</f>
        <v>0.0514322671980025</v>
      </c>
      <c r="D21" s="473">
        <f>IFERROR(D20/D7,0)</f>
        <v>0.0269424654091711</v>
      </c>
      <c r="E21" s="473">
        <f>IFERROR(E20/E7,0)</f>
        <v>0.0152905484791869</v>
      </c>
      <c r="F21" s="473">
        <f>IFERROR(F20/F7,0)</f>
        <v>0.0391181016155385</v>
      </c>
      <c r="G21" s="473">
        <f>IFERROR(G20/G7,0)</f>
        <v>-0.00660145148460627</v>
      </c>
      <c r="H21" s="473">
        <f>IFERROR(H20/H7,0)</f>
        <v>0.0359119968025237</v>
      </c>
      <c r="I21" s="473">
        <f>IFERROR(I20/I7,0)</f>
        <v>0.0456289914879588</v>
      </c>
      <c r="J21" s="473">
        <f>IFERROR(J20/J7,0)</f>
        <v>0.0507860823974086</v>
      </c>
      <c r="K21" s="473">
        <f>IFERROR(K20/K7,0)</f>
        <v>0.0328405424153768</v>
      </c>
      <c r="L21" s="473">
        <f>IFERROR(L20/L7,0)</f>
        <v>0.0691393557428969</v>
      </c>
      <c r="M21" s="473">
        <f>IFERROR(M20/M7,0)</f>
        <v>0.0828597121879569</v>
      </c>
      <c r="N21" s="473">
        <f>IFERROR(N20/N7,0)</f>
        <v>0.0763795643494661</v>
      </c>
      <c r="O21" s="473">
        <f>IFERROR(O20/O7,0)</f>
        <v>0.0670637985116545</v>
      </c>
      <c r="P21" s="473">
        <f>IFERROR(P20/P7,0)</f>
        <v>0.0729371908803061</v>
      </c>
      <c r="Q21" s="473">
        <f>IFERROR(Q20/Q7,0)</f>
        <v>0.0708365186477714</v>
      </c>
      <c r="R21" s="473">
        <f>IFERROR(R20/R7,0)</f>
        <v>0.0685440699676884</v>
      </c>
      <c r="S21" s="473">
        <f>IFERROR(S20/S7,0)</f>
        <v>0.0742726888195108</v>
      </c>
      <c r="T21" s="473">
        <f>IFERROR(T20/T7,0)</f>
        <v>0.0805598317727185</v>
      </c>
      <c r="U21" s="473">
        <f>IFERROR(U20/U7,0)</f>
        <v>0.0799989586253265</v>
      </c>
      <c r="V21" s="473">
        <f>IFERROR(V20/V7,0)</f>
        <v>0.0429731106632145</v>
      </c>
      <c r="W21" s="473">
        <f>IFERROR(W20/W7,0)</f>
        <v>0.0411813068979311</v>
      </c>
      <c r="X21" s="473">
        <f>IFERROR(X20/X7,0)</f>
        <v>0.034123604079188</v>
      </c>
      <c r="Y21" s="473">
        <f>IFERROR(Y20/Y7,0)</f>
        <v>0.0290584347111411</v>
      </c>
      <c r="Z21" s="473">
        <f>IFERROR(Z20/Z7,0)</f>
        <v>-0.0586516623531062</v>
      </c>
      <c r="AA21" s="473">
        <f>IFERROR(AA20/AA7,0)</f>
        <v>-1.0265482798365</v>
      </c>
      <c r="AB21" s="473">
        <f>IFERROR(AB20/AB7,0)</f>
        <v>0</v>
      </c>
      <c r="AC21" s="473">
        <f>IFERROR(AC20/AC7,0)</f>
        <v>0</v>
      </c>
      <c r="AD21" s="473">
        <f>IFERROR(AD20/AD7,0)</f>
        <v>0</v>
      </c>
      <c r="AE21" s="473">
        <f>IFERROR(AE20/AE7,0)</f>
        <v>0</v>
      </c>
      <c r="AF21" s="473">
        <f>IFERROR(AF20/AF7,0)</f>
        <v>0</v>
      </c>
      <c r="AG21" s="473">
        <f>IFERROR(AG20/AG7,0)</f>
        <v>0</v>
      </c>
      <c r="AH21" s="473">
        <f>IFERROR(AH20/AH7,0)</f>
        <v>0</v>
      </c>
      <c r="AI21" s="473">
        <f>IFERROR(AI20/AI7,0)</f>
        <v>0</v>
      </c>
      <c r="AJ21" s="473">
        <f>IFERROR(AJ20/AJ7,0)</f>
        <v>0</v>
      </c>
      <c r="AK21" s="473">
        <f>IFERROR(AK20/AK7,0)</f>
        <v>0</v>
      </c>
    </row>
    <row r="22" ht="15" customFormat="1" customHeight="1" s="381">
      <c r="A22" s="441" t="n"/>
      <c r="B22" s="441" t="n"/>
      <c r="C22" s="441" t="n"/>
      <c r="D22" s="441" t="n"/>
      <c r="E22" s="441" t="n"/>
      <c r="F22" s="441" t="n"/>
      <c r="G22" s="441" t="n"/>
      <c r="H22" s="441" t="n"/>
      <c r="I22" s="441" t="n"/>
      <c r="J22" s="441" t="n"/>
      <c r="K22" s="441" t="n"/>
      <c r="L22" s="441" t="n"/>
      <c r="M22" s="441" t="n"/>
      <c r="N22" s="441" t="n"/>
      <c r="O22" s="441" t="n"/>
      <c r="P22" s="441" t="n"/>
      <c r="Q22" s="441" t="n"/>
      <c r="R22" s="441" t="n"/>
      <c r="S22" s="441" t="n"/>
      <c r="T22" s="441" t="n"/>
      <c r="U22" s="441" t="n"/>
      <c r="V22" s="441" t="n"/>
      <c r="W22" s="441" t="n"/>
      <c r="X22" s="441" t="n"/>
      <c r="Y22" s="441" t="n"/>
      <c r="Z22" s="441" t="n"/>
      <c r="AA22" s="441" t="n"/>
      <c r="AB22" s="441" t="n"/>
      <c r="AC22" s="441" t="n"/>
      <c r="AD22" s="441" t="n"/>
      <c r="AE22" s="441" t="n"/>
      <c r="AF22" s="441" t="n"/>
      <c r="AG22" s="441" t="n"/>
      <c r="AH22" s="441" t="n"/>
      <c r="AI22" s="441" t="n"/>
      <c r="AJ22" s="441" t="n"/>
      <c r="AK22" s="441" t="n"/>
    </row>
    <row r="23" ht="15" customFormat="1" customHeight="1" s="381">
      <c r="A23" s="420" t="inlineStr">
        <is>
          <t>Six Peak Revenue</t>
        </is>
      </c>
      <c r="B23" s="393">
        <f>Model!B168+Model!C168+Model!D168</f>
        <v>102343.74</v>
      </c>
      <c r="C23" s="393">
        <f>Model!E168+Model!F168+Model!G168</f>
        <v>401343.74</v>
      </c>
      <c r="D23" s="393">
        <f>Model!H168+Model!I168+Model!J168</f>
        <v>154228.338571429</v>
      </c>
      <c r="E23" s="393">
        <f>Model!K168+Model!L168+Model!M168</f>
        <v>145158.678571429</v>
      </c>
      <c r="F23" s="393">
        <f>Model!N168+Model!O168+Model!P168</f>
        <v>675222.022857143</v>
      </c>
      <c r="G23" s="393">
        <f>Model!Q168+Model!R168+Model!S168</f>
        <v>286036.1712</v>
      </c>
      <c r="H23" s="393">
        <f>Model!T168+Model!U168+Model!V168</f>
        <v>195067.2212</v>
      </c>
      <c r="I23" s="393">
        <f>Model!W168+Model!X168+Model!Y168</f>
        <v>348681.7956</v>
      </c>
      <c r="J23" s="393">
        <f>Model!Z168+Model!AA168+Model!AB168</f>
        <v>420214.506</v>
      </c>
      <c r="K23" s="393">
        <f>Model!AC168+Model!AD168+Model!AE168</f>
        <v>560042.952</v>
      </c>
      <c r="L23" s="393">
        <f>Model!AF168+Model!AG168+Model!AH168</f>
        <v>572056.023</v>
      </c>
      <c r="M23" s="393">
        <f>Model!AI168+Model!AJ168+Model!AK168</f>
        <v>454608.6535</v>
      </c>
      <c r="N23" s="393">
        <f>Model!AL168+Model!AM168+Model!AN168</f>
        <v>472721.8695</v>
      </c>
      <c r="O23" s="393">
        <f>Model!AO168+Model!AP168+Model!AQ168</f>
        <v>419626.173</v>
      </c>
      <c r="P23" s="393">
        <f>Model!AR168+Model!AS168+Model!AT168</f>
        <v>362634.5755</v>
      </c>
      <c r="Q23" s="393">
        <f>Model!AU168+Model!AV168+Model!AW168</f>
        <v>240076.3885</v>
      </c>
      <c r="R23" s="393">
        <f>Model!AX168+Model!AY168+Model!AZ168</f>
        <v>272385.6375</v>
      </c>
      <c r="S23" s="393">
        <f>Model!BA168+Model!BB168+Model!BC168</f>
        <v>1057109.869</v>
      </c>
      <c r="T23" s="393">
        <f>Model!BD168+Model!BE168+Model!BF168</f>
        <v>250595.43</v>
      </c>
      <c r="U23" s="393">
        <f>Model!BG168+Model!BH168+Model!BI168</f>
        <v>246721.9855</v>
      </c>
      <c r="V23" s="393">
        <f>Model!BJ168+Model!BK168+Model!BL168</f>
        <v>242850.5465</v>
      </c>
      <c r="W23" s="393">
        <f>Model!BM168+Model!BN168+Model!BO168</f>
        <v>363306.8865</v>
      </c>
      <c r="X23" s="393">
        <f>Model!BP168+Model!BQ168+Model!BR168</f>
        <v>142406</v>
      </c>
      <c r="Y23" s="393">
        <f>Model!BS168+Model!BT168+Model!BU168</f>
        <v>142402</v>
      </c>
      <c r="Z23" s="393">
        <f>Model!BV168+Model!BW168+Model!BX168</f>
        <v>142402</v>
      </c>
      <c r="AA23" s="393">
        <f>Model!BY168+Model!BZ168+Model!CA168</f>
        <v>215558</v>
      </c>
      <c r="AB23" s="393">
        <f>Model!CB168+Model!CC168+Model!CD168</f>
        <v>231017</v>
      </c>
      <c r="AC23" s="393">
        <f>Model!CE168+Model!CF168+Model!CG168</f>
        <v>231016</v>
      </c>
      <c r="AD23" s="393">
        <f>Model!CH168+Model!CI168+Model!CJ168</f>
        <v>231016</v>
      </c>
      <c r="AE23" s="393">
        <f>Model!CK168+Model!CL168+Model!CM168</f>
        <v>693048</v>
      </c>
      <c r="AF23" s="393">
        <f>Model!CN168+Model!CO168+Model!CP168</f>
        <v>693048</v>
      </c>
      <c r="AG23" s="393">
        <f>Model!CQ168+Model!CR168+Model!CS168</f>
        <v>693048</v>
      </c>
      <c r="AH23" s="393">
        <f>Model!CT168+Model!CU168+Model!CV168</f>
        <v>693048</v>
      </c>
      <c r="AI23" s="393">
        <f>Model!CW168+Model!CX168+Model!CY168</f>
        <v>693048</v>
      </c>
      <c r="AJ23" s="393">
        <f>Model!CZ168+Model!DA168+Model!DB168</f>
        <v>693048</v>
      </c>
      <c r="AK23" s="393">
        <f>Model!DC168+Model!DD168+Model!DE168</f>
        <v>693048</v>
      </c>
    </row>
    <row r="24" ht="15" customFormat="1" customHeight="1" s="381">
      <c r="A24" s="398" t="inlineStr">
        <is>
          <t>Six Peak Expenses</t>
        </is>
      </c>
      <c r="B24" s="475">
        <f>Model!B199+Model!C199+Model!D199</f>
        <v>-646353.82</v>
      </c>
      <c r="C24" s="475">
        <f>Model!E199+Model!F199+Model!G199</f>
        <v>-647516.71</v>
      </c>
      <c r="D24" s="475">
        <f>Model!H199+Model!I199+Model!J199</f>
        <v>-234270.275</v>
      </c>
      <c r="E24" s="475">
        <f>Model!K199+Model!L199+Model!M199</f>
        <v>-234270.275</v>
      </c>
      <c r="F24" s="475">
        <f>Model!N199+Model!O199+Model!P199</f>
        <v>-525493.395</v>
      </c>
      <c r="G24" s="475">
        <f>Model!Q199+Model!R199+Model!S199</f>
        <v>-238955.6805</v>
      </c>
      <c r="H24" s="475">
        <f>Model!T199+Model!U199+Model!V199</f>
        <v>-238955.6805</v>
      </c>
      <c r="I24" s="475">
        <f>Model!W199+Model!X199+Model!Y199</f>
        <v>-238955.6805</v>
      </c>
      <c r="J24" s="475">
        <f>Model!Z199+Model!AA199+Model!AB199</f>
        <v>-238955.6805</v>
      </c>
      <c r="K24" s="475">
        <f>Model!AC199+Model!AD199+Model!AE199</f>
        <v>-243734.79411</v>
      </c>
      <c r="L24" s="475">
        <f>Model!AF199+Model!AG199+Model!AH199</f>
        <v>-243734.79411</v>
      </c>
      <c r="M24" s="475">
        <f>Model!AI199+Model!AJ199+Model!AK199</f>
        <v>-243734.79411</v>
      </c>
      <c r="N24" s="475">
        <f>Model!AL199+Model!AM199+Model!AN199</f>
        <v>-243734.79411</v>
      </c>
      <c r="O24" s="475">
        <f>Model!AO199+Model!AP199+Model!AQ199</f>
        <v>-248609.4899922</v>
      </c>
      <c r="P24" s="475">
        <f>Model!AR199+Model!AS199+Model!AT199</f>
        <v>-330292.4899922</v>
      </c>
      <c r="Q24" s="475">
        <f>Model!AU199+Model!AV199+Model!AW199</f>
        <v>-330291.4899922</v>
      </c>
      <c r="R24" s="475">
        <f>Model!AX199+Model!AY199+Model!AZ199</f>
        <v>-330291.4899922</v>
      </c>
      <c r="S24" s="475">
        <f>Model!BA199+Model!BB199+Model!BC199</f>
        <v>-1187102.67979204</v>
      </c>
      <c r="T24" s="475">
        <f>Model!BD199+Model!BE199+Model!BF199</f>
        <v>-384459.679792044</v>
      </c>
      <c r="U24" s="475">
        <f>Model!BG199+Model!BH199+Model!BI199</f>
        <v>-384457.679792044</v>
      </c>
      <c r="V24" s="475">
        <f>Model!BJ199+Model!BK199+Model!BL199</f>
        <v>-384457.679792044</v>
      </c>
      <c r="W24" s="475">
        <f>Model!BM199+Model!BN199+Model!BO199</f>
        <v>-389529.313387885</v>
      </c>
      <c r="X24" s="475">
        <f>Model!BP199+Model!BQ199+Model!BR199</f>
        <v>-347808.963387885</v>
      </c>
      <c r="Y24" s="475">
        <f>Model!BS199+Model!BT199+Model!BU199</f>
        <v>-333293.313387885</v>
      </c>
      <c r="Z24" s="475">
        <f>Model!BV199+Model!BW199+Model!BX199</f>
        <v>-333293.313387885</v>
      </c>
      <c r="AA24" s="475">
        <f>Model!BY199+Model!BZ199+Model!CA199</f>
        <v>-411622.379655643</v>
      </c>
      <c r="AB24" s="475">
        <f>Model!CB199+Model!CC199+Model!CD199</f>
        <v>-418344.379655643</v>
      </c>
      <c r="AC24" s="475">
        <f>Model!CE199+Model!CF199+Model!CG199</f>
        <v>-418343.379655643</v>
      </c>
      <c r="AD24" s="475">
        <f>Model!CH199+Model!CI199+Model!CJ199</f>
        <v>-411735.353049163</v>
      </c>
      <c r="AE24" s="475">
        <f>Model!CK199+Model!CL199+Model!CM199</f>
        <v>-488567.907248755</v>
      </c>
      <c r="AF24" s="475">
        <f>Model!CN199+Model!CO199+Model!CP199</f>
        <v>-488567.907248755</v>
      </c>
      <c r="AG24" s="475">
        <f>Model!CQ199+Model!CR199+Model!CS199</f>
        <v>-488567.907248755</v>
      </c>
      <c r="AH24" s="475">
        <f>Model!CT199+Model!CU199+Model!CV199</f>
        <v>-482842.427124066</v>
      </c>
      <c r="AI24" s="475">
        <f>Model!CW199+Model!CX199+Model!CY199</f>
        <v>-286091.824602955</v>
      </c>
      <c r="AJ24" s="475">
        <f>Model!CZ199+Model!DA199+Model!DB199</f>
        <v>-268644.975666547</v>
      </c>
      <c r="AK24" s="475">
        <f>Model!DC199+Model!DD199+Model!DE199</f>
        <v>-268644.975666547</v>
      </c>
    </row>
    <row r="25" ht="15" customFormat="1" customHeight="1" s="381">
      <c r="A25" s="416" t="inlineStr">
        <is>
          <t>Six Peak Net Income</t>
        </is>
      </c>
      <c r="B25" s="417">
        <f>Model!B200+Model!C200+Model!D200</f>
        <v>-544010.08</v>
      </c>
      <c r="C25" s="417">
        <f>Model!E200+Model!F200+Model!G200</f>
        <v>-246172.97</v>
      </c>
      <c r="D25" s="417">
        <f>Model!H200+Model!I200+Model!J200</f>
        <v>-80041.9364285715</v>
      </c>
      <c r="E25" s="417">
        <f>Model!K200+Model!L200+Model!M200</f>
        <v>-89111.5964285715</v>
      </c>
      <c r="F25" s="417">
        <f>Model!N200+Model!O200+Model!P200</f>
        <v>149728.627857143</v>
      </c>
      <c r="G25" s="417">
        <f>Model!Q200+Model!R200+Model!S200</f>
        <v>47080.4907</v>
      </c>
      <c r="H25" s="417">
        <f>Model!T200+Model!U200+Model!V200</f>
        <v>-43888.4593</v>
      </c>
      <c r="I25" s="417">
        <f>Model!W200+Model!X200+Model!Y200</f>
        <v>109726.1151</v>
      </c>
      <c r="J25" s="417">
        <f>Model!Z200+Model!AA200+Model!AB200</f>
        <v>181258.8255</v>
      </c>
      <c r="K25" s="417">
        <f>Model!AC200+Model!AD200+Model!AE200</f>
        <v>316308.15789</v>
      </c>
      <c r="L25" s="417">
        <f>Model!AF200+Model!AG200+Model!AH200</f>
        <v>328321.22889</v>
      </c>
      <c r="M25" s="417">
        <f>Model!AI200+Model!AJ200+Model!AK200</f>
        <v>210873.85939</v>
      </c>
      <c r="N25" s="417">
        <f>Model!AL200+Model!AM200+Model!AN200</f>
        <v>228987.07539</v>
      </c>
      <c r="O25" s="417">
        <f>Model!AO200+Model!AP200+Model!AQ200</f>
        <v>171016.6830078</v>
      </c>
      <c r="P25" s="417">
        <f>Model!AR200+Model!AS200+Model!AT200</f>
        <v>32342.0855078</v>
      </c>
      <c r="Q25" s="417">
        <f>Model!AU200+Model!AV200+Model!AW200</f>
        <v>-90215.1014922</v>
      </c>
      <c r="R25" s="417">
        <f>Model!AX200+Model!AY200+Model!AZ200</f>
        <v>-57905.8524922</v>
      </c>
      <c r="S25" s="417">
        <f>Model!BA200+Model!BB200+Model!BC200</f>
        <v>-129992.810792044</v>
      </c>
      <c r="T25" s="417">
        <f>Model!BD200+Model!BE200+Model!BF200</f>
        <v>-133864.249792044</v>
      </c>
      <c r="U25" s="417">
        <f>Model!BG200+Model!BH200+Model!BI200</f>
        <v>-137735.694292044</v>
      </c>
      <c r="V25" s="417">
        <f>Model!BJ200+Model!BK200+Model!BL200</f>
        <v>-141607.133292044</v>
      </c>
      <c r="W25" s="417">
        <f>Model!BM200+Model!BN200+Model!BO200</f>
        <v>-26222.4268878849</v>
      </c>
      <c r="X25" s="417">
        <f>Model!BP200+Model!BQ200+Model!BR200</f>
        <v>-205402.963387885</v>
      </c>
      <c r="Y25" s="417">
        <f>Model!BS200+Model!BT200+Model!BU200</f>
        <v>-190891.313387885</v>
      </c>
      <c r="Z25" s="417">
        <f>Model!BV200+Model!BW200+Model!BX200</f>
        <v>-190891.313387885</v>
      </c>
      <c r="AA25" s="417">
        <f>Model!BY200+Model!BZ200+Model!CA200</f>
        <v>-196064.379655643</v>
      </c>
      <c r="AB25" s="417">
        <f>Model!CB200+Model!CC200+Model!CD200</f>
        <v>-187327.379655643</v>
      </c>
      <c r="AC25" s="417">
        <f>Model!CE200+Model!CF200+Model!CG200</f>
        <v>-187327.379655643</v>
      </c>
      <c r="AD25" s="417">
        <f>Model!CH200+Model!CI200+Model!CJ200</f>
        <v>-180719.353049163</v>
      </c>
      <c r="AE25" s="417">
        <f>Model!CK200+Model!CL200+Model!CM200</f>
        <v>204480.092751245</v>
      </c>
      <c r="AF25" s="417">
        <f>Model!CN200+Model!CO200+Model!CP200</f>
        <v>204480.092751245</v>
      </c>
      <c r="AG25" s="417">
        <f>Model!CQ200+Model!CR200+Model!CS200</f>
        <v>204480.092751245</v>
      </c>
      <c r="AH25" s="417">
        <f>Model!CT200+Model!CU200+Model!CV200</f>
        <v>210205.572875934</v>
      </c>
      <c r="AI25" s="417">
        <f>Model!CW200+Model!CX200+Model!CY200</f>
        <v>406956.175397045</v>
      </c>
      <c r="AJ25" s="417">
        <f>Model!CZ200+Model!DA200+Model!DB200</f>
        <v>424403.024333453</v>
      </c>
      <c r="AK25" s="417">
        <f>Model!DC200+Model!DD200+Model!DE200</f>
        <v>424403.024333453</v>
      </c>
    </row>
    <row r="26" ht="15" customFormat="1" customHeight="1" s="381">
      <c r="A26" s="383" t="n"/>
      <c r="B26" s="428" t="n"/>
      <c r="C26" s="428" t="n"/>
      <c r="D26" s="428" t="n"/>
      <c r="E26" s="428" t="n"/>
      <c r="F26" s="428" t="n"/>
      <c r="G26" s="428" t="n"/>
      <c r="H26" s="428" t="n"/>
      <c r="I26" s="428" t="n"/>
      <c r="J26" s="428" t="n"/>
      <c r="K26" s="428" t="n"/>
      <c r="L26" s="428" t="n"/>
      <c r="M26" s="428" t="n"/>
      <c r="N26" s="428" t="n"/>
      <c r="O26" s="428" t="n"/>
      <c r="P26" s="428" t="n"/>
      <c r="Q26" s="428" t="n"/>
      <c r="R26" s="428" t="n"/>
      <c r="S26" s="428" t="n"/>
      <c r="T26" s="428" t="n"/>
      <c r="U26" s="428" t="n"/>
      <c r="V26" s="428" t="n"/>
      <c r="W26" s="428" t="n"/>
      <c r="X26" s="428" t="n"/>
      <c r="Y26" s="428" t="n"/>
      <c r="Z26" s="428" t="n"/>
      <c r="AA26" s="428" t="n"/>
      <c r="AB26" s="428" t="n"/>
      <c r="AC26" s="428" t="n"/>
      <c r="AD26" s="428" t="n"/>
      <c r="AE26" s="428" t="n"/>
      <c r="AF26" s="428" t="n"/>
      <c r="AG26" s="428" t="n"/>
      <c r="AH26" s="428" t="n"/>
      <c r="AI26" s="428" t="n"/>
      <c r="AJ26" s="428" t="n"/>
      <c r="AK26" s="428" t="n"/>
    </row>
    <row r="27" ht="15" customFormat="1" customHeight="1" s="381">
      <c r="A27" s="416" t="inlineStr">
        <is>
          <t>Consolidated Net Income (Projection)</t>
        </is>
      </c>
      <c r="B27" s="417">
        <f>Model!B209+Model!C209+Model!D209</f>
        <v>-654917.25</v>
      </c>
      <c r="C27" s="417">
        <f>Model!E209+Model!F209+Model!G209</f>
        <v>492429.490000001</v>
      </c>
      <c r="D27" s="417">
        <f>Model!H209+Model!I209+Model!J209</f>
        <v>387040.264298113</v>
      </c>
      <c r="E27" s="417">
        <f>Model!K209+Model!L209+Model!M209</f>
        <v>204223.836744393</v>
      </c>
      <c r="F27" s="417">
        <f>Model!N209+Model!O209+Model!P209</f>
        <v>1008536.19994878</v>
      </c>
      <c r="G27" s="417">
        <f>Model!Q209+Model!R209+Model!S209</f>
        <v>-125458.779681748</v>
      </c>
      <c r="H27" s="417">
        <f>Model!T209+Model!U209+Model!V209</f>
        <v>1023591.00315174</v>
      </c>
      <c r="I27" s="417">
        <f>Model!W209+Model!X209+Model!Y209</f>
        <v>1662473.80068417</v>
      </c>
      <c r="J27" s="417">
        <f>Model!Z209+Model!AA209+Model!AB209</f>
        <v>2013206.99996806</v>
      </c>
      <c r="K27" s="417">
        <f>Model!AC209+Model!AD209+Model!AE209</f>
        <v>1490663.63058327</v>
      </c>
      <c r="L27" s="417">
        <f>Model!AF209+Model!AG209+Model!AH209</f>
        <v>2672255.12272471</v>
      </c>
      <c r="M27" s="417">
        <f>Model!AI209+Model!AJ209+Model!AK209</f>
        <v>3016872.33049561</v>
      </c>
      <c r="N27" s="417">
        <f>Model!AL209+Model!AM209+Model!AN209</f>
        <v>2836807.56299485</v>
      </c>
      <c r="O27" s="417">
        <f>Model!AO209+Model!AP209+Model!AQ209</f>
        <v>2832730.28533027</v>
      </c>
      <c r="P27" s="417">
        <f>Model!AR209+Model!AS209+Model!AT209</f>
        <v>3173845.98783027</v>
      </c>
      <c r="Q27" s="417">
        <f>Model!AU209+Model!AV209+Model!AW209</f>
        <v>2917983.01659435</v>
      </c>
      <c r="R27" s="417">
        <f>Model!AX209+Model!AY209+Model!AZ209</f>
        <v>2606761.22308188</v>
      </c>
      <c r="S27" s="417">
        <f>Model!BA209+Model!BB209+Model!BC209</f>
        <v>2402977.4448414</v>
      </c>
      <c r="T27" s="417">
        <f>Model!BD209+Model!BE209+Model!BF209</f>
        <v>2453281.9558414</v>
      </c>
      <c r="U27" s="417">
        <f>Model!BG209+Model!BH209+Model!BI209</f>
        <v>2450393.89552846</v>
      </c>
      <c r="V27" s="417">
        <f>Model!BJ209+Model!BK209+Model!BL209</f>
        <v>1225744.94973576</v>
      </c>
      <c r="W27" s="417">
        <f>Model!BM209+Model!BN209+Model!BO209</f>
        <v>1202427.17680048</v>
      </c>
      <c r="X27" s="417">
        <f>Model!BP209+Model!BQ209+Model!BR209</f>
        <v>625956.340300481</v>
      </c>
      <c r="Y27" s="417">
        <f>Model!BS209+Model!BT209+Model!BU209</f>
        <v>261236.34030048</v>
      </c>
      <c r="Z27" s="417">
        <f>Model!BV209+Model!BW209+Model!BX209</f>
        <v>-605578.85969952</v>
      </c>
      <c r="AA27" s="417">
        <f>Model!BY209+Model!BZ209+Model!CA209</f>
        <v>-1598817.96689351</v>
      </c>
      <c r="AB27" s="417">
        <f>Model!CB209+Model!CC209+Model!CD209</f>
        <v>-2077664.51689351</v>
      </c>
      <c r="AC27" s="417">
        <f>Model!CE209+Model!CF209+Model!CG209</f>
        <v>-2077664.51689351</v>
      </c>
      <c r="AD27" s="417">
        <f>Model!CH209+Model!CI209+Model!CJ209</f>
        <v>-2071056.49028703</v>
      </c>
      <c r="AE27" s="417">
        <f>Model!CK209+Model!CL209+Model!CM209</f>
        <v>-1717433.78723138</v>
      </c>
      <c r="AF27" s="417">
        <f>Model!CN209+Model!CO209+Model!CP209</f>
        <v>-1717433.78723138</v>
      </c>
      <c r="AG27" s="417">
        <f>Model!CQ209+Model!CR209+Model!CS209</f>
        <v>-1717433.78723138</v>
      </c>
      <c r="AH27" s="417">
        <f>Model!CT209+Model!CU209+Model!CV209</f>
        <v>-1519436.27455576</v>
      </c>
      <c r="AI27" s="417">
        <f>Model!CW209+Model!CX209+Model!CY209</f>
        <v>-1351048.50898328</v>
      </c>
      <c r="AJ27" s="417">
        <f>Model!CZ209+Model!DA209+Model!DB209</f>
        <v>-1333601.66004687</v>
      </c>
      <c r="AK27" s="417">
        <f>Model!DC209+Model!DD209+Model!DE209</f>
        <v>-1333601.66004687</v>
      </c>
    </row>
    <row r="28" ht="15" customFormat="1" customHeight="1" s="381">
      <c r="A28" s="383" t="n"/>
      <c r="B28" s="463" t="n"/>
      <c r="C28" s="463" t="n"/>
      <c r="D28" s="463" t="n"/>
      <c r="E28" s="463" t="n"/>
      <c r="F28" s="463" t="n"/>
      <c r="G28" s="463" t="n"/>
      <c r="H28" s="463" t="n"/>
      <c r="I28" s="463" t="n"/>
      <c r="J28" s="463" t="n"/>
      <c r="K28" s="463" t="n"/>
      <c r="L28" s="463" t="n"/>
      <c r="M28" s="463" t="n"/>
      <c r="N28" s="463" t="n"/>
      <c r="O28" s="463" t="n"/>
      <c r="P28" s="463" t="n"/>
      <c r="Q28" s="463" t="n"/>
      <c r="R28" s="463" t="n"/>
      <c r="S28" s="463" t="n"/>
      <c r="T28" s="463" t="n"/>
      <c r="U28" s="463" t="n"/>
      <c r="V28" s="463" t="n"/>
      <c r="W28" s="463" t="n"/>
      <c r="X28" s="463" t="n"/>
      <c r="Y28" s="463" t="n"/>
      <c r="Z28" s="463" t="n"/>
      <c r="AA28" s="463" t="n"/>
      <c r="AB28" s="463" t="n"/>
      <c r="AC28" s="463" t="n"/>
      <c r="AD28" s="463" t="n"/>
      <c r="AE28" s="463" t="n"/>
      <c r="AF28" s="463" t="n"/>
      <c r="AG28" s="463" t="n"/>
      <c r="AH28" s="463" t="n"/>
      <c r="AI28" s="463" t="n"/>
      <c r="AJ28" s="463" t="n"/>
      <c r="AK28" s="463" t="n"/>
    </row>
    <row r="29" ht="15" customFormat="1" customHeight="1" s="381">
      <c r="A29" s="403" t="inlineStr">
        <is>
          <t>Steyn Group Fees</t>
        </is>
      </c>
      <c r="B29" s="403" t="n"/>
      <c r="C29" s="403" t="n"/>
      <c r="D29" s="403" t="n"/>
      <c r="E29" s="403" t="n"/>
      <c r="F29" s="403" t="n"/>
      <c r="G29" s="403" t="n"/>
      <c r="H29" s="403" t="n"/>
      <c r="I29" s="403" t="n"/>
      <c r="J29" s="403" t="n"/>
      <c r="K29" s="403" t="n"/>
      <c r="L29" s="403" t="n"/>
      <c r="M29" s="403" t="n"/>
      <c r="N29" s="403" t="n"/>
      <c r="O29" s="403" t="n"/>
      <c r="P29" s="403" t="n"/>
      <c r="Q29" s="403" t="n"/>
      <c r="R29" s="403" t="n"/>
      <c r="S29" s="403" t="n"/>
      <c r="T29" s="403" t="n"/>
      <c r="U29" s="403" t="n"/>
      <c r="V29" s="403" t="n"/>
      <c r="W29" s="403" t="n"/>
      <c r="X29" s="403" t="n"/>
      <c r="Y29" s="403" t="n"/>
      <c r="Z29" s="403" t="n"/>
      <c r="AA29" s="403" t="n"/>
      <c r="AB29" s="403" t="n"/>
      <c r="AC29" s="403" t="n"/>
      <c r="AD29" s="403" t="n"/>
      <c r="AE29" s="403" t="n"/>
      <c r="AF29" s="403" t="n"/>
      <c r="AG29" s="403" t="n"/>
      <c r="AH29" s="403" t="n"/>
      <c r="AI29" s="403" t="n"/>
      <c r="AJ29" s="403" t="n"/>
      <c r="AK29" s="403" t="n"/>
    </row>
    <row r="30" ht="15" customFormat="1" customHeight="1" s="381">
      <c r="A30" s="398" t="inlineStr">
        <is>
          <t xml:space="preserve">  Completion Guaranty Fee</t>
        </is>
      </c>
      <c r="B30" s="476">
        <f>Model!B194+Model!C194+Model!D194</f>
        <v>0</v>
      </c>
      <c r="C30" s="476">
        <f>Model!E194+Model!F194+Model!G194</f>
        <v>0</v>
      </c>
      <c r="D30" s="476">
        <f>Model!H194+Model!I194+Model!J194</f>
        <v>0</v>
      </c>
      <c r="E30" s="476">
        <f>Model!K194+Model!L194+Model!M194</f>
        <v>0</v>
      </c>
      <c r="F30" s="476">
        <f>Model!N194+Model!O194+Model!P194</f>
        <v>-171223.12</v>
      </c>
      <c r="G30" s="476">
        <f>Model!Q194+Model!R194+Model!S194</f>
        <v>0</v>
      </c>
      <c r="H30" s="476">
        <f>Model!T194+Model!U194+Model!V194</f>
        <v>0</v>
      </c>
      <c r="I30" s="476">
        <f>Model!W194+Model!X194+Model!Y194</f>
        <v>0</v>
      </c>
      <c r="J30" s="476">
        <f>Model!Z194+Model!AA194+Model!AB194</f>
        <v>0</v>
      </c>
      <c r="K30" s="476">
        <f>Model!AC194+Model!AD194+Model!AE194</f>
        <v>0</v>
      </c>
      <c r="L30" s="476">
        <f>Model!AF194+Model!AG194+Model!AH194</f>
        <v>0</v>
      </c>
      <c r="M30" s="476">
        <f>Model!AI194+Model!AJ194+Model!AK194</f>
        <v>0</v>
      </c>
      <c r="N30" s="476">
        <f>Model!AL194+Model!AM194+Model!AN194</f>
        <v>0</v>
      </c>
      <c r="O30" s="476">
        <f>Model!AO194+Model!AP194+Model!AQ194</f>
        <v>0</v>
      </c>
      <c r="P30" s="476">
        <f>Model!AR194+Model!AS194+Model!AT194</f>
        <v>0</v>
      </c>
      <c r="Q30" s="476">
        <f>Model!AU194+Model!AV194+Model!AW194</f>
        <v>0</v>
      </c>
      <c r="R30" s="476">
        <f>Model!AX194+Model!AY194+Model!AZ194</f>
        <v>0</v>
      </c>
      <c r="S30" s="476">
        <f>Model!BA194+Model!BB194+Model!BC194</f>
        <v>0</v>
      </c>
      <c r="T30" s="476">
        <f>Model!BD194+Model!BE194+Model!BF194</f>
        <v>0</v>
      </c>
      <c r="U30" s="476">
        <f>Model!BG194+Model!BH194+Model!BI194</f>
        <v>0</v>
      </c>
      <c r="V30" s="476">
        <f>Model!BJ194+Model!BK194+Model!BL194</f>
        <v>0</v>
      </c>
      <c r="W30" s="476">
        <f>Model!BM194+Model!BN194+Model!BO194</f>
        <v>0</v>
      </c>
      <c r="X30" s="476">
        <f>Model!BP194+Model!BQ194+Model!BR194</f>
        <v>0</v>
      </c>
      <c r="Y30" s="476">
        <f>Model!BS194+Model!BT194+Model!BU194</f>
        <v>0</v>
      </c>
      <c r="Z30" s="476">
        <f>Model!BV194+Model!BW194+Model!BX194</f>
        <v>0</v>
      </c>
      <c r="AA30" s="476">
        <f>Model!BY194+Model!BZ194+Model!CA194</f>
        <v>0</v>
      </c>
      <c r="AB30" s="476">
        <f>Model!CB194+Model!CC194+Model!CD194</f>
        <v>0</v>
      </c>
      <c r="AC30" s="476">
        <f>Model!CE194+Model!CF194+Model!CG194</f>
        <v>0</v>
      </c>
      <c r="AD30" s="476">
        <f>Model!CH194+Model!CI194+Model!CJ194</f>
        <v>0</v>
      </c>
      <c r="AE30" s="476">
        <f>Model!CK194+Model!CL194+Model!CM194</f>
        <v>0</v>
      </c>
      <c r="AF30" s="476">
        <f>Model!CN194+Model!CO194+Model!CP194</f>
        <v>0</v>
      </c>
      <c r="AG30" s="476">
        <f>Model!CQ194+Model!CR194+Model!CS194</f>
        <v>0</v>
      </c>
      <c r="AH30" s="476">
        <f>Model!CT194+Model!CU194+Model!CV194</f>
        <v>0</v>
      </c>
      <c r="AI30" s="476">
        <f>Model!CW194+Model!CX194+Model!CY194</f>
        <v>0</v>
      </c>
      <c r="AJ30" s="476">
        <f>Model!CZ194+Model!DA194+Model!DB194</f>
        <v>0</v>
      </c>
      <c r="AK30" s="476">
        <f>Model!DC194+Model!DD194+Model!DE194</f>
        <v>0</v>
      </c>
    </row>
    <row r="31" ht="15" customFormat="1" customHeight="1" s="381">
      <c r="A31" s="398" t="inlineStr">
        <is>
          <t xml:space="preserve">  Liquidity Guarantee Fee</t>
        </is>
      </c>
      <c r="B31" s="476">
        <f>Model!B195+Model!C195+Model!D195</f>
        <v>0</v>
      </c>
      <c r="C31" s="476">
        <f>Model!E195+Model!F195+Model!G195</f>
        <v>0</v>
      </c>
      <c r="D31" s="476">
        <f>Model!H195+Model!I195+Model!J195</f>
        <v>0</v>
      </c>
      <c r="E31" s="476">
        <f>Model!K195+Model!L195+Model!M195</f>
        <v>0</v>
      </c>
      <c r="F31" s="476">
        <f>Model!N195+Model!O195+Model!P195</f>
        <v>-120000</v>
      </c>
      <c r="G31" s="476">
        <f>Model!Q195+Model!R195+Model!S195</f>
        <v>0</v>
      </c>
      <c r="H31" s="476">
        <f>Model!T195+Model!U195+Model!V195</f>
        <v>0</v>
      </c>
      <c r="I31" s="476">
        <f>Model!W195+Model!X195+Model!Y195</f>
        <v>0</v>
      </c>
      <c r="J31" s="476">
        <f>Model!Z195+Model!AA195+Model!AB195</f>
        <v>0</v>
      </c>
      <c r="K31" s="476">
        <f>Model!AC195+Model!AD195+Model!AE195</f>
        <v>0</v>
      </c>
      <c r="L31" s="476">
        <f>Model!AF195+Model!AG195+Model!AH195</f>
        <v>0</v>
      </c>
      <c r="M31" s="476">
        <f>Model!AI195+Model!AJ195+Model!AK195</f>
        <v>0</v>
      </c>
      <c r="N31" s="476">
        <f>Model!AL195+Model!AM195+Model!AN195</f>
        <v>0</v>
      </c>
      <c r="O31" s="476">
        <f>Model!AO195+Model!AP195+Model!AQ195</f>
        <v>0</v>
      </c>
      <c r="P31" s="476">
        <f>Model!AR195+Model!AS195+Model!AT195</f>
        <v>0</v>
      </c>
      <c r="Q31" s="476">
        <f>Model!AU195+Model!AV195+Model!AW195</f>
        <v>0</v>
      </c>
      <c r="R31" s="476">
        <f>Model!AX195+Model!AY195+Model!AZ195</f>
        <v>0</v>
      </c>
      <c r="S31" s="476">
        <f>Model!BA195+Model!BB195+Model!BC195</f>
        <v>0</v>
      </c>
      <c r="T31" s="476">
        <f>Model!BD195+Model!BE195+Model!BF195</f>
        <v>0</v>
      </c>
      <c r="U31" s="476">
        <f>Model!BG195+Model!BH195+Model!BI195</f>
        <v>0</v>
      </c>
      <c r="V31" s="476">
        <f>Model!BJ195+Model!BK195+Model!BL195</f>
        <v>0</v>
      </c>
      <c r="W31" s="476">
        <f>Model!BM195+Model!BN195+Model!BO195</f>
        <v>0</v>
      </c>
      <c r="X31" s="476">
        <f>Model!BP195+Model!BQ195+Model!BR195</f>
        <v>0</v>
      </c>
      <c r="Y31" s="476">
        <f>Model!BS195+Model!BT195+Model!BU195</f>
        <v>0</v>
      </c>
      <c r="Z31" s="476">
        <f>Model!BV195+Model!BW195+Model!BX195</f>
        <v>0</v>
      </c>
      <c r="AA31" s="476">
        <f>Model!BY195+Model!BZ195+Model!CA195</f>
        <v>0</v>
      </c>
      <c r="AB31" s="476">
        <f>Model!CB195+Model!CC195+Model!CD195</f>
        <v>0</v>
      </c>
      <c r="AC31" s="476">
        <f>Model!CE195+Model!CF195+Model!CG195</f>
        <v>0</v>
      </c>
      <c r="AD31" s="476">
        <f>Model!CH195+Model!CI195+Model!CJ195</f>
        <v>0</v>
      </c>
      <c r="AE31" s="476">
        <f>Model!CK195+Model!CL195+Model!CM195</f>
        <v>0</v>
      </c>
      <c r="AF31" s="476">
        <f>Model!CN195+Model!CO195+Model!CP195</f>
        <v>0</v>
      </c>
      <c r="AG31" s="476">
        <f>Model!CQ195+Model!CR195+Model!CS195</f>
        <v>0</v>
      </c>
      <c r="AH31" s="476">
        <f>Model!CT195+Model!CU195+Model!CV195</f>
        <v>0</v>
      </c>
      <c r="AI31" s="476">
        <f>Model!CW195+Model!CX195+Model!CY195</f>
        <v>0</v>
      </c>
      <c r="AJ31" s="476">
        <f>Model!CZ195+Model!DA195+Model!DB195</f>
        <v>0</v>
      </c>
      <c r="AK31" s="476">
        <f>Model!DC195+Model!DD195+Model!DE195</f>
        <v>0</v>
      </c>
    </row>
    <row r="32" ht="15" customFormat="1" customHeight="1" s="381">
      <c r="A32" s="398" t="inlineStr">
        <is>
          <t xml:space="preserve">  Francis Steyn Fee + PIK (LIHTC)</t>
        </is>
      </c>
      <c r="B32" s="476">
        <f>Model!B196+Model!C196+Model!D196</f>
        <v>0</v>
      </c>
      <c r="C32" s="476">
        <f>Model!E196+Model!F196+Model!G196</f>
        <v>0</v>
      </c>
      <c r="D32" s="476">
        <f>Model!H196+Model!I196+Model!J196</f>
        <v>0</v>
      </c>
      <c r="E32" s="476">
        <f>Model!K196+Model!L196+Model!M196</f>
        <v>0</v>
      </c>
      <c r="F32" s="476">
        <f>Model!N196+Model!O196+Model!P196</f>
        <v>0</v>
      </c>
      <c r="G32" s="476">
        <f>Model!Q196+Model!R196+Model!S196</f>
        <v>0</v>
      </c>
      <c r="H32" s="476">
        <f>Model!T196+Model!U196+Model!V196</f>
        <v>0</v>
      </c>
      <c r="I32" s="476">
        <f>Model!W196+Model!X196+Model!Y196</f>
        <v>0</v>
      </c>
      <c r="J32" s="476">
        <f>Model!Z196+Model!AA196+Model!AB196</f>
        <v>0</v>
      </c>
      <c r="K32" s="476">
        <f>Model!AC196+Model!AD196+Model!AE196</f>
        <v>0</v>
      </c>
      <c r="L32" s="476">
        <f>Model!AF196+Model!AG196+Model!AH196</f>
        <v>0</v>
      </c>
      <c r="M32" s="476">
        <f>Model!AI196+Model!AJ196+Model!AK196</f>
        <v>0</v>
      </c>
      <c r="N32" s="476">
        <f>Model!AL196+Model!AM196+Model!AN196</f>
        <v>0</v>
      </c>
      <c r="O32" s="476">
        <f>Model!AO196+Model!AP196+Model!AQ196</f>
        <v>0</v>
      </c>
      <c r="P32" s="476">
        <f>Model!AR196+Model!AS196+Model!AT196</f>
        <v>-81683</v>
      </c>
      <c r="Q32" s="476">
        <f>Model!AU196+Model!AV196+Model!AW196</f>
        <v>-81682</v>
      </c>
      <c r="R32" s="476">
        <f>Model!AX196+Model!AY196+Model!AZ196</f>
        <v>-81682</v>
      </c>
      <c r="S32" s="476">
        <f>Model!BA196+Model!BB196+Model!BC196</f>
        <v>-81682</v>
      </c>
      <c r="T32" s="476">
        <f>Model!BD196+Model!BE196+Model!BF196</f>
        <v>-59178</v>
      </c>
      <c r="U32" s="476">
        <f>Model!BG196+Model!BH196+Model!BI196</f>
        <v>-59176</v>
      </c>
      <c r="V32" s="476">
        <f>Model!BJ196+Model!BK196+Model!BL196</f>
        <v>-59176</v>
      </c>
      <c r="W32" s="476">
        <f>Model!BM196+Model!BN196+Model!BO196</f>
        <v>-59176</v>
      </c>
      <c r="X32" s="476">
        <f>Model!BP196+Model!BQ196+Model!BR196</f>
        <v>-14512.65</v>
      </c>
      <c r="Y32" s="476">
        <f>Model!BS196+Model!BT196+Model!BU196</f>
        <v>0</v>
      </c>
      <c r="Z32" s="476">
        <f>Model!BV196+Model!BW196+Model!BX196</f>
        <v>0</v>
      </c>
      <c r="AA32" s="476">
        <f>Model!BY196+Model!BZ196+Model!CA196</f>
        <v>0</v>
      </c>
      <c r="AB32" s="476">
        <f>Model!CB196+Model!CC196+Model!CD196</f>
        <v>0</v>
      </c>
      <c r="AC32" s="476">
        <f>Model!CE196+Model!CF196+Model!CG196</f>
        <v>0</v>
      </c>
      <c r="AD32" s="476">
        <f>Model!CH196+Model!CI196+Model!CJ196</f>
        <v>0</v>
      </c>
      <c r="AE32" s="476">
        <f>Model!CK196+Model!CL196+Model!CM196</f>
        <v>0</v>
      </c>
      <c r="AF32" s="476">
        <f>Model!CN196+Model!CO196+Model!CP196</f>
        <v>0</v>
      </c>
      <c r="AG32" s="476">
        <f>Model!CQ196+Model!CR196+Model!CS196</f>
        <v>0</v>
      </c>
      <c r="AH32" s="476">
        <f>Model!CT196+Model!CU196+Model!CV196</f>
        <v>0</v>
      </c>
      <c r="AI32" s="476">
        <f>Model!CW196+Model!CX196+Model!CY196</f>
        <v>0</v>
      </c>
      <c r="AJ32" s="476">
        <f>Model!CZ196+Model!DA196+Model!DB196</f>
        <v>0</v>
      </c>
      <c r="AK32" s="476">
        <f>Model!DC196+Model!DD196+Model!DE196</f>
        <v>0</v>
      </c>
    </row>
    <row r="33" ht="15" customFormat="1" customHeight="1" s="381">
      <c r="A33" s="398" t="inlineStr">
        <is>
          <t xml:space="preserve">  Reseda Steyn Fee + PIK (LIHTC)</t>
        </is>
      </c>
      <c r="B33" s="476">
        <f>Model!B197+Model!C197+Model!D197</f>
        <v>0</v>
      </c>
      <c r="C33" s="476">
        <f>Model!E197+Model!F197+Model!G197</f>
        <v>0</v>
      </c>
      <c r="D33" s="476">
        <f>Model!H197+Model!I197+Model!J197</f>
        <v>0</v>
      </c>
      <c r="E33" s="476">
        <f>Model!K197+Model!L197+Model!M197</f>
        <v>0</v>
      </c>
      <c r="F33" s="476">
        <f>Model!N197+Model!O197+Model!P197</f>
        <v>0</v>
      </c>
      <c r="G33" s="476">
        <f>Model!Q197+Model!R197+Model!S197</f>
        <v>0</v>
      </c>
      <c r="H33" s="476">
        <f>Model!T197+Model!U197+Model!V197</f>
        <v>0</v>
      </c>
      <c r="I33" s="476">
        <f>Model!W197+Model!X197+Model!Y197</f>
        <v>0</v>
      </c>
      <c r="J33" s="476">
        <f>Model!Z197+Model!AA197+Model!AB197</f>
        <v>0</v>
      </c>
      <c r="K33" s="476">
        <f>Model!AC197+Model!AD197+Model!AE197</f>
        <v>0</v>
      </c>
      <c r="L33" s="476">
        <f>Model!AF197+Model!AG197+Model!AH197</f>
        <v>0</v>
      </c>
      <c r="M33" s="476">
        <f>Model!AI197+Model!AJ197+Model!AK197</f>
        <v>0</v>
      </c>
      <c r="N33" s="476">
        <f>Model!AL197+Model!AM197+Model!AN197</f>
        <v>0</v>
      </c>
      <c r="O33" s="476">
        <f>Model!AO197+Model!AP197+Model!AQ197</f>
        <v>0</v>
      </c>
      <c r="P33" s="476">
        <f>Model!AR197+Model!AS197+Model!AT197</f>
        <v>0</v>
      </c>
      <c r="Q33" s="476">
        <f>Model!AU197+Model!AV197+Model!AW197</f>
        <v>0</v>
      </c>
      <c r="R33" s="476">
        <f>Model!AX197+Model!AY197+Model!AZ197</f>
        <v>0</v>
      </c>
      <c r="S33" s="476">
        <f>Model!BA197+Model!BB197+Model!BC197</f>
        <v>-851839</v>
      </c>
      <c r="T33" s="476">
        <f>Model!BD197+Model!BE197+Model!BF197</f>
        <v>-71700</v>
      </c>
      <c r="U33" s="476">
        <f>Model!BG197+Model!BH197+Model!BI197</f>
        <v>-71700</v>
      </c>
      <c r="V33" s="476">
        <f>Model!BJ197+Model!BK197+Model!BL197</f>
        <v>-71700</v>
      </c>
      <c r="W33" s="476">
        <f>Model!BM197+Model!BN197+Model!BO197</f>
        <v>-71700</v>
      </c>
      <c r="X33" s="476">
        <f>Model!BP197+Model!BQ197+Model!BR197</f>
        <v>-74643</v>
      </c>
      <c r="Y33" s="476">
        <f>Model!BS197+Model!BT197+Model!BU197</f>
        <v>-74640</v>
      </c>
      <c r="Z33" s="476">
        <f>Model!BV197+Model!BW197+Model!BX197</f>
        <v>-74640</v>
      </c>
      <c r="AA33" s="476">
        <f>Model!BY197+Model!BZ197+Model!CA197</f>
        <v>-74640</v>
      </c>
      <c r="AB33" s="476">
        <f>Model!CB197+Model!CC197+Model!CD197</f>
        <v>-81363</v>
      </c>
      <c r="AC33" s="476">
        <f>Model!CE197+Model!CF197+Model!CG197</f>
        <v>-81362</v>
      </c>
      <c r="AD33" s="476">
        <f>Model!CH197+Model!CI197+Model!CJ197</f>
        <v>-74753.9733935208</v>
      </c>
      <c r="AE33" s="476">
        <f>Model!CK197+Model!CL197+Model!CM197</f>
        <v>0</v>
      </c>
      <c r="AF33" s="476">
        <f>Model!CN197+Model!CO197+Model!CP197</f>
        <v>0</v>
      </c>
      <c r="AG33" s="476">
        <f>Model!CQ197+Model!CR197+Model!CS197</f>
        <v>0</v>
      </c>
      <c r="AH33" s="476">
        <f>Model!CT197+Model!CU197+Model!CV197</f>
        <v>0</v>
      </c>
      <c r="AI33" s="476">
        <f>Model!CW197+Model!CX197+Model!CY197</f>
        <v>0</v>
      </c>
      <c r="AJ33" s="476">
        <f>Model!CZ197+Model!DA197+Model!DB197</f>
        <v>0</v>
      </c>
      <c r="AK33" s="476">
        <f>Model!DC197+Model!DD197+Model!DE197</f>
        <v>0</v>
      </c>
    </row>
    <row r="34" ht="15" customFormat="1" customHeight="1" s="381">
      <c r="A34" s="398" t="inlineStr">
        <is>
          <t xml:space="preserve">  3rd St Steyn Fee + PIK (LIHTC)</t>
        </is>
      </c>
      <c r="B34" s="476">
        <f>Model!B198+Model!C198+Model!D198</f>
        <v>0</v>
      </c>
      <c r="C34" s="476">
        <f>Model!E198+Model!F198+Model!G198</f>
        <v>0</v>
      </c>
      <c r="D34" s="476">
        <f>Model!H198+Model!I198+Model!J198</f>
        <v>0</v>
      </c>
      <c r="E34" s="476">
        <f>Model!K198+Model!L198+Model!M198</f>
        <v>0</v>
      </c>
      <c r="F34" s="476">
        <f>Model!N198+Model!O198+Model!P198</f>
        <v>0</v>
      </c>
      <c r="G34" s="476">
        <f>Model!Q198+Model!R198+Model!S198</f>
        <v>0</v>
      </c>
      <c r="H34" s="476">
        <f>Model!T198+Model!U198+Model!V198</f>
        <v>0</v>
      </c>
      <c r="I34" s="476">
        <f>Model!W198+Model!X198+Model!Y198</f>
        <v>0</v>
      </c>
      <c r="J34" s="476">
        <f>Model!Z198+Model!AA198+Model!AB198</f>
        <v>0</v>
      </c>
      <c r="K34" s="476">
        <f>Model!AC198+Model!AD198+Model!AE198</f>
        <v>0</v>
      </c>
      <c r="L34" s="476">
        <f>Model!AF198+Model!AG198+Model!AH198</f>
        <v>0</v>
      </c>
      <c r="M34" s="476">
        <f>Model!AI198+Model!AJ198+Model!AK198</f>
        <v>0</v>
      </c>
      <c r="N34" s="476">
        <f>Model!AL198+Model!AM198+Model!AN198</f>
        <v>0</v>
      </c>
      <c r="O34" s="476">
        <f>Model!AO198+Model!AP198+Model!AQ198</f>
        <v>0</v>
      </c>
      <c r="P34" s="476">
        <f>Model!AR198+Model!AS198+Model!AT198</f>
        <v>0</v>
      </c>
      <c r="Q34" s="476">
        <f>Model!AU198+Model!AV198+Model!AW198</f>
        <v>0</v>
      </c>
      <c r="R34" s="476">
        <f>Model!AX198+Model!AY198+Model!AZ198</f>
        <v>0</v>
      </c>
      <c r="S34" s="476">
        <f>Model!BA198+Model!BB198+Model!BC198</f>
        <v>0</v>
      </c>
      <c r="T34" s="476">
        <f>Model!BD198+Model!BE198+Model!BF198</f>
        <v>0</v>
      </c>
      <c r="U34" s="476">
        <f>Model!BG198+Model!BH198+Model!BI198</f>
        <v>0</v>
      </c>
      <c r="V34" s="476">
        <f>Model!BJ198+Model!BK198+Model!BL198</f>
        <v>0</v>
      </c>
      <c r="W34" s="476">
        <f>Model!BM198+Model!BN198+Model!BO198</f>
        <v>0</v>
      </c>
      <c r="X34" s="476">
        <f>Model!BP198+Model!BQ198+Model!BR198</f>
        <v>0</v>
      </c>
      <c r="Y34" s="476">
        <f>Model!BS198+Model!BT198+Model!BU198</f>
        <v>0</v>
      </c>
      <c r="Z34" s="476">
        <f>Model!BV198+Model!BW198+Model!BX198</f>
        <v>0</v>
      </c>
      <c r="AA34" s="476">
        <f>Model!BY198+Model!BZ198+Model!CA198</f>
        <v>-73156</v>
      </c>
      <c r="AB34" s="476">
        <f>Model!CB198+Model!CC198+Model!CD198</f>
        <v>-73155</v>
      </c>
      <c r="AC34" s="476">
        <f>Model!CE198+Model!CF198+Model!CG198</f>
        <v>-73155</v>
      </c>
      <c r="AD34" s="476">
        <f>Model!CH198+Model!CI198+Model!CJ198</f>
        <v>-73155</v>
      </c>
      <c r="AE34" s="476">
        <f>Model!CK198+Model!CL198+Model!CM198</f>
        <v>-219465</v>
      </c>
      <c r="AF34" s="476">
        <f>Model!CN198+Model!CO198+Model!CP198</f>
        <v>-219465</v>
      </c>
      <c r="AG34" s="476">
        <f>Model!CQ198+Model!CR198+Model!CS198</f>
        <v>-219465</v>
      </c>
      <c r="AH34" s="476">
        <f>Model!CT198+Model!CU198+Model!CV198</f>
        <v>-219465</v>
      </c>
      <c r="AI34" s="476">
        <f>Model!CW198+Model!CX198+Model!CY198</f>
        <v>-17446.8489364072</v>
      </c>
      <c r="AJ34" s="476">
        <f>Model!CZ198+Model!DA198+Model!DB198</f>
        <v>0</v>
      </c>
      <c r="AK34" s="476">
        <f>Model!DC198+Model!DD198+Model!DE198</f>
        <v>0</v>
      </c>
    </row>
    <row r="35" ht="15" customFormat="1" customHeight="1" s="381">
      <c r="A35" s="383" t="n"/>
      <c r="B35" s="383" t="n"/>
      <c r="C35" s="383" t="n"/>
      <c r="D35" s="383" t="n"/>
      <c r="E35" s="383" t="n"/>
      <c r="F35" s="383" t="n"/>
      <c r="G35" s="383" t="n"/>
      <c r="H35" s="383" t="n"/>
      <c r="I35" s="383" t="n"/>
      <c r="J35" s="383" t="n"/>
      <c r="K35" s="383" t="n"/>
      <c r="L35" s="383" t="n"/>
      <c r="M35" s="383" t="n"/>
      <c r="N35" s="383" t="n"/>
      <c r="O35" s="383" t="n"/>
      <c r="P35" s="383" t="n"/>
      <c r="Q35" s="383" t="n"/>
      <c r="R35" s="383" t="n"/>
      <c r="S35" s="383" t="n"/>
      <c r="T35" s="383" t="n"/>
      <c r="U35" s="383" t="n"/>
      <c r="V35" s="383" t="n"/>
      <c r="W35" s="383" t="n"/>
      <c r="X35" s="383" t="n"/>
      <c r="Y35" s="383" t="n"/>
      <c r="Z35" s="383" t="n"/>
      <c r="AA35" s="383" t="n"/>
      <c r="AB35" s="383" t="n"/>
      <c r="AC35" s="383" t="n"/>
      <c r="AD35" s="383" t="n"/>
      <c r="AE35" s="383" t="n"/>
      <c r="AF35" s="383" t="n"/>
      <c r="AG35" s="383" t="n"/>
      <c r="AH35" s="383" t="n"/>
      <c r="AI35" s="383" t="n"/>
      <c r="AJ35" s="383" t="n"/>
      <c r="AK35" s="383" t="n"/>
    </row>
    <row r="36" ht="15" customFormat="1" customHeight="1" s="381">
      <c r="A36" s="403" t="inlineStr">
        <is>
          <t>Debt Facilities</t>
        </is>
      </c>
      <c r="B36" s="403" t="n"/>
      <c r="C36" s="403" t="n"/>
      <c r="D36" s="403" t="n"/>
      <c r="E36" s="403" t="n"/>
      <c r="F36" s="403" t="n"/>
      <c r="G36" s="403" t="n"/>
      <c r="H36" s="403" t="n"/>
      <c r="I36" s="403" t="n"/>
      <c r="J36" s="403" t="n"/>
      <c r="K36" s="403" t="n"/>
      <c r="L36" s="403" t="n"/>
      <c r="M36" s="403" t="n"/>
      <c r="N36" s="403" t="n"/>
      <c r="O36" s="403" t="n"/>
      <c r="P36" s="403" t="n"/>
      <c r="Q36" s="403" t="n"/>
      <c r="R36" s="403" t="n"/>
      <c r="S36" s="403" t="n"/>
      <c r="T36" s="403" t="n"/>
      <c r="U36" s="403" t="n"/>
      <c r="V36" s="403" t="n"/>
      <c r="W36" s="403" t="n"/>
      <c r="X36" s="403" t="n"/>
      <c r="Y36" s="403" t="n"/>
      <c r="Z36" s="403" t="n"/>
      <c r="AA36" s="403" t="n"/>
      <c r="AB36" s="403" t="n"/>
      <c r="AC36" s="403" t="n"/>
      <c r="AD36" s="403" t="n"/>
      <c r="AE36" s="403" t="n"/>
      <c r="AF36" s="403" t="n"/>
      <c r="AG36" s="403" t="n"/>
      <c r="AH36" s="403" t="n"/>
      <c r="AI36" s="403" t="n"/>
      <c r="AJ36" s="403" t="n"/>
      <c r="AK36" s="403" t="n"/>
    </row>
    <row r="37" ht="15" customFormat="1" customHeight="1" s="381">
      <c r="A37" s="398" t="inlineStr">
        <is>
          <t xml:space="preserve">  Debt Facility Payment</t>
        </is>
      </c>
      <c r="B37" s="476">
        <f>Model!B217+Model!C217+Model!D217</f>
        <v>0</v>
      </c>
      <c r="C37" s="476">
        <f>Model!E217+Model!F217+Model!G217</f>
        <v>0</v>
      </c>
      <c r="D37" s="476">
        <f>Model!H217+Model!I217+Model!J217</f>
        <v>0</v>
      </c>
      <c r="E37" s="476">
        <f>Model!K217+Model!L217+Model!M217</f>
        <v>0</v>
      </c>
      <c r="F37" s="476">
        <f>Model!N217+Model!O217+Model!P217</f>
        <v>-336000</v>
      </c>
      <c r="G37" s="476">
        <f>Model!Q217+Model!R217+Model!S217</f>
        <v>-336000</v>
      </c>
      <c r="H37" s="476">
        <f>Model!T217+Model!U217+Model!V217</f>
        <v>-336000</v>
      </c>
      <c r="I37" s="476">
        <f>Model!W217+Model!X217+Model!Y217</f>
        <v>-336000</v>
      </c>
      <c r="J37" s="476">
        <f>Model!Z217+Model!AA217+Model!AB217</f>
        <v>-336000</v>
      </c>
      <c r="K37" s="476">
        <f>Model!AC217+Model!AD217+Model!AE217</f>
        <v>-315981.430278598</v>
      </c>
      <c r="L37" s="476">
        <f>Model!AF217+Model!AG217+Model!AH217</f>
        <v>0</v>
      </c>
      <c r="M37" s="476">
        <f>Model!AI217+Model!AJ217+Model!AK217</f>
        <v>0</v>
      </c>
      <c r="N37" s="476">
        <f>Model!AL217+Model!AM217+Model!AN217</f>
        <v>0</v>
      </c>
      <c r="O37" s="476">
        <f>Model!AO217+Model!AP217+Model!AQ217</f>
        <v>0</v>
      </c>
      <c r="P37" s="476">
        <f>Model!AR217+Model!AS217+Model!AT217</f>
        <v>0</v>
      </c>
      <c r="Q37" s="476">
        <f>Model!AU217+Model!AV217+Model!AW217</f>
        <v>0</v>
      </c>
      <c r="R37" s="476">
        <f>Model!AX217+Model!AY217+Model!AZ217</f>
        <v>0</v>
      </c>
      <c r="S37" s="476">
        <f>Model!BA217+Model!BB217+Model!BC217</f>
        <v>0</v>
      </c>
      <c r="T37" s="476">
        <f>Model!BD217+Model!BE217+Model!BF217</f>
        <v>0</v>
      </c>
      <c r="U37" s="476">
        <f>Model!BG217+Model!BH217+Model!BI217</f>
        <v>0</v>
      </c>
      <c r="V37" s="476">
        <f>Model!BJ217+Model!BK217+Model!BL217</f>
        <v>0</v>
      </c>
      <c r="W37" s="476">
        <f>Model!BM217+Model!BN217+Model!BO217</f>
        <v>0</v>
      </c>
      <c r="X37" s="476">
        <f>Model!BP217+Model!BQ217+Model!BR217</f>
        <v>0</v>
      </c>
      <c r="Y37" s="476">
        <f>Model!BS217+Model!BT217+Model!BU217</f>
        <v>0</v>
      </c>
      <c r="Z37" s="476">
        <f>Model!BV217+Model!BW217+Model!BX217</f>
        <v>0</v>
      </c>
      <c r="AA37" s="476">
        <f>Model!BY217+Model!BZ217+Model!CA217</f>
        <v>0</v>
      </c>
      <c r="AB37" s="476">
        <f>Model!CB217+Model!CC217+Model!CD217</f>
        <v>0</v>
      </c>
      <c r="AC37" s="476">
        <f>Model!CE217+Model!CF217+Model!CG217</f>
        <v>0</v>
      </c>
      <c r="AD37" s="476">
        <f>Model!CH217+Model!CI217+Model!CJ217</f>
        <v>0</v>
      </c>
      <c r="AE37" s="476">
        <f>Model!CK217+Model!CL217+Model!CM217</f>
        <v>0</v>
      </c>
      <c r="AF37" s="476">
        <f>Model!CN217+Model!CO217+Model!CP217</f>
        <v>0</v>
      </c>
      <c r="AG37" s="476">
        <f>Model!CQ217+Model!CR217+Model!CS217</f>
        <v>0</v>
      </c>
      <c r="AH37" s="476">
        <f>Model!CT217+Model!CU217+Model!CV217</f>
        <v>0</v>
      </c>
      <c r="AI37" s="476">
        <f>Model!CW217+Model!CX217+Model!CY217</f>
        <v>0</v>
      </c>
      <c r="AJ37" s="476">
        <f>Model!CZ217+Model!DA217+Model!DB217</f>
        <v>0</v>
      </c>
      <c r="AK37" s="476">
        <f>Model!DC217+Model!DD217+Model!DE217</f>
        <v>0</v>
      </c>
    </row>
    <row r="38" ht="15" customFormat="1" customHeight="1" s="381">
      <c r="A38" s="398" t="inlineStr">
        <is>
          <t xml:space="preserve">  Debt Facility Balance</t>
        </is>
      </c>
      <c r="B38" s="476">
        <f>Model!D218</f>
        <v>0</v>
      </c>
      <c r="C38" s="476">
        <f>Model!G218</f>
        <v>1676065.6875</v>
      </c>
      <c r="D38" s="476">
        <f>Model!J218</f>
        <v>1738918.15078125</v>
      </c>
      <c r="E38" s="476">
        <f>Model!M218</f>
        <v>1804127.58143555</v>
      </c>
      <c r="F38" s="476">
        <f>Model!P218</f>
        <v>1527382.36573938</v>
      </c>
      <c r="G38" s="476">
        <f>Model!S218</f>
        <v>1240259.20445461</v>
      </c>
      <c r="H38" s="476">
        <f>Model!V218</f>
        <v>942368.924621655</v>
      </c>
      <c r="I38" s="476">
        <f>Model!Y218</f>
        <v>633307.759294967</v>
      </c>
      <c r="J38" s="476">
        <f>Model!AB218</f>
        <v>312656.800268528</v>
      </c>
      <c r="K38" s="476">
        <f>Model!AE218</f>
        <v>0</v>
      </c>
      <c r="L38" s="476">
        <f>Model!AH218</f>
        <v>0</v>
      </c>
      <c r="M38" s="476">
        <f>Model!AK218</f>
        <v>0</v>
      </c>
      <c r="N38" s="476">
        <f>Model!AN218</f>
        <v>0</v>
      </c>
      <c r="O38" s="476">
        <f>Model!AQ218</f>
        <v>0</v>
      </c>
      <c r="P38" s="476">
        <f>Model!AT218</f>
        <v>0</v>
      </c>
      <c r="Q38" s="476">
        <f>Model!AW218</f>
        <v>0</v>
      </c>
      <c r="R38" s="476">
        <f>Model!AZ218</f>
        <v>0</v>
      </c>
      <c r="S38" s="476">
        <f>Model!BC218</f>
        <v>0</v>
      </c>
      <c r="T38" s="476">
        <f>Model!BF218</f>
        <v>0</v>
      </c>
      <c r="U38" s="476">
        <f>Model!BI218</f>
        <v>0</v>
      </c>
      <c r="V38" s="476">
        <f>Model!BL218</f>
        <v>0</v>
      </c>
      <c r="W38" s="476">
        <f>Model!BO218</f>
        <v>0</v>
      </c>
      <c r="X38" s="476">
        <f>Model!BR218</f>
        <v>0</v>
      </c>
      <c r="Y38" s="476">
        <f>Model!BU218</f>
        <v>0</v>
      </c>
      <c r="Z38" s="476">
        <f>Model!BX218</f>
        <v>0</v>
      </c>
      <c r="AA38" s="476">
        <f>Model!CA218</f>
        <v>0</v>
      </c>
      <c r="AB38" s="476">
        <f>Model!CD218</f>
        <v>0</v>
      </c>
      <c r="AC38" s="476">
        <f>Model!CG218</f>
        <v>0</v>
      </c>
      <c r="AD38" s="476">
        <f>Model!CJ218</f>
        <v>0</v>
      </c>
      <c r="AE38" s="476">
        <f>Model!CM218</f>
        <v>0</v>
      </c>
      <c r="AF38" s="476">
        <f>Model!CP218</f>
        <v>0</v>
      </c>
      <c r="AG38" s="476">
        <f>Model!CS218</f>
        <v>0</v>
      </c>
      <c r="AH38" s="476">
        <f>Model!CV218</f>
        <v>0</v>
      </c>
      <c r="AI38" s="476">
        <f>Model!CY218</f>
        <v>0</v>
      </c>
      <c r="AJ38" s="476">
        <f>Model!DB218</f>
        <v>0</v>
      </c>
      <c r="AK38" s="476">
        <f>Model!DE218</f>
        <v>0</v>
      </c>
    </row>
    <row r="39" ht="15" customFormat="1" customHeight="1" s="381">
      <c r="A39" s="398" t="inlineStr">
        <is>
          <t xml:space="preserve">  Row Run Capital Payment</t>
        </is>
      </c>
      <c r="B39" s="476">
        <f>Model!B223+Model!C223+Model!D223</f>
        <v>0</v>
      </c>
      <c r="C39" s="476">
        <f>Model!E223+Model!F223+Model!G223</f>
        <v>0</v>
      </c>
      <c r="D39" s="476">
        <f>Model!H223+Model!I223+Model!J223</f>
        <v>0</v>
      </c>
      <c r="E39" s="476">
        <f>Model!K223+Model!L223+Model!M223</f>
        <v>0</v>
      </c>
      <c r="F39" s="476">
        <f>Model!N223+Model!O223+Model!P223</f>
        <v>0</v>
      </c>
      <c r="G39" s="476">
        <f>Model!Q223+Model!R223+Model!S223</f>
        <v>0</v>
      </c>
      <c r="H39" s="476">
        <f>Model!T223+Model!U223+Model!V223</f>
        <v>0</v>
      </c>
      <c r="I39" s="476">
        <f>Model!W223+Model!X223+Model!Y223</f>
        <v>0</v>
      </c>
      <c r="J39" s="476">
        <f>Model!Z223+Model!AA223+Model!AB223</f>
        <v>-250000</v>
      </c>
      <c r="K39" s="476">
        <f>Model!AC223+Model!AD223+Model!AE223</f>
        <v>0</v>
      </c>
      <c r="L39" s="476">
        <f>Model!AF223+Model!AG223+Model!AH223</f>
        <v>0</v>
      </c>
      <c r="M39" s="476">
        <f>Model!AI223+Model!AJ223+Model!AK223</f>
        <v>0</v>
      </c>
      <c r="N39" s="476">
        <f>Model!AL223+Model!AM223+Model!AN223</f>
        <v>-250000</v>
      </c>
      <c r="O39" s="476">
        <f>Model!AO223+Model!AP223+Model!AQ223</f>
        <v>0</v>
      </c>
      <c r="P39" s="476">
        <f>Model!AR223+Model!AS223+Model!AT223</f>
        <v>0</v>
      </c>
      <c r="Q39" s="476">
        <f>Model!AU223+Model!AV223+Model!AW223</f>
        <v>0</v>
      </c>
      <c r="R39" s="476">
        <f>Model!AX223+Model!AY223+Model!AZ223</f>
        <v>-250000</v>
      </c>
      <c r="S39" s="476">
        <f>Model!BA223+Model!BB223+Model!BC223</f>
        <v>0</v>
      </c>
      <c r="T39" s="476">
        <f>Model!BD223+Model!BE223+Model!BF223</f>
        <v>0</v>
      </c>
      <c r="U39" s="476">
        <f>Model!BG223+Model!BH223+Model!BI223</f>
        <v>0</v>
      </c>
      <c r="V39" s="476">
        <f>Model!BJ223+Model!BK223+Model!BL223</f>
        <v>-250000</v>
      </c>
      <c r="W39" s="476">
        <f>Model!BM223+Model!BN223+Model!BO223</f>
        <v>0</v>
      </c>
      <c r="X39" s="476">
        <f>Model!BP223+Model!BQ223+Model!BR223</f>
        <v>0</v>
      </c>
      <c r="Y39" s="476">
        <f>Model!BS223+Model!BT223+Model!BU223</f>
        <v>0</v>
      </c>
      <c r="Z39" s="476">
        <f>Model!BV223+Model!BW223+Model!BX223</f>
        <v>0</v>
      </c>
      <c r="AA39" s="476">
        <f>Model!BY223+Model!BZ223+Model!CA223</f>
        <v>0</v>
      </c>
      <c r="AB39" s="476">
        <f>Model!CB223+Model!CC223+Model!CD223</f>
        <v>0</v>
      </c>
      <c r="AC39" s="476">
        <f>Model!CE223+Model!CF223+Model!CG223</f>
        <v>0</v>
      </c>
      <c r="AD39" s="476">
        <f>Model!CH223+Model!CI223+Model!CJ223</f>
        <v>0</v>
      </c>
      <c r="AE39" s="476">
        <f>Model!CK223+Model!CL223+Model!CM223</f>
        <v>0</v>
      </c>
      <c r="AF39" s="476">
        <f>Model!CN223+Model!CO223+Model!CP223</f>
        <v>0</v>
      </c>
      <c r="AG39" s="476">
        <f>Model!CQ223+Model!CR223+Model!CS223</f>
        <v>0</v>
      </c>
      <c r="AH39" s="476">
        <f>Model!CT223+Model!CU223+Model!CV223</f>
        <v>0</v>
      </c>
      <c r="AI39" s="476">
        <f>Model!CW223+Model!CX223+Model!CY223</f>
        <v>0</v>
      </c>
      <c r="AJ39" s="476">
        <f>Model!CZ223+Model!DA223+Model!DB223</f>
        <v>0</v>
      </c>
      <c r="AK39" s="476">
        <f>Model!DC223+Model!DD223+Model!DE223</f>
        <v>0</v>
      </c>
    </row>
    <row r="40" ht="15" customFormat="1" customHeight="1" s="381">
      <c r="A40" s="398" t="inlineStr">
        <is>
          <t xml:space="preserve">  Row Run Capital Balance</t>
        </is>
      </c>
      <c r="B40" s="476">
        <f>Model!D224</f>
        <v>0</v>
      </c>
      <c r="C40" s="476">
        <f>Model!G224</f>
        <v>1000000</v>
      </c>
      <c r="D40" s="476">
        <f>Model!J224</f>
        <v>1000000</v>
      </c>
      <c r="E40" s="476">
        <f>Model!M224</f>
        <v>1000000</v>
      </c>
      <c r="F40" s="476">
        <f>Model!P224</f>
        <v>1000000</v>
      </c>
      <c r="G40" s="476">
        <f>Model!S224</f>
        <v>1000000</v>
      </c>
      <c r="H40" s="476">
        <f>Model!V224</f>
        <v>1000000</v>
      </c>
      <c r="I40" s="476">
        <f>Model!Y224</f>
        <v>1000000</v>
      </c>
      <c r="J40" s="476">
        <f>Model!AB224</f>
        <v>750000</v>
      </c>
      <c r="K40" s="476">
        <f>Model!AE224</f>
        <v>750000</v>
      </c>
      <c r="L40" s="476">
        <f>Model!AH224</f>
        <v>750000</v>
      </c>
      <c r="M40" s="476">
        <f>Model!AK224</f>
        <v>750000</v>
      </c>
      <c r="N40" s="476">
        <f>Model!AN224</f>
        <v>500000</v>
      </c>
      <c r="O40" s="476">
        <f>Model!AQ224</f>
        <v>500000</v>
      </c>
      <c r="P40" s="476">
        <f>Model!AT224</f>
        <v>500000</v>
      </c>
      <c r="Q40" s="476">
        <f>Model!AW224</f>
        <v>500000</v>
      </c>
      <c r="R40" s="476">
        <f>Model!AZ224</f>
        <v>250000</v>
      </c>
      <c r="S40" s="476">
        <f>Model!BC224</f>
        <v>250000</v>
      </c>
      <c r="T40" s="476">
        <f>Model!BF224</f>
        <v>250000</v>
      </c>
      <c r="U40" s="476">
        <f>Model!BI224</f>
        <v>250000</v>
      </c>
      <c r="V40" s="476">
        <f>Model!BL224</f>
        <v>0</v>
      </c>
      <c r="W40" s="476">
        <f>Model!BO224</f>
        <v>0</v>
      </c>
      <c r="X40" s="476">
        <f>Model!BR224</f>
        <v>0</v>
      </c>
      <c r="Y40" s="476">
        <f>Model!BU224</f>
        <v>0</v>
      </c>
      <c r="Z40" s="476">
        <f>Model!BX224</f>
        <v>0</v>
      </c>
      <c r="AA40" s="476">
        <f>Model!CA224</f>
        <v>0</v>
      </c>
      <c r="AB40" s="476">
        <f>Model!CD224</f>
        <v>0</v>
      </c>
      <c r="AC40" s="476">
        <f>Model!CG224</f>
        <v>0</v>
      </c>
      <c r="AD40" s="476">
        <f>Model!CJ224</f>
        <v>0</v>
      </c>
      <c r="AE40" s="476">
        <f>Model!CM224</f>
        <v>0</v>
      </c>
      <c r="AF40" s="476">
        <f>Model!CP224</f>
        <v>0</v>
      </c>
      <c r="AG40" s="476">
        <f>Model!CS224</f>
        <v>0</v>
      </c>
      <c r="AH40" s="476">
        <f>Model!CV224</f>
        <v>0</v>
      </c>
      <c r="AI40" s="476">
        <f>Model!CY224</f>
        <v>0</v>
      </c>
      <c r="AJ40" s="476">
        <f>Model!DB224</f>
        <v>0</v>
      </c>
      <c r="AK40" s="476">
        <f>Model!DE224</f>
        <v>0</v>
      </c>
    </row>
    <row r="41" ht="15" customFormat="1" customHeight="1" s="381">
      <c r="A41" s="398" t="inlineStr">
        <is>
          <t xml:space="preserve">  PIK Repayment (in Steyn + PIK above)</t>
        </is>
      </c>
      <c r="B41" s="476">
        <f>Model!B277+Model!C277+Model!D277</f>
        <v>0</v>
      </c>
      <c r="C41" s="476">
        <f>Model!E277+Model!F277+Model!G277</f>
        <v>0</v>
      </c>
      <c r="D41" s="476">
        <f>Model!H277+Model!I277+Model!J277</f>
        <v>0</v>
      </c>
      <c r="E41" s="476">
        <f>Model!K277+Model!L277+Model!M277</f>
        <v>0</v>
      </c>
      <c r="F41" s="476">
        <f>Model!N277+Model!O277+Model!P277</f>
        <v>0</v>
      </c>
      <c r="G41" s="476">
        <f>Model!Q277+Model!R277+Model!S277</f>
        <v>0</v>
      </c>
      <c r="H41" s="476">
        <f>Model!T277+Model!U277+Model!V277</f>
        <v>0</v>
      </c>
      <c r="I41" s="476">
        <f>Model!W277+Model!X277+Model!Y277</f>
        <v>0</v>
      </c>
      <c r="J41" s="476">
        <f>Model!Z277+Model!AA277+Model!AB277</f>
        <v>0</v>
      </c>
      <c r="K41" s="476">
        <f>Model!AC277+Model!AD277+Model!AE277</f>
        <v>0</v>
      </c>
      <c r="L41" s="476">
        <f>Model!AF277+Model!AG277+Model!AH277</f>
        <v>0</v>
      </c>
      <c r="M41" s="476">
        <f>Model!AI277+Model!AJ277+Model!AK277</f>
        <v>0</v>
      </c>
      <c r="N41" s="476">
        <f>Model!AL277+Model!AM277+Model!AN277</f>
        <v>0</v>
      </c>
      <c r="O41" s="476">
        <f>Model!AO277+Model!AP277+Model!AQ277</f>
        <v>0</v>
      </c>
      <c r="P41" s="476">
        <f>Model!AR277+Model!AS277+Model!AT277</f>
        <v>0</v>
      </c>
      <c r="Q41" s="476">
        <f>Model!AU277+Model!AV277+Model!AW277</f>
        <v>0</v>
      </c>
      <c r="R41" s="476">
        <f>Model!AX277+Model!AY277+Model!AZ277</f>
        <v>0</v>
      </c>
      <c r="S41" s="476">
        <f>Model!BA277+Model!BB277+Model!BC277</f>
        <v>0</v>
      </c>
      <c r="T41" s="476">
        <f>Model!BD277+Model!BE277+Model!BF277</f>
        <v>0</v>
      </c>
      <c r="U41" s="476">
        <f>Model!BG277+Model!BH277+Model!BI277</f>
        <v>0</v>
      </c>
      <c r="V41" s="476">
        <f>Model!BJ277+Model!BK277+Model!BL277</f>
        <v>0</v>
      </c>
      <c r="W41" s="476">
        <f>Model!BM277+Model!BN277+Model!BO277</f>
        <v>0</v>
      </c>
      <c r="X41" s="476">
        <f>Model!BP277+Model!BQ277+Model!BR277</f>
        <v>0</v>
      </c>
      <c r="Y41" s="476">
        <f>Model!BS277+Model!BT277+Model!BU277</f>
        <v>0</v>
      </c>
      <c r="Z41" s="476">
        <f>Model!BV277+Model!BW277+Model!BX277</f>
        <v>0</v>
      </c>
      <c r="AA41" s="476">
        <f>Model!BY277+Model!BZ277+Model!CA277</f>
        <v>0</v>
      </c>
      <c r="AB41" s="476">
        <f>Model!CB277+Model!CC277+Model!CD277</f>
        <v>0</v>
      </c>
      <c r="AC41" s="476">
        <f>Model!CE277+Model!CF277+Model!CG277</f>
        <v>0</v>
      </c>
      <c r="AD41" s="476">
        <f>Model!CH277+Model!CI277+Model!CJ277</f>
        <v>0</v>
      </c>
      <c r="AE41" s="476">
        <f>Model!CK277+Model!CL277+Model!CM277</f>
        <v>0</v>
      </c>
      <c r="AF41" s="476">
        <f>Model!CN277+Model!CO277+Model!CP277</f>
        <v>0</v>
      </c>
      <c r="AG41" s="476">
        <f>Model!CQ277+Model!CR277+Model!CS277</f>
        <v>0</v>
      </c>
      <c r="AH41" s="476">
        <f>Model!CT277+Model!CU277+Model!CV277</f>
        <v>0</v>
      </c>
      <c r="AI41" s="476">
        <f>Model!CW277+Model!CX277+Model!CY277</f>
        <v>0</v>
      </c>
      <c r="AJ41" s="476">
        <f>Model!CZ277+Model!DA277+Model!DB277</f>
        <v>0</v>
      </c>
      <c r="AK41" s="476">
        <f>Model!DC277+Model!DD277+Model!DE277</f>
        <v>0</v>
      </c>
    </row>
    <row r="42" ht="15" customFormat="1" customHeight="1" s="381">
      <c r="A42" s="398" t="inlineStr">
        <is>
          <t xml:space="preserve">  Investment Capital Outstanding</t>
        </is>
      </c>
      <c r="B42" s="476">
        <f>Model!D231+Model!D236+Model!D241+Model!D246</f>
        <v>0</v>
      </c>
      <c r="C42" s="476">
        <f>Model!G231+Model!G236+Model!G241+Model!G246</f>
        <v>1738378.196875</v>
      </c>
      <c r="D42" s="476">
        <f>Model!J231+Model!J236+Model!J241+Model!J246</f>
        <v>2142433.65800781</v>
      </c>
      <c r="E42" s="476">
        <f>Model!M231+Model!M236+Model!M241+Model!M246</f>
        <v>2378399.92018311</v>
      </c>
      <c r="F42" s="476">
        <f>Model!P231+Model!P236+Model!P241+Model!P246</f>
        <v>2714835.55656497</v>
      </c>
      <c r="G42" s="476">
        <f>Model!S231+Model!S236+Model!S241+Model!S246</f>
        <v>1507637.52931116</v>
      </c>
      <c r="H42" s="476">
        <f>Model!V231+Model!V236+Model!V241+Model!V246</f>
        <v>1564173.93666033</v>
      </c>
      <c r="I42" s="476">
        <f>Model!Y231+Model!Y236+Model!Y241+Model!Y246</f>
        <v>1714451.09866009</v>
      </c>
      <c r="J42" s="476">
        <f>Model!AB231+Model!AB236+Model!AB241+Model!AB246</f>
        <v>1778743.01485984</v>
      </c>
      <c r="K42" s="476">
        <f>Model!AE231+Model!AE236+Model!AE241+Model!AE246</f>
        <v>961652.271667087</v>
      </c>
      <c r="L42" s="476">
        <f>Model!AH231+Model!AH236+Model!AH241+Model!AH246</f>
        <v>997714.231854602</v>
      </c>
      <c r="M42" s="476">
        <f>Model!AK231+Model!AK236+Model!AK241+Model!AK246</f>
        <v>1035128.51554915</v>
      </c>
      <c r="N42" s="476">
        <f>Model!AN231+Model!AN236+Model!AN241+Model!AN246</f>
        <v>1073945.83488224</v>
      </c>
      <c r="O42" s="476">
        <f>Model!AQ231+Model!AQ236+Model!AQ241+Model!AQ246</f>
        <v>1114218.80369033</v>
      </c>
      <c r="P42" s="476">
        <f>Model!AT231+Model!AT236+Model!AT241+Model!AT246</f>
        <v>1156002.00882871</v>
      </c>
      <c r="Q42" s="476">
        <f>Model!AW231+Model!AW236+Model!AW241+Model!AW246</f>
        <v>1199352.08415979</v>
      </c>
      <c r="R42" s="476">
        <f>Model!AZ231+Model!AZ236+Model!AZ241+Model!AZ246</f>
        <v>1244327.78731578</v>
      </c>
      <c r="S42" s="476">
        <f>Model!BC231+Model!BC236+Model!BC241+Model!BC246</f>
        <v>1041818.77934013</v>
      </c>
      <c r="T42" s="476">
        <f>Model!BF231+Model!BF236+Model!BF241+Model!BF246</f>
        <v>1009186.98356538</v>
      </c>
      <c r="U42" s="476">
        <f>Model!BI231+Model!BI236+Model!BI241+Model!BI246</f>
        <v>975331.495449082</v>
      </c>
      <c r="V42" s="476">
        <f>Model!BL231+Model!BL236+Model!BL241+Model!BL246</f>
        <v>940206.426528422</v>
      </c>
      <c r="W42" s="476">
        <f>Model!BO231+Model!BO236+Model!BO241+Model!BO246</f>
        <v>903764.167523238</v>
      </c>
      <c r="X42" s="476">
        <f>Model!BR231+Model!BR236+Model!BR241+Model!BR246</f>
        <v>863012.323805359</v>
      </c>
      <c r="Y42" s="476">
        <f>Model!BU231+Model!BU236+Model!BU241+Model!BU246</f>
        <v>820735.28594806</v>
      </c>
      <c r="Z42" s="476">
        <f>Model!BX231+Model!BX236+Model!BX241+Model!BX246</f>
        <v>776872.859171113</v>
      </c>
      <c r="AA42" s="476">
        <f>Model!CA231+Model!CA236+Model!CA241+Model!CA246</f>
        <v>731365.591390029</v>
      </c>
      <c r="AB42" s="476">
        <f>Model!CD231+Model!CD236+Model!CD241+Model!CD246</f>
        <v>677428.801067155</v>
      </c>
      <c r="AC42" s="476">
        <f>Model!CG231+Model!CG236+Model!CG241+Model!CG246</f>
        <v>621470.381107174</v>
      </c>
      <c r="AD42" s="476">
        <f>Model!CJ231+Model!CJ236+Model!CJ241+Model!CJ246</f>
        <v>570021.547005172</v>
      </c>
      <c r="AE42" s="476">
        <f>Model!CM231+Model!CM236+Model!CM241+Model!CM246</f>
        <v>591397.355017866</v>
      </c>
      <c r="AF42" s="476">
        <f>Model!CP231+Model!CP236+Model!CP241+Model!CP246</f>
        <v>442013.212831036</v>
      </c>
      <c r="AG42" s="476">
        <f>Model!CS231+Model!CS236+Model!CS241+Model!CS246</f>
        <v>233637.0833122</v>
      </c>
      <c r="AH42" s="476">
        <f>Model!CV231+Model!CV236+Model!CV241+Model!CV246</f>
        <v>17446.8489364072</v>
      </c>
      <c r="AI42" s="476">
        <f>Model!CY231+Model!CY236+Model!CY241+Model!CY246</f>
        <v>0</v>
      </c>
      <c r="AJ42" s="476">
        <f>Model!DB231+Model!DB236+Model!DB241+Model!DB246</f>
        <v>0</v>
      </c>
      <c r="AK42" s="476">
        <f>Model!DE231+Model!DE236+Model!DE241+Model!DE246</f>
        <v>0</v>
      </c>
    </row>
    <row r="43" ht="15" customFormat="1" customHeight="1" s="381">
      <c r="A43" s="383" t="n"/>
      <c r="B43" s="383" t="n"/>
      <c r="C43" s="383" t="n"/>
      <c r="D43" s="383" t="n"/>
      <c r="E43" s="383" t="n"/>
      <c r="F43" s="383" t="n"/>
      <c r="G43" s="383" t="n"/>
      <c r="H43" s="383" t="n"/>
      <c r="I43" s="383" t="n"/>
      <c r="J43" s="383" t="n"/>
      <c r="K43" s="383" t="n"/>
      <c r="L43" s="383" t="n"/>
      <c r="M43" s="383" t="n"/>
      <c r="N43" s="383" t="n"/>
      <c r="O43" s="383" t="n"/>
      <c r="P43" s="383" t="n"/>
      <c r="Q43" s="383" t="n"/>
      <c r="R43" s="383" t="n"/>
      <c r="S43" s="383" t="n"/>
      <c r="T43" s="383" t="n"/>
      <c r="U43" s="383" t="n"/>
      <c r="V43" s="383" t="n"/>
      <c r="W43" s="383" t="n"/>
      <c r="X43" s="383" t="n"/>
      <c r="Y43" s="383" t="n"/>
      <c r="Z43" s="383" t="n"/>
      <c r="AA43" s="383" t="n"/>
      <c r="AB43" s="383" t="n"/>
      <c r="AC43" s="383" t="n"/>
      <c r="AD43" s="383" t="n"/>
      <c r="AE43" s="383" t="n"/>
      <c r="AF43" s="383" t="n"/>
      <c r="AG43" s="383" t="n"/>
      <c r="AH43" s="383" t="n"/>
      <c r="AI43" s="383" t="n"/>
      <c r="AJ43" s="383" t="n"/>
      <c r="AK43" s="383" t="n"/>
    </row>
    <row r="44" ht="15" customFormat="1" customHeight="1" s="381">
      <c r="A44" s="398" t="inlineStr">
        <is>
          <t>Bonding Outstanding</t>
        </is>
      </c>
      <c r="B44" s="476">
        <f>Model!D257</f>
        <v>0</v>
      </c>
      <c r="C44" s="476">
        <f>Model!G257</f>
        <v>20879271.9124362</v>
      </c>
      <c r="D44" s="476">
        <f>Model!J257</f>
        <v>81237618.0228946</v>
      </c>
      <c r="E44" s="476">
        <f>Model!M257</f>
        <v>87859272.6014299</v>
      </c>
      <c r="F44" s="476">
        <f>Model!P257</f>
        <v>70284030.7799899</v>
      </c>
      <c r="G44" s="476">
        <f>Model!S257</f>
        <v>120741767.572602</v>
      </c>
      <c r="H44" s="476">
        <f>Model!V257</f>
        <v>114302565.589004</v>
      </c>
      <c r="I44" s="476">
        <f>Model!Y257</f>
        <v>87461656.1828859</v>
      </c>
      <c r="J44" s="476">
        <f>Model!AB257</f>
        <v>61693133.2036064</v>
      </c>
      <c r="K44" s="476">
        <f>Model!AE257</f>
        <v>80592047.059666</v>
      </c>
      <c r="L44" s="476">
        <f>Model!AH257</f>
        <v>62402377.02419</v>
      </c>
      <c r="M44" s="476">
        <f>Model!AK257</f>
        <v>47780701.5977726</v>
      </c>
      <c r="N44" s="476">
        <f>Model!AN257</f>
        <v>37394529.715966</v>
      </c>
      <c r="O44" s="476">
        <f>Model!AQ257</f>
        <v>28058055.635742</v>
      </c>
      <c r="P44" s="476">
        <f>Model!AT257</f>
        <v>19504820.054386</v>
      </c>
      <c r="Q44" s="476">
        <f>Model!AW257</f>
        <v>13258584.501624</v>
      </c>
      <c r="R44" s="476">
        <f>Model!AZ257</f>
        <v>8360541.887544</v>
      </c>
      <c r="S44" s="476">
        <f>Model!BC257</f>
        <v>4384004.53832</v>
      </c>
      <c r="T44" s="476">
        <f>Model!BF257</f>
        <v>1431490.58668</v>
      </c>
      <c r="U44" s="476">
        <f>Model!BI257</f>
        <v>0</v>
      </c>
      <c r="V44" s="476">
        <f>Model!BL257</f>
        <v>0</v>
      </c>
      <c r="W44" s="476">
        <f>Model!BO257</f>
        <v>0</v>
      </c>
      <c r="X44" s="476">
        <f>Model!BR257</f>
        <v>0</v>
      </c>
      <c r="Y44" s="476">
        <f>Model!BU257</f>
        <v>0</v>
      </c>
      <c r="Z44" s="476">
        <f>Model!BX257</f>
        <v>0</v>
      </c>
      <c r="AA44" s="476">
        <f>Model!CA257</f>
        <v>0</v>
      </c>
      <c r="AB44" s="476">
        <f>Model!CD257</f>
        <v>0</v>
      </c>
      <c r="AC44" s="476">
        <f>Model!CG257</f>
        <v>0</v>
      </c>
      <c r="AD44" s="476">
        <f>Model!CJ257</f>
        <v>0</v>
      </c>
      <c r="AE44" s="476">
        <f>Model!CM257</f>
        <v>0</v>
      </c>
      <c r="AF44" s="476">
        <f>Model!CP257</f>
        <v>0</v>
      </c>
      <c r="AG44" s="476">
        <f>Model!CS257</f>
        <v>0</v>
      </c>
      <c r="AH44" s="476">
        <f>Model!CV257</f>
        <v>0</v>
      </c>
      <c r="AI44" s="476">
        <f>Model!CY257</f>
        <v>0</v>
      </c>
      <c r="AJ44" s="476">
        <f>Model!DB257</f>
        <v>0</v>
      </c>
      <c r="AK44" s="476">
        <f>Model!DE257</f>
        <v>0</v>
      </c>
    </row>
    <row r="45" ht="15" customFormat="1" customHeight="1" s="381">
      <c r="A45" s="383" t="n"/>
      <c r="B45" s="383" t="n"/>
      <c r="C45" s="383" t="n"/>
      <c r="D45" s="383" t="n"/>
      <c r="E45" s="383" t="n"/>
      <c r="F45" s="383" t="n"/>
      <c r="G45" s="383" t="n"/>
      <c r="H45" s="383" t="n"/>
      <c r="I45" s="383" t="n"/>
      <c r="J45" s="383" t="n"/>
      <c r="K45" s="383" t="n"/>
      <c r="L45" s="383" t="n"/>
      <c r="M45" s="383" t="n"/>
      <c r="N45" s="383" t="n"/>
      <c r="O45" s="383" t="n"/>
      <c r="P45" s="383" t="n"/>
      <c r="Q45" s="383" t="n"/>
      <c r="R45" s="383" t="n"/>
      <c r="S45" s="383" t="n"/>
      <c r="T45" s="383" t="n"/>
      <c r="U45" s="383" t="n"/>
      <c r="V45" s="383" t="n"/>
      <c r="W45" s="383" t="n"/>
      <c r="X45" s="383" t="n"/>
      <c r="Y45" s="383" t="n"/>
      <c r="Z45" s="383" t="n"/>
      <c r="AA45" s="383" t="n"/>
      <c r="AB45" s="383" t="n"/>
      <c r="AC45" s="383" t="n"/>
      <c r="AD45" s="383" t="n"/>
    </row>
    <row r="46" ht="15" customFormat="1" customHeight="1" s="381">
      <c r="A46" s="464" t="inlineStr">
        <is>
          <t>LV Ending Cash</t>
        </is>
      </c>
      <c r="B46" s="465">
        <f>Model!D270</f>
        <v>0</v>
      </c>
      <c r="C46" s="465">
        <f>Model!G270</f>
        <v>0</v>
      </c>
      <c r="D46" s="465">
        <f>Model!J270</f>
        <v>960356.590245573</v>
      </c>
      <c r="E46" s="465">
        <f>Model!M270</f>
        <v>1235395.10925242</v>
      </c>
      <c r="F46" s="465">
        <f>Model!P270</f>
        <v>1836707.92512643</v>
      </c>
      <c r="G46" s="465">
        <f>Model!S270</f>
        <v>1679017.22662443</v>
      </c>
      <c r="H46" s="465">
        <f>Model!V270</f>
        <v>2544611.01631783</v>
      </c>
      <c r="I46" s="465">
        <f>Model!Y270</f>
        <v>3853917.42029884</v>
      </c>
      <c r="J46" s="465">
        <f>Model!AB270</f>
        <v>5555274.58334205</v>
      </c>
      <c r="K46" s="465">
        <f>Model!AE270</f>
        <v>7110018.32514821</v>
      </c>
      <c r="L46" s="465">
        <f>Model!AH270</f>
        <v>8694595.83209861</v>
      </c>
      <c r="M46" s="465">
        <f>Model!AK270</f>
        <v>11411916.6643854</v>
      </c>
      <c r="N46" s="465">
        <f>Model!AN270</f>
        <v>14425903.8399085</v>
      </c>
      <c r="O46" s="465">
        <f>Model!AQ270</f>
        <v>16569629.6872632</v>
      </c>
      <c r="P46" s="465">
        <f>Model!AT270</f>
        <v>19462219.719618</v>
      </c>
      <c r="Q46" s="465">
        <f>Model!AW270</f>
        <v>22958947.3494611</v>
      </c>
      <c r="R46" s="465">
        <f>Model!AZ270</f>
        <v>25526827.9464049</v>
      </c>
      <c r="S46" s="465">
        <f>Model!BC270</f>
        <v>28124636.6409081</v>
      </c>
      <c r="T46" s="465">
        <f>Model!BF270</f>
        <v>30773912.4879112</v>
      </c>
      <c r="U46" s="465">
        <f>Model!BI270</f>
        <v>33921011.7158162</v>
      </c>
      <c r="V46" s="465">
        <f>Model!BL270</f>
        <v>35309131.2463441</v>
      </c>
      <c r="W46" s="465">
        <f>Model!BO270</f>
        <v>36780669.6925324</v>
      </c>
      <c r="X46" s="465">
        <f>Model!BR270</f>
        <v>37477492.0537208</v>
      </c>
      <c r="Y46" s="465">
        <f>Model!BU270</f>
        <v>38391921.1474092</v>
      </c>
      <c r="Z46" s="465">
        <f>Model!BX270</f>
        <v>38482875.8010975</v>
      </c>
      <c r="AA46" s="465">
        <f>Model!CA270</f>
        <v>37633619.8363597</v>
      </c>
      <c r="AB46" s="465">
        <f>Model!CD270</f>
        <v>35743282.6991218</v>
      </c>
      <c r="AC46" s="465">
        <f>Model!CG270</f>
        <v>33852945.5618839</v>
      </c>
      <c r="AD46" s="465">
        <f>Model!CJ270</f>
        <v>31962608.424646</v>
      </c>
      <c r="AE46" s="465">
        <f>Model!CM270</f>
        <v>30040694.5446634</v>
      </c>
      <c r="AF46" s="465">
        <f>Model!CP270</f>
        <v>28118780.6646808</v>
      </c>
      <c r="AG46" s="465">
        <f>Model!CS270</f>
        <v>26196866.7846982</v>
      </c>
      <c r="AH46" s="465">
        <f>Model!CV270</f>
        <v>24467224.9372665</v>
      </c>
      <c r="AI46" s="465">
        <f>Model!CY270</f>
        <v>22709220.2528862</v>
      </c>
      <c r="AJ46" s="465">
        <f>Model!DB270</f>
        <v>20951215.5685058</v>
      </c>
      <c r="AK46" s="465">
        <f>Model!DE270</f>
        <v>19193210.8841255</v>
      </c>
    </row>
    <row r="47" ht="15" customFormat="1" customHeight="1" s="381">
      <c r="A47" s="464" t="inlineStr">
        <is>
          <t>SP Ending Cash</t>
        </is>
      </c>
      <c r="B47" s="465">
        <f>Model!D278</f>
        <v>0</v>
      </c>
      <c r="C47" s="465">
        <f>Model!G278</f>
        <v>0</v>
      </c>
      <c r="D47" s="465">
        <f>Model!J278</f>
        <v>85326.0635714286</v>
      </c>
      <c r="E47" s="465">
        <f>Model!M278</f>
        <v>-3785.53285714291</v>
      </c>
      <c r="F47" s="465">
        <f>Model!P278</f>
        <v>-190056.905</v>
      </c>
      <c r="G47" s="465">
        <f>Model!S278</f>
        <v>-478976.4143</v>
      </c>
      <c r="H47" s="465">
        <f>Model!V278</f>
        <v>-858864.8736</v>
      </c>
      <c r="I47" s="465">
        <f>Model!Y278</f>
        <v>-1085138.7585</v>
      </c>
      <c r="J47" s="465">
        <f>Model!AB278</f>
        <v>-1489879.933</v>
      </c>
      <c r="K47" s="465">
        <f>Model!AE278</f>
        <v>-1489553.2053886</v>
      </c>
      <c r="L47" s="465">
        <f>Model!AH278</f>
        <v>-1161231.9764986</v>
      </c>
      <c r="M47" s="465">
        <f>Model!AK278</f>
        <v>-950358.117108598</v>
      </c>
      <c r="N47" s="465">
        <f>Model!AN278</f>
        <v>-971371.041718598</v>
      </c>
      <c r="O47" s="465">
        <f>Model!AQ278</f>
        <v>-800354.358710798</v>
      </c>
      <c r="P47" s="465">
        <f>Model!AT278</f>
        <v>-768012.273202998</v>
      </c>
      <c r="Q47" s="465">
        <f>Model!AW278</f>
        <v>-858227.374695198</v>
      </c>
      <c r="R47" s="465">
        <f>Model!AZ278</f>
        <v>-1166133.2271874</v>
      </c>
      <c r="S47" s="465">
        <f>Model!BC278</f>
        <v>-1296126.03797944</v>
      </c>
      <c r="T47" s="465">
        <f>Model!BF278</f>
        <v>-1429990.28777149</v>
      </c>
      <c r="U47" s="465">
        <f>Model!BI278</f>
        <v>-1567725.98206353</v>
      </c>
      <c r="V47" s="465">
        <f>Model!BL278</f>
        <v>-1959333.11535557</v>
      </c>
      <c r="W47" s="465">
        <f>Model!BO278</f>
        <v>-1985555.54224346</v>
      </c>
      <c r="X47" s="465">
        <f>Model!BR278</f>
        <v>-2190958.50563134</v>
      </c>
      <c r="Y47" s="465">
        <f>Model!BU278</f>
        <v>-2381849.81901923</v>
      </c>
      <c r="Z47" s="465">
        <f>Model!BX278</f>
        <v>-2572741.13240711</v>
      </c>
      <c r="AA47" s="465">
        <f>Model!CA278</f>
        <v>-2768805.51206275</v>
      </c>
      <c r="AB47" s="465">
        <f>Model!CD278</f>
        <v>-2956132.8917184</v>
      </c>
      <c r="AC47" s="465">
        <f>Model!CG278</f>
        <v>-3143460.27137404</v>
      </c>
      <c r="AD47" s="465">
        <f>Model!CJ278</f>
        <v>-3324179.6244232</v>
      </c>
      <c r="AE47" s="465">
        <f>Model!CM278</f>
        <v>-3119699.53167196</v>
      </c>
      <c r="AF47" s="465">
        <f>Model!CP278</f>
        <v>-2915219.43892072</v>
      </c>
      <c r="AG47" s="465">
        <f>Model!CS278</f>
        <v>-2710739.34616947</v>
      </c>
      <c r="AH47" s="465">
        <f>Model!CV278</f>
        <v>-2500533.77329354</v>
      </c>
      <c r="AI47" s="465">
        <f>Model!CY278</f>
        <v>-2093577.59789649</v>
      </c>
      <c r="AJ47" s="465">
        <f>Model!DB278</f>
        <v>-1669174.57356304</v>
      </c>
      <c r="AK47" s="465">
        <f>Model!DE278</f>
        <v>-1244771.54922959</v>
      </c>
    </row>
    <row r="48" ht="15" customFormat="1" customHeight="1" s="381">
      <c r="A48" s="464" t="inlineStr">
        <is>
          <t>Tax Distribution (50.3% Consol NI)</t>
        </is>
      </c>
      <c r="B48" s="465">
        <f>Model!B282+Model!C282+Model!D282</f>
        <v>0</v>
      </c>
      <c r="C48" s="465">
        <f>Model!E282+Model!F282+Model!G282</f>
        <v>0</v>
      </c>
      <c r="D48" s="465">
        <f>Model!H282+Model!I282+Model!J282</f>
        <v>0</v>
      </c>
      <c r="E48" s="465">
        <f>Model!K282+Model!L282+Model!M282</f>
        <v>0</v>
      </c>
      <c r="F48" s="465">
        <f>Model!N282+Model!O282+Model!P282</f>
        <v>-215674.499544381</v>
      </c>
      <c r="G48" s="465">
        <f>Model!Q282+Model!R282+Model!S282</f>
        <v>0</v>
      </c>
      <c r="H48" s="465">
        <f>Model!T282+Model!U282+Model!V282</f>
        <v>0</v>
      </c>
      <c r="I48" s="465">
        <f>Model!W282+Model!X282+Model!Y282</f>
        <v>0</v>
      </c>
      <c r="J48" s="465">
        <f>Model!Z282+Model!AA282+Model!AB282</f>
        <v>-1795278.53872378</v>
      </c>
      <c r="K48" s="465">
        <f>Model!AC282+Model!AD282+Model!AE282</f>
        <v>0</v>
      </c>
      <c r="L48" s="465">
        <f>Model!AF282+Model!AG282+Model!AH282</f>
        <v>0</v>
      </c>
      <c r="M48" s="465">
        <f>Model!AI282+Model!AJ282+Model!AK282</f>
        <v>0</v>
      </c>
      <c r="N48" s="465">
        <f>Model!AL282+Model!AM282+Model!AN282</f>
        <v>-4624078.03613714</v>
      </c>
      <c r="O48" s="465">
        <f>Model!AO282+Model!AP282+Model!AQ282</f>
        <v>0</v>
      </c>
      <c r="P48" s="465">
        <f>Model!AR282+Model!AS282+Model!AT282</f>
        <v>0</v>
      </c>
      <c r="Q48" s="465">
        <f>Model!AU282+Model!AV282+Model!AW282</f>
        <v>0</v>
      </c>
      <c r="R48" s="465">
        <f>Model!AX282+Model!AY282+Model!AZ282</f>
        <v>-5915967.52693312</v>
      </c>
      <c r="S48" s="465">
        <f>Model!BA282+Model!BB282+Model!BC282</f>
        <v>0</v>
      </c>
      <c r="T48" s="465">
        <f>Model!BD282+Model!BE282+Model!BF282</f>
        <v>0</v>
      </c>
      <c r="U48" s="465">
        <f>Model!BG282+Model!BH282+Model!BI282</f>
        <v>0</v>
      </c>
      <c r="V48" s="465">
        <f>Model!BJ282+Model!BK282+Model!BL282</f>
        <v>-4986447.50320445</v>
      </c>
      <c r="W48" s="465">
        <f>Model!BM282+Model!BN282+Model!BO282</f>
        <v>0</v>
      </c>
      <c r="X48" s="465">
        <f>Model!BP282+Model!BQ282+Model!BR282</f>
        <v>0</v>
      </c>
      <c r="Y48" s="465">
        <f>Model!BS282+Model!BT282+Model!BU282</f>
        <v>0</v>
      </c>
      <c r="Z48" s="465">
        <f>Model!BV282+Model!BW282+Model!BX282</f>
        <v>-1667628.49799001</v>
      </c>
      <c r="AA48" s="465">
        <f>Model!BY282+Model!BZ282+Model!CA282</f>
        <v>0</v>
      </c>
      <c r="AB48" s="465">
        <f>Model!CB282+Model!CC282+Model!CD282</f>
        <v>0</v>
      </c>
      <c r="AC48" s="465">
        <f>Model!CE282+Model!CF282+Model!CG282</f>
        <v>0</v>
      </c>
      <c r="AD48" s="465">
        <f>Model!CH282+Model!CI282+Model!CJ282</f>
        <v>0</v>
      </c>
      <c r="AE48" s="465">
        <f>Model!CK282+Model!CL282+Model!CM282</f>
        <v>0</v>
      </c>
      <c r="AF48" s="465">
        <f>Model!CN282+Model!CO282+Model!CP282</f>
        <v>0</v>
      </c>
      <c r="AG48" s="465">
        <f>Model!CQ282+Model!CR282+Model!CS282</f>
        <v>0</v>
      </c>
      <c r="AH48" s="465">
        <f>Model!CT282+Model!CU282+Model!CV282</f>
        <v>0</v>
      </c>
      <c r="AI48" s="465">
        <f>Model!CW282+Model!CX282+Model!CY282</f>
        <v>0</v>
      </c>
      <c r="AJ48" s="465">
        <f>Model!CZ282+Model!DA282+Model!DB282</f>
        <v>0</v>
      </c>
      <c r="AK48" s="465">
        <f>Model!DC282+Model!DD282+Model!DE282</f>
        <v>0</v>
      </c>
    </row>
    <row r="49" ht="15" customFormat="1" customHeight="1" s="381">
      <c r="A49" s="407" t="inlineStr">
        <is>
          <t>Total Ending Cash (net of Tax Distributions)</t>
        </is>
      </c>
      <c r="B49" s="466">
        <f>Model!D283</f>
        <v>0</v>
      </c>
      <c r="C49" s="466">
        <f>Model!G283</f>
        <v>0</v>
      </c>
      <c r="D49" s="466">
        <f>Model!J283</f>
        <v>1045682.653817</v>
      </c>
      <c r="E49" s="466">
        <f>Model!M283</f>
        <v>1231609.57639528</v>
      </c>
      <c r="F49" s="466">
        <f>Model!P283</f>
        <v>1430976.52058205</v>
      </c>
      <c r="G49" s="466">
        <f>Model!S283</f>
        <v>1200040.81232443</v>
      </c>
      <c r="H49" s="466">
        <f>Model!V283</f>
        <v>1685746.14271783</v>
      </c>
      <c r="I49" s="466">
        <f>Model!Y283</f>
        <v>2768778.66179884</v>
      </c>
      <c r="J49" s="466">
        <f>Model!AB283</f>
        <v>2270116.11161827</v>
      </c>
      <c r="K49" s="466">
        <f>Model!AE283</f>
        <v>5620465.11975962</v>
      </c>
      <c r="L49" s="466">
        <f>Model!AH283</f>
        <v>7533363.85560001</v>
      </c>
      <c r="M49" s="466">
        <f>Model!AK283</f>
        <v>10461558.5472768</v>
      </c>
      <c r="N49" s="466">
        <f>Model!AN283</f>
        <v>8830454.76205272</v>
      </c>
      <c r="O49" s="466">
        <f>Model!AQ283</f>
        <v>15769275.3285524</v>
      </c>
      <c r="P49" s="466">
        <f>Model!AT283</f>
        <v>18694207.446415</v>
      </c>
      <c r="Q49" s="466">
        <f>Model!AW283</f>
        <v>22100719.9747659</v>
      </c>
      <c r="R49" s="466">
        <f>Model!AZ283</f>
        <v>18444727.1922844</v>
      </c>
      <c r="S49" s="466">
        <f>Model!BC283</f>
        <v>26828510.6029286</v>
      </c>
      <c r="T49" s="466">
        <f>Model!BF283</f>
        <v>29343922.2001397</v>
      </c>
      <c r="U49" s="466">
        <f>Model!BI283</f>
        <v>32353285.7337527</v>
      </c>
      <c r="V49" s="466">
        <f>Model!BL283</f>
        <v>28363350.627784</v>
      </c>
      <c r="W49" s="466">
        <f>Model!BO283</f>
        <v>34795114.150289</v>
      </c>
      <c r="X49" s="466">
        <f>Model!BR283</f>
        <v>35286533.5480895</v>
      </c>
      <c r="Y49" s="466">
        <f>Model!BU283</f>
        <v>36010071.3283899</v>
      </c>
      <c r="Z49" s="466">
        <f>Model!BX283</f>
        <v>34242506.1707004</v>
      </c>
      <c r="AA49" s="466">
        <f>Model!CA283</f>
        <v>34864814.3242969</v>
      </c>
      <c r="AB49" s="466">
        <f>Model!CD283</f>
        <v>32787149.8074034</v>
      </c>
      <c r="AC49" s="466">
        <f>Model!CG283</f>
        <v>30709485.2905099</v>
      </c>
      <c r="AD49" s="466">
        <f>Model!CJ283</f>
        <v>28638428.8002228</v>
      </c>
      <c r="AE49" s="466">
        <f>Model!CM283</f>
        <v>26920995.0129915</v>
      </c>
      <c r="AF49" s="466">
        <f>Model!CP283</f>
        <v>25203561.2257601</v>
      </c>
      <c r="AG49" s="466">
        <f>Model!CS283</f>
        <v>23486127.4385287</v>
      </c>
      <c r="AH49" s="466">
        <f>Model!CV283</f>
        <v>21966691.1639729</v>
      </c>
      <c r="AI49" s="466">
        <f>Model!CY283</f>
        <v>20615642.6549897</v>
      </c>
      <c r="AJ49" s="466">
        <f>Model!DB283</f>
        <v>19282040.9949428</v>
      </c>
      <c r="AK49" s="466">
        <f>Model!DE283</f>
        <v>17948439.3348959</v>
      </c>
    </row>
    <row r="1048575" ht="12.75" customHeight="1" s="467"/>
    <row r="1048576" ht="12.75" customHeight="1" s="467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CT115"/>
  <sheetViews>
    <sheetView showFormulas="0" showGridLines="1" showRowColHeaders="1" showZeros="1" rightToLeft="0" tabSelected="0" showOutlineSymbols="1" defaultGridColor="1" view="normal" topLeftCell="A36" colorId="64" zoomScale="85" zoomScaleNormal="85" zoomScalePageLayoutView="100" workbookViewId="0">
      <selection pane="topLeft" activeCell="J62" activeCellId="0" sqref="J62"/>
    </sheetView>
  </sheetViews>
  <sheetFormatPr baseColWidth="8" defaultColWidth="8.71875" defaultRowHeight="15" zeroHeight="0" outlineLevelRow="0"/>
  <cols>
    <col width="38" customWidth="1" style="381" min="1" max="1"/>
    <col width="13" customWidth="1" style="381" min="2" max="99"/>
  </cols>
  <sheetData>
    <row r="1" ht="17.25" customFormat="1" customHeight="1" s="381">
      <c r="A1" s="477" t="inlineStr">
        <is>
          <t>ACTUALS — monthly input area</t>
        </is>
      </c>
    </row>
    <row r="2" ht="15" customFormat="1" customHeight="1" s="381">
      <c r="A2" s="453" t="inlineStr">
        <is>
          <t>Enter close numbers from Yardi here. Blank = no actual yet (Model uses forecast).</t>
        </is>
      </c>
      <c r="C2" s="478" t="n">
        <v>46023</v>
      </c>
      <c r="D2" s="478" t="n">
        <v>46054</v>
      </c>
      <c r="E2" s="478" t="n">
        <v>46082</v>
      </c>
      <c r="F2" s="478" t="n">
        <v>46113</v>
      </c>
      <c r="G2" s="478" t="n">
        <v>46143</v>
      </c>
      <c r="H2" s="478" t="n">
        <v>46174</v>
      </c>
      <c r="I2" s="478" t="n">
        <v>46204</v>
      </c>
      <c r="J2" s="478" t="n">
        <v>46235</v>
      </c>
      <c r="K2" s="478" t="n">
        <v>46266</v>
      </c>
      <c r="L2" s="478" t="n">
        <v>46296</v>
      </c>
      <c r="M2" s="478" t="n">
        <v>46327</v>
      </c>
      <c r="N2" s="478" t="n">
        <v>46357</v>
      </c>
      <c r="O2" s="478" t="n">
        <v>46388</v>
      </c>
      <c r="P2" s="478" t="n">
        <v>46419</v>
      </c>
      <c r="Q2" s="478" t="n">
        <v>46447</v>
      </c>
      <c r="R2" s="478" t="n">
        <v>46478</v>
      </c>
      <c r="S2" s="478" t="n">
        <v>46508</v>
      </c>
      <c r="T2" s="478" t="n">
        <v>46539</v>
      </c>
      <c r="U2" s="478" t="n">
        <v>46569</v>
      </c>
      <c r="V2" s="478" t="n">
        <v>46600</v>
      </c>
      <c r="W2" s="478" t="n">
        <v>46631</v>
      </c>
      <c r="X2" s="478" t="n">
        <v>46661</v>
      </c>
      <c r="Y2" s="478" t="n">
        <v>46692</v>
      </c>
      <c r="Z2" s="478" t="n">
        <v>46722</v>
      </c>
      <c r="AA2" s="478" t="n">
        <v>46753</v>
      </c>
      <c r="AB2" s="478" t="n">
        <v>46784</v>
      </c>
      <c r="AC2" s="478" t="n">
        <v>46813</v>
      </c>
      <c r="AD2" s="478" t="n">
        <v>46844</v>
      </c>
      <c r="AE2" s="478" t="n">
        <v>46874</v>
      </c>
      <c r="AF2" s="478" t="n">
        <v>46905</v>
      </c>
      <c r="AG2" s="478" t="n">
        <v>46935</v>
      </c>
      <c r="AH2" s="478" t="n">
        <v>46966</v>
      </c>
      <c r="AI2" s="478" t="n">
        <v>46997</v>
      </c>
      <c r="AJ2" s="478" t="n">
        <v>47027</v>
      </c>
      <c r="AK2" s="478" t="n">
        <v>47058</v>
      </c>
      <c r="AL2" s="478" t="n">
        <v>47088</v>
      </c>
      <c r="AM2" s="478" t="n">
        <v>47119</v>
      </c>
      <c r="AN2" s="478" t="n">
        <v>47150</v>
      </c>
      <c r="AO2" s="478" t="n">
        <v>47178</v>
      </c>
      <c r="AP2" s="478" t="n">
        <v>47209</v>
      </c>
      <c r="AQ2" s="478" t="n">
        <v>47239</v>
      </c>
      <c r="AR2" s="478" t="n">
        <v>47270</v>
      </c>
      <c r="AS2" s="478" t="n">
        <v>47300</v>
      </c>
      <c r="AT2" s="478" t="n">
        <v>47331</v>
      </c>
      <c r="AU2" s="478" t="n">
        <v>47362</v>
      </c>
      <c r="AV2" s="478" t="n">
        <v>47392</v>
      </c>
      <c r="AW2" s="478" t="n">
        <v>47423</v>
      </c>
      <c r="AX2" s="478" t="n">
        <v>47453</v>
      </c>
      <c r="AY2" s="478" t="n">
        <v>47484</v>
      </c>
      <c r="AZ2" s="478" t="n">
        <v>47515</v>
      </c>
      <c r="BA2" s="478" t="n">
        <v>47543</v>
      </c>
      <c r="BB2" s="478" t="n">
        <v>47574</v>
      </c>
      <c r="BC2" s="478" t="n">
        <v>47604</v>
      </c>
      <c r="BD2" s="478" t="n">
        <v>47635</v>
      </c>
      <c r="BE2" s="478" t="n">
        <v>47665</v>
      </c>
      <c r="BF2" s="478" t="n">
        <v>47696</v>
      </c>
      <c r="BG2" s="478" t="n">
        <v>47727</v>
      </c>
      <c r="BH2" s="478" t="n">
        <v>47757</v>
      </c>
      <c r="BI2" s="478" t="n">
        <v>47788</v>
      </c>
      <c r="BJ2" s="478" t="n">
        <v>47818</v>
      </c>
      <c r="BK2" s="478" t="n">
        <v>47849</v>
      </c>
      <c r="BL2" s="478" t="n">
        <v>47880</v>
      </c>
      <c r="BM2" s="478" t="n">
        <v>47908</v>
      </c>
      <c r="BN2" s="478" t="n">
        <v>47939</v>
      </c>
      <c r="BO2" s="478" t="n">
        <v>47969</v>
      </c>
      <c r="BP2" s="478" t="n">
        <v>48000</v>
      </c>
      <c r="BQ2" s="478" t="n">
        <v>48030</v>
      </c>
      <c r="BR2" s="478" t="n">
        <v>48061</v>
      </c>
      <c r="BS2" s="478" t="n">
        <v>48092</v>
      </c>
      <c r="BT2" s="478" t="n">
        <v>48122</v>
      </c>
      <c r="BU2" s="478" t="n">
        <v>48153</v>
      </c>
      <c r="BV2" s="478" t="n">
        <v>48183</v>
      </c>
      <c r="BW2" s="478" t="n">
        <v>48214</v>
      </c>
      <c r="BX2" s="478" t="n">
        <v>48245</v>
      </c>
      <c r="BY2" s="478" t="n">
        <v>48274</v>
      </c>
      <c r="BZ2" s="478" t="n">
        <v>48305</v>
      </c>
      <c r="CA2" s="478" t="n">
        <v>48335</v>
      </c>
      <c r="CB2" s="478" t="n">
        <v>48366</v>
      </c>
      <c r="CC2" s="478" t="n">
        <v>48396</v>
      </c>
      <c r="CD2" s="478" t="n">
        <v>48427</v>
      </c>
      <c r="CE2" s="478" t="n">
        <v>48458</v>
      </c>
      <c r="CF2" s="478" t="n">
        <v>48488</v>
      </c>
      <c r="CG2" s="478" t="n">
        <v>48519</v>
      </c>
      <c r="CH2" s="478" t="n">
        <v>48549</v>
      </c>
      <c r="CI2" s="478" t="n">
        <v>48580</v>
      </c>
      <c r="CJ2" s="478" t="n">
        <v>48611</v>
      </c>
      <c r="CK2" s="478" t="n">
        <v>48639</v>
      </c>
      <c r="CL2" s="478" t="n">
        <v>48670</v>
      </c>
      <c r="CM2" s="478" t="n">
        <v>48700</v>
      </c>
      <c r="CN2" s="478" t="n">
        <v>48731</v>
      </c>
      <c r="CO2" s="478" t="n">
        <v>48761</v>
      </c>
      <c r="CP2" s="478" t="n">
        <v>48792</v>
      </c>
      <c r="CQ2" s="478" t="n">
        <v>48823</v>
      </c>
      <c r="CR2" s="478" t="n">
        <v>48853</v>
      </c>
      <c r="CS2" s="478" t="n">
        <v>48884</v>
      </c>
      <c r="CT2" s="478" t="n">
        <v>48914</v>
      </c>
    </row>
    <row r="3" ht="15" customFormat="1" customHeight="1" s="381">
      <c r="A3" s="479" t="inlineStr">
        <is>
          <t>Month #</t>
        </is>
      </c>
      <c r="C3" s="479" t="n">
        <v>-2</v>
      </c>
      <c r="D3" s="479" t="n">
        <v>-1</v>
      </c>
      <c r="E3" s="479" t="n">
        <v>0</v>
      </c>
      <c r="F3" s="479" t="n">
        <v>1</v>
      </c>
      <c r="G3" s="479" t="n">
        <v>2</v>
      </c>
      <c r="H3" s="479" t="n">
        <v>3</v>
      </c>
      <c r="I3" s="479" t="n">
        <v>4</v>
      </c>
      <c r="J3" s="479" t="n">
        <v>5</v>
      </c>
      <c r="K3" s="479" t="n">
        <v>6</v>
      </c>
      <c r="L3" s="479" t="n">
        <v>7</v>
      </c>
      <c r="M3" s="479" t="n">
        <v>8</v>
      </c>
      <c r="N3" s="479" t="n">
        <v>9</v>
      </c>
      <c r="O3" s="479" t="n">
        <v>10</v>
      </c>
      <c r="P3" s="479" t="n">
        <v>11</v>
      </c>
      <c r="Q3" s="479" t="n">
        <v>12</v>
      </c>
      <c r="R3" s="479" t="n">
        <v>13</v>
      </c>
      <c r="S3" s="479" t="n">
        <v>14</v>
      </c>
      <c r="T3" s="479" t="n">
        <v>15</v>
      </c>
      <c r="U3" s="479" t="n">
        <v>16</v>
      </c>
      <c r="V3" s="479" t="n">
        <v>17</v>
      </c>
      <c r="W3" s="479" t="n">
        <v>18</v>
      </c>
      <c r="X3" s="479" t="n">
        <v>19</v>
      </c>
      <c r="Y3" s="479" t="n">
        <v>20</v>
      </c>
      <c r="Z3" s="479" t="n">
        <v>21</v>
      </c>
      <c r="AA3" s="479" t="n">
        <v>22</v>
      </c>
      <c r="AB3" s="479" t="n">
        <v>23</v>
      </c>
      <c r="AC3" s="479" t="n">
        <v>24</v>
      </c>
      <c r="AD3" s="479" t="n">
        <v>25</v>
      </c>
      <c r="AE3" s="479" t="n">
        <v>26</v>
      </c>
      <c r="AF3" s="479" t="n">
        <v>27</v>
      </c>
      <c r="AG3" s="479" t="n">
        <v>28</v>
      </c>
      <c r="AH3" s="479" t="n">
        <v>29</v>
      </c>
      <c r="AI3" s="479" t="n">
        <v>30</v>
      </c>
      <c r="AJ3" s="479" t="n">
        <v>31</v>
      </c>
      <c r="AK3" s="479" t="n">
        <v>32</v>
      </c>
      <c r="AL3" s="479" t="n">
        <v>33</v>
      </c>
      <c r="AM3" s="479" t="n">
        <v>34</v>
      </c>
      <c r="AN3" s="479" t="n">
        <v>35</v>
      </c>
      <c r="AO3" s="479" t="n">
        <v>36</v>
      </c>
      <c r="AP3" s="479" t="n">
        <v>37</v>
      </c>
      <c r="AQ3" s="479" t="n">
        <v>38</v>
      </c>
      <c r="AR3" s="479" t="n">
        <v>39</v>
      </c>
      <c r="AS3" s="479" t="n">
        <v>40</v>
      </c>
      <c r="AT3" s="479" t="n">
        <v>41</v>
      </c>
      <c r="AU3" s="479" t="n">
        <v>42</v>
      </c>
      <c r="AV3" s="479" t="n">
        <v>43</v>
      </c>
      <c r="AW3" s="479" t="n">
        <v>44</v>
      </c>
      <c r="AX3" s="479" t="n">
        <v>45</v>
      </c>
      <c r="AY3" s="479" t="n">
        <v>46</v>
      </c>
      <c r="AZ3" s="479" t="n">
        <v>47</v>
      </c>
      <c r="BA3" s="479" t="n">
        <v>48</v>
      </c>
      <c r="BB3" s="479" t="n">
        <v>49</v>
      </c>
      <c r="BC3" s="479" t="n">
        <v>50</v>
      </c>
      <c r="BD3" s="479" t="n">
        <v>51</v>
      </c>
      <c r="BE3" s="479" t="n">
        <v>52</v>
      </c>
      <c r="BF3" s="479" t="n">
        <v>53</v>
      </c>
      <c r="BG3" s="479" t="n">
        <v>54</v>
      </c>
      <c r="BH3" s="479" t="n">
        <v>55</v>
      </c>
      <c r="BI3" s="479" t="n">
        <v>56</v>
      </c>
      <c r="BJ3" s="479" t="n">
        <v>57</v>
      </c>
      <c r="BK3" s="479" t="n">
        <v>58</v>
      </c>
      <c r="BL3" s="479" t="n">
        <v>59</v>
      </c>
      <c r="BM3" s="479" t="n">
        <v>60</v>
      </c>
      <c r="BN3" s="479" t="n">
        <v>61</v>
      </c>
      <c r="BO3" s="479" t="n">
        <v>62</v>
      </c>
      <c r="BP3" s="479" t="n">
        <v>63</v>
      </c>
      <c r="BQ3" s="479" t="n">
        <v>64</v>
      </c>
      <c r="BR3" s="479" t="n">
        <v>65</v>
      </c>
      <c r="BS3" s="479" t="n">
        <v>66</v>
      </c>
      <c r="BT3" s="479" t="n">
        <v>67</v>
      </c>
      <c r="BU3" s="479" t="n">
        <v>68</v>
      </c>
      <c r="BV3" s="479" t="n">
        <v>69</v>
      </c>
      <c r="BW3" s="479" t="n">
        <v>70</v>
      </c>
      <c r="BX3" s="479" t="n">
        <v>71</v>
      </c>
      <c r="BY3" s="479" t="n">
        <v>72</v>
      </c>
      <c r="BZ3" s="479" t="n">
        <v>73</v>
      </c>
      <c r="CA3" s="479" t="n">
        <v>74</v>
      </c>
      <c r="CB3" s="479" t="n">
        <v>75</v>
      </c>
      <c r="CC3" s="479" t="n">
        <v>76</v>
      </c>
      <c r="CD3" s="479" t="n">
        <v>77</v>
      </c>
      <c r="CE3" s="479" t="n">
        <v>78</v>
      </c>
      <c r="CF3" s="479" t="n">
        <v>79</v>
      </c>
      <c r="CG3" s="479" t="n">
        <v>80</v>
      </c>
      <c r="CH3" s="479" t="n">
        <v>81</v>
      </c>
      <c r="CI3" s="479" t="n">
        <v>82</v>
      </c>
      <c r="CJ3" s="479" t="n">
        <v>83</v>
      </c>
      <c r="CK3" s="479" t="n">
        <v>84</v>
      </c>
      <c r="CL3" s="479" t="n">
        <v>85</v>
      </c>
      <c r="CM3" s="479" t="n">
        <v>86</v>
      </c>
      <c r="CN3" s="479" t="n">
        <v>87</v>
      </c>
      <c r="CO3" s="479" t="n">
        <v>88</v>
      </c>
      <c r="CP3" s="479" t="n">
        <v>89</v>
      </c>
      <c r="CQ3" s="479" t="n">
        <v>90</v>
      </c>
      <c r="CR3" s="479" t="n">
        <v>91</v>
      </c>
      <c r="CS3" s="479" t="n">
        <v>92</v>
      </c>
      <c r="CT3" s="479" t="n">
        <v>93</v>
      </c>
    </row>
    <row r="7" ht="15" customFormat="1" customHeight="1" s="381">
      <c r="A7" s="480" t="n"/>
      <c r="C7" s="481" t="n"/>
      <c r="D7" s="481" t="n"/>
      <c r="E7" s="481" t="n"/>
      <c r="F7" s="481" t="n"/>
      <c r="G7" s="481" t="n"/>
      <c r="H7" s="481" t="n"/>
      <c r="I7" s="481" t="n"/>
      <c r="J7" s="481" t="n"/>
      <c r="K7" s="481" t="n"/>
      <c r="L7" s="481" t="n"/>
      <c r="M7" s="481" t="n"/>
      <c r="N7" s="481" t="n"/>
      <c r="O7" s="481" t="n"/>
      <c r="P7" s="481" t="n"/>
      <c r="Q7" s="481" t="n"/>
      <c r="R7" s="481" t="n"/>
      <c r="S7" s="481" t="n"/>
      <c r="T7" s="481" t="n"/>
      <c r="U7" s="481" t="n"/>
      <c r="V7" s="481" t="n"/>
      <c r="W7" s="481" t="n"/>
      <c r="X7" s="481" t="n"/>
      <c r="Y7" s="481" t="n"/>
      <c r="Z7" s="481" t="n"/>
      <c r="AA7" s="481" t="n"/>
      <c r="AB7" s="481" t="n"/>
      <c r="AC7" s="481" t="n"/>
      <c r="AD7" s="481" t="n"/>
      <c r="AE7" s="481" t="n"/>
      <c r="AF7" s="481" t="n"/>
      <c r="AG7" s="481" t="n"/>
      <c r="AH7" s="481" t="n"/>
      <c r="AI7" s="481" t="n"/>
      <c r="AJ7" s="481" t="n"/>
      <c r="AK7" s="481" t="n"/>
      <c r="AL7" s="481" t="n"/>
      <c r="AM7" s="481" t="n"/>
      <c r="AN7" s="481" t="n"/>
      <c r="AO7" s="481" t="n"/>
      <c r="AP7" s="481" t="n"/>
      <c r="AQ7" s="481" t="n"/>
      <c r="AR7" s="481" t="n"/>
      <c r="AS7" s="481" t="n"/>
      <c r="AT7" s="481" t="n"/>
      <c r="AU7" s="481" t="n"/>
      <c r="AV7" s="481" t="n"/>
      <c r="AW7" s="481" t="n"/>
      <c r="AX7" s="481" t="n"/>
      <c r="AY7" s="481" t="n"/>
      <c r="AZ7" s="481" t="n"/>
      <c r="BA7" s="481" t="n"/>
      <c r="BB7" s="481" t="n"/>
      <c r="BC7" s="481" t="n"/>
      <c r="BD7" s="481" t="n"/>
      <c r="BE7" s="481" t="n"/>
      <c r="BF7" s="481" t="n"/>
      <c r="BG7" s="481" t="n"/>
      <c r="BH7" s="481" t="n"/>
      <c r="BI7" s="481" t="n"/>
      <c r="BJ7" s="481" t="n"/>
      <c r="BK7" s="481" t="n"/>
      <c r="BL7" s="481" t="n"/>
      <c r="BM7" s="481" t="n"/>
      <c r="BN7" s="481" t="n"/>
      <c r="BO7" s="481" t="n"/>
      <c r="BP7" s="481" t="n"/>
      <c r="BQ7" s="481" t="n"/>
      <c r="BR7" s="481" t="n"/>
      <c r="BS7" s="481" t="n"/>
      <c r="BT7" s="481" t="n"/>
      <c r="BU7" s="481" t="n"/>
      <c r="BV7" s="481" t="n"/>
      <c r="BW7" s="481" t="n"/>
      <c r="BX7" s="481" t="n"/>
      <c r="BY7" s="481" t="n"/>
      <c r="BZ7" s="481" t="n"/>
      <c r="CA7" s="481" t="n"/>
      <c r="CB7" s="481" t="n"/>
      <c r="CC7" s="481" t="n"/>
      <c r="CD7" s="481" t="n"/>
      <c r="CE7" s="481" t="n"/>
      <c r="CF7" s="481" t="n"/>
      <c r="CG7" s="481" t="n"/>
      <c r="CH7" s="481" t="n"/>
      <c r="CI7" s="481" t="n"/>
      <c r="CJ7" s="481" t="n"/>
      <c r="CK7" s="481" t="n"/>
      <c r="CL7" s="481" t="n"/>
      <c r="CM7" s="481" t="n"/>
      <c r="CN7" s="481" t="n"/>
      <c r="CO7" s="481" t="n"/>
      <c r="CP7" s="481" t="n"/>
      <c r="CQ7" s="481" t="n"/>
      <c r="CR7" s="481" t="n"/>
      <c r="CS7" s="481" t="n"/>
      <c r="CT7" s="481" t="n"/>
    </row>
    <row r="8" ht="15" customFormat="1" customHeight="1" s="381">
      <c r="A8" s="482" t="inlineStr">
        <is>
          <t>Other GC Income</t>
        </is>
      </c>
      <c r="C8" s="481" t="n">
        <v>116367.35</v>
      </c>
      <c r="D8" s="481" t="n">
        <v>138804.22</v>
      </c>
      <c r="E8" s="481" t="n">
        <v>219366.88</v>
      </c>
      <c r="F8" s="481" t="n">
        <v>212079.14</v>
      </c>
      <c r="G8" s="481" t="n">
        <v>267726.14</v>
      </c>
      <c r="H8" s="481" t="n">
        <v>374773.89</v>
      </c>
      <c r="I8" s="481" t="n"/>
      <c r="J8" s="481" t="n"/>
      <c r="K8" s="481" t="n"/>
      <c r="L8" s="481" t="n"/>
      <c r="M8" s="481" t="n"/>
      <c r="N8" s="481" t="n"/>
      <c r="O8" s="481" t="n"/>
      <c r="P8" s="481" t="n"/>
      <c r="Q8" s="481" t="n"/>
      <c r="R8" s="481" t="n"/>
      <c r="S8" s="481" t="n"/>
      <c r="T8" s="481" t="n"/>
      <c r="U8" s="481" t="n"/>
      <c r="V8" s="481" t="n"/>
      <c r="W8" s="481" t="n"/>
      <c r="X8" s="481" t="n"/>
      <c r="Y8" s="481" t="n"/>
      <c r="Z8" s="481" t="n"/>
      <c r="AA8" s="481" t="n"/>
      <c r="AB8" s="481" t="n"/>
      <c r="AC8" s="481" t="n"/>
      <c r="AD8" s="481" t="n"/>
      <c r="AE8" s="481" t="n"/>
      <c r="AF8" s="481" t="n"/>
      <c r="AG8" s="481" t="n"/>
      <c r="AH8" s="481" t="n"/>
      <c r="AI8" s="481" t="n"/>
      <c r="AJ8" s="481" t="n"/>
      <c r="AK8" s="481" t="n"/>
      <c r="AL8" s="481" t="n"/>
      <c r="AM8" s="481" t="n"/>
      <c r="AN8" s="481" t="n"/>
      <c r="AO8" s="481" t="n"/>
      <c r="AP8" s="481" t="n"/>
      <c r="AQ8" s="481" t="n"/>
      <c r="AR8" s="481" t="n"/>
      <c r="AS8" s="481" t="n"/>
      <c r="AT8" s="481" t="n"/>
      <c r="AU8" s="481" t="n"/>
      <c r="AV8" s="481" t="n"/>
      <c r="AW8" s="481" t="n"/>
      <c r="AX8" s="481" t="n"/>
      <c r="AY8" s="481" t="n"/>
      <c r="AZ8" s="481" t="n"/>
      <c r="BA8" s="481" t="n"/>
      <c r="BB8" s="481" t="n"/>
      <c r="BC8" s="481" t="n"/>
      <c r="BD8" s="481" t="n"/>
      <c r="BE8" s="481" t="n"/>
      <c r="BF8" s="481" t="n"/>
      <c r="BG8" s="481" t="n"/>
      <c r="BH8" s="481" t="n"/>
      <c r="BI8" s="481" t="n"/>
      <c r="BJ8" s="481" t="n"/>
      <c r="BK8" s="481" t="n"/>
      <c r="BL8" s="481" t="n"/>
      <c r="BM8" s="481" t="n"/>
      <c r="BN8" s="481" t="n"/>
      <c r="BO8" s="481" t="n"/>
      <c r="BP8" s="481" t="n"/>
      <c r="BQ8" s="481" t="n"/>
      <c r="BR8" s="481" t="n"/>
      <c r="BS8" s="481" t="n"/>
      <c r="BT8" s="481" t="n"/>
      <c r="BU8" s="481" t="n"/>
      <c r="BV8" s="481" t="n"/>
      <c r="BW8" s="481" t="n"/>
      <c r="BX8" s="481" t="n"/>
      <c r="BY8" s="481" t="n"/>
      <c r="BZ8" s="481" t="n"/>
      <c r="CA8" s="481" t="n"/>
      <c r="CB8" s="481" t="n"/>
      <c r="CC8" s="481" t="n"/>
      <c r="CD8" s="481" t="n"/>
      <c r="CE8" s="481" t="n"/>
      <c r="CF8" s="481" t="n"/>
      <c r="CG8" s="481" t="n"/>
      <c r="CH8" s="481" t="n"/>
      <c r="CI8" s="481" t="n"/>
      <c r="CJ8" s="481" t="n"/>
      <c r="CK8" s="481" t="n"/>
      <c r="CL8" s="481" t="n"/>
      <c r="CM8" s="481" t="n"/>
      <c r="CN8" s="481" t="n"/>
      <c r="CO8" s="481" t="n"/>
      <c r="CP8" s="481" t="n"/>
      <c r="CQ8" s="481" t="n"/>
      <c r="CR8" s="481" t="n"/>
      <c r="CS8" s="481" t="n"/>
      <c r="CT8" s="481" t="n"/>
    </row>
    <row r="9" ht="15" customFormat="1" customHeight="1" s="381">
      <c r="A9" s="480" t="inlineStr">
        <is>
          <t>Project Supervision Revenue</t>
        </is>
      </c>
      <c r="C9" s="481" t="n">
        <v>0</v>
      </c>
      <c r="D9" s="481" t="n">
        <v>0</v>
      </c>
      <c r="E9" s="481" t="n">
        <v>0</v>
      </c>
      <c r="F9" s="481" t="n">
        <v>0</v>
      </c>
      <c r="G9" s="481" t="n">
        <v>0</v>
      </c>
      <c r="H9" s="481" t="n">
        <v>0</v>
      </c>
      <c r="I9" s="481" t="n"/>
      <c r="J9" s="481" t="n"/>
      <c r="K9" s="481" t="n"/>
      <c r="L9" s="481" t="n"/>
      <c r="M9" s="481" t="n"/>
      <c r="N9" s="481" t="n"/>
      <c r="O9" s="481" t="n"/>
      <c r="P9" s="481" t="n"/>
      <c r="Q9" s="481" t="n"/>
      <c r="R9" s="481" t="n"/>
      <c r="S9" s="481" t="n"/>
      <c r="T9" s="481" t="n"/>
      <c r="U9" s="481" t="n"/>
      <c r="V9" s="481" t="n"/>
      <c r="W9" s="481" t="n"/>
      <c r="X9" s="481" t="n"/>
      <c r="Y9" s="481" t="n"/>
      <c r="Z9" s="481" t="n"/>
      <c r="AA9" s="481" t="n"/>
      <c r="AB9" s="481" t="n"/>
      <c r="AC9" s="481" t="n"/>
      <c r="AD9" s="481" t="n"/>
      <c r="AE9" s="481" t="n"/>
      <c r="AF9" s="481" t="n"/>
      <c r="AG9" s="481" t="n"/>
      <c r="AH9" s="481" t="n"/>
      <c r="AI9" s="481" t="n"/>
      <c r="AJ9" s="481" t="n"/>
      <c r="AK9" s="481" t="n"/>
      <c r="AL9" s="481" t="n"/>
      <c r="AM9" s="481" t="n"/>
      <c r="AN9" s="481" t="n"/>
      <c r="AO9" s="481" t="n"/>
      <c r="AP9" s="481" t="n"/>
      <c r="AQ9" s="481" t="n"/>
      <c r="AR9" s="481" t="n"/>
      <c r="AS9" s="481" t="n"/>
      <c r="AT9" s="481" t="n"/>
      <c r="AU9" s="481" t="n"/>
      <c r="AV9" s="481" t="n"/>
      <c r="AW9" s="481" t="n"/>
      <c r="AX9" s="481" t="n"/>
      <c r="AY9" s="481" t="n"/>
      <c r="AZ9" s="481" t="n"/>
      <c r="BA9" s="481" t="n"/>
      <c r="BB9" s="481" t="n"/>
      <c r="BC9" s="481" t="n"/>
      <c r="BD9" s="481" t="n"/>
      <c r="BE9" s="481" t="n"/>
      <c r="BF9" s="481" t="n"/>
      <c r="BG9" s="481" t="n"/>
      <c r="BH9" s="481" t="n"/>
      <c r="BI9" s="481" t="n"/>
      <c r="BJ9" s="481" t="n"/>
      <c r="BK9" s="481" t="n"/>
      <c r="BL9" s="481" t="n"/>
      <c r="BM9" s="481" t="n"/>
      <c r="BN9" s="481" t="n"/>
      <c r="BO9" s="481" t="n"/>
      <c r="BP9" s="481" t="n"/>
      <c r="BQ9" s="481" t="n"/>
      <c r="BR9" s="481" t="n"/>
      <c r="BS9" s="481" t="n"/>
      <c r="BT9" s="481" t="n"/>
      <c r="BU9" s="481" t="n"/>
      <c r="BV9" s="481" t="n"/>
      <c r="BW9" s="481" t="n"/>
      <c r="BX9" s="481" t="n"/>
      <c r="BY9" s="481" t="n"/>
      <c r="BZ9" s="481" t="n"/>
      <c r="CA9" s="481" t="n"/>
      <c r="CB9" s="481" t="n"/>
      <c r="CC9" s="481" t="n"/>
      <c r="CD9" s="481" t="n"/>
      <c r="CE9" s="481" t="n"/>
      <c r="CF9" s="481" t="n"/>
      <c r="CG9" s="481" t="n"/>
      <c r="CH9" s="481" t="n"/>
      <c r="CI9" s="481" t="n"/>
      <c r="CJ9" s="481" t="n"/>
      <c r="CK9" s="481" t="n"/>
      <c r="CL9" s="481" t="n"/>
      <c r="CM9" s="481" t="n"/>
      <c r="CN9" s="481" t="n"/>
      <c r="CO9" s="481" t="n"/>
      <c r="CP9" s="481" t="n"/>
      <c r="CQ9" s="481" t="n"/>
      <c r="CR9" s="481" t="n"/>
      <c r="CS9" s="481" t="n"/>
      <c r="CT9" s="481" t="n"/>
    </row>
    <row r="10" ht="15" customFormat="1" customHeight="1" s="381">
      <c r="A10" s="480" t="inlineStr">
        <is>
          <t>GC Fee Income</t>
        </is>
      </c>
      <c r="C10" s="481" t="n">
        <v>95370.25</v>
      </c>
      <c r="D10" s="481" t="n">
        <v>173282.89</v>
      </c>
      <c r="E10" s="481" t="n">
        <v>50438.85</v>
      </c>
      <c r="F10" s="481" t="n">
        <v>167518.85</v>
      </c>
      <c r="G10" s="481" t="n">
        <v>209057.26</v>
      </c>
      <c r="H10" s="481" t="n">
        <v>292966.36</v>
      </c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1" t="n"/>
      <c r="U10" s="481" t="n"/>
      <c r="V10" s="481" t="n"/>
      <c r="W10" s="481" t="n"/>
      <c r="X10" s="481" t="n"/>
      <c r="Y10" s="481" t="n"/>
      <c r="Z10" s="481" t="n"/>
      <c r="AA10" s="481" t="n"/>
      <c r="AB10" s="481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1" t="n"/>
      <c r="AO10" s="481" t="n"/>
      <c r="AP10" s="481" t="n"/>
      <c r="AQ10" s="481" t="n"/>
      <c r="AR10" s="481" t="n"/>
      <c r="AS10" s="481" t="n"/>
      <c r="AT10" s="481" t="n"/>
      <c r="AU10" s="481" t="n"/>
      <c r="AV10" s="481" t="n"/>
      <c r="AW10" s="481" t="n"/>
      <c r="AX10" s="481" t="n"/>
      <c r="AY10" s="481" t="n"/>
      <c r="AZ10" s="481" t="n"/>
      <c r="BA10" s="481" t="n"/>
      <c r="BB10" s="481" t="n"/>
      <c r="BC10" s="481" t="n"/>
      <c r="BD10" s="481" t="n"/>
      <c r="BE10" s="481" t="n"/>
      <c r="BF10" s="481" t="n"/>
      <c r="BG10" s="481" t="n"/>
      <c r="BH10" s="481" t="n"/>
      <c r="BI10" s="481" t="n"/>
      <c r="BJ10" s="481" t="n"/>
      <c r="BK10" s="481" t="n"/>
      <c r="BL10" s="481" t="n"/>
      <c r="BM10" s="481" t="n"/>
      <c r="BN10" s="481" t="n"/>
      <c r="BO10" s="481" t="n"/>
      <c r="BP10" s="481" t="n"/>
      <c r="BQ10" s="481" t="n"/>
      <c r="BR10" s="481" t="n"/>
      <c r="BS10" s="481" t="n"/>
      <c r="BT10" s="481" t="n"/>
      <c r="BU10" s="481" t="n"/>
      <c r="BV10" s="481" t="n"/>
      <c r="BW10" s="481" t="n"/>
      <c r="BX10" s="481" t="n"/>
      <c r="BY10" s="481" t="n"/>
      <c r="BZ10" s="481" t="n"/>
      <c r="CA10" s="481" t="n"/>
      <c r="CB10" s="481" t="n"/>
      <c r="CC10" s="481" t="n"/>
      <c r="CD10" s="481" t="n"/>
      <c r="CE10" s="481" t="n"/>
      <c r="CF10" s="481" t="n"/>
      <c r="CG10" s="481" t="n"/>
      <c r="CH10" s="481" t="n"/>
      <c r="CI10" s="481" t="n"/>
      <c r="CJ10" s="481" t="n"/>
      <c r="CK10" s="481" t="n"/>
      <c r="CL10" s="481" t="n"/>
      <c r="CM10" s="481" t="n"/>
      <c r="CN10" s="481" t="n"/>
      <c r="CO10" s="481" t="n"/>
      <c r="CP10" s="481" t="n"/>
      <c r="CQ10" s="481" t="n"/>
      <c r="CR10" s="481" t="n"/>
      <c r="CS10" s="481" t="n"/>
      <c r="CT10" s="481" t="n"/>
    </row>
    <row r="11" ht="15" customFormat="1" customHeight="1" s="381">
      <c r="A11" s="480" t="inlineStr">
        <is>
          <t>Project Administration Revenue</t>
        </is>
      </c>
      <c r="C11" s="481" t="n">
        <v>0</v>
      </c>
      <c r="D11" s="481" t="n">
        <v>0</v>
      </c>
      <c r="E11" s="481" t="n">
        <v>0</v>
      </c>
      <c r="F11" s="481" t="n">
        <v>0</v>
      </c>
      <c r="G11" s="481" t="n">
        <v>0</v>
      </c>
      <c r="H11" s="481" t="n">
        <v>0</v>
      </c>
      <c r="I11" s="481" t="n"/>
      <c r="J11" s="481" t="n"/>
      <c r="K11" s="481" t="n"/>
      <c r="L11" s="481" t="n"/>
      <c r="M11" s="481" t="n"/>
      <c r="N11" s="481" t="n"/>
      <c r="O11" s="481" t="n"/>
      <c r="P11" s="481" t="n"/>
      <c r="Q11" s="481" t="n"/>
      <c r="R11" s="481" t="n"/>
      <c r="S11" s="481" t="n"/>
      <c r="T11" s="481" t="n"/>
      <c r="U11" s="481" t="n"/>
      <c r="V11" s="481" t="n"/>
      <c r="W11" s="481" t="n"/>
      <c r="X11" s="481" t="n"/>
      <c r="Y11" s="481" t="n"/>
      <c r="Z11" s="481" t="n"/>
      <c r="AA11" s="481" t="n"/>
      <c r="AB11" s="481" t="n"/>
      <c r="AC11" s="481" t="n"/>
      <c r="AD11" s="481" t="n"/>
      <c r="AE11" s="481" t="n"/>
      <c r="AF11" s="481" t="n"/>
      <c r="AG11" s="481" t="n"/>
      <c r="AH11" s="481" t="n"/>
      <c r="AI11" s="481" t="n"/>
      <c r="AJ11" s="481" t="n"/>
      <c r="AK11" s="481" t="n"/>
      <c r="AL11" s="481" t="n"/>
      <c r="AM11" s="481" t="n"/>
      <c r="AN11" s="481" t="n"/>
      <c r="AO11" s="481" t="n"/>
      <c r="AP11" s="481" t="n"/>
      <c r="AQ11" s="481" t="n"/>
      <c r="AR11" s="481" t="n"/>
      <c r="AS11" s="481" t="n"/>
      <c r="AT11" s="481" t="n"/>
      <c r="AU11" s="481" t="n"/>
      <c r="AV11" s="481" t="n"/>
      <c r="AW11" s="481" t="n"/>
      <c r="AX11" s="481" t="n"/>
      <c r="AY11" s="481" t="n"/>
      <c r="AZ11" s="481" t="n"/>
      <c r="BA11" s="481" t="n"/>
      <c r="BB11" s="481" t="n"/>
      <c r="BC11" s="481" t="n"/>
      <c r="BD11" s="481" t="n"/>
      <c r="BE11" s="481" t="n"/>
      <c r="BF11" s="481" t="n"/>
      <c r="BG11" s="481" t="n"/>
      <c r="BH11" s="481" t="n"/>
      <c r="BI11" s="481" t="n"/>
      <c r="BJ11" s="481" t="n"/>
      <c r="BK11" s="481" t="n"/>
      <c r="BL11" s="481" t="n"/>
      <c r="BM11" s="481" t="n"/>
      <c r="BN11" s="481" t="n"/>
      <c r="BO11" s="481" t="n"/>
      <c r="BP11" s="481" t="n"/>
      <c r="BQ11" s="481" t="n"/>
      <c r="BR11" s="481" t="n"/>
      <c r="BS11" s="481" t="n"/>
      <c r="BT11" s="481" t="n"/>
      <c r="BU11" s="481" t="n"/>
      <c r="BV11" s="481" t="n"/>
      <c r="BW11" s="481" t="n"/>
      <c r="BX11" s="481" t="n"/>
      <c r="BY11" s="481" t="n"/>
      <c r="BZ11" s="481" t="n"/>
      <c r="CA11" s="481" t="n"/>
      <c r="CB11" s="481" t="n"/>
      <c r="CC11" s="481" t="n"/>
      <c r="CD11" s="481" t="n"/>
      <c r="CE11" s="481" t="n"/>
      <c r="CF11" s="481" t="n"/>
      <c r="CG11" s="481" t="n"/>
      <c r="CH11" s="481" t="n"/>
      <c r="CI11" s="481" t="n"/>
      <c r="CJ11" s="481" t="n"/>
      <c r="CK11" s="481" t="n"/>
      <c r="CL11" s="481" t="n"/>
      <c r="CM11" s="481" t="n"/>
      <c r="CN11" s="481" t="n"/>
      <c r="CO11" s="481" t="n"/>
      <c r="CP11" s="481" t="n"/>
      <c r="CQ11" s="481" t="n"/>
      <c r="CR11" s="481" t="n"/>
      <c r="CS11" s="481" t="n"/>
      <c r="CT11" s="481" t="n"/>
    </row>
    <row r="12" ht="15" customFormat="1" customHeight="1" s="381">
      <c r="A12" s="482" t="inlineStr">
        <is>
          <t>Trades and Site Cost Billing</t>
        </is>
      </c>
      <c r="C12" s="481" t="n">
        <v>1242053.19</v>
      </c>
      <c r="D12" s="481" t="n">
        <v>2710434.48</v>
      </c>
      <c r="E12" s="481" t="n">
        <v>2402410.43</v>
      </c>
      <c r="F12" s="481" t="n">
        <v>3312759.91</v>
      </c>
      <c r="G12" s="481" t="n">
        <v>3939278.23</v>
      </c>
      <c r="H12" s="481" t="n">
        <v>5584522.73</v>
      </c>
      <c r="I12" s="481" t="n"/>
      <c r="J12" s="481" t="n"/>
      <c r="K12" s="481" t="n"/>
      <c r="L12" s="481" t="n"/>
      <c r="M12" s="481" t="n"/>
      <c r="N12" s="481" t="n"/>
      <c r="O12" s="481" t="n"/>
      <c r="P12" s="481" t="n"/>
      <c r="Q12" s="481" t="n"/>
      <c r="R12" s="481" t="n"/>
      <c r="S12" s="481" t="n"/>
      <c r="T12" s="481" t="n"/>
      <c r="U12" s="481" t="n"/>
      <c r="V12" s="481" t="n"/>
      <c r="W12" s="481" t="n"/>
      <c r="X12" s="481" t="n"/>
      <c r="Y12" s="481" t="n"/>
      <c r="Z12" s="481" t="n"/>
      <c r="AA12" s="481" t="n"/>
      <c r="AB12" s="481" t="n"/>
      <c r="AC12" s="481" t="n"/>
      <c r="AD12" s="481" t="n"/>
      <c r="AE12" s="481" t="n"/>
      <c r="AF12" s="481" t="n"/>
      <c r="AG12" s="481" t="n"/>
      <c r="AH12" s="481" t="n"/>
      <c r="AI12" s="481" t="n"/>
      <c r="AJ12" s="481" t="n"/>
      <c r="AK12" s="481" t="n"/>
      <c r="AL12" s="481" t="n"/>
      <c r="AM12" s="481" t="n"/>
      <c r="AN12" s="481" t="n"/>
      <c r="AO12" s="481" t="n"/>
      <c r="AP12" s="481" t="n"/>
      <c r="AQ12" s="481" t="n"/>
      <c r="AR12" s="481" t="n"/>
      <c r="AS12" s="481" t="n"/>
      <c r="AT12" s="481" t="n"/>
      <c r="AU12" s="481" t="n"/>
      <c r="AV12" s="481" t="n"/>
      <c r="AW12" s="481" t="n"/>
      <c r="AX12" s="481" t="n"/>
      <c r="AY12" s="481" t="n"/>
      <c r="AZ12" s="481" t="n"/>
      <c r="BA12" s="481" t="n"/>
      <c r="BB12" s="481" t="n"/>
      <c r="BC12" s="481" t="n"/>
      <c r="BD12" s="481" t="n"/>
      <c r="BE12" s="481" t="n"/>
      <c r="BF12" s="481" t="n"/>
      <c r="BG12" s="481" t="n"/>
      <c r="BH12" s="481" t="n"/>
      <c r="BI12" s="481" t="n"/>
      <c r="BJ12" s="481" t="n"/>
      <c r="BK12" s="481" t="n"/>
      <c r="BL12" s="481" t="n"/>
      <c r="BM12" s="481" t="n"/>
      <c r="BN12" s="481" t="n"/>
      <c r="BO12" s="481" t="n"/>
      <c r="BP12" s="481" t="n"/>
      <c r="BQ12" s="481" t="n"/>
      <c r="BR12" s="481" t="n"/>
      <c r="BS12" s="481" t="n"/>
      <c r="BT12" s="481" t="n"/>
      <c r="BU12" s="481" t="n"/>
      <c r="BV12" s="481" t="n"/>
      <c r="BW12" s="481" t="n"/>
      <c r="BX12" s="481" t="n"/>
      <c r="BY12" s="481" t="n"/>
      <c r="BZ12" s="481" t="n"/>
      <c r="CA12" s="481" t="n"/>
      <c r="CB12" s="481" t="n"/>
      <c r="CC12" s="481" t="n"/>
      <c r="CD12" s="481" t="n"/>
      <c r="CE12" s="481" t="n"/>
      <c r="CF12" s="481" t="n"/>
      <c r="CG12" s="481" t="n"/>
      <c r="CH12" s="481" t="n"/>
      <c r="CI12" s="481" t="n"/>
      <c r="CJ12" s="481" t="n"/>
      <c r="CK12" s="481" t="n"/>
      <c r="CL12" s="481" t="n"/>
      <c r="CM12" s="481" t="n"/>
      <c r="CN12" s="481" t="n"/>
      <c r="CO12" s="481" t="n"/>
      <c r="CP12" s="481" t="n"/>
      <c r="CQ12" s="481" t="n"/>
      <c r="CR12" s="481" t="n"/>
      <c r="CS12" s="481" t="n"/>
      <c r="CT12" s="481" t="n"/>
    </row>
    <row r="13" ht="15" customFormat="1" customHeight="1" s="381">
      <c r="A13" s="477" t="inlineStr">
        <is>
          <t>Total Revenues</t>
        </is>
      </c>
      <c r="C13" s="483">
        <f>C8+C10+C12</f>
        <v>1453790.79</v>
      </c>
      <c r="D13" s="483">
        <f>D8+D10+D12</f>
        <v>3022521.59</v>
      </c>
      <c r="E13" s="483">
        <f>E8+E10+E12</f>
        <v>2672216.16</v>
      </c>
      <c r="F13" s="483">
        <f>F8+F10+F12</f>
        <v>3692357.9</v>
      </c>
      <c r="G13" s="483">
        <f>G8+G10+G12</f>
        <v>4416061.63</v>
      </c>
      <c r="H13" s="483">
        <f>H8+H10+H12</f>
        <v>6252262.98</v>
      </c>
      <c r="I13" s="483">
        <f>I8+I10+I12</f>
        <v>0</v>
      </c>
      <c r="J13" s="483">
        <f>J8+J10+J12</f>
        <v>0</v>
      </c>
      <c r="K13" s="483">
        <f>K8+K10+K12</f>
        <v>0</v>
      </c>
      <c r="L13" s="483">
        <f>L8+L10+L12</f>
        <v>0</v>
      </c>
      <c r="M13" s="483">
        <f>M8+M10+M12</f>
        <v>0</v>
      </c>
      <c r="N13" s="483">
        <f>N8+N10+N12</f>
        <v>0</v>
      </c>
      <c r="O13" s="483">
        <f>O8+O10+O12</f>
        <v>0</v>
      </c>
      <c r="P13" s="483">
        <f>P8+P10+P12</f>
        <v>0</v>
      </c>
      <c r="Q13" s="483">
        <f>Q8+Q10+Q12</f>
        <v>0</v>
      </c>
      <c r="R13" s="483">
        <f>R8+R10+R12</f>
        <v>0</v>
      </c>
      <c r="S13" s="483">
        <f>S8+S10+S12</f>
        <v>0</v>
      </c>
      <c r="T13" s="483">
        <f>T8+T10+T12</f>
        <v>0</v>
      </c>
      <c r="U13" s="483">
        <f>U8+U10+U12</f>
        <v>0</v>
      </c>
      <c r="V13" s="483">
        <f>V8+V10+V12</f>
        <v>0</v>
      </c>
      <c r="W13" s="483">
        <f>W8+W10+W12</f>
        <v>0</v>
      </c>
      <c r="X13" s="483">
        <f>X8+X10+X12</f>
        <v>0</v>
      </c>
      <c r="Y13" s="483">
        <f>Y8+Y10+Y12</f>
        <v>0</v>
      </c>
      <c r="Z13" s="483">
        <f>Z8+Z10+Z12</f>
        <v>0</v>
      </c>
      <c r="AA13" s="483">
        <f>AA8+AA10+AA12</f>
        <v>0</v>
      </c>
      <c r="AB13" s="483">
        <f>AB8+AB10+AB12</f>
        <v>0</v>
      </c>
      <c r="AC13" s="483">
        <f>AC8+AC10+AC12</f>
        <v>0</v>
      </c>
      <c r="AD13" s="483">
        <f>AD8+AD10+AD12</f>
        <v>0</v>
      </c>
      <c r="AE13" s="483">
        <f>AE8+AE10+AE12</f>
        <v>0</v>
      </c>
      <c r="AF13" s="483">
        <f>AF8+AF10+AF12</f>
        <v>0</v>
      </c>
      <c r="AG13" s="483">
        <f>AG8+AG10+AG12</f>
        <v>0</v>
      </c>
      <c r="AH13" s="483">
        <f>AH8+AH10+AH12</f>
        <v>0</v>
      </c>
      <c r="AI13" s="483">
        <f>AI8+AI10+AI12</f>
        <v>0</v>
      </c>
      <c r="AJ13" s="483">
        <f>AJ8+AJ10+AJ12</f>
        <v>0</v>
      </c>
      <c r="AK13" s="483">
        <f>AK8+AK10+AK12</f>
        <v>0</v>
      </c>
      <c r="AL13" s="483">
        <f>AL8+AL10+AL12</f>
        <v>0</v>
      </c>
      <c r="AM13" s="483">
        <f>AM8+AM10+AM12</f>
        <v>0</v>
      </c>
      <c r="AN13" s="483">
        <f>AN8+AN10+AN12</f>
        <v>0</v>
      </c>
      <c r="AO13" s="483">
        <f>AO8+AO10+AO12</f>
        <v>0</v>
      </c>
      <c r="AP13" s="483">
        <f>AP8+AP10+AP12</f>
        <v>0</v>
      </c>
      <c r="AQ13" s="483">
        <f>AQ8+AQ10+AQ12</f>
        <v>0</v>
      </c>
      <c r="AR13" s="483">
        <f>AR8+AR10+AR12</f>
        <v>0</v>
      </c>
      <c r="AS13" s="483">
        <f>AS8+AS10+AS12</f>
        <v>0</v>
      </c>
      <c r="AT13" s="483">
        <f>AT8+AT10+AT12</f>
        <v>0</v>
      </c>
      <c r="AU13" s="483">
        <f>AU8+AU10+AU12</f>
        <v>0</v>
      </c>
      <c r="AV13" s="483">
        <f>AV8+AV10+AV12</f>
        <v>0</v>
      </c>
      <c r="AW13" s="483">
        <f>AW8+AW10+AW12</f>
        <v>0</v>
      </c>
      <c r="AX13" s="483">
        <f>AX8+AX10+AX12</f>
        <v>0</v>
      </c>
      <c r="AY13" s="483">
        <f>AY8+AY10+AY12</f>
        <v>0</v>
      </c>
      <c r="AZ13" s="483">
        <f>AZ8+AZ10+AZ12</f>
        <v>0</v>
      </c>
      <c r="BA13" s="483">
        <f>BA8+BA10+BA12</f>
        <v>0</v>
      </c>
      <c r="BB13" s="483">
        <f>BB8+BB10+BB12</f>
        <v>0</v>
      </c>
      <c r="BC13" s="483">
        <f>BC8+BC10+BC12</f>
        <v>0</v>
      </c>
      <c r="BD13" s="483">
        <f>BD8+BD10+BD12</f>
        <v>0</v>
      </c>
      <c r="BE13" s="483">
        <f>BE8+BE10+BE12</f>
        <v>0</v>
      </c>
      <c r="BF13" s="483">
        <f>BF8+BF10+BF12</f>
        <v>0</v>
      </c>
      <c r="BG13" s="483">
        <f>BG8+BG10+BG12</f>
        <v>0</v>
      </c>
      <c r="BH13" s="483">
        <f>BH8+BH10+BH12</f>
        <v>0</v>
      </c>
      <c r="BI13" s="483">
        <f>BI8+BI10+BI12</f>
        <v>0</v>
      </c>
      <c r="BJ13" s="483">
        <f>BJ8+BJ10+BJ12</f>
        <v>0</v>
      </c>
      <c r="BK13" s="483">
        <f>BK8+BK10+BK12</f>
        <v>0</v>
      </c>
      <c r="BL13" s="483">
        <f>BL8+BL10+BL12</f>
        <v>0</v>
      </c>
      <c r="BM13" s="483">
        <f>BM8+BM10+BM12</f>
        <v>0</v>
      </c>
      <c r="BN13" s="483">
        <f>BN8+BN10+BN12</f>
        <v>0</v>
      </c>
      <c r="BO13" s="483">
        <f>BO8+BO10+BO12</f>
        <v>0</v>
      </c>
      <c r="BP13" s="483">
        <f>BP8+BP10+BP12</f>
        <v>0</v>
      </c>
      <c r="BQ13" s="483">
        <f>BQ8+BQ10+BQ12</f>
        <v>0</v>
      </c>
      <c r="BR13" s="483">
        <f>BR8+BR10+BR12</f>
        <v>0</v>
      </c>
      <c r="BS13" s="483">
        <f>BS8+BS10+BS12</f>
        <v>0</v>
      </c>
      <c r="BT13" s="483">
        <f>BT8+BT10+BT12</f>
        <v>0</v>
      </c>
      <c r="BU13" s="483">
        <f>BU8+BU10+BU12</f>
        <v>0</v>
      </c>
      <c r="BV13" s="483">
        <f>BV8+BV10+BV12</f>
        <v>0</v>
      </c>
      <c r="BW13" s="483">
        <f>BW8+BW10+BW12</f>
        <v>0</v>
      </c>
      <c r="BX13" s="483">
        <f>BX8+BX10+BX12</f>
        <v>0</v>
      </c>
      <c r="BY13" s="483">
        <f>BY8+BY10+BY12</f>
        <v>0</v>
      </c>
      <c r="BZ13" s="483">
        <f>BZ8+BZ10+BZ12</f>
        <v>0</v>
      </c>
      <c r="CA13" s="483">
        <f>CA8+CA10+CA12</f>
        <v>0</v>
      </c>
      <c r="CB13" s="483">
        <f>CB8+CB10+CB12</f>
        <v>0</v>
      </c>
      <c r="CC13" s="483">
        <f>CC8+CC10+CC12</f>
        <v>0</v>
      </c>
      <c r="CD13" s="483">
        <f>CD8+CD10+CD12</f>
        <v>0</v>
      </c>
      <c r="CE13" s="483">
        <f>CE8+CE10+CE12</f>
        <v>0</v>
      </c>
      <c r="CF13" s="483">
        <f>CF8+CF10+CF12</f>
        <v>0</v>
      </c>
      <c r="CG13" s="483">
        <f>CG8+CG10+CG12</f>
        <v>0</v>
      </c>
      <c r="CH13" s="483">
        <f>CH8+CH10+CH12</f>
        <v>0</v>
      </c>
      <c r="CI13" s="483">
        <f>CI8+CI10+CI12</f>
        <v>0</v>
      </c>
      <c r="CJ13" s="483">
        <f>CJ8+CJ10+CJ12</f>
        <v>0</v>
      </c>
      <c r="CK13" s="483">
        <f>CK8+CK10+CK12</f>
        <v>0</v>
      </c>
      <c r="CL13" s="483">
        <f>CL8+CL10+CL12</f>
        <v>0</v>
      </c>
      <c r="CM13" s="483">
        <f>CM8+CM10+CM12</f>
        <v>0</v>
      </c>
      <c r="CN13" s="483">
        <f>CN8+CN10+CN12</f>
        <v>0</v>
      </c>
      <c r="CO13" s="483">
        <f>CO8+CO10+CO12</f>
        <v>0</v>
      </c>
      <c r="CP13" s="483">
        <f>CP8+CP10+CP12</f>
        <v>0</v>
      </c>
      <c r="CQ13" s="483">
        <f>CQ8+CQ10+CQ12</f>
        <v>0</v>
      </c>
      <c r="CR13" s="483">
        <f>CR8+CR10+CR12</f>
        <v>0</v>
      </c>
      <c r="CS13" s="483">
        <f>CS8+CS10+CS12</f>
        <v>0</v>
      </c>
      <c r="CT13" s="483">
        <f>CT8+CT10+CT12</f>
        <v>0</v>
      </c>
    </row>
    <row r="14" ht="15" customFormat="1" customHeight="1" s="381">
      <c r="A14" s="452" t="inlineStr">
        <is>
          <t>COGS — Trades &amp; Site Costs</t>
        </is>
      </c>
      <c r="C14" s="481" t="n">
        <v>-1233067.43</v>
      </c>
      <c r="D14" s="481" t="n">
        <v>-3073522.36</v>
      </c>
      <c r="E14" s="481" t="n">
        <v>-2078031.64</v>
      </c>
      <c r="F14" s="481" t="n">
        <v>-3244999.65</v>
      </c>
      <c r="G14" s="481" t="n">
        <v>-3950524.93</v>
      </c>
      <c r="H14" s="481" t="n">
        <v>-5610911.85</v>
      </c>
      <c r="I14" s="481" t="n"/>
      <c r="J14" s="481" t="n"/>
      <c r="K14" s="481" t="n"/>
      <c r="L14" s="481" t="n"/>
      <c r="M14" s="481" t="n"/>
      <c r="N14" s="481" t="n"/>
      <c r="O14" s="481" t="n"/>
      <c r="P14" s="481" t="n"/>
      <c r="Q14" s="481" t="n"/>
      <c r="R14" s="481" t="n"/>
      <c r="S14" s="481" t="n"/>
      <c r="T14" s="481" t="n"/>
      <c r="U14" s="481" t="n"/>
      <c r="V14" s="481" t="n"/>
      <c r="W14" s="481" t="n"/>
      <c r="X14" s="481" t="n"/>
      <c r="Y14" s="481" t="n"/>
      <c r="Z14" s="481" t="n"/>
      <c r="AA14" s="481" t="n"/>
      <c r="AB14" s="481" t="n"/>
      <c r="AC14" s="481" t="n"/>
      <c r="AD14" s="481" t="n"/>
      <c r="AE14" s="481" t="n"/>
      <c r="AF14" s="481" t="n"/>
      <c r="AG14" s="481" t="n"/>
      <c r="AH14" s="481" t="n"/>
      <c r="AI14" s="481" t="n"/>
      <c r="AJ14" s="481" t="n"/>
      <c r="AK14" s="481" t="n"/>
      <c r="AL14" s="481" t="n"/>
      <c r="AM14" s="481" t="n"/>
      <c r="AN14" s="481" t="n"/>
      <c r="AO14" s="481" t="n"/>
      <c r="AP14" s="481" t="n"/>
      <c r="AQ14" s="481" t="n"/>
      <c r="AR14" s="481" t="n"/>
      <c r="AS14" s="481" t="n"/>
      <c r="AT14" s="481" t="n"/>
      <c r="AU14" s="481" t="n"/>
      <c r="AV14" s="481" t="n"/>
      <c r="AW14" s="481" t="n"/>
      <c r="AX14" s="481" t="n"/>
      <c r="AY14" s="481" t="n"/>
      <c r="AZ14" s="481" t="n"/>
      <c r="BA14" s="481" t="n"/>
      <c r="BB14" s="481" t="n"/>
      <c r="BC14" s="481" t="n"/>
      <c r="BD14" s="481" t="n"/>
      <c r="BE14" s="481" t="n"/>
      <c r="BF14" s="481" t="n"/>
      <c r="BG14" s="481" t="n"/>
      <c r="BH14" s="481" t="n"/>
      <c r="BI14" s="481" t="n"/>
      <c r="BJ14" s="481" t="n"/>
      <c r="BK14" s="481" t="n"/>
      <c r="BL14" s="481" t="n"/>
      <c r="BM14" s="481" t="n"/>
      <c r="BN14" s="481" t="n"/>
      <c r="BO14" s="481" t="n"/>
      <c r="BP14" s="481" t="n"/>
      <c r="BQ14" s="481" t="n"/>
      <c r="BR14" s="481" t="n"/>
      <c r="BS14" s="481" t="n"/>
      <c r="BT14" s="481" t="n"/>
      <c r="BU14" s="481" t="n"/>
      <c r="BV14" s="481" t="n"/>
      <c r="BW14" s="481" t="n"/>
      <c r="BX14" s="481" t="n"/>
      <c r="BY14" s="481" t="n"/>
      <c r="BZ14" s="481" t="n"/>
      <c r="CA14" s="481" t="n"/>
      <c r="CB14" s="481" t="n"/>
      <c r="CC14" s="481" t="n"/>
      <c r="CD14" s="481" t="n"/>
      <c r="CE14" s="481" t="n"/>
      <c r="CF14" s="481" t="n"/>
      <c r="CG14" s="481" t="n"/>
      <c r="CH14" s="481" t="n"/>
      <c r="CI14" s="481" t="n"/>
      <c r="CJ14" s="481" t="n"/>
      <c r="CK14" s="481" t="n"/>
      <c r="CL14" s="481" t="n"/>
      <c r="CM14" s="481" t="n"/>
      <c r="CN14" s="481" t="n"/>
      <c r="CO14" s="481" t="n"/>
      <c r="CP14" s="481" t="n"/>
      <c r="CQ14" s="481" t="n"/>
      <c r="CR14" s="481" t="n"/>
      <c r="CS14" s="481" t="n"/>
      <c r="CT14" s="481" t="n"/>
    </row>
    <row r="15" ht="15" customFormat="1" customHeight="1" s="381">
      <c r="A15" s="480" t="inlineStr">
        <is>
          <t>Bonding Revenue</t>
        </is>
      </c>
      <c r="C15" s="481" t="n">
        <v>0</v>
      </c>
      <c r="D15" s="481" t="n">
        <v>0</v>
      </c>
      <c r="E15" s="481" t="n">
        <v>0</v>
      </c>
      <c r="F15" s="481" t="n">
        <v>0</v>
      </c>
      <c r="G15" s="481" t="n">
        <v>0</v>
      </c>
      <c r="H15" s="481" t="n">
        <v>0</v>
      </c>
      <c r="I15" s="481" t="n"/>
      <c r="J15" s="481" t="n"/>
      <c r="K15" s="481" t="n"/>
      <c r="L15" s="481" t="n"/>
      <c r="M15" s="481" t="n"/>
      <c r="N15" s="481" t="n"/>
      <c r="O15" s="481" t="n"/>
      <c r="P15" s="481" t="n"/>
      <c r="Q15" s="481" t="n"/>
      <c r="R15" s="481" t="n"/>
      <c r="S15" s="481" t="n"/>
      <c r="T15" s="481" t="n"/>
      <c r="U15" s="481" t="n"/>
      <c r="V15" s="481" t="n"/>
      <c r="W15" s="481" t="n"/>
      <c r="X15" s="481" t="n"/>
      <c r="Y15" s="481" t="n"/>
      <c r="Z15" s="481" t="n"/>
      <c r="AA15" s="481" t="n"/>
      <c r="AB15" s="481" t="n"/>
      <c r="AC15" s="481" t="n"/>
      <c r="AD15" s="481" t="n"/>
      <c r="AE15" s="481" t="n"/>
      <c r="AF15" s="481" t="n"/>
      <c r="AG15" s="481" t="n"/>
      <c r="AH15" s="481" t="n"/>
      <c r="AI15" s="481" t="n"/>
      <c r="AJ15" s="481" t="n"/>
      <c r="AK15" s="481" t="n"/>
      <c r="AL15" s="481" t="n"/>
      <c r="AM15" s="481" t="n"/>
      <c r="AN15" s="481" t="n"/>
      <c r="AO15" s="481" t="n"/>
      <c r="AP15" s="481" t="n"/>
      <c r="AQ15" s="481" t="n"/>
      <c r="AR15" s="481" t="n"/>
      <c r="AS15" s="481" t="n"/>
      <c r="AT15" s="481" t="n"/>
      <c r="AU15" s="481" t="n"/>
      <c r="AV15" s="481" t="n"/>
      <c r="AW15" s="481" t="n"/>
      <c r="AX15" s="481" t="n"/>
      <c r="AY15" s="481" t="n"/>
      <c r="AZ15" s="481" t="n"/>
      <c r="BA15" s="481" t="n"/>
      <c r="BB15" s="481" t="n"/>
      <c r="BC15" s="481" t="n"/>
      <c r="BD15" s="481" t="n"/>
      <c r="BE15" s="481" t="n"/>
      <c r="BF15" s="481" t="n"/>
      <c r="BG15" s="481" t="n"/>
      <c r="BH15" s="481" t="n"/>
      <c r="BI15" s="481" t="n"/>
      <c r="BJ15" s="481" t="n"/>
      <c r="BK15" s="481" t="n"/>
      <c r="BL15" s="481" t="n"/>
      <c r="BM15" s="481" t="n"/>
      <c r="BN15" s="481" t="n"/>
      <c r="BO15" s="481" t="n"/>
      <c r="BP15" s="481" t="n"/>
      <c r="BQ15" s="481" t="n"/>
      <c r="BR15" s="481" t="n"/>
      <c r="BS15" s="481" t="n"/>
      <c r="BT15" s="481" t="n"/>
      <c r="BU15" s="481" t="n"/>
      <c r="BV15" s="481" t="n"/>
      <c r="BW15" s="481" t="n"/>
      <c r="BX15" s="481" t="n"/>
      <c r="BY15" s="481" t="n"/>
      <c r="BZ15" s="481" t="n"/>
      <c r="CA15" s="481" t="n"/>
      <c r="CB15" s="481" t="n"/>
      <c r="CC15" s="481" t="n"/>
      <c r="CD15" s="481" t="n"/>
      <c r="CE15" s="481" t="n"/>
      <c r="CF15" s="481" t="n"/>
      <c r="CG15" s="481" t="n"/>
      <c r="CH15" s="481" t="n"/>
      <c r="CI15" s="481" t="n"/>
      <c r="CJ15" s="481" t="n"/>
      <c r="CK15" s="481" t="n"/>
      <c r="CL15" s="481" t="n"/>
      <c r="CM15" s="481" t="n"/>
      <c r="CN15" s="481" t="n"/>
      <c r="CO15" s="481" t="n"/>
      <c r="CP15" s="481" t="n"/>
      <c r="CQ15" s="481" t="n"/>
      <c r="CR15" s="481" t="n"/>
      <c r="CS15" s="481" t="n"/>
      <c r="CT15" s="481" t="n"/>
    </row>
    <row r="16" ht="15" customFormat="1" customHeight="1" s="381">
      <c r="A16" s="480" t="inlineStr">
        <is>
          <t>Bonding Costs</t>
        </is>
      </c>
      <c r="C16" s="481" t="n">
        <v>-1966.5</v>
      </c>
      <c r="D16" s="481" t="n">
        <v>0</v>
      </c>
      <c r="E16" s="481" t="n">
        <v>0</v>
      </c>
      <c r="F16" s="481" t="n">
        <v>0</v>
      </c>
      <c r="G16" s="481" t="n">
        <v>0</v>
      </c>
      <c r="H16" s="481" t="n">
        <v>0</v>
      </c>
      <c r="I16" s="481" t="n"/>
      <c r="J16" s="481" t="n"/>
      <c r="K16" s="481" t="n"/>
      <c r="L16" s="481" t="n"/>
      <c r="M16" s="481" t="n"/>
      <c r="N16" s="481" t="n"/>
      <c r="O16" s="481" t="n"/>
      <c r="P16" s="481" t="n"/>
      <c r="Q16" s="481" t="n"/>
      <c r="R16" s="481" t="n"/>
      <c r="S16" s="481" t="n"/>
      <c r="T16" s="481" t="n"/>
      <c r="U16" s="481" t="n"/>
      <c r="V16" s="481" t="n"/>
      <c r="W16" s="481" t="n"/>
      <c r="X16" s="481" t="n"/>
      <c r="Y16" s="481" t="n"/>
      <c r="Z16" s="481" t="n"/>
      <c r="AA16" s="481" t="n"/>
      <c r="AB16" s="481" t="n"/>
      <c r="AC16" s="481" t="n"/>
      <c r="AD16" s="481" t="n"/>
      <c r="AE16" s="481" t="n"/>
      <c r="AF16" s="481" t="n"/>
      <c r="AG16" s="481" t="n"/>
      <c r="AH16" s="481" t="n"/>
      <c r="AI16" s="481" t="n"/>
      <c r="AJ16" s="481" t="n"/>
      <c r="AK16" s="481" t="n"/>
      <c r="AL16" s="481" t="n"/>
      <c r="AM16" s="481" t="n"/>
      <c r="AN16" s="481" t="n"/>
      <c r="AO16" s="481" t="n"/>
      <c r="AP16" s="481" t="n"/>
      <c r="AQ16" s="481" t="n"/>
      <c r="AR16" s="481" t="n"/>
      <c r="AS16" s="481" t="n"/>
      <c r="AT16" s="481" t="n"/>
      <c r="AU16" s="481" t="n"/>
      <c r="AV16" s="481" t="n"/>
      <c r="AW16" s="481" t="n"/>
      <c r="AX16" s="481" t="n"/>
      <c r="AY16" s="481" t="n"/>
      <c r="AZ16" s="481" t="n"/>
      <c r="BA16" s="481" t="n"/>
      <c r="BB16" s="481" t="n"/>
      <c r="BC16" s="481" t="n"/>
      <c r="BD16" s="481" t="n"/>
      <c r="BE16" s="481" t="n"/>
      <c r="BF16" s="481" t="n"/>
      <c r="BG16" s="481" t="n"/>
      <c r="BH16" s="481" t="n"/>
      <c r="BI16" s="481" t="n"/>
      <c r="BJ16" s="481" t="n"/>
      <c r="BK16" s="481" t="n"/>
      <c r="BL16" s="481" t="n"/>
      <c r="BM16" s="481" t="n"/>
      <c r="BN16" s="481" t="n"/>
      <c r="BO16" s="481" t="n"/>
      <c r="BP16" s="481" t="n"/>
      <c r="BQ16" s="481" t="n"/>
      <c r="BR16" s="481" t="n"/>
      <c r="BS16" s="481" t="n"/>
      <c r="BT16" s="481" t="n"/>
      <c r="BU16" s="481" t="n"/>
      <c r="BV16" s="481" t="n"/>
      <c r="BW16" s="481" t="n"/>
      <c r="BX16" s="481" t="n"/>
      <c r="BY16" s="481" t="n"/>
      <c r="BZ16" s="481" t="n"/>
      <c r="CA16" s="481" t="n"/>
      <c r="CB16" s="481" t="n"/>
      <c r="CC16" s="481" t="n"/>
      <c r="CD16" s="481" t="n"/>
      <c r="CE16" s="481" t="n"/>
      <c r="CF16" s="481" t="n"/>
      <c r="CG16" s="481" t="n"/>
      <c r="CH16" s="481" t="n"/>
      <c r="CI16" s="481" t="n"/>
      <c r="CJ16" s="481" t="n"/>
      <c r="CK16" s="481" t="n"/>
      <c r="CL16" s="481" t="n"/>
      <c r="CM16" s="481" t="n"/>
      <c r="CN16" s="481" t="n"/>
      <c r="CO16" s="481" t="n"/>
      <c r="CP16" s="481" t="n"/>
      <c r="CQ16" s="481" t="n"/>
      <c r="CR16" s="481" t="n"/>
      <c r="CS16" s="481" t="n"/>
      <c r="CT16" s="481" t="n"/>
    </row>
    <row r="17" ht="15" customFormat="1" customHeight="1" s="381">
      <c r="A17" s="477" t="inlineStr">
        <is>
          <t>Gross Profit</t>
        </is>
      </c>
      <c r="C17" s="483">
        <f>C8+C9+C10+C11+C12+C14+C15+C16</f>
        <v>218756.86</v>
      </c>
      <c r="D17" s="483">
        <f>D8+D9+D10+D11+D12+D14+D15+D16</f>
        <v>-51000.77</v>
      </c>
      <c r="E17" s="483">
        <f>E8+E9+E10+E11+E12+E14+E15+E16</f>
        <v>594184.52</v>
      </c>
      <c r="F17" s="483">
        <f>F8+F9+F10+F11+F12+F14+F15+F16</f>
        <v>447358.25</v>
      </c>
      <c r="G17" s="483">
        <f>G8+G9+G10+G11+G12+G14+G15+G16</f>
        <v>465536.7</v>
      </c>
      <c r="H17" s="483">
        <f>H8+H9+H10+H11+H12+H14+H15+H16</f>
        <v>641351.130000001</v>
      </c>
      <c r="I17" s="483">
        <f>I8+I9+I10+I11+I12+I14+I15+I16</f>
        <v>0</v>
      </c>
      <c r="J17" s="483">
        <f>J8+J9+J10+J11+J12+J14+J15+J16</f>
        <v>0</v>
      </c>
      <c r="K17" s="483">
        <f>K8+K9+K10+K11+K12+K14+K15+K16</f>
        <v>0</v>
      </c>
      <c r="L17" s="483">
        <f>L8+L9+L10+L11+L12+L14+L15+L16</f>
        <v>0</v>
      </c>
      <c r="M17" s="483">
        <f>M8+M9+M10+M11+M12+M14+M15+M16</f>
        <v>0</v>
      </c>
      <c r="N17" s="483">
        <f>N8+N9+N10+N11+N12+N14+N15+N16</f>
        <v>0</v>
      </c>
      <c r="O17" s="483">
        <f>O8+O9+O10+O11+O12+O14+O15+O16</f>
        <v>0</v>
      </c>
      <c r="P17" s="483">
        <f>P8+P9+P10+P11+P12+P14+P15+P16</f>
        <v>0</v>
      </c>
      <c r="Q17" s="483">
        <f>Q8+Q9+Q10+Q11+Q12+Q14+Q15+Q16</f>
        <v>0</v>
      </c>
      <c r="R17" s="483">
        <f>R8+R9+R10+R11+R12+R14+R15+R16</f>
        <v>0</v>
      </c>
      <c r="S17" s="483">
        <f>S8+S9+S10+S11+S12+S14+S15+S16</f>
        <v>0</v>
      </c>
      <c r="T17" s="483">
        <f>T8+T9+T10+T11+T12+T14+T15+T16</f>
        <v>0</v>
      </c>
      <c r="U17" s="483">
        <f>U8+U9+U10+U11+U12+U14+U15+U16</f>
        <v>0</v>
      </c>
      <c r="V17" s="483">
        <f>V8+V9+V10+V11+V12+V14+V15+V16</f>
        <v>0</v>
      </c>
      <c r="W17" s="483">
        <f>W8+W9+W10+W11+W12+W14+W15+W16</f>
        <v>0</v>
      </c>
      <c r="X17" s="483">
        <f>X8+X9+X10+X11+X12+X14+X15+X16</f>
        <v>0</v>
      </c>
      <c r="Y17" s="483">
        <f>Y8+Y9+Y10+Y11+Y12+Y14+Y15+Y16</f>
        <v>0</v>
      </c>
      <c r="Z17" s="483">
        <f>Z8+Z9+Z10+Z11+Z12+Z14+Z15+Z16</f>
        <v>0</v>
      </c>
      <c r="AA17" s="483">
        <f>AA8+AA9+AA10+AA11+AA12+AA14+AA15+AA16</f>
        <v>0</v>
      </c>
      <c r="AB17" s="483">
        <f>AB8+AB9+AB10+AB11+AB12+AB14+AB15+AB16</f>
        <v>0</v>
      </c>
      <c r="AC17" s="483">
        <f>AC8+AC9+AC10+AC11+AC12+AC14+AC15+AC16</f>
        <v>0</v>
      </c>
      <c r="AD17" s="483">
        <f>AD8+AD9+AD10+AD11+AD12+AD14+AD15+AD16</f>
        <v>0</v>
      </c>
      <c r="AE17" s="483">
        <f>AE8+AE9+AE10+AE11+AE12+AE14+AE15+AE16</f>
        <v>0</v>
      </c>
      <c r="AF17" s="483">
        <f>AF8+AF9+AF10+AF11+AF12+AF14+AF15+AF16</f>
        <v>0</v>
      </c>
      <c r="AG17" s="483">
        <f>AG8+AG9+AG10+AG11+AG12+AG14+AG15+AG16</f>
        <v>0</v>
      </c>
      <c r="AH17" s="483">
        <f>AH8+AH9+AH10+AH11+AH12+AH14+AH15+AH16</f>
        <v>0</v>
      </c>
      <c r="AI17" s="483">
        <f>AI8+AI9+AI10+AI11+AI12+AI14+AI15+AI16</f>
        <v>0</v>
      </c>
      <c r="AJ17" s="483">
        <f>AJ8+AJ9+AJ10+AJ11+AJ12+AJ14+AJ15+AJ16</f>
        <v>0</v>
      </c>
      <c r="AK17" s="483">
        <f>AK8+AK9+AK10+AK11+AK12+AK14+AK15+AK16</f>
        <v>0</v>
      </c>
      <c r="AL17" s="483">
        <f>AL8+AL9+AL10+AL11+AL12+AL14+AL15+AL16</f>
        <v>0</v>
      </c>
      <c r="AM17" s="483">
        <f>AM8+AM9+AM10+AM11+AM12+AM14+AM15+AM16</f>
        <v>0</v>
      </c>
      <c r="AN17" s="483">
        <f>AN8+AN9+AN10+AN11+AN12+AN14+AN15+AN16</f>
        <v>0</v>
      </c>
      <c r="AO17" s="483">
        <f>AO8+AO9+AO10+AO11+AO12+AO14+AO15+AO16</f>
        <v>0</v>
      </c>
      <c r="AP17" s="483">
        <f>AP8+AP9+AP10+AP11+AP12+AP14+AP15+AP16</f>
        <v>0</v>
      </c>
      <c r="AQ17" s="483">
        <f>AQ8+AQ9+AQ10+AQ11+AQ12+AQ14+AQ15+AQ16</f>
        <v>0</v>
      </c>
      <c r="AR17" s="483">
        <f>AR8+AR9+AR10+AR11+AR12+AR14+AR15+AR16</f>
        <v>0</v>
      </c>
      <c r="AS17" s="483">
        <f>AS8+AS9+AS10+AS11+AS12+AS14+AS15+AS16</f>
        <v>0</v>
      </c>
      <c r="AT17" s="483">
        <f>AT8+AT9+AT10+AT11+AT12+AT14+AT15+AT16</f>
        <v>0</v>
      </c>
      <c r="AU17" s="483">
        <f>AU8+AU9+AU10+AU11+AU12+AU14+AU15+AU16</f>
        <v>0</v>
      </c>
      <c r="AV17" s="483">
        <f>AV8+AV9+AV10+AV11+AV12+AV14+AV15+AV16</f>
        <v>0</v>
      </c>
      <c r="AW17" s="483">
        <f>AW8+AW9+AW10+AW11+AW12+AW14+AW15+AW16</f>
        <v>0</v>
      </c>
      <c r="AX17" s="483">
        <f>AX8+AX9+AX10+AX11+AX12+AX14+AX15+AX16</f>
        <v>0</v>
      </c>
      <c r="AY17" s="483">
        <f>AY8+AY9+AY10+AY11+AY12+AY14+AY15+AY16</f>
        <v>0</v>
      </c>
      <c r="AZ17" s="483">
        <f>AZ8+AZ9+AZ10+AZ11+AZ12+AZ14+AZ15+AZ16</f>
        <v>0</v>
      </c>
      <c r="BA17" s="483">
        <f>BA8+BA9+BA10+BA11+BA12+BA14+BA15+BA16</f>
        <v>0</v>
      </c>
      <c r="BB17" s="483">
        <f>BB8+BB9+BB10+BB11+BB12+BB14+BB15+BB16</f>
        <v>0</v>
      </c>
      <c r="BC17" s="483">
        <f>BC8+BC9+BC10+BC11+BC12+BC14+BC15+BC16</f>
        <v>0</v>
      </c>
      <c r="BD17" s="483">
        <f>BD8+BD9+BD10+BD11+BD12+BD14+BD15+BD16</f>
        <v>0</v>
      </c>
      <c r="BE17" s="483">
        <f>BE8+BE9+BE10+BE11+BE12+BE14+BE15+BE16</f>
        <v>0</v>
      </c>
      <c r="BF17" s="483">
        <f>BF8+BF9+BF10+BF11+BF12+BF14+BF15+BF16</f>
        <v>0</v>
      </c>
      <c r="BG17" s="483">
        <f>BG8+BG9+BG10+BG11+BG12+BG14+BG15+BG16</f>
        <v>0</v>
      </c>
      <c r="BH17" s="483">
        <f>BH8+BH9+BH10+BH11+BH12+BH14+BH15+BH16</f>
        <v>0</v>
      </c>
      <c r="BI17" s="483">
        <f>BI8+BI9+BI10+BI11+BI12+BI14+BI15+BI16</f>
        <v>0</v>
      </c>
      <c r="BJ17" s="483">
        <f>BJ8+BJ9+BJ10+BJ11+BJ12+BJ14+BJ15+BJ16</f>
        <v>0</v>
      </c>
      <c r="BK17" s="483">
        <f>BK8+BK9+BK10+BK11+BK12+BK14+BK15+BK16</f>
        <v>0</v>
      </c>
      <c r="BL17" s="483">
        <f>BL8+BL9+BL10+BL11+BL12+BL14+BL15+BL16</f>
        <v>0</v>
      </c>
      <c r="BM17" s="483">
        <f>BM8+BM9+BM10+BM11+BM12+BM14+BM15+BM16</f>
        <v>0</v>
      </c>
      <c r="BN17" s="483">
        <f>BN8+BN9+BN10+BN11+BN12+BN14+BN15+BN16</f>
        <v>0</v>
      </c>
      <c r="BO17" s="483">
        <f>BO8+BO9+BO10+BO11+BO12+BO14+BO15+BO16</f>
        <v>0</v>
      </c>
      <c r="BP17" s="483">
        <f>BP8+BP9+BP10+BP11+BP12+BP14+BP15+BP16</f>
        <v>0</v>
      </c>
      <c r="BQ17" s="483">
        <f>BQ8+BQ9+BQ10+BQ11+BQ12+BQ14+BQ15+BQ16</f>
        <v>0</v>
      </c>
      <c r="BR17" s="483">
        <f>BR8+BR9+BR10+BR11+BR12+BR14+BR15+BR16</f>
        <v>0</v>
      </c>
      <c r="BS17" s="483">
        <f>BS8+BS9+BS10+BS11+BS12+BS14+BS15+BS16</f>
        <v>0</v>
      </c>
      <c r="BT17" s="483">
        <f>BT8+BT9+BT10+BT11+BT12+BT14+BT15+BT16</f>
        <v>0</v>
      </c>
      <c r="BU17" s="483">
        <f>BU8+BU9+BU10+BU11+BU12+BU14+BU15+BU16</f>
        <v>0</v>
      </c>
      <c r="BV17" s="483">
        <f>BV8+BV9+BV10+BV11+BV12+BV14+BV15+BV16</f>
        <v>0</v>
      </c>
      <c r="BW17" s="483">
        <f>BW8+BW9+BW10+BW11+BW12+BW14+BW15+BW16</f>
        <v>0</v>
      </c>
      <c r="BX17" s="483">
        <f>BX8+BX9+BX10+BX11+BX12+BX14+BX15+BX16</f>
        <v>0</v>
      </c>
      <c r="BY17" s="483">
        <f>BY8+BY9+BY10+BY11+BY12+BY14+BY15+BY16</f>
        <v>0</v>
      </c>
      <c r="BZ17" s="483">
        <f>BZ8+BZ9+BZ10+BZ11+BZ12+BZ14+BZ15+BZ16</f>
        <v>0</v>
      </c>
      <c r="CA17" s="483">
        <f>CA8+CA9+CA10+CA11+CA12+CA14+CA15+CA16</f>
        <v>0</v>
      </c>
      <c r="CB17" s="483">
        <f>CB8+CB9+CB10+CB11+CB12+CB14+CB15+CB16</f>
        <v>0</v>
      </c>
      <c r="CC17" s="483">
        <f>CC8+CC9+CC10+CC11+CC12+CC14+CC15+CC16</f>
        <v>0</v>
      </c>
      <c r="CD17" s="483">
        <f>CD8+CD9+CD10+CD11+CD12+CD14+CD15+CD16</f>
        <v>0</v>
      </c>
      <c r="CE17" s="483">
        <f>CE8+CE9+CE10+CE11+CE12+CE14+CE15+CE16</f>
        <v>0</v>
      </c>
      <c r="CF17" s="483">
        <f>CF8+CF9+CF10+CF11+CF12+CF14+CF15+CF16</f>
        <v>0</v>
      </c>
      <c r="CG17" s="483">
        <f>CG8+CG9+CG10+CG11+CG12+CG14+CG15+CG16</f>
        <v>0</v>
      </c>
      <c r="CH17" s="483">
        <f>CH8+CH9+CH10+CH11+CH12+CH14+CH15+CH16</f>
        <v>0</v>
      </c>
      <c r="CI17" s="483">
        <f>CI8+CI9+CI10+CI11+CI12+CI14+CI15+CI16</f>
        <v>0</v>
      </c>
      <c r="CJ17" s="483">
        <f>CJ8+CJ9+CJ10+CJ11+CJ12+CJ14+CJ15+CJ16</f>
        <v>0</v>
      </c>
      <c r="CK17" s="483">
        <f>CK8+CK9+CK10+CK11+CK12+CK14+CK15+CK16</f>
        <v>0</v>
      </c>
      <c r="CL17" s="483">
        <f>CL8+CL9+CL10+CL11+CL12+CL14+CL15+CL16</f>
        <v>0</v>
      </c>
      <c r="CM17" s="483">
        <f>CM8+CM9+CM10+CM11+CM12+CM14+CM15+CM16</f>
        <v>0</v>
      </c>
      <c r="CN17" s="483">
        <f>CN8+CN9+CN10+CN11+CN12+CN14+CN15+CN16</f>
        <v>0</v>
      </c>
      <c r="CO17" s="483">
        <f>CO8+CO9+CO10+CO11+CO12+CO14+CO15+CO16</f>
        <v>0</v>
      </c>
      <c r="CP17" s="483">
        <f>CP8+CP9+CP10+CP11+CP12+CP14+CP15+CP16</f>
        <v>0</v>
      </c>
      <c r="CQ17" s="483">
        <f>CQ8+CQ9+CQ10+CQ11+CQ12+CQ14+CQ15+CQ16</f>
        <v>0</v>
      </c>
      <c r="CR17" s="483">
        <f>CR8+CR9+CR10+CR11+CR12+CR14+CR15+CR16</f>
        <v>0</v>
      </c>
      <c r="CS17" s="483">
        <f>CS8+CS9+CS10+CS11+CS12+CS14+CS15+CS16</f>
        <v>0</v>
      </c>
      <c r="CT17" s="483">
        <f>CT8+CT9+CT10+CT11+CT12+CT14+CT15+CT16</f>
        <v>0</v>
      </c>
    </row>
    <row r="18" ht="15" customFormat="1" customHeight="1" s="381">
      <c r="A18" s="482" t="inlineStr">
        <is>
          <t>GC Gross Profit Margin %</t>
        </is>
      </c>
      <c r="C18" s="484">
        <f>IFERROR(C17/C13,0)</f>
        <v>0.150473411652305</v>
      </c>
      <c r="D18" s="484">
        <f>IFERROR(D17/D13,0)</f>
        <v>-0.0168735833579273</v>
      </c>
      <c r="E18" s="484">
        <f>IFERROR(E17/E13,0)</f>
        <v>0.222356457869786</v>
      </c>
      <c r="F18" s="484">
        <f>IFERROR(F17/F13,0)</f>
        <v>0.121157878546931</v>
      </c>
      <c r="G18" s="484">
        <f>IFERROR(G17/G13,0)</f>
        <v>0.105418977135063</v>
      </c>
      <c r="H18" s="484">
        <f>IFERROR(H17/H13,0)</f>
        <v>0.1025790393097</v>
      </c>
      <c r="I18" s="484">
        <f>IFERROR(I17/I13,0)</f>
        <v>0</v>
      </c>
      <c r="J18" s="484">
        <f>IFERROR(J17/J13,0)</f>
        <v>0</v>
      </c>
      <c r="K18" s="484">
        <f>IFERROR(K17/K13,0)</f>
        <v>0</v>
      </c>
      <c r="L18" s="484">
        <f>IFERROR(L17/L13,0)</f>
        <v>0</v>
      </c>
      <c r="M18" s="484">
        <f>IFERROR(M17/M13,0)</f>
        <v>0</v>
      </c>
      <c r="N18" s="484">
        <f>IFERROR(N17/N13,0)</f>
        <v>0</v>
      </c>
      <c r="O18" s="484">
        <f>IFERROR(O17/O13,0)</f>
        <v>0</v>
      </c>
      <c r="P18" s="484">
        <f>IFERROR(P17/P13,0)</f>
        <v>0</v>
      </c>
      <c r="Q18" s="484">
        <f>IFERROR(Q17/Q13,0)</f>
        <v>0</v>
      </c>
      <c r="R18" s="484">
        <f>IFERROR(R17/R13,0)</f>
        <v>0</v>
      </c>
      <c r="S18" s="484">
        <f>IFERROR(S17/S13,0)</f>
        <v>0</v>
      </c>
      <c r="T18" s="484">
        <f>IFERROR(T17/T13,0)</f>
        <v>0</v>
      </c>
      <c r="U18" s="484">
        <f>IFERROR(U17/U13,0)</f>
        <v>0</v>
      </c>
      <c r="V18" s="484">
        <f>IFERROR(V17/V13,0)</f>
        <v>0</v>
      </c>
      <c r="W18" s="484">
        <f>IFERROR(W17/W13,0)</f>
        <v>0</v>
      </c>
      <c r="X18" s="484">
        <f>IFERROR(X17/X13,0)</f>
        <v>0</v>
      </c>
      <c r="Y18" s="484">
        <f>IFERROR(Y17/Y13,0)</f>
        <v>0</v>
      </c>
      <c r="Z18" s="484">
        <f>IFERROR(Z17/Z13,0)</f>
        <v>0</v>
      </c>
      <c r="AA18" s="484">
        <f>IFERROR(AA17/AA13,0)</f>
        <v>0</v>
      </c>
      <c r="AB18" s="484">
        <f>IFERROR(AB17/AB13,0)</f>
        <v>0</v>
      </c>
      <c r="AC18" s="484">
        <f>IFERROR(AC17/AC13,0)</f>
        <v>0</v>
      </c>
      <c r="AD18" s="484">
        <f>IFERROR(AD17/AD13,0)</f>
        <v>0</v>
      </c>
      <c r="AE18" s="484">
        <f>IFERROR(AE17/AE13,0)</f>
        <v>0</v>
      </c>
      <c r="AF18" s="484">
        <f>IFERROR(AF17/AF13,0)</f>
        <v>0</v>
      </c>
      <c r="AG18" s="484">
        <f>IFERROR(AG17/AG13,0)</f>
        <v>0</v>
      </c>
      <c r="AH18" s="484">
        <f>IFERROR(AH17/AH13,0)</f>
        <v>0</v>
      </c>
      <c r="AI18" s="484">
        <f>IFERROR(AI17/AI13,0)</f>
        <v>0</v>
      </c>
      <c r="AJ18" s="484">
        <f>IFERROR(AJ17/AJ13,0)</f>
        <v>0</v>
      </c>
      <c r="AK18" s="484">
        <f>IFERROR(AK17/AK13,0)</f>
        <v>0</v>
      </c>
      <c r="AL18" s="484">
        <f>IFERROR(AL17/AL13,0)</f>
        <v>0</v>
      </c>
      <c r="AM18" s="484">
        <f>IFERROR(AM17/AM13,0)</f>
        <v>0</v>
      </c>
      <c r="AN18" s="484">
        <f>IFERROR(AN17/AN13,0)</f>
        <v>0</v>
      </c>
      <c r="AO18" s="484">
        <f>IFERROR(AO17/AO13,0)</f>
        <v>0</v>
      </c>
      <c r="AP18" s="484">
        <f>IFERROR(AP17/AP13,0)</f>
        <v>0</v>
      </c>
      <c r="AQ18" s="484">
        <f>IFERROR(AQ17/AQ13,0)</f>
        <v>0</v>
      </c>
      <c r="AR18" s="484">
        <f>IFERROR(AR17/AR13,0)</f>
        <v>0</v>
      </c>
      <c r="AS18" s="484">
        <f>IFERROR(AS17/AS13,0)</f>
        <v>0</v>
      </c>
      <c r="AT18" s="484">
        <f>IFERROR(AT17/AT13,0)</f>
        <v>0</v>
      </c>
      <c r="AU18" s="484">
        <f>IFERROR(AU17/AU13,0)</f>
        <v>0</v>
      </c>
      <c r="AV18" s="484">
        <f>IFERROR(AV17/AV13,0)</f>
        <v>0</v>
      </c>
      <c r="AW18" s="484">
        <f>IFERROR(AW17/AW13,0)</f>
        <v>0</v>
      </c>
      <c r="AX18" s="484">
        <f>IFERROR(AX17/AX13,0)</f>
        <v>0</v>
      </c>
      <c r="AY18" s="484">
        <f>IFERROR(AY17/AY13,0)</f>
        <v>0</v>
      </c>
      <c r="AZ18" s="484">
        <f>IFERROR(AZ17/AZ13,0)</f>
        <v>0</v>
      </c>
      <c r="BA18" s="484">
        <f>IFERROR(BA17/BA13,0)</f>
        <v>0</v>
      </c>
      <c r="BB18" s="484">
        <f>IFERROR(BB17/BB13,0)</f>
        <v>0</v>
      </c>
      <c r="BC18" s="484">
        <f>IFERROR(BC17/BC13,0)</f>
        <v>0</v>
      </c>
      <c r="BD18" s="484">
        <f>IFERROR(BD17/BD13,0)</f>
        <v>0</v>
      </c>
      <c r="BE18" s="484">
        <f>IFERROR(BE17/BE13,0)</f>
        <v>0</v>
      </c>
      <c r="BF18" s="484">
        <f>IFERROR(BF17/BF13,0)</f>
        <v>0</v>
      </c>
      <c r="BG18" s="484">
        <f>IFERROR(BG17/BG13,0)</f>
        <v>0</v>
      </c>
      <c r="BH18" s="484">
        <f>IFERROR(BH17/BH13,0)</f>
        <v>0</v>
      </c>
      <c r="BI18" s="484">
        <f>IFERROR(BI17/BI13,0)</f>
        <v>0</v>
      </c>
      <c r="BJ18" s="484">
        <f>IFERROR(BJ17/BJ13,0)</f>
        <v>0</v>
      </c>
      <c r="BK18" s="484">
        <f>IFERROR(BK17/BK13,0)</f>
        <v>0</v>
      </c>
      <c r="BL18" s="484">
        <f>IFERROR(BL17/BL13,0)</f>
        <v>0</v>
      </c>
      <c r="BM18" s="484">
        <f>IFERROR(BM17/BM13,0)</f>
        <v>0</v>
      </c>
      <c r="BN18" s="484">
        <f>IFERROR(BN17/BN13,0)</f>
        <v>0</v>
      </c>
      <c r="BO18" s="484">
        <f>IFERROR(BO17/BO13,0)</f>
        <v>0</v>
      </c>
      <c r="BP18" s="484">
        <f>IFERROR(BP17/BP13,0)</f>
        <v>0</v>
      </c>
      <c r="BQ18" s="484">
        <f>IFERROR(BQ17/BQ13,0)</f>
        <v>0</v>
      </c>
      <c r="BR18" s="484">
        <f>IFERROR(BR17/BR13,0)</f>
        <v>0</v>
      </c>
      <c r="BS18" s="484">
        <f>IFERROR(BS17/BS13,0)</f>
        <v>0</v>
      </c>
      <c r="BT18" s="484">
        <f>IFERROR(BT17/BT13,0)</f>
        <v>0</v>
      </c>
      <c r="BU18" s="484">
        <f>IFERROR(BU17/BU13,0)</f>
        <v>0</v>
      </c>
      <c r="BV18" s="484">
        <f>IFERROR(BV17/BV13,0)</f>
        <v>0</v>
      </c>
      <c r="BW18" s="484">
        <f>IFERROR(BW17/BW13,0)</f>
        <v>0</v>
      </c>
      <c r="BX18" s="484">
        <f>IFERROR(BX17/BX13,0)</f>
        <v>0</v>
      </c>
      <c r="BY18" s="484">
        <f>IFERROR(BY17/BY13,0)</f>
        <v>0</v>
      </c>
      <c r="BZ18" s="484">
        <f>IFERROR(BZ17/BZ13,0)</f>
        <v>0</v>
      </c>
      <c r="CA18" s="484">
        <f>IFERROR(CA17/CA13,0)</f>
        <v>0</v>
      </c>
      <c r="CB18" s="484">
        <f>IFERROR(CB17/CB13,0)</f>
        <v>0</v>
      </c>
      <c r="CC18" s="484">
        <f>IFERROR(CC17/CC13,0)</f>
        <v>0</v>
      </c>
      <c r="CD18" s="484">
        <f>IFERROR(CD17/CD13,0)</f>
        <v>0</v>
      </c>
      <c r="CE18" s="484">
        <f>IFERROR(CE17/CE13,0)</f>
        <v>0</v>
      </c>
      <c r="CF18" s="484">
        <f>IFERROR(CF17/CF13,0)</f>
        <v>0</v>
      </c>
      <c r="CG18" s="484">
        <f>IFERROR(CG17/CG13,0)</f>
        <v>0</v>
      </c>
      <c r="CH18" s="484">
        <f>IFERROR(CH17/CH13,0)</f>
        <v>0</v>
      </c>
      <c r="CI18" s="484">
        <f>IFERROR(CI17/CI13,0)</f>
        <v>0</v>
      </c>
      <c r="CJ18" s="484">
        <f>IFERROR(CJ17/CJ13,0)</f>
        <v>0</v>
      </c>
      <c r="CK18" s="484">
        <f>IFERROR(CK17/CK13,0)</f>
        <v>0</v>
      </c>
      <c r="CL18" s="484">
        <f>IFERROR(CL17/CL13,0)</f>
        <v>0</v>
      </c>
      <c r="CM18" s="484">
        <f>IFERROR(CM17/CM13,0)</f>
        <v>0</v>
      </c>
      <c r="CN18" s="484">
        <f>IFERROR(CN17/CN13,0)</f>
        <v>0</v>
      </c>
      <c r="CO18" s="484">
        <f>IFERROR(CO17/CO13,0)</f>
        <v>0</v>
      </c>
      <c r="CP18" s="484">
        <f>IFERROR(CP17/CP13,0)</f>
        <v>0</v>
      </c>
      <c r="CQ18" s="484">
        <f>IFERROR(CQ17/CQ13,0)</f>
        <v>0</v>
      </c>
      <c r="CR18" s="484">
        <f>IFERROR(CR17/CR13,0)</f>
        <v>0</v>
      </c>
      <c r="CS18" s="484">
        <f>IFERROR(CS17/CS13,0)</f>
        <v>0</v>
      </c>
      <c r="CT18" s="484">
        <f>IFERROR(CT17/CT13,0)</f>
        <v>0</v>
      </c>
    </row>
    <row r="19" ht="15" customFormat="1" customHeight="1" s="381">
      <c r="A19" s="480" t="n"/>
      <c r="C19" s="481" t="n"/>
      <c r="D19" s="481" t="n"/>
      <c r="E19" s="481" t="n"/>
      <c r="F19" s="481" t="n"/>
      <c r="G19" s="481" t="n"/>
      <c r="H19" s="481" t="n"/>
      <c r="I19" s="481" t="n"/>
      <c r="J19" s="481" t="n"/>
      <c r="K19" s="481" t="n"/>
      <c r="L19" s="481" t="n"/>
      <c r="M19" s="481" t="n"/>
      <c r="N19" s="481" t="n"/>
      <c r="O19" s="481" t="n"/>
      <c r="P19" s="481" t="n"/>
      <c r="Q19" s="481" t="n"/>
      <c r="R19" s="481" t="n"/>
      <c r="S19" s="481" t="n"/>
      <c r="T19" s="481" t="n"/>
      <c r="U19" s="481" t="n"/>
      <c r="V19" s="481" t="n"/>
      <c r="W19" s="481" t="n"/>
      <c r="X19" s="481" t="n"/>
      <c r="Y19" s="481" t="n"/>
      <c r="Z19" s="481" t="n"/>
      <c r="AA19" s="481" t="n"/>
      <c r="AB19" s="481" t="n"/>
      <c r="AC19" s="481" t="n"/>
      <c r="AD19" s="481" t="n"/>
      <c r="AE19" s="481" t="n"/>
      <c r="AF19" s="481" t="n"/>
      <c r="AG19" s="481" t="n"/>
      <c r="AH19" s="481" t="n"/>
      <c r="AI19" s="481" t="n"/>
      <c r="AJ19" s="481" t="n"/>
      <c r="AK19" s="481" t="n"/>
      <c r="AL19" s="481" t="n"/>
      <c r="AM19" s="481" t="n"/>
      <c r="AN19" s="481" t="n"/>
      <c r="AO19" s="481" t="n"/>
      <c r="AP19" s="481" t="n"/>
      <c r="AQ19" s="481" t="n"/>
      <c r="AR19" s="481" t="n"/>
      <c r="AS19" s="481" t="n"/>
      <c r="AT19" s="481" t="n"/>
      <c r="AU19" s="481" t="n"/>
      <c r="AV19" s="481" t="n"/>
      <c r="AW19" s="481" t="n"/>
      <c r="AX19" s="481" t="n"/>
      <c r="AY19" s="481" t="n"/>
      <c r="AZ19" s="481" t="n"/>
      <c r="BA19" s="481" t="n"/>
      <c r="BB19" s="481" t="n"/>
      <c r="BC19" s="481" t="n"/>
      <c r="BD19" s="481" t="n"/>
      <c r="BE19" s="481" t="n"/>
      <c r="BF19" s="481" t="n"/>
      <c r="BG19" s="481" t="n"/>
      <c r="BH19" s="481" t="n"/>
      <c r="BI19" s="481" t="n"/>
      <c r="BJ19" s="481" t="n"/>
      <c r="BK19" s="481" t="n"/>
      <c r="BL19" s="481" t="n"/>
      <c r="BM19" s="481" t="n"/>
      <c r="BN19" s="481" t="n"/>
      <c r="BO19" s="481" t="n"/>
      <c r="BP19" s="481" t="n"/>
      <c r="BQ19" s="481" t="n"/>
      <c r="BR19" s="481" t="n"/>
      <c r="BS19" s="481" t="n"/>
      <c r="BT19" s="481" t="n"/>
      <c r="BU19" s="481" t="n"/>
      <c r="BV19" s="481" t="n"/>
      <c r="BW19" s="481" t="n"/>
      <c r="BX19" s="481" t="n"/>
      <c r="BY19" s="481" t="n"/>
      <c r="BZ19" s="481" t="n"/>
      <c r="CA19" s="481" t="n"/>
      <c r="CB19" s="481" t="n"/>
      <c r="CC19" s="481" t="n"/>
      <c r="CD19" s="481" t="n"/>
      <c r="CE19" s="481" t="n"/>
      <c r="CF19" s="481" t="n"/>
      <c r="CG19" s="481" t="n"/>
      <c r="CH19" s="481" t="n"/>
      <c r="CI19" s="481" t="n"/>
      <c r="CJ19" s="481" t="n"/>
      <c r="CK19" s="481" t="n"/>
      <c r="CL19" s="481" t="n"/>
      <c r="CM19" s="481" t="n"/>
      <c r="CN19" s="481" t="n"/>
      <c r="CO19" s="481" t="n"/>
      <c r="CP19" s="481" t="n"/>
      <c r="CQ19" s="481" t="n"/>
      <c r="CR19" s="481" t="n"/>
      <c r="CS19" s="481" t="n"/>
      <c r="CT19" s="481" t="n"/>
    </row>
    <row r="20" ht="15" customFormat="1" customHeight="1" s="381">
      <c r="A20" s="480" t="n"/>
      <c r="C20" s="481" t="n"/>
      <c r="D20" s="481" t="n"/>
      <c r="E20" s="481" t="n"/>
      <c r="F20" s="481" t="n"/>
      <c r="G20" s="481" t="n"/>
      <c r="H20" s="481" t="n"/>
      <c r="I20" s="481" t="n"/>
      <c r="J20" s="481" t="n"/>
      <c r="K20" s="481" t="n"/>
      <c r="L20" s="481" t="n"/>
      <c r="M20" s="481" t="n"/>
      <c r="N20" s="481" t="n"/>
      <c r="O20" s="481" t="n"/>
      <c r="P20" s="481" t="n"/>
      <c r="Q20" s="481" t="n"/>
      <c r="R20" s="481" t="n"/>
      <c r="S20" s="481" t="n"/>
      <c r="T20" s="481" t="n"/>
      <c r="U20" s="481" t="n"/>
      <c r="V20" s="481" t="n"/>
      <c r="W20" s="481" t="n"/>
      <c r="X20" s="481" t="n"/>
      <c r="Y20" s="481" t="n"/>
      <c r="Z20" s="481" t="n"/>
      <c r="AA20" s="481" t="n"/>
      <c r="AB20" s="481" t="n"/>
      <c r="AC20" s="481" t="n"/>
      <c r="AD20" s="481" t="n"/>
      <c r="AE20" s="481" t="n"/>
      <c r="AF20" s="481" t="n"/>
      <c r="AG20" s="481" t="n"/>
      <c r="AH20" s="481" t="n"/>
      <c r="AI20" s="481" t="n"/>
      <c r="AJ20" s="481" t="n"/>
      <c r="AK20" s="481" t="n"/>
      <c r="AL20" s="481" t="n"/>
      <c r="AM20" s="481" t="n"/>
      <c r="AN20" s="481" t="n"/>
      <c r="AO20" s="481" t="n"/>
      <c r="AP20" s="481" t="n"/>
      <c r="AQ20" s="481" t="n"/>
      <c r="AR20" s="481" t="n"/>
      <c r="AS20" s="481" t="n"/>
      <c r="AT20" s="481" t="n"/>
      <c r="AU20" s="481" t="n"/>
      <c r="AV20" s="481" t="n"/>
      <c r="AW20" s="481" t="n"/>
      <c r="AX20" s="481" t="n"/>
      <c r="AY20" s="481" t="n"/>
      <c r="AZ20" s="481" t="n"/>
      <c r="BA20" s="481" t="n"/>
      <c r="BB20" s="481" t="n"/>
      <c r="BC20" s="481" t="n"/>
      <c r="BD20" s="481" t="n"/>
      <c r="BE20" s="481" t="n"/>
      <c r="BF20" s="481" t="n"/>
      <c r="BG20" s="481" t="n"/>
      <c r="BH20" s="481" t="n"/>
      <c r="BI20" s="481" t="n"/>
      <c r="BJ20" s="481" t="n"/>
      <c r="BK20" s="481" t="n"/>
      <c r="BL20" s="481" t="n"/>
      <c r="BM20" s="481" t="n"/>
      <c r="BN20" s="481" t="n"/>
      <c r="BO20" s="481" t="n"/>
      <c r="BP20" s="481" t="n"/>
      <c r="BQ20" s="481" t="n"/>
      <c r="BR20" s="481" t="n"/>
      <c r="BS20" s="481" t="n"/>
      <c r="BT20" s="481" t="n"/>
      <c r="BU20" s="481" t="n"/>
      <c r="BV20" s="481" t="n"/>
      <c r="BW20" s="481" t="n"/>
      <c r="BX20" s="481" t="n"/>
      <c r="BY20" s="481" t="n"/>
      <c r="BZ20" s="481" t="n"/>
      <c r="CA20" s="481" t="n"/>
      <c r="CB20" s="481" t="n"/>
      <c r="CC20" s="481" t="n"/>
      <c r="CD20" s="481" t="n"/>
      <c r="CE20" s="481" t="n"/>
      <c r="CF20" s="481" t="n"/>
      <c r="CG20" s="481" t="n"/>
      <c r="CH20" s="481" t="n"/>
      <c r="CI20" s="481" t="n"/>
      <c r="CJ20" s="481" t="n"/>
      <c r="CK20" s="481" t="n"/>
      <c r="CL20" s="481" t="n"/>
      <c r="CM20" s="481" t="n"/>
      <c r="CN20" s="481" t="n"/>
      <c r="CO20" s="481" t="n"/>
      <c r="CP20" s="481" t="n"/>
      <c r="CQ20" s="481" t="n"/>
      <c r="CR20" s="481" t="n"/>
      <c r="CS20" s="481" t="n"/>
      <c r="CT20" s="481" t="n"/>
    </row>
    <row r="21" ht="15" customFormat="1" customHeight="1" s="381">
      <c r="A21" s="480" t="inlineStr">
        <is>
          <t>5000-1000 Payroll</t>
        </is>
      </c>
      <c r="C21" s="481" t="n">
        <v>-144550.9</v>
      </c>
      <c r="D21" s="481" t="n">
        <v>-150672.84</v>
      </c>
      <c r="E21" s="481" t="n">
        <v>-178867.86</v>
      </c>
      <c r="F21" s="481" t="n">
        <v>-187693.63</v>
      </c>
      <c r="G21" s="481" t="n">
        <v>-295949.1</v>
      </c>
      <c r="H21" s="481" t="n">
        <v>-198645.92</v>
      </c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1" t="n"/>
      <c r="V21" s="481" t="n"/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1" t="n"/>
      <c r="AF21" s="481" t="n"/>
      <c r="AG21" s="481" t="n"/>
      <c r="AH21" s="481" t="n"/>
      <c r="AI21" s="481" t="n"/>
      <c r="AJ21" s="481" t="n"/>
      <c r="AK21" s="481" t="n"/>
      <c r="AL21" s="481" t="n"/>
      <c r="AM21" s="481" t="n"/>
      <c r="AN21" s="481" t="n"/>
      <c r="AO21" s="481" t="n"/>
      <c r="AP21" s="481" t="n"/>
      <c r="AQ21" s="481" t="n"/>
      <c r="AR21" s="481" t="n"/>
      <c r="AS21" s="481" t="n"/>
      <c r="AT21" s="481" t="n"/>
      <c r="AU21" s="481" t="n"/>
      <c r="AV21" s="481" t="n"/>
      <c r="AW21" s="481" t="n"/>
      <c r="AX21" s="481" t="n"/>
      <c r="AY21" s="481" t="n"/>
      <c r="AZ21" s="481" t="n"/>
      <c r="BA21" s="481" t="n"/>
      <c r="BB21" s="481" t="n"/>
      <c r="BC21" s="481" t="n"/>
      <c r="BD21" s="481" t="n"/>
      <c r="BE21" s="481" t="n"/>
      <c r="BF21" s="481" t="n"/>
      <c r="BG21" s="481" t="n"/>
      <c r="BH21" s="481" t="n"/>
      <c r="BI21" s="481" t="n"/>
      <c r="BJ21" s="481" t="n"/>
      <c r="BK21" s="481" t="n"/>
      <c r="BL21" s="481" t="n"/>
      <c r="BM21" s="481" t="n"/>
      <c r="BN21" s="481" t="n"/>
      <c r="BO21" s="481" t="n"/>
      <c r="BP21" s="481" t="n"/>
      <c r="BQ21" s="481" t="n"/>
      <c r="BR21" s="481" t="n"/>
      <c r="BS21" s="481" t="n"/>
      <c r="BT21" s="481" t="n"/>
      <c r="BU21" s="481" t="n"/>
      <c r="BV21" s="481" t="n"/>
      <c r="BW21" s="481" t="n"/>
      <c r="BX21" s="481" t="n"/>
      <c r="BY21" s="481" t="n"/>
      <c r="BZ21" s="481" t="n"/>
      <c r="CA21" s="481" t="n"/>
      <c r="CB21" s="481" t="n"/>
      <c r="CC21" s="481" t="n"/>
      <c r="CD21" s="481" t="n"/>
      <c r="CE21" s="481" t="n"/>
      <c r="CF21" s="481" t="n"/>
      <c r="CG21" s="481" t="n"/>
      <c r="CH21" s="481" t="n"/>
      <c r="CI21" s="481" t="n"/>
      <c r="CJ21" s="481" t="n"/>
      <c r="CK21" s="481" t="n"/>
      <c r="CL21" s="481" t="n"/>
      <c r="CM21" s="481" t="n"/>
      <c r="CN21" s="481" t="n"/>
      <c r="CO21" s="481" t="n"/>
      <c r="CP21" s="481" t="n"/>
      <c r="CQ21" s="481" t="n"/>
      <c r="CR21" s="481" t="n"/>
      <c r="CS21" s="481" t="n"/>
      <c r="CT21" s="481" t="n"/>
    </row>
    <row r="22" ht="15" customFormat="1" customHeight="1" s="381">
      <c r="A22" s="480" t="inlineStr">
        <is>
          <t>5000-1001 Payroll Taxes</t>
        </is>
      </c>
      <c r="C22" s="481" t="n">
        <v>-7450.37</v>
      </c>
      <c r="D22" s="481" t="n">
        <v>-10567.2</v>
      </c>
      <c r="E22" s="481" t="n">
        <v>-17033.3</v>
      </c>
      <c r="F22" s="481" t="n">
        <v>-14599.57</v>
      </c>
      <c r="G22" s="481" t="n">
        <v>-23689.02</v>
      </c>
      <c r="H22" s="481" t="n">
        <v>-14793.67</v>
      </c>
      <c r="I22" s="481" t="n"/>
      <c r="J22" s="481" t="n"/>
      <c r="K22" s="481" t="n"/>
      <c r="L22" s="481" t="n"/>
      <c r="M22" s="481" t="n"/>
      <c r="N22" s="481" t="n"/>
      <c r="O22" s="481" t="n"/>
      <c r="P22" s="481" t="n"/>
      <c r="Q22" s="481" t="n"/>
      <c r="R22" s="481" t="n"/>
      <c r="S22" s="481" t="n"/>
      <c r="T22" s="481" t="n"/>
      <c r="U22" s="481" t="n"/>
      <c r="V22" s="481" t="n"/>
      <c r="W22" s="481" t="n"/>
      <c r="X22" s="481" t="n"/>
      <c r="Y22" s="481" t="n"/>
      <c r="Z22" s="481" t="n"/>
      <c r="AA22" s="481" t="n"/>
      <c r="AB22" s="481" t="n"/>
      <c r="AC22" s="481" t="n"/>
      <c r="AD22" s="481" t="n"/>
      <c r="AE22" s="481" t="n"/>
      <c r="AF22" s="481" t="n"/>
      <c r="AG22" s="481" t="n"/>
      <c r="AH22" s="481" t="n"/>
      <c r="AI22" s="481" t="n"/>
      <c r="AJ22" s="481" t="n"/>
      <c r="AK22" s="481" t="n"/>
      <c r="AL22" s="481" t="n"/>
      <c r="AM22" s="481" t="n"/>
      <c r="AN22" s="481" t="n"/>
      <c r="AO22" s="481" t="n"/>
      <c r="AP22" s="481" t="n"/>
      <c r="AQ22" s="481" t="n"/>
      <c r="AR22" s="481" t="n"/>
      <c r="AS22" s="481" t="n"/>
      <c r="AT22" s="481" t="n"/>
      <c r="AU22" s="481" t="n"/>
      <c r="AV22" s="481" t="n"/>
      <c r="AW22" s="481" t="n"/>
      <c r="AX22" s="481" t="n"/>
      <c r="AY22" s="481" t="n"/>
      <c r="AZ22" s="481" t="n"/>
      <c r="BA22" s="481" t="n"/>
      <c r="BB22" s="481" t="n"/>
      <c r="BC22" s="481" t="n"/>
      <c r="BD22" s="481" t="n"/>
      <c r="BE22" s="481" t="n"/>
      <c r="BF22" s="481" t="n"/>
      <c r="BG22" s="481" t="n"/>
      <c r="BH22" s="481" t="n"/>
      <c r="BI22" s="481" t="n"/>
      <c r="BJ22" s="481" t="n"/>
      <c r="BK22" s="481" t="n"/>
      <c r="BL22" s="481" t="n"/>
      <c r="BM22" s="481" t="n"/>
      <c r="BN22" s="481" t="n"/>
      <c r="BO22" s="481" t="n"/>
      <c r="BP22" s="481" t="n"/>
      <c r="BQ22" s="481" t="n"/>
      <c r="BR22" s="481" t="n"/>
      <c r="BS22" s="481" t="n"/>
      <c r="BT22" s="481" t="n"/>
      <c r="BU22" s="481" t="n"/>
      <c r="BV22" s="481" t="n"/>
      <c r="BW22" s="481" t="n"/>
      <c r="BX22" s="481" t="n"/>
      <c r="BY22" s="481" t="n"/>
      <c r="BZ22" s="481" t="n"/>
      <c r="CA22" s="481" t="n"/>
      <c r="CB22" s="481" t="n"/>
      <c r="CC22" s="481" t="n"/>
      <c r="CD22" s="481" t="n"/>
      <c r="CE22" s="481" t="n"/>
      <c r="CF22" s="481" t="n"/>
      <c r="CG22" s="481" t="n"/>
      <c r="CH22" s="481" t="n"/>
      <c r="CI22" s="481" t="n"/>
      <c r="CJ22" s="481" t="n"/>
      <c r="CK22" s="481" t="n"/>
      <c r="CL22" s="481" t="n"/>
      <c r="CM22" s="481" t="n"/>
      <c r="CN22" s="481" t="n"/>
      <c r="CO22" s="481" t="n"/>
      <c r="CP22" s="481" t="n"/>
      <c r="CQ22" s="481" t="n"/>
      <c r="CR22" s="481" t="n"/>
      <c r="CS22" s="481" t="n"/>
      <c r="CT22" s="481" t="n"/>
    </row>
    <row r="23" ht="15" customFormat="1" customHeight="1" s="381">
      <c r="A23" s="480" t="inlineStr">
        <is>
          <t>SP Allocated to LV</t>
        </is>
      </c>
      <c r="C23" s="481" t="n"/>
      <c r="D23" s="481" t="n"/>
      <c r="E23" s="481" t="n"/>
      <c r="F23" s="481" t="n">
        <v>0</v>
      </c>
      <c r="G23" s="481" t="n">
        <v>0</v>
      </c>
      <c r="H23" s="481" t="n">
        <v>0</v>
      </c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1" t="n"/>
      <c r="V23" s="481" t="n"/>
      <c r="W23" s="481" t="n"/>
      <c r="X23" s="481" t="n"/>
      <c r="Y23" s="481" t="n"/>
      <c r="Z23" s="481" t="n"/>
      <c r="AA23" s="481" t="n"/>
      <c r="AB23" s="481" t="n"/>
      <c r="AC23" s="481" t="n"/>
      <c r="AD23" s="481" t="n"/>
      <c r="AE23" s="481" t="n"/>
      <c r="AF23" s="481" t="n"/>
      <c r="AG23" s="481" t="n"/>
      <c r="AH23" s="481" t="n"/>
      <c r="AI23" s="481" t="n"/>
      <c r="AJ23" s="481" t="n"/>
      <c r="AK23" s="481" t="n"/>
      <c r="AL23" s="481" t="n"/>
      <c r="AM23" s="481" t="n"/>
      <c r="AN23" s="481" t="n"/>
      <c r="AO23" s="481" t="n"/>
      <c r="AP23" s="481" t="n"/>
      <c r="AQ23" s="481" t="n"/>
      <c r="AR23" s="481" t="n"/>
      <c r="AS23" s="481" t="n"/>
      <c r="AT23" s="481" t="n"/>
      <c r="AU23" s="481" t="n"/>
      <c r="AV23" s="481" t="n"/>
      <c r="AW23" s="481" t="n"/>
      <c r="AX23" s="481" t="n"/>
      <c r="AY23" s="481" t="n"/>
      <c r="AZ23" s="481" t="n"/>
      <c r="BA23" s="481" t="n"/>
      <c r="BB23" s="481" t="n"/>
      <c r="BC23" s="481" t="n"/>
      <c r="BD23" s="481" t="n"/>
      <c r="BE23" s="481" t="n"/>
      <c r="BF23" s="481" t="n"/>
      <c r="BG23" s="481" t="n"/>
      <c r="BH23" s="481" t="n"/>
      <c r="BI23" s="481" t="n"/>
      <c r="BJ23" s="481" t="n"/>
      <c r="BK23" s="481" t="n"/>
      <c r="BL23" s="481" t="n"/>
      <c r="BM23" s="481" t="n"/>
      <c r="BN23" s="481" t="n"/>
      <c r="BO23" s="481" t="n"/>
      <c r="BP23" s="481" t="n"/>
      <c r="BQ23" s="481" t="n"/>
      <c r="BR23" s="481" t="n"/>
      <c r="BS23" s="481" t="n"/>
      <c r="BT23" s="481" t="n"/>
      <c r="BU23" s="481" t="n"/>
      <c r="BV23" s="481" t="n"/>
      <c r="BW23" s="481" t="n"/>
      <c r="BX23" s="481" t="n"/>
      <c r="BY23" s="481" t="n"/>
      <c r="BZ23" s="481" t="n"/>
      <c r="CA23" s="481" t="n"/>
      <c r="CB23" s="481" t="n"/>
      <c r="CC23" s="481" t="n"/>
      <c r="CD23" s="481" t="n"/>
      <c r="CE23" s="481" t="n"/>
      <c r="CF23" s="481" t="n"/>
      <c r="CG23" s="481" t="n"/>
      <c r="CH23" s="481" t="n"/>
      <c r="CI23" s="481" t="n"/>
      <c r="CJ23" s="481" t="n"/>
      <c r="CK23" s="481" t="n"/>
      <c r="CL23" s="481" t="n"/>
      <c r="CM23" s="481" t="n"/>
      <c r="CN23" s="481" t="n"/>
      <c r="CO23" s="481" t="n"/>
      <c r="CP23" s="481" t="n"/>
      <c r="CQ23" s="481" t="n"/>
      <c r="CR23" s="481" t="n"/>
      <c r="CS23" s="481" t="n"/>
      <c r="CT23" s="481" t="n"/>
    </row>
    <row r="24" ht="15" customFormat="1" customHeight="1" s="381">
      <c r="A24" s="480" t="inlineStr">
        <is>
          <t>5000-1002 Employee Benefits</t>
        </is>
      </c>
      <c r="C24" s="481" t="n">
        <v>-9482.969999999999</v>
      </c>
      <c r="D24" s="481" t="n">
        <v>-10343.29</v>
      </c>
      <c r="E24" s="481" t="n">
        <v>-3729.48</v>
      </c>
      <c r="F24" s="481" t="n">
        <v>-3206.79</v>
      </c>
      <c r="G24" s="481" t="n">
        <v>10942.55</v>
      </c>
      <c r="H24" s="481" t="n">
        <v>-8982.91</v>
      </c>
      <c r="I24" s="481" t="n"/>
      <c r="J24" s="481" t="n"/>
      <c r="K24" s="481" t="n"/>
      <c r="L24" s="481" t="n"/>
      <c r="M24" s="481" t="n"/>
      <c r="N24" s="481" t="n"/>
      <c r="O24" s="481" t="n"/>
      <c r="P24" s="481" t="n"/>
      <c r="Q24" s="481" t="n"/>
      <c r="R24" s="481" t="n"/>
      <c r="S24" s="481" t="n"/>
      <c r="T24" s="481" t="n"/>
      <c r="U24" s="481" t="n"/>
      <c r="V24" s="481" t="n"/>
      <c r="W24" s="481" t="n"/>
      <c r="X24" s="481" t="n"/>
      <c r="Y24" s="481" t="n"/>
      <c r="Z24" s="481" t="n"/>
      <c r="AA24" s="481" t="n"/>
      <c r="AB24" s="481" t="n"/>
      <c r="AC24" s="481" t="n"/>
      <c r="AD24" s="481" t="n"/>
      <c r="AE24" s="481" t="n"/>
      <c r="AF24" s="481" t="n"/>
      <c r="AG24" s="481" t="n"/>
      <c r="AH24" s="481" t="n"/>
      <c r="AI24" s="481" t="n"/>
      <c r="AJ24" s="481" t="n"/>
      <c r="AK24" s="481" t="n"/>
      <c r="AL24" s="481" t="n"/>
      <c r="AM24" s="481" t="n"/>
      <c r="AN24" s="481" t="n"/>
      <c r="AO24" s="481" t="n"/>
      <c r="AP24" s="481" t="n"/>
      <c r="AQ24" s="481" t="n"/>
      <c r="AR24" s="481" t="n"/>
      <c r="AS24" s="481" t="n"/>
      <c r="AT24" s="481" t="n"/>
      <c r="AU24" s="481" t="n"/>
      <c r="AV24" s="481" t="n"/>
      <c r="AW24" s="481" t="n"/>
      <c r="AX24" s="481" t="n"/>
      <c r="AY24" s="481" t="n"/>
      <c r="AZ24" s="481" t="n"/>
      <c r="BA24" s="481" t="n"/>
      <c r="BB24" s="481" t="n"/>
      <c r="BC24" s="481" t="n"/>
      <c r="BD24" s="481" t="n"/>
      <c r="BE24" s="481" t="n"/>
      <c r="BF24" s="481" t="n"/>
      <c r="BG24" s="481" t="n"/>
      <c r="BH24" s="481" t="n"/>
      <c r="BI24" s="481" t="n"/>
      <c r="BJ24" s="481" t="n"/>
      <c r="BK24" s="481" t="n"/>
      <c r="BL24" s="481" t="n"/>
      <c r="BM24" s="481" t="n"/>
      <c r="BN24" s="481" t="n"/>
      <c r="BO24" s="481" t="n"/>
      <c r="BP24" s="481" t="n"/>
      <c r="BQ24" s="481" t="n"/>
      <c r="BR24" s="481" t="n"/>
      <c r="BS24" s="481" t="n"/>
      <c r="BT24" s="481" t="n"/>
      <c r="BU24" s="481" t="n"/>
      <c r="BV24" s="481" t="n"/>
      <c r="BW24" s="481" t="n"/>
      <c r="BX24" s="481" t="n"/>
      <c r="BY24" s="481" t="n"/>
      <c r="BZ24" s="481" t="n"/>
      <c r="CA24" s="481" t="n"/>
      <c r="CB24" s="481" t="n"/>
      <c r="CC24" s="481" t="n"/>
      <c r="CD24" s="481" t="n"/>
      <c r="CE24" s="481" t="n"/>
      <c r="CF24" s="481" t="n"/>
      <c r="CG24" s="481" t="n"/>
      <c r="CH24" s="481" t="n"/>
      <c r="CI24" s="481" t="n"/>
      <c r="CJ24" s="481" t="n"/>
      <c r="CK24" s="481" t="n"/>
      <c r="CL24" s="481" t="n"/>
      <c r="CM24" s="481" t="n"/>
      <c r="CN24" s="481" t="n"/>
      <c r="CO24" s="481" t="n"/>
      <c r="CP24" s="481" t="n"/>
      <c r="CQ24" s="481" t="n"/>
      <c r="CR24" s="481" t="n"/>
      <c r="CS24" s="481" t="n"/>
      <c r="CT24" s="481" t="n"/>
    </row>
    <row r="25" ht="15" customFormat="1" customHeight="1" s="381">
      <c r="A25" s="480" t="inlineStr">
        <is>
          <t>5000-1003 Workers Comp</t>
        </is>
      </c>
      <c r="C25" s="481" t="n">
        <v>-2542.47</v>
      </c>
      <c r="D25" s="481" t="n">
        <v>-1618.75</v>
      </c>
      <c r="E25" s="481" t="n">
        <v>3406.77</v>
      </c>
      <c r="F25" s="481" t="n">
        <v>2575.42</v>
      </c>
      <c r="G25" s="481" t="n">
        <v>-1896.11</v>
      </c>
      <c r="H25" s="481" t="n">
        <v>-2888.37</v>
      </c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1" t="n"/>
      <c r="AN25" s="481" t="n"/>
      <c r="AO25" s="481" t="n"/>
      <c r="AP25" s="481" t="n"/>
      <c r="AQ25" s="481" t="n"/>
      <c r="AR25" s="481" t="n"/>
      <c r="AS25" s="481" t="n"/>
      <c r="AT25" s="481" t="n"/>
      <c r="AU25" s="481" t="n"/>
      <c r="AV25" s="481" t="n"/>
      <c r="AW25" s="481" t="n"/>
      <c r="AX25" s="481" t="n"/>
      <c r="AY25" s="481" t="n"/>
      <c r="AZ25" s="481" t="n"/>
      <c r="BA25" s="481" t="n"/>
      <c r="BB25" s="481" t="n"/>
      <c r="BC25" s="481" t="n"/>
      <c r="BD25" s="481" t="n"/>
      <c r="BE25" s="481" t="n"/>
      <c r="BF25" s="481" t="n"/>
      <c r="BG25" s="481" t="n"/>
      <c r="BH25" s="481" t="n"/>
      <c r="BI25" s="481" t="n"/>
      <c r="BJ25" s="481" t="n"/>
      <c r="BK25" s="481" t="n"/>
      <c r="BL25" s="481" t="n"/>
      <c r="BM25" s="481" t="n"/>
      <c r="BN25" s="481" t="n"/>
      <c r="BO25" s="481" t="n"/>
      <c r="BP25" s="481" t="n"/>
      <c r="BQ25" s="481" t="n"/>
      <c r="BR25" s="481" t="n"/>
      <c r="BS25" s="481" t="n"/>
      <c r="BT25" s="481" t="n"/>
      <c r="BU25" s="481" t="n"/>
      <c r="BV25" s="481" t="n"/>
      <c r="BW25" s="481" t="n"/>
      <c r="BX25" s="481" t="n"/>
      <c r="BY25" s="481" t="n"/>
      <c r="BZ25" s="481" t="n"/>
      <c r="CA25" s="481" t="n"/>
      <c r="CB25" s="481" t="n"/>
      <c r="CC25" s="481" t="n"/>
      <c r="CD25" s="481" t="n"/>
      <c r="CE25" s="481" t="n"/>
      <c r="CF25" s="481" t="n"/>
      <c r="CG25" s="481" t="n"/>
      <c r="CH25" s="481" t="n"/>
      <c r="CI25" s="481" t="n"/>
      <c r="CJ25" s="481" t="n"/>
      <c r="CK25" s="481" t="n"/>
      <c r="CL25" s="481" t="n"/>
      <c r="CM25" s="481" t="n"/>
      <c r="CN25" s="481" t="n"/>
      <c r="CO25" s="481" t="n"/>
      <c r="CP25" s="481" t="n"/>
      <c r="CQ25" s="481" t="n"/>
      <c r="CR25" s="481" t="n"/>
      <c r="CS25" s="481" t="n"/>
      <c r="CT25" s="481" t="n"/>
    </row>
    <row r="26" ht="15" customFormat="1" customHeight="1" s="381">
      <c r="A26" s="480" t="inlineStr">
        <is>
          <t>5000-1005 Payroll Servicing Fees</t>
        </is>
      </c>
      <c r="C26" s="481" t="n">
        <v>-195</v>
      </c>
      <c r="D26" s="481" t="n">
        <v>-200</v>
      </c>
      <c r="E26" s="481" t="n">
        <v>0</v>
      </c>
      <c r="F26" s="481" t="n">
        <v>0</v>
      </c>
      <c r="G26" s="481" t="n">
        <v>0</v>
      </c>
      <c r="H26" s="481" t="n">
        <v>0</v>
      </c>
      <c r="I26" s="481" t="n"/>
      <c r="J26" s="481" t="n"/>
      <c r="K26" s="481" t="n"/>
      <c r="L26" s="481" t="n"/>
      <c r="M26" s="481" t="n"/>
      <c r="N26" s="481" t="n"/>
      <c r="O26" s="481" t="n"/>
      <c r="P26" s="481" t="n"/>
      <c r="Q26" s="481" t="n"/>
      <c r="R26" s="481" t="n"/>
      <c r="S26" s="481" t="n"/>
      <c r="T26" s="481" t="n"/>
      <c r="U26" s="481" t="n"/>
      <c r="V26" s="481" t="n"/>
      <c r="W26" s="481" t="n"/>
      <c r="X26" s="481" t="n"/>
      <c r="Y26" s="481" t="n"/>
      <c r="Z26" s="481" t="n"/>
      <c r="AA26" s="481" t="n"/>
      <c r="AB26" s="481" t="n"/>
      <c r="AC26" s="481" t="n"/>
      <c r="AD26" s="481" t="n"/>
      <c r="AE26" s="481" t="n"/>
      <c r="AF26" s="481" t="n"/>
      <c r="AG26" s="481" t="n"/>
      <c r="AH26" s="481" t="n"/>
      <c r="AI26" s="481" t="n"/>
      <c r="AJ26" s="481" t="n"/>
      <c r="AK26" s="481" t="n"/>
      <c r="AL26" s="481" t="n"/>
      <c r="AM26" s="481" t="n"/>
      <c r="AN26" s="481" t="n"/>
      <c r="AO26" s="481" t="n"/>
      <c r="AP26" s="481" t="n"/>
      <c r="AQ26" s="481" t="n"/>
      <c r="AR26" s="481" t="n"/>
      <c r="AS26" s="481" t="n"/>
      <c r="AT26" s="481" t="n"/>
      <c r="AU26" s="481" t="n"/>
      <c r="AV26" s="481" t="n"/>
      <c r="AW26" s="481" t="n"/>
      <c r="AX26" s="481" t="n"/>
      <c r="AY26" s="481" t="n"/>
      <c r="AZ26" s="481" t="n"/>
      <c r="BA26" s="481" t="n"/>
      <c r="BB26" s="481" t="n"/>
      <c r="BC26" s="481" t="n"/>
      <c r="BD26" s="481" t="n"/>
      <c r="BE26" s="481" t="n"/>
      <c r="BF26" s="481" t="n"/>
      <c r="BG26" s="481" t="n"/>
      <c r="BH26" s="481" t="n"/>
      <c r="BI26" s="481" t="n"/>
      <c r="BJ26" s="481" t="n"/>
      <c r="BK26" s="481" t="n"/>
      <c r="BL26" s="481" t="n"/>
      <c r="BM26" s="481" t="n"/>
      <c r="BN26" s="481" t="n"/>
      <c r="BO26" s="481" t="n"/>
      <c r="BP26" s="481" t="n"/>
      <c r="BQ26" s="481" t="n"/>
      <c r="BR26" s="481" t="n"/>
      <c r="BS26" s="481" t="n"/>
      <c r="BT26" s="481" t="n"/>
      <c r="BU26" s="481" t="n"/>
      <c r="BV26" s="481" t="n"/>
      <c r="BW26" s="481" t="n"/>
      <c r="BX26" s="481" t="n"/>
      <c r="BY26" s="481" t="n"/>
      <c r="BZ26" s="481" t="n"/>
      <c r="CA26" s="481" t="n"/>
      <c r="CB26" s="481" t="n"/>
      <c r="CC26" s="481" t="n"/>
      <c r="CD26" s="481" t="n"/>
      <c r="CE26" s="481" t="n"/>
      <c r="CF26" s="481" t="n"/>
      <c r="CG26" s="481" t="n"/>
      <c r="CH26" s="481" t="n"/>
      <c r="CI26" s="481" t="n"/>
      <c r="CJ26" s="481" t="n"/>
      <c r="CK26" s="481" t="n"/>
      <c r="CL26" s="481" t="n"/>
      <c r="CM26" s="481" t="n"/>
      <c r="CN26" s="481" t="n"/>
      <c r="CO26" s="481" t="n"/>
      <c r="CP26" s="481" t="n"/>
      <c r="CQ26" s="481" t="n"/>
      <c r="CR26" s="481" t="n"/>
      <c r="CS26" s="481" t="n"/>
      <c r="CT26" s="481" t="n"/>
    </row>
    <row r="27" ht="15" customFormat="1" customHeight="1" s="381">
      <c r="A27" s="480" t="inlineStr">
        <is>
          <t>5000-1007 Payroll - Consultants</t>
        </is>
      </c>
      <c r="C27" s="481" t="n">
        <v>-33002.28</v>
      </c>
      <c r="D27" s="481" t="n">
        <v>-29166.66</v>
      </c>
      <c r="E27" s="481" t="n">
        <v>-41666.66</v>
      </c>
      <c r="F27" s="481" t="n">
        <v>-29166.66</v>
      </c>
      <c r="G27" s="481" t="n">
        <v>-29166.66</v>
      </c>
      <c r="H27" s="481" t="n">
        <v>-29166.66</v>
      </c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1" t="n"/>
      <c r="U27" s="481" t="n"/>
      <c r="V27" s="481" t="n"/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1" t="n"/>
      <c r="AF27" s="481" t="n"/>
      <c r="AG27" s="481" t="n"/>
      <c r="AH27" s="481" t="n"/>
      <c r="AI27" s="481" t="n"/>
      <c r="AJ27" s="481" t="n"/>
      <c r="AK27" s="481" t="n"/>
      <c r="AL27" s="481" t="n"/>
      <c r="AM27" s="481" t="n"/>
      <c r="AN27" s="481" t="n"/>
      <c r="AO27" s="481" t="n"/>
      <c r="AP27" s="481" t="n"/>
      <c r="AQ27" s="481" t="n"/>
      <c r="AR27" s="481" t="n"/>
      <c r="AS27" s="481" t="n"/>
      <c r="AT27" s="481" t="n"/>
      <c r="AU27" s="481" t="n"/>
      <c r="AV27" s="481" t="n"/>
      <c r="AW27" s="481" t="n"/>
      <c r="AX27" s="481" t="n"/>
      <c r="AY27" s="481" t="n"/>
      <c r="AZ27" s="481" t="n"/>
      <c r="BA27" s="481" t="n"/>
      <c r="BB27" s="481" t="n"/>
      <c r="BC27" s="481" t="n"/>
      <c r="BD27" s="481" t="n"/>
      <c r="BE27" s="481" t="n"/>
      <c r="BF27" s="481" t="n"/>
      <c r="BG27" s="481" t="n"/>
      <c r="BH27" s="481" t="n"/>
      <c r="BI27" s="481" t="n"/>
      <c r="BJ27" s="481" t="n"/>
      <c r="BK27" s="481" t="n"/>
      <c r="BL27" s="481" t="n"/>
      <c r="BM27" s="481" t="n"/>
      <c r="BN27" s="481" t="n"/>
      <c r="BO27" s="481" t="n"/>
      <c r="BP27" s="481" t="n"/>
      <c r="BQ27" s="481" t="n"/>
      <c r="BR27" s="481" t="n"/>
      <c r="BS27" s="481" t="n"/>
      <c r="BT27" s="481" t="n"/>
      <c r="BU27" s="481" t="n"/>
      <c r="BV27" s="481" t="n"/>
      <c r="BW27" s="481" t="n"/>
      <c r="BX27" s="481" t="n"/>
      <c r="BY27" s="481" t="n"/>
      <c r="BZ27" s="481" t="n"/>
      <c r="CA27" s="481" t="n"/>
      <c r="CB27" s="481" t="n"/>
      <c r="CC27" s="481" t="n"/>
      <c r="CD27" s="481" t="n"/>
      <c r="CE27" s="481" t="n"/>
      <c r="CF27" s="481" t="n"/>
      <c r="CG27" s="481" t="n"/>
      <c r="CH27" s="481" t="n"/>
      <c r="CI27" s="481" t="n"/>
      <c r="CJ27" s="481" t="n"/>
      <c r="CK27" s="481" t="n"/>
      <c r="CL27" s="481" t="n"/>
      <c r="CM27" s="481" t="n"/>
      <c r="CN27" s="481" t="n"/>
      <c r="CO27" s="481" t="n"/>
      <c r="CP27" s="481" t="n"/>
      <c r="CQ27" s="481" t="n"/>
      <c r="CR27" s="481" t="n"/>
      <c r="CS27" s="481" t="n"/>
      <c r="CT27" s="481" t="n"/>
    </row>
    <row r="28" ht="15" customFormat="1" customHeight="1" s="381">
      <c r="A28" s="480" t="inlineStr">
        <is>
          <t>5000-1018 Payroll - Self Performed Trades</t>
        </is>
      </c>
      <c r="C28" s="481" t="n">
        <v>0</v>
      </c>
      <c r="D28" s="481" t="n">
        <v>0</v>
      </c>
      <c r="E28" s="481" t="n">
        <v>0</v>
      </c>
      <c r="F28" s="481" t="n">
        <v>251304.48</v>
      </c>
      <c r="G28" s="481" t="n">
        <v>81510</v>
      </c>
      <c r="H28" s="481" t="n">
        <v>0</v>
      </c>
      <c r="I28" s="481" t="n"/>
      <c r="J28" s="481" t="n"/>
      <c r="K28" s="481" t="n"/>
      <c r="L28" s="481" t="n"/>
      <c r="M28" s="481" t="n"/>
      <c r="N28" s="481" t="n"/>
      <c r="O28" s="481" t="n"/>
      <c r="P28" s="481" t="n"/>
      <c r="Q28" s="481" t="n"/>
      <c r="R28" s="481" t="n"/>
      <c r="S28" s="481" t="n"/>
      <c r="T28" s="481" t="n"/>
      <c r="U28" s="481" t="n"/>
      <c r="V28" s="481" t="n"/>
      <c r="W28" s="481" t="n"/>
      <c r="X28" s="481" t="n"/>
      <c r="Y28" s="481" t="n"/>
      <c r="Z28" s="481" t="n"/>
      <c r="AA28" s="481" t="n"/>
      <c r="AB28" s="481" t="n"/>
      <c r="AC28" s="481" t="n"/>
      <c r="AD28" s="481" t="n"/>
      <c r="AE28" s="481" t="n"/>
      <c r="AF28" s="481" t="n"/>
      <c r="AG28" s="481" t="n"/>
      <c r="AH28" s="481" t="n"/>
      <c r="AI28" s="481" t="n"/>
      <c r="AJ28" s="481" t="n"/>
      <c r="AK28" s="481" t="n"/>
      <c r="AL28" s="481" t="n"/>
      <c r="AM28" s="481" t="n"/>
      <c r="AN28" s="481" t="n"/>
      <c r="AO28" s="481" t="n"/>
      <c r="AP28" s="481" t="n"/>
      <c r="AQ28" s="481" t="n"/>
      <c r="AR28" s="481" t="n"/>
      <c r="AS28" s="481" t="n"/>
      <c r="AT28" s="481" t="n"/>
      <c r="AU28" s="481" t="n"/>
      <c r="AV28" s="481" t="n"/>
      <c r="AW28" s="481" t="n"/>
      <c r="AX28" s="481" t="n"/>
      <c r="AY28" s="481" t="n"/>
      <c r="AZ28" s="481" t="n"/>
      <c r="BA28" s="481" t="n"/>
      <c r="BB28" s="481" t="n"/>
      <c r="BC28" s="481" t="n"/>
      <c r="BD28" s="481" t="n"/>
      <c r="BE28" s="481" t="n"/>
      <c r="BF28" s="481" t="n"/>
      <c r="BG28" s="481" t="n"/>
      <c r="BH28" s="481" t="n"/>
      <c r="BI28" s="481" t="n"/>
      <c r="BJ28" s="481" t="n"/>
      <c r="BK28" s="481" t="n"/>
      <c r="BL28" s="481" t="n"/>
      <c r="BM28" s="481" t="n"/>
      <c r="BN28" s="481" t="n"/>
      <c r="BO28" s="481" t="n"/>
      <c r="BP28" s="481" t="n"/>
      <c r="BQ28" s="481" t="n"/>
      <c r="BR28" s="481" t="n"/>
      <c r="BS28" s="481" t="n"/>
      <c r="BT28" s="481" t="n"/>
      <c r="BU28" s="481" t="n"/>
      <c r="BV28" s="481" t="n"/>
      <c r="BW28" s="481" t="n"/>
      <c r="BX28" s="481" t="n"/>
      <c r="BY28" s="481" t="n"/>
      <c r="BZ28" s="481" t="n"/>
      <c r="CA28" s="481" t="n"/>
      <c r="CB28" s="481" t="n"/>
      <c r="CC28" s="481" t="n"/>
      <c r="CD28" s="481" t="n"/>
      <c r="CE28" s="481" t="n"/>
      <c r="CF28" s="481" t="n"/>
      <c r="CG28" s="481" t="n"/>
      <c r="CH28" s="481" t="n"/>
      <c r="CI28" s="481" t="n"/>
      <c r="CJ28" s="481" t="n"/>
      <c r="CK28" s="481" t="n"/>
      <c r="CL28" s="481" t="n"/>
      <c r="CM28" s="481" t="n"/>
      <c r="CN28" s="481" t="n"/>
      <c r="CO28" s="481" t="n"/>
      <c r="CP28" s="481" t="n"/>
      <c r="CQ28" s="481" t="n"/>
      <c r="CR28" s="481" t="n"/>
      <c r="CS28" s="481" t="n"/>
      <c r="CT28" s="481" t="n"/>
    </row>
    <row r="29" ht="15" customFormat="1" customHeight="1" s="381">
      <c r="A29" s="480" t="inlineStr">
        <is>
          <t>5100-1000 Rent Expense</t>
        </is>
      </c>
      <c r="C29" s="481" t="n">
        <v>-10400</v>
      </c>
      <c r="D29" s="481" t="n">
        <v>-10400</v>
      </c>
      <c r="E29" s="481" t="n">
        <v>-400</v>
      </c>
      <c r="F29" s="481" t="n">
        <v>-10400</v>
      </c>
      <c r="G29" s="481" t="n">
        <v>-20400</v>
      </c>
      <c r="H29" s="481" t="n">
        <v>-20405</v>
      </c>
      <c r="I29" s="481" t="n"/>
      <c r="J29" s="481" t="n"/>
      <c r="K29" s="481" t="n"/>
      <c r="L29" s="481" t="n"/>
      <c r="M29" s="481" t="n"/>
      <c r="N29" s="481" t="n"/>
      <c r="O29" s="481" t="n"/>
      <c r="P29" s="481" t="n"/>
      <c r="Q29" s="481" t="n"/>
      <c r="R29" s="481" t="n"/>
      <c r="S29" s="481" t="n"/>
      <c r="T29" s="481" t="n"/>
      <c r="U29" s="481" t="n"/>
      <c r="V29" s="481" t="n"/>
      <c r="W29" s="481" t="n"/>
      <c r="X29" s="481" t="n"/>
      <c r="Y29" s="481" t="n"/>
      <c r="Z29" s="481" t="n"/>
      <c r="AA29" s="481" t="n"/>
      <c r="AB29" s="481" t="n"/>
      <c r="AC29" s="481" t="n"/>
      <c r="AD29" s="481" t="n"/>
      <c r="AE29" s="481" t="n"/>
      <c r="AF29" s="481" t="n"/>
      <c r="AG29" s="481" t="n"/>
      <c r="AH29" s="481" t="n"/>
      <c r="AI29" s="481" t="n"/>
      <c r="AJ29" s="481" t="n"/>
      <c r="AK29" s="481" t="n"/>
      <c r="AL29" s="481" t="n"/>
      <c r="AM29" s="481" t="n"/>
      <c r="AN29" s="481" t="n"/>
      <c r="AO29" s="481" t="n"/>
      <c r="AP29" s="481" t="n"/>
      <c r="AQ29" s="481" t="n"/>
      <c r="AR29" s="481" t="n"/>
      <c r="AS29" s="481" t="n"/>
      <c r="AT29" s="481" t="n"/>
      <c r="AU29" s="481" t="n"/>
      <c r="AV29" s="481" t="n"/>
      <c r="AW29" s="481" t="n"/>
      <c r="AX29" s="481" t="n"/>
      <c r="AY29" s="481" t="n"/>
      <c r="AZ29" s="481" t="n"/>
      <c r="BA29" s="481" t="n"/>
      <c r="BB29" s="481" t="n"/>
      <c r="BC29" s="481" t="n"/>
      <c r="BD29" s="481" t="n"/>
      <c r="BE29" s="481" t="n"/>
      <c r="BF29" s="481" t="n"/>
      <c r="BG29" s="481" t="n"/>
      <c r="BH29" s="481" t="n"/>
      <c r="BI29" s="481" t="n"/>
      <c r="BJ29" s="481" t="n"/>
      <c r="BK29" s="481" t="n"/>
      <c r="BL29" s="481" t="n"/>
      <c r="BM29" s="481" t="n"/>
      <c r="BN29" s="481" t="n"/>
      <c r="BO29" s="481" t="n"/>
      <c r="BP29" s="481" t="n"/>
      <c r="BQ29" s="481" t="n"/>
      <c r="BR29" s="481" t="n"/>
      <c r="BS29" s="481" t="n"/>
      <c r="BT29" s="481" t="n"/>
      <c r="BU29" s="481" t="n"/>
      <c r="BV29" s="481" t="n"/>
      <c r="BW29" s="481" t="n"/>
      <c r="BX29" s="481" t="n"/>
      <c r="BY29" s="481" t="n"/>
      <c r="BZ29" s="481" t="n"/>
      <c r="CA29" s="481" t="n"/>
      <c r="CB29" s="481" t="n"/>
      <c r="CC29" s="481" t="n"/>
      <c r="CD29" s="481" t="n"/>
      <c r="CE29" s="481" t="n"/>
      <c r="CF29" s="481" t="n"/>
      <c r="CG29" s="481" t="n"/>
      <c r="CH29" s="481" t="n"/>
      <c r="CI29" s="481" t="n"/>
      <c r="CJ29" s="481" t="n"/>
      <c r="CK29" s="481" t="n"/>
      <c r="CL29" s="481" t="n"/>
      <c r="CM29" s="481" t="n"/>
      <c r="CN29" s="481" t="n"/>
      <c r="CO29" s="481" t="n"/>
      <c r="CP29" s="481" t="n"/>
      <c r="CQ29" s="481" t="n"/>
      <c r="CR29" s="481" t="n"/>
      <c r="CS29" s="481" t="n"/>
      <c r="CT29" s="481" t="n"/>
    </row>
    <row r="30" ht="15" customFormat="1" customHeight="1" s="381">
      <c r="A30" s="480" t="inlineStr">
        <is>
          <t>5200-1000 Office Supplies and Expenses</t>
        </is>
      </c>
      <c r="C30" s="481" t="n">
        <v>-1988</v>
      </c>
      <c r="D30" s="481" t="n">
        <v>-955.3200000000001</v>
      </c>
      <c r="E30" s="481" t="n">
        <v>-9130.610000000001</v>
      </c>
      <c r="F30" s="481" t="n">
        <v>-1028.89</v>
      </c>
      <c r="G30" s="481" t="n">
        <v>-7005.14</v>
      </c>
      <c r="H30" s="481" t="n">
        <v>-4121.06</v>
      </c>
      <c r="I30" s="481" t="n"/>
      <c r="J30" s="481" t="n"/>
      <c r="K30" s="481" t="n"/>
      <c r="L30" s="481" t="n"/>
      <c r="M30" s="481" t="n"/>
      <c r="N30" s="481" t="n"/>
      <c r="O30" s="481" t="n"/>
      <c r="P30" s="481" t="n"/>
      <c r="Q30" s="481" t="n"/>
      <c r="R30" s="481" t="n"/>
      <c r="S30" s="481" t="n"/>
      <c r="T30" s="481" t="n"/>
      <c r="U30" s="481" t="n"/>
      <c r="V30" s="481" t="n"/>
      <c r="W30" s="481" t="n"/>
      <c r="X30" s="481" t="n"/>
      <c r="Y30" s="481" t="n"/>
      <c r="Z30" s="481" t="n"/>
      <c r="AA30" s="481" t="n"/>
      <c r="AB30" s="481" t="n"/>
      <c r="AC30" s="481" t="n"/>
      <c r="AD30" s="481" t="n"/>
      <c r="AE30" s="481" t="n"/>
      <c r="AF30" s="481" t="n"/>
      <c r="AG30" s="481" t="n"/>
      <c r="AH30" s="481" t="n"/>
      <c r="AI30" s="481" t="n"/>
      <c r="AJ30" s="481" t="n"/>
      <c r="AK30" s="481" t="n"/>
      <c r="AL30" s="481" t="n"/>
      <c r="AM30" s="481" t="n"/>
      <c r="AN30" s="481" t="n"/>
      <c r="AO30" s="481" t="n"/>
      <c r="AP30" s="481" t="n"/>
      <c r="AQ30" s="481" t="n"/>
      <c r="AR30" s="481" t="n"/>
      <c r="AS30" s="481" t="n"/>
      <c r="AT30" s="481" t="n"/>
      <c r="AU30" s="481" t="n"/>
      <c r="AV30" s="481" t="n"/>
      <c r="AW30" s="481" t="n"/>
      <c r="AX30" s="481" t="n"/>
      <c r="AY30" s="481" t="n"/>
      <c r="AZ30" s="481" t="n"/>
      <c r="BA30" s="481" t="n"/>
      <c r="BB30" s="481" t="n"/>
      <c r="BC30" s="481" t="n"/>
      <c r="BD30" s="481" t="n"/>
      <c r="BE30" s="481" t="n"/>
      <c r="BF30" s="481" t="n"/>
      <c r="BG30" s="481" t="n"/>
      <c r="BH30" s="481" t="n"/>
      <c r="BI30" s="481" t="n"/>
      <c r="BJ30" s="481" t="n"/>
      <c r="BK30" s="481" t="n"/>
      <c r="BL30" s="481" t="n"/>
      <c r="BM30" s="481" t="n"/>
      <c r="BN30" s="481" t="n"/>
      <c r="BO30" s="481" t="n"/>
      <c r="BP30" s="481" t="n"/>
      <c r="BQ30" s="481" t="n"/>
      <c r="BR30" s="481" t="n"/>
      <c r="BS30" s="481" t="n"/>
      <c r="BT30" s="481" t="n"/>
      <c r="BU30" s="481" t="n"/>
      <c r="BV30" s="481" t="n"/>
      <c r="BW30" s="481" t="n"/>
      <c r="BX30" s="481" t="n"/>
      <c r="BY30" s="481" t="n"/>
      <c r="BZ30" s="481" t="n"/>
      <c r="CA30" s="481" t="n"/>
      <c r="CB30" s="481" t="n"/>
      <c r="CC30" s="481" t="n"/>
      <c r="CD30" s="481" t="n"/>
      <c r="CE30" s="481" t="n"/>
      <c r="CF30" s="481" t="n"/>
      <c r="CG30" s="481" t="n"/>
      <c r="CH30" s="481" t="n"/>
      <c r="CI30" s="481" t="n"/>
      <c r="CJ30" s="481" t="n"/>
      <c r="CK30" s="481" t="n"/>
      <c r="CL30" s="481" t="n"/>
      <c r="CM30" s="481" t="n"/>
      <c r="CN30" s="481" t="n"/>
      <c r="CO30" s="481" t="n"/>
      <c r="CP30" s="481" t="n"/>
      <c r="CQ30" s="481" t="n"/>
      <c r="CR30" s="481" t="n"/>
      <c r="CS30" s="481" t="n"/>
      <c r="CT30" s="481" t="n"/>
    </row>
    <row r="31" ht="15" customFormat="1" customHeight="1" s="381">
      <c r="A31" s="480" t="inlineStr">
        <is>
          <t>5200-1002 Printing and Reproduction</t>
        </is>
      </c>
      <c r="C31" s="481" t="n">
        <v>0</v>
      </c>
      <c r="D31" s="481" t="n">
        <v>0</v>
      </c>
      <c r="E31" s="481" t="n">
        <v>-1077.38</v>
      </c>
      <c r="F31" s="481" t="n">
        <v>-211.28</v>
      </c>
      <c r="G31" s="481" t="n">
        <v>-1254.17</v>
      </c>
      <c r="H31" s="481" t="n">
        <v>0</v>
      </c>
      <c r="I31" s="481" t="n"/>
      <c r="J31" s="481" t="n"/>
      <c r="K31" s="481" t="n"/>
      <c r="L31" s="481" t="n"/>
      <c r="M31" s="481" t="n"/>
      <c r="N31" s="481" t="n"/>
      <c r="O31" s="481" t="n"/>
      <c r="P31" s="481" t="n"/>
      <c r="Q31" s="481" t="n"/>
      <c r="R31" s="481" t="n"/>
      <c r="S31" s="481" t="n"/>
      <c r="T31" s="481" t="n"/>
      <c r="U31" s="481" t="n"/>
      <c r="V31" s="481" t="n"/>
      <c r="W31" s="481" t="n"/>
      <c r="X31" s="481" t="n"/>
      <c r="Y31" s="481" t="n"/>
      <c r="Z31" s="481" t="n"/>
      <c r="AA31" s="481" t="n"/>
      <c r="AB31" s="481" t="n"/>
      <c r="AC31" s="481" t="n"/>
      <c r="AD31" s="481" t="n"/>
      <c r="AE31" s="481" t="n"/>
      <c r="AF31" s="481" t="n"/>
      <c r="AG31" s="481" t="n"/>
      <c r="AH31" s="481" t="n"/>
      <c r="AI31" s="481" t="n"/>
      <c r="AJ31" s="481" t="n"/>
      <c r="AK31" s="481" t="n"/>
      <c r="AL31" s="481" t="n"/>
      <c r="AM31" s="481" t="n"/>
      <c r="AN31" s="481" t="n"/>
      <c r="AO31" s="481" t="n"/>
      <c r="AP31" s="481" t="n"/>
      <c r="AQ31" s="481" t="n"/>
      <c r="AR31" s="481" t="n"/>
      <c r="AS31" s="481" t="n"/>
      <c r="AT31" s="481" t="n"/>
      <c r="AU31" s="481" t="n"/>
      <c r="AV31" s="481" t="n"/>
      <c r="AW31" s="481" t="n"/>
      <c r="AX31" s="481" t="n"/>
      <c r="AY31" s="481" t="n"/>
      <c r="AZ31" s="481" t="n"/>
      <c r="BA31" s="481" t="n"/>
      <c r="BB31" s="481" t="n"/>
      <c r="BC31" s="481" t="n"/>
      <c r="BD31" s="481" t="n"/>
      <c r="BE31" s="481" t="n"/>
      <c r="BF31" s="481" t="n"/>
      <c r="BG31" s="481" t="n"/>
      <c r="BH31" s="481" t="n"/>
      <c r="BI31" s="481" t="n"/>
      <c r="BJ31" s="481" t="n"/>
      <c r="BK31" s="481" t="n"/>
      <c r="BL31" s="481" t="n"/>
      <c r="BM31" s="481" t="n"/>
      <c r="BN31" s="481" t="n"/>
      <c r="BO31" s="481" t="n"/>
      <c r="BP31" s="481" t="n"/>
      <c r="BQ31" s="481" t="n"/>
      <c r="BR31" s="481" t="n"/>
      <c r="BS31" s="481" t="n"/>
      <c r="BT31" s="481" t="n"/>
      <c r="BU31" s="481" t="n"/>
      <c r="BV31" s="481" t="n"/>
      <c r="BW31" s="481" t="n"/>
      <c r="BX31" s="481" t="n"/>
      <c r="BY31" s="481" t="n"/>
      <c r="BZ31" s="481" t="n"/>
      <c r="CA31" s="481" t="n"/>
      <c r="CB31" s="481" t="n"/>
      <c r="CC31" s="481" t="n"/>
      <c r="CD31" s="481" t="n"/>
      <c r="CE31" s="481" t="n"/>
      <c r="CF31" s="481" t="n"/>
      <c r="CG31" s="481" t="n"/>
      <c r="CH31" s="481" t="n"/>
      <c r="CI31" s="481" t="n"/>
      <c r="CJ31" s="481" t="n"/>
      <c r="CK31" s="481" t="n"/>
      <c r="CL31" s="481" t="n"/>
      <c r="CM31" s="481" t="n"/>
      <c r="CN31" s="481" t="n"/>
      <c r="CO31" s="481" t="n"/>
      <c r="CP31" s="481" t="n"/>
      <c r="CQ31" s="481" t="n"/>
      <c r="CR31" s="481" t="n"/>
      <c r="CS31" s="481" t="n"/>
      <c r="CT31" s="481" t="n"/>
    </row>
    <row r="32" ht="15" customFormat="1" customHeight="1" s="381">
      <c r="A32" s="482" t="inlineStr">
        <is>
          <t>5200-1050 Computer and IT Expenses</t>
        </is>
      </c>
      <c r="C32" s="481" t="n">
        <v>-79</v>
      </c>
      <c r="D32" s="481" t="n">
        <v>0</v>
      </c>
      <c r="E32" s="481" t="n">
        <v>0</v>
      </c>
      <c r="F32" s="481" t="n">
        <v>0</v>
      </c>
      <c r="G32" s="481" t="n">
        <v>0</v>
      </c>
      <c r="H32" s="481" t="n">
        <v>0</v>
      </c>
      <c r="I32" s="481" t="n"/>
      <c r="J32" s="481" t="n"/>
      <c r="K32" s="481" t="n"/>
      <c r="L32" s="481" t="n"/>
      <c r="M32" s="481" t="n"/>
      <c r="N32" s="481" t="n"/>
      <c r="O32" s="481" t="n"/>
      <c r="P32" s="481" t="n"/>
      <c r="Q32" s="481" t="n"/>
      <c r="R32" s="481" t="n"/>
      <c r="S32" s="481" t="n"/>
      <c r="T32" s="481" t="n"/>
      <c r="U32" s="481" t="n"/>
      <c r="V32" s="481" t="n"/>
      <c r="W32" s="481" t="n"/>
      <c r="X32" s="481" t="n"/>
      <c r="Y32" s="481" t="n"/>
      <c r="Z32" s="481" t="n"/>
      <c r="AA32" s="481" t="n"/>
      <c r="AB32" s="481" t="n"/>
      <c r="AC32" s="481" t="n"/>
      <c r="AD32" s="481" t="n"/>
      <c r="AE32" s="481" t="n"/>
      <c r="AF32" s="481" t="n"/>
      <c r="AG32" s="481" t="n"/>
      <c r="AH32" s="481" t="n"/>
      <c r="AI32" s="481" t="n"/>
      <c r="AJ32" s="481" t="n"/>
      <c r="AK32" s="481" t="n"/>
      <c r="AL32" s="481" t="n"/>
      <c r="AM32" s="481" t="n"/>
      <c r="AN32" s="481" t="n"/>
      <c r="AO32" s="481" t="n"/>
      <c r="AP32" s="481" t="n"/>
      <c r="AQ32" s="481" t="n"/>
      <c r="AR32" s="481" t="n"/>
      <c r="AS32" s="481" t="n"/>
      <c r="AT32" s="481" t="n"/>
      <c r="AU32" s="481" t="n"/>
      <c r="AV32" s="481" t="n"/>
      <c r="AW32" s="481" t="n"/>
      <c r="AX32" s="481" t="n"/>
      <c r="AY32" s="481" t="n"/>
      <c r="AZ32" s="481" t="n"/>
      <c r="BA32" s="481" t="n"/>
      <c r="BB32" s="481" t="n"/>
      <c r="BC32" s="481" t="n"/>
      <c r="BD32" s="481" t="n"/>
      <c r="BE32" s="481" t="n"/>
      <c r="BF32" s="481" t="n"/>
      <c r="BG32" s="481" t="n"/>
      <c r="BH32" s="481" t="n"/>
      <c r="BI32" s="481" t="n"/>
      <c r="BJ32" s="481" t="n"/>
      <c r="BK32" s="481" t="n"/>
      <c r="BL32" s="481" t="n"/>
      <c r="BM32" s="481" t="n"/>
      <c r="BN32" s="481" t="n"/>
      <c r="BO32" s="481" t="n"/>
      <c r="BP32" s="481" t="n"/>
      <c r="BQ32" s="481" t="n"/>
      <c r="BR32" s="481" t="n"/>
      <c r="BS32" s="481" t="n"/>
      <c r="BT32" s="481" t="n"/>
      <c r="BU32" s="481" t="n"/>
      <c r="BV32" s="481" t="n"/>
      <c r="BW32" s="481" t="n"/>
      <c r="BX32" s="481" t="n"/>
      <c r="BY32" s="481" t="n"/>
      <c r="BZ32" s="481" t="n"/>
      <c r="CA32" s="481" t="n"/>
      <c r="CB32" s="481" t="n"/>
      <c r="CC32" s="481" t="n"/>
      <c r="CD32" s="481" t="n"/>
      <c r="CE32" s="481" t="n"/>
      <c r="CF32" s="481" t="n"/>
      <c r="CG32" s="481" t="n"/>
      <c r="CH32" s="481" t="n"/>
      <c r="CI32" s="481" t="n"/>
      <c r="CJ32" s="481" t="n"/>
      <c r="CK32" s="481" t="n"/>
      <c r="CL32" s="481" t="n"/>
      <c r="CM32" s="481" t="n"/>
      <c r="CN32" s="481" t="n"/>
      <c r="CO32" s="481" t="n"/>
      <c r="CP32" s="481" t="n"/>
      <c r="CQ32" s="481" t="n"/>
      <c r="CR32" s="481" t="n"/>
      <c r="CS32" s="481" t="n"/>
      <c r="CT32" s="481" t="n"/>
    </row>
    <row r="33" ht="15" customFormat="1" customHeight="1" s="381">
      <c r="A33" s="480" t="inlineStr">
        <is>
          <t>5200-1053 IT Software and Subscriptions</t>
        </is>
      </c>
      <c r="C33" s="481" t="n">
        <v>-3405.64</v>
      </c>
      <c r="D33" s="481" t="n">
        <v>-5015.38</v>
      </c>
      <c r="E33" s="481" t="n">
        <v>-7481.39</v>
      </c>
      <c r="F33" s="481" t="n">
        <v>-5111.12</v>
      </c>
      <c r="G33" s="481" t="n">
        <v>-4038.48</v>
      </c>
      <c r="H33" s="481" t="n">
        <v>-6114.98</v>
      </c>
      <c r="I33" s="481" t="n"/>
      <c r="J33" s="481" t="n"/>
      <c r="K33" s="481" t="n"/>
      <c r="L33" s="481" t="n"/>
      <c r="M33" s="481" t="n"/>
      <c r="N33" s="481" t="n"/>
      <c r="O33" s="481" t="n"/>
      <c r="P33" s="481" t="n"/>
      <c r="Q33" s="481" t="n"/>
      <c r="R33" s="481" t="n"/>
      <c r="S33" s="481" t="n"/>
      <c r="T33" s="481" t="n"/>
      <c r="U33" s="481" t="n"/>
      <c r="V33" s="481" t="n"/>
      <c r="W33" s="481" t="n"/>
      <c r="X33" s="481" t="n"/>
      <c r="Y33" s="481" t="n"/>
      <c r="Z33" s="481" t="n"/>
      <c r="AA33" s="481" t="n"/>
      <c r="AB33" s="481" t="n"/>
      <c r="AC33" s="481" t="n"/>
      <c r="AD33" s="481" t="n"/>
      <c r="AE33" s="481" t="n"/>
      <c r="AF33" s="481" t="n"/>
      <c r="AG33" s="481" t="n"/>
      <c r="AH33" s="481" t="n"/>
      <c r="AI33" s="481" t="n"/>
      <c r="AJ33" s="481" t="n"/>
      <c r="AK33" s="481" t="n"/>
      <c r="AL33" s="481" t="n"/>
      <c r="AM33" s="481" t="n"/>
      <c r="AN33" s="481" t="n"/>
      <c r="AO33" s="481" t="n"/>
      <c r="AP33" s="481" t="n"/>
      <c r="AQ33" s="481" t="n"/>
      <c r="AR33" s="481" t="n"/>
      <c r="AS33" s="481" t="n"/>
      <c r="AT33" s="481" t="n"/>
      <c r="AU33" s="481" t="n"/>
      <c r="AV33" s="481" t="n"/>
      <c r="AW33" s="481" t="n"/>
      <c r="AX33" s="481" t="n"/>
      <c r="AY33" s="481" t="n"/>
      <c r="AZ33" s="481" t="n"/>
      <c r="BA33" s="481" t="n"/>
      <c r="BB33" s="481" t="n"/>
      <c r="BC33" s="481" t="n"/>
      <c r="BD33" s="481" t="n"/>
      <c r="BE33" s="481" t="n"/>
      <c r="BF33" s="481" t="n"/>
      <c r="BG33" s="481" t="n"/>
      <c r="BH33" s="481" t="n"/>
      <c r="BI33" s="481" t="n"/>
      <c r="BJ33" s="481" t="n"/>
      <c r="BK33" s="481" t="n"/>
      <c r="BL33" s="481" t="n"/>
      <c r="BM33" s="481" t="n"/>
      <c r="BN33" s="481" t="n"/>
      <c r="BO33" s="481" t="n"/>
      <c r="BP33" s="481" t="n"/>
      <c r="BQ33" s="481" t="n"/>
      <c r="BR33" s="481" t="n"/>
      <c r="BS33" s="481" t="n"/>
      <c r="BT33" s="481" t="n"/>
      <c r="BU33" s="481" t="n"/>
      <c r="BV33" s="481" t="n"/>
      <c r="BW33" s="481" t="n"/>
      <c r="BX33" s="481" t="n"/>
      <c r="BY33" s="481" t="n"/>
      <c r="BZ33" s="481" t="n"/>
      <c r="CA33" s="481" t="n"/>
      <c r="CB33" s="481" t="n"/>
      <c r="CC33" s="481" t="n"/>
      <c r="CD33" s="481" t="n"/>
      <c r="CE33" s="481" t="n"/>
      <c r="CF33" s="481" t="n"/>
      <c r="CG33" s="481" t="n"/>
      <c r="CH33" s="481" t="n"/>
      <c r="CI33" s="481" t="n"/>
      <c r="CJ33" s="481" t="n"/>
      <c r="CK33" s="481" t="n"/>
      <c r="CL33" s="481" t="n"/>
      <c r="CM33" s="481" t="n"/>
      <c r="CN33" s="481" t="n"/>
      <c r="CO33" s="481" t="n"/>
      <c r="CP33" s="481" t="n"/>
      <c r="CQ33" s="481" t="n"/>
      <c r="CR33" s="481" t="n"/>
      <c r="CS33" s="481" t="n"/>
      <c r="CT33" s="481" t="n"/>
    </row>
    <row r="34" ht="15" customFormat="1" customHeight="1" s="381">
      <c r="A34" s="480" t="inlineStr">
        <is>
          <t>5200-1054 Telephone Expenses</t>
        </is>
      </c>
      <c r="C34" s="481" t="n">
        <v>0</v>
      </c>
      <c r="D34" s="481" t="n">
        <v>-1766.48</v>
      </c>
      <c r="E34" s="481" t="n">
        <v>-441.62</v>
      </c>
      <c r="F34" s="481" t="n">
        <v>-441.62</v>
      </c>
      <c r="G34" s="481" t="n">
        <v>-578.62</v>
      </c>
      <c r="H34" s="481" t="n">
        <v>-491.62</v>
      </c>
      <c r="I34" s="481" t="n"/>
      <c r="J34" s="481" t="n"/>
      <c r="K34" s="481" t="n"/>
      <c r="L34" s="481" t="n"/>
      <c r="M34" s="481" t="n"/>
      <c r="N34" s="481" t="n"/>
      <c r="O34" s="481" t="n"/>
      <c r="P34" s="481" t="n"/>
      <c r="Q34" s="481" t="n"/>
      <c r="R34" s="481" t="n"/>
      <c r="S34" s="481" t="n"/>
      <c r="T34" s="481" t="n"/>
      <c r="U34" s="481" t="n"/>
      <c r="V34" s="481" t="n"/>
      <c r="W34" s="481" t="n"/>
      <c r="X34" s="481" t="n"/>
      <c r="Y34" s="481" t="n"/>
      <c r="Z34" s="481" t="n"/>
      <c r="AA34" s="481" t="n"/>
      <c r="AB34" s="481" t="n"/>
      <c r="AC34" s="481" t="n"/>
      <c r="AD34" s="481" t="n"/>
      <c r="AE34" s="481" t="n"/>
      <c r="AF34" s="481" t="n"/>
      <c r="AG34" s="481" t="n"/>
      <c r="AH34" s="481" t="n"/>
      <c r="AI34" s="481" t="n"/>
      <c r="AJ34" s="481" t="n"/>
      <c r="AK34" s="481" t="n"/>
      <c r="AL34" s="481" t="n"/>
      <c r="AM34" s="481" t="n"/>
      <c r="AN34" s="481" t="n"/>
      <c r="AO34" s="481" t="n"/>
      <c r="AP34" s="481" t="n"/>
      <c r="AQ34" s="481" t="n"/>
      <c r="AR34" s="481" t="n"/>
      <c r="AS34" s="481" t="n"/>
      <c r="AT34" s="481" t="n"/>
      <c r="AU34" s="481" t="n"/>
      <c r="AV34" s="481" t="n"/>
      <c r="AW34" s="481" t="n"/>
      <c r="AX34" s="481" t="n"/>
      <c r="AY34" s="481" t="n"/>
      <c r="AZ34" s="481" t="n"/>
      <c r="BA34" s="481" t="n"/>
      <c r="BB34" s="481" t="n"/>
      <c r="BC34" s="481" t="n"/>
      <c r="BD34" s="481" t="n"/>
      <c r="BE34" s="481" t="n"/>
      <c r="BF34" s="481" t="n"/>
      <c r="BG34" s="481" t="n"/>
      <c r="BH34" s="481" t="n"/>
      <c r="BI34" s="481" t="n"/>
      <c r="BJ34" s="481" t="n"/>
      <c r="BK34" s="481" t="n"/>
      <c r="BL34" s="481" t="n"/>
      <c r="BM34" s="481" t="n"/>
      <c r="BN34" s="481" t="n"/>
      <c r="BO34" s="481" t="n"/>
      <c r="BP34" s="481" t="n"/>
      <c r="BQ34" s="481" t="n"/>
      <c r="BR34" s="481" t="n"/>
      <c r="BS34" s="481" t="n"/>
      <c r="BT34" s="481" t="n"/>
      <c r="BU34" s="481" t="n"/>
      <c r="BV34" s="481" t="n"/>
      <c r="BW34" s="481" t="n"/>
      <c r="BX34" s="481" t="n"/>
      <c r="BY34" s="481" t="n"/>
      <c r="BZ34" s="481" t="n"/>
      <c r="CA34" s="481" t="n"/>
      <c r="CB34" s="481" t="n"/>
      <c r="CC34" s="481" t="n"/>
      <c r="CD34" s="481" t="n"/>
      <c r="CE34" s="481" t="n"/>
      <c r="CF34" s="481" t="n"/>
      <c r="CG34" s="481" t="n"/>
      <c r="CH34" s="481" t="n"/>
      <c r="CI34" s="481" t="n"/>
      <c r="CJ34" s="481" t="n"/>
      <c r="CK34" s="481" t="n"/>
      <c r="CL34" s="481" t="n"/>
      <c r="CM34" s="481" t="n"/>
      <c r="CN34" s="481" t="n"/>
      <c r="CO34" s="481" t="n"/>
      <c r="CP34" s="481" t="n"/>
      <c r="CQ34" s="481" t="n"/>
      <c r="CR34" s="481" t="n"/>
      <c r="CS34" s="481" t="n"/>
      <c r="CT34" s="481" t="n"/>
    </row>
    <row r="35" ht="15" customFormat="1" customHeight="1" s="381">
      <c r="A35" s="480" t="inlineStr">
        <is>
          <t>5300-1050 Meals and Entertainment</t>
        </is>
      </c>
      <c r="C35" s="481" t="n">
        <v>-681.77</v>
      </c>
      <c r="D35" s="481" t="n">
        <v>-600.14</v>
      </c>
      <c r="E35" s="481" t="n">
        <v>-2121.95</v>
      </c>
      <c r="F35" s="481" t="n">
        <v>-840.49</v>
      </c>
      <c r="G35" s="481" t="n">
        <v>-847.85</v>
      </c>
      <c r="H35" s="481" t="n">
        <v>-486.63</v>
      </c>
      <c r="I35" s="481" t="n"/>
      <c r="J35" s="481" t="n"/>
      <c r="K35" s="481" t="n"/>
      <c r="L35" s="481" t="n"/>
      <c r="M35" s="481" t="n"/>
      <c r="N35" s="481" t="n"/>
      <c r="O35" s="481" t="n"/>
      <c r="P35" s="481" t="n"/>
      <c r="Q35" s="481" t="n"/>
      <c r="R35" s="481" t="n"/>
      <c r="S35" s="481" t="n"/>
      <c r="T35" s="481" t="n"/>
      <c r="U35" s="481" t="n"/>
      <c r="V35" s="481" t="n"/>
      <c r="W35" s="481" t="n"/>
      <c r="X35" s="481" t="n"/>
      <c r="Y35" s="481" t="n"/>
      <c r="Z35" s="481" t="n"/>
      <c r="AA35" s="481" t="n"/>
      <c r="AB35" s="481" t="n"/>
      <c r="AC35" s="481" t="n"/>
      <c r="AD35" s="481" t="n"/>
      <c r="AE35" s="481" t="n"/>
      <c r="AF35" s="481" t="n"/>
      <c r="AG35" s="481" t="n"/>
      <c r="AH35" s="481" t="n"/>
      <c r="AI35" s="481" t="n"/>
      <c r="AJ35" s="481" t="n"/>
      <c r="AK35" s="481" t="n"/>
      <c r="AL35" s="481" t="n"/>
      <c r="AM35" s="481" t="n"/>
      <c r="AN35" s="481" t="n"/>
      <c r="AO35" s="481" t="n"/>
      <c r="AP35" s="481" t="n"/>
      <c r="AQ35" s="481" t="n"/>
      <c r="AR35" s="481" t="n"/>
      <c r="AS35" s="481" t="n"/>
      <c r="AT35" s="481" t="n"/>
      <c r="AU35" s="481" t="n"/>
      <c r="AV35" s="481" t="n"/>
      <c r="AW35" s="481" t="n"/>
      <c r="AX35" s="481" t="n"/>
      <c r="AY35" s="481" t="n"/>
      <c r="AZ35" s="481" t="n"/>
      <c r="BA35" s="481" t="n"/>
      <c r="BB35" s="481" t="n"/>
      <c r="BC35" s="481" t="n"/>
      <c r="BD35" s="481" t="n"/>
      <c r="BE35" s="481" t="n"/>
      <c r="BF35" s="481" t="n"/>
      <c r="BG35" s="481" t="n"/>
      <c r="BH35" s="481" t="n"/>
      <c r="BI35" s="481" t="n"/>
      <c r="BJ35" s="481" t="n"/>
      <c r="BK35" s="481" t="n"/>
      <c r="BL35" s="481" t="n"/>
      <c r="BM35" s="481" t="n"/>
      <c r="BN35" s="481" t="n"/>
      <c r="BO35" s="481" t="n"/>
      <c r="BP35" s="481" t="n"/>
      <c r="BQ35" s="481" t="n"/>
      <c r="BR35" s="481" t="n"/>
      <c r="BS35" s="481" t="n"/>
      <c r="BT35" s="481" t="n"/>
      <c r="BU35" s="481" t="n"/>
      <c r="BV35" s="481" t="n"/>
      <c r="BW35" s="481" t="n"/>
      <c r="BX35" s="481" t="n"/>
      <c r="BY35" s="481" t="n"/>
      <c r="BZ35" s="481" t="n"/>
      <c r="CA35" s="481" t="n"/>
      <c r="CB35" s="481" t="n"/>
      <c r="CC35" s="481" t="n"/>
      <c r="CD35" s="481" t="n"/>
      <c r="CE35" s="481" t="n"/>
      <c r="CF35" s="481" t="n"/>
      <c r="CG35" s="481" t="n"/>
      <c r="CH35" s="481" t="n"/>
      <c r="CI35" s="481" t="n"/>
      <c r="CJ35" s="481" t="n"/>
      <c r="CK35" s="481" t="n"/>
      <c r="CL35" s="481" t="n"/>
      <c r="CM35" s="481" t="n"/>
      <c r="CN35" s="481" t="n"/>
      <c r="CO35" s="481" t="n"/>
      <c r="CP35" s="481" t="n"/>
      <c r="CQ35" s="481" t="n"/>
      <c r="CR35" s="481" t="n"/>
      <c r="CS35" s="481" t="n"/>
      <c r="CT35" s="481" t="n"/>
    </row>
    <row r="36" ht="15" customFormat="1" customHeight="1" s="381">
      <c r="A36" s="480" t="inlineStr">
        <is>
          <t>5500-1000 Legal and Professional Fees</t>
        </is>
      </c>
      <c r="C36" s="481" t="n">
        <v>-2187.5</v>
      </c>
      <c r="D36" s="481" t="n">
        <v>0</v>
      </c>
      <c r="E36" s="481" t="n">
        <v>-1625</v>
      </c>
      <c r="F36" s="481" t="n">
        <v>0</v>
      </c>
      <c r="G36" s="481" t="n">
        <v>0</v>
      </c>
      <c r="H36" s="481" t="n">
        <v>0</v>
      </c>
      <c r="I36" s="481" t="n"/>
      <c r="J36" s="481" t="n"/>
      <c r="K36" s="481" t="n"/>
      <c r="L36" s="481" t="n"/>
      <c r="M36" s="481" t="n"/>
      <c r="N36" s="481" t="n"/>
      <c r="O36" s="481" t="n"/>
      <c r="P36" s="481" t="n"/>
      <c r="Q36" s="481" t="n"/>
      <c r="R36" s="481" t="n"/>
      <c r="S36" s="481" t="n"/>
      <c r="T36" s="481" t="n"/>
      <c r="U36" s="481" t="n"/>
      <c r="V36" s="481" t="n"/>
      <c r="W36" s="481" t="n"/>
      <c r="X36" s="481" t="n"/>
      <c r="Y36" s="481" t="n"/>
      <c r="Z36" s="481" t="n"/>
      <c r="AA36" s="481" t="n"/>
      <c r="AB36" s="481" t="n"/>
      <c r="AC36" s="481" t="n"/>
      <c r="AD36" s="481" t="n"/>
      <c r="AE36" s="481" t="n"/>
      <c r="AF36" s="481" t="n"/>
      <c r="AG36" s="481" t="n"/>
      <c r="AH36" s="481" t="n"/>
      <c r="AI36" s="481" t="n"/>
      <c r="AJ36" s="481" t="n"/>
      <c r="AK36" s="481" t="n"/>
      <c r="AL36" s="481" t="n"/>
      <c r="AM36" s="481" t="n"/>
      <c r="AN36" s="481" t="n"/>
      <c r="AO36" s="481" t="n"/>
      <c r="AP36" s="481" t="n"/>
      <c r="AQ36" s="481" t="n"/>
      <c r="AR36" s="481" t="n"/>
      <c r="AS36" s="481" t="n"/>
      <c r="AT36" s="481" t="n"/>
      <c r="AU36" s="481" t="n"/>
      <c r="AV36" s="481" t="n"/>
      <c r="AW36" s="481" t="n"/>
      <c r="AX36" s="481" t="n"/>
      <c r="AY36" s="481" t="n"/>
      <c r="AZ36" s="481" t="n"/>
      <c r="BA36" s="481" t="n"/>
      <c r="BB36" s="481" t="n"/>
      <c r="BC36" s="481" t="n"/>
      <c r="BD36" s="481" t="n"/>
      <c r="BE36" s="481" t="n"/>
      <c r="BF36" s="481" t="n"/>
      <c r="BG36" s="481" t="n"/>
      <c r="BH36" s="481" t="n"/>
      <c r="BI36" s="481" t="n"/>
      <c r="BJ36" s="481" t="n"/>
      <c r="BK36" s="481" t="n"/>
      <c r="BL36" s="481" t="n"/>
      <c r="BM36" s="481" t="n"/>
      <c r="BN36" s="481" t="n"/>
      <c r="BO36" s="481" t="n"/>
      <c r="BP36" s="481" t="n"/>
      <c r="BQ36" s="481" t="n"/>
      <c r="BR36" s="481" t="n"/>
      <c r="BS36" s="481" t="n"/>
      <c r="BT36" s="481" t="n"/>
      <c r="BU36" s="481" t="n"/>
      <c r="BV36" s="481" t="n"/>
      <c r="BW36" s="481" t="n"/>
      <c r="BX36" s="481" t="n"/>
      <c r="BY36" s="481" t="n"/>
      <c r="BZ36" s="481" t="n"/>
      <c r="CA36" s="481" t="n"/>
      <c r="CB36" s="481" t="n"/>
      <c r="CC36" s="481" t="n"/>
      <c r="CD36" s="481" t="n"/>
      <c r="CE36" s="481" t="n"/>
      <c r="CF36" s="481" t="n"/>
      <c r="CG36" s="481" t="n"/>
      <c r="CH36" s="481" t="n"/>
      <c r="CI36" s="481" t="n"/>
      <c r="CJ36" s="481" t="n"/>
      <c r="CK36" s="481" t="n"/>
      <c r="CL36" s="481" t="n"/>
      <c r="CM36" s="481" t="n"/>
      <c r="CN36" s="481" t="n"/>
      <c r="CO36" s="481" t="n"/>
      <c r="CP36" s="481" t="n"/>
      <c r="CQ36" s="481" t="n"/>
      <c r="CR36" s="481" t="n"/>
      <c r="CS36" s="481" t="n"/>
      <c r="CT36" s="481" t="n"/>
    </row>
    <row r="37" ht="15" customFormat="1" customHeight="1" s="381">
      <c r="A37" s="480" t="inlineStr">
        <is>
          <t>5500-1002 Accounting Consulting and Overhead</t>
        </is>
      </c>
      <c r="C37" s="481" t="n">
        <v>0</v>
      </c>
      <c r="D37" s="481" t="n">
        <v>-12349</v>
      </c>
      <c r="E37" s="481" t="n">
        <v>-5400</v>
      </c>
      <c r="F37" s="481" t="n">
        <v>-4377</v>
      </c>
      <c r="G37" s="481" t="n">
        <v>-11750</v>
      </c>
      <c r="H37" s="481" t="n">
        <v>0</v>
      </c>
      <c r="I37" s="481" t="n"/>
      <c r="J37" s="481" t="n"/>
      <c r="K37" s="481" t="n"/>
      <c r="L37" s="481" t="n"/>
      <c r="M37" s="481" t="n"/>
      <c r="N37" s="481" t="n"/>
      <c r="O37" s="481" t="n"/>
      <c r="P37" s="481" t="n"/>
      <c r="Q37" s="481" t="n"/>
      <c r="R37" s="481" t="n"/>
      <c r="S37" s="481" t="n"/>
      <c r="T37" s="481" t="n"/>
      <c r="U37" s="481" t="n"/>
      <c r="V37" s="481" t="n"/>
      <c r="W37" s="481" t="n"/>
      <c r="X37" s="481" t="n"/>
      <c r="Y37" s="481" t="n"/>
      <c r="Z37" s="481" t="n"/>
      <c r="AA37" s="481" t="n"/>
      <c r="AB37" s="481" t="n"/>
      <c r="AC37" s="481" t="n"/>
      <c r="AD37" s="481" t="n"/>
      <c r="AE37" s="481" t="n"/>
      <c r="AF37" s="481" t="n"/>
      <c r="AG37" s="481" t="n"/>
      <c r="AH37" s="481" t="n"/>
      <c r="AI37" s="481" t="n"/>
      <c r="AJ37" s="481" t="n"/>
      <c r="AK37" s="481" t="n"/>
      <c r="AL37" s="481" t="n"/>
      <c r="AM37" s="481" t="n"/>
      <c r="AN37" s="481" t="n"/>
      <c r="AO37" s="481" t="n"/>
      <c r="AP37" s="481" t="n"/>
      <c r="AQ37" s="481" t="n"/>
      <c r="AR37" s="481" t="n"/>
      <c r="AS37" s="481" t="n"/>
      <c r="AT37" s="481" t="n"/>
      <c r="AU37" s="481" t="n"/>
      <c r="AV37" s="481" t="n"/>
      <c r="AW37" s="481" t="n"/>
      <c r="AX37" s="481" t="n"/>
      <c r="AY37" s="481" t="n"/>
      <c r="AZ37" s="481" t="n"/>
      <c r="BA37" s="481" t="n"/>
      <c r="BB37" s="481" t="n"/>
      <c r="BC37" s="481" t="n"/>
      <c r="BD37" s="481" t="n"/>
      <c r="BE37" s="481" t="n"/>
      <c r="BF37" s="481" t="n"/>
      <c r="BG37" s="481" t="n"/>
      <c r="BH37" s="481" t="n"/>
      <c r="BI37" s="481" t="n"/>
      <c r="BJ37" s="481" t="n"/>
      <c r="BK37" s="481" t="n"/>
      <c r="BL37" s="481" t="n"/>
      <c r="BM37" s="481" t="n"/>
      <c r="BN37" s="481" t="n"/>
      <c r="BO37" s="481" t="n"/>
      <c r="BP37" s="481" t="n"/>
      <c r="BQ37" s="481" t="n"/>
      <c r="BR37" s="481" t="n"/>
      <c r="BS37" s="481" t="n"/>
      <c r="BT37" s="481" t="n"/>
      <c r="BU37" s="481" t="n"/>
      <c r="BV37" s="481" t="n"/>
      <c r="BW37" s="481" t="n"/>
      <c r="BX37" s="481" t="n"/>
      <c r="BY37" s="481" t="n"/>
      <c r="BZ37" s="481" t="n"/>
      <c r="CA37" s="481" t="n"/>
      <c r="CB37" s="481" t="n"/>
      <c r="CC37" s="481" t="n"/>
      <c r="CD37" s="481" t="n"/>
      <c r="CE37" s="481" t="n"/>
      <c r="CF37" s="481" t="n"/>
      <c r="CG37" s="481" t="n"/>
      <c r="CH37" s="481" t="n"/>
      <c r="CI37" s="481" t="n"/>
      <c r="CJ37" s="481" t="n"/>
      <c r="CK37" s="481" t="n"/>
      <c r="CL37" s="481" t="n"/>
      <c r="CM37" s="481" t="n"/>
      <c r="CN37" s="481" t="n"/>
      <c r="CO37" s="481" t="n"/>
      <c r="CP37" s="481" t="n"/>
      <c r="CQ37" s="481" t="n"/>
      <c r="CR37" s="481" t="n"/>
      <c r="CS37" s="481" t="n"/>
      <c r="CT37" s="481" t="n"/>
    </row>
    <row r="38" ht="15" customFormat="1" customHeight="1" s="381">
      <c r="A38" s="480" t="inlineStr">
        <is>
          <t>5500-1004 Consultants and Other Professional Expenses</t>
        </is>
      </c>
      <c r="C38" s="481" t="n">
        <v>0</v>
      </c>
      <c r="D38" s="481" t="n">
        <v>0</v>
      </c>
      <c r="E38" s="481" t="n">
        <v>-750.4</v>
      </c>
      <c r="F38" s="481" t="n">
        <v>0</v>
      </c>
      <c r="G38" s="481" t="n">
        <v>0</v>
      </c>
      <c r="H38" s="481" t="n">
        <v>0</v>
      </c>
      <c r="I38" s="481" t="n"/>
      <c r="J38" s="481" t="n"/>
      <c r="K38" s="481" t="n"/>
      <c r="L38" s="481" t="n"/>
      <c r="M38" s="481" t="n"/>
      <c r="N38" s="481" t="n"/>
      <c r="O38" s="481" t="n"/>
      <c r="P38" s="481" t="n"/>
      <c r="Q38" s="481" t="n"/>
      <c r="R38" s="481" t="n"/>
      <c r="S38" s="481" t="n"/>
      <c r="T38" s="481" t="n"/>
      <c r="U38" s="481" t="n"/>
      <c r="V38" s="481" t="n"/>
      <c r="W38" s="481" t="n"/>
      <c r="X38" s="481" t="n"/>
      <c r="Y38" s="481" t="n"/>
      <c r="Z38" s="481" t="n"/>
      <c r="AA38" s="481" t="n"/>
      <c r="AB38" s="481" t="n"/>
      <c r="AC38" s="481" t="n"/>
      <c r="AD38" s="481" t="n"/>
      <c r="AE38" s="481" t="n"/>
      <c r="AF38" s="481" t="n"/>
      <c r="AG38" s="481" t="n"/>
      <c r="AH38" s="481" t="n"/>
      <c r="AI38" s="481" t="n"/>
      <c r="AJ38" s="481" t="n"/>
      <c r="AK38" s="481" t="n"/>
      <c r="AL38" s="481" t="n"/>
      <c r="AM38" s="481" t="n"/>
      <c r="AN38" s="481" t="n"/>
      <c r="AO38" s="481" t="n"/>
      <c r="AP38" s="481" t="n"/>
      <c r="AQ38" s="481" t="n"/>
      <c r="AR38" s="481" t="n"/>
      <c r="AS38" s="481" t="n"/>
      <c r="AT38" s="481" t="n"/>
      <c r="AU38" s="481" t="n"/>
      <c r="AV38" s="481" t="n"/>
      <c r="AW38" s="481" t="n"/>
      <c r="AX38" s="481" t="n"/>
      <c r="AY38" s="481" t="n"/>
      <c r="AZ38" s="481" t="n"/>
      <c r="BA38" s="481" t="n"/>
      <c r="BB38" s="481" t="n"/>
      <c r="BC38" s="481" t="n"/>
      <c r="BD38" s="481" t="n"/>
      <c r="BE38" s="481" t="n"/>
      <c r="BF38" s="481" t="n"/>
      <c r="BG38" s="481" t="n"/>
      <c r="BH38" s="481" t="n"/>
      <c r="BI38" s="481" t="n"/>
      <c r="BJ38" s="481" t="n"/>
      <c r="BK38" s="481" t="n"/>
      <c r="BL38" s="481" t="n"/>
      <c r="BM38" s="481" t="n"/>
      <c r="BN38" s="481" t="n"/>
      <c r="BO38" s="481" t="n"/>
      <c r="BP38" s="481" t="n"/>
      <c r="BQ38" s="481" t="n"/>
      <c r="BR38" s="481" t="n"/>
      <c r="BS38" s="481" t="n"/>
      <c r="BT38" s="481" t="n"/>
      <c r="BU38" s="481" t="n"/>
      <c r="BV38" s="481" t="n"/>
      <c r="BW38" s="481" t="n"/>
      <c r="BX38" s="481" t="n"/>
      <c r="BY38" s="481" t="n"/>
      <c r="BZ38" s="481" t="n"/>
      <c r="CA38" s="481" t="n"/>
      <c r="CB38" s="481" t="n"/>
      <c r="CC38" s="481" t="n"/>
      <c r="CD38" s="481" t="n"/>
      <c r="CE38" s="481" t="n"/>
      <c r="CF38" s="481" t="n"/>
      <c r="CG38" s="481" t="n"/>
      <c r="CH38" s="481" t="n"/>
      <c r="CI38" s="481" t="n"/>
      <c r="CJ38" s="481" t="n"/>
      <c r="CK38" s="481" t="n"/>
      <c r="CL38" s="481" t="n"/>
      <c r="CM38" s="481" t="n"/>
      <c r="CN38" s="481" t="n"/>
      <c r="CO38" s="481" t="n"/>
      <c r="CP38" s="481" t="n"/>
      <c r="CQ38" s="481" t="n"/>
      <c r="CR38" s="481" t="n"/>
      <c r="CS38" s="481" t="n"/>
      <c r="CT38" s="481" t="n"/>
    </row>
    <row r="39" ht="15" customFormat="1" customHeight="1" s="381">
      <c r="A39" s="480" t="inlineStr">
        <is>
          <t>5500-1050 General Insurance</t>
        </is>
      </c>
      <c r="C39" s="481" t="n">
        <v>-1474.63</v>
      </c>
      <c r="D39" s="481" t="n">
        <v>-1449.33</v>
      </c>
      <c r="E39" s="481" t="n">
        <v>-2328.76</v>
      </c>
      <c r="F39" s="481" t="n">
        <v>-2249.56</v>
      </c>
      <c r="G39" s="481" t="n">
        <v>-2759.48</v>
      </c>
      <c r="H39" s="481" t="n">
        <v>-2749.12</v>
      </c>
      <c r="I39" s="481" t="n"/>
      <c r="J39" s="481" t="n"/>
      <c r="K39" s="481" t="n"/>
      <c r="L39" s="481" t="n"/>
      <c r="M39" s="481" t="n"/>
      <c r="N39" s="481" t="n"/>
      <c r="O39" s="481" t="n"/>
      <c r="P39" s="481" t="n"/>
      <c r="Q39" s="481" t="n"/>
      <c r="R39" s="481" t="n"/>
      <c r="S39" s="481" t="n"/>
      <c r="T39" s="481" t="n"/>
      <c r="U39" s="481" t="n"/>
      <c r="V39" s="481" t="n"/>
      <c r="W39" s="481" t="n"/>
      <c r="X39" s="481" t="n"/>
      <c r="Y39" s="481" t="n"/>
      <c r="Z39" s="481" t="n"/>
      <c r="AA39" s="481" t="n"/>
      <c r="AB39" s="481" t="n"/>
      <c r="AC39" s="481" t="n"/>
      <c r="AD39" s="481" t="n"/>
      <c r="AE39" s="481" t="n"/>
      <c r="AF39" s="481" t="n"/>
      <c r="AG39" s="481" t="n"/>
      <c r="AH39" s="481" t="n"/>
      <c r="AI39" s="481" t="n"/>
      <c r="AJ39" s="481" t="n"/>
      <c r="AK39" s="481" t="n"/>
      <c r="AL39" s="481" t="n"/>
      <c r="AM39" s="481" t="n"/>
      <c r="AN39" s="481" t="n"/>
      <c r="AO39" s="481" t="n"/>
      <c r="AP39" s="481" t="n"/>
      <c r="AQ39" s="481" t="n"/>
      <c r="AR39" s="481" t="n"/>
      <c r="AS39" s="481" t="n"/>
      <c r="AT39" s="481" t="n"/>
      <c r="AU39" s="481" t="n"/>
      <c r="AV39" s="481" t="n"/>
      <c r="AW39" s="481" t="n"/>
      <c r="AX39" s="481" t="n"/>
      <c r="AY39" s="481" t="n"/>
      <c r="AZ39" s="481" t="n"/>
      <c r="BA39" s="481" t="n"/>
      <c r="BB39" s="481" t="n"/>
      <c r="BC39" s="481" t="n"/>
      <c r="BD39" s="481" t="n"/>
      <c r="BE39" s="481" t="n"/>
      <c r="BF39" s="481" t="n"/>
      <c r="BG39" s="481" t="n"/>
      <c r="BH39" s="481" t="n"/>
      <c r="BI39" s="481" t="n"/>
      <c r="BJ39" s="481" t="n"/>
      <c r="BK39" s="481" t="n"/>
      <c r="BL39" s="481" t="n"/>
      <c r="BM39" s="481" t="n"/>
      <c r="BN39" s="481" t="n"/>
      <c r="BO39" s="481" t="n"/>
      <c r="BP39" s="481" t="n"/>
      <c r="BQ39" s="481" t="n"/>
      <c r="BR39" s="481" t="n"/>
      <c r="BS39" s="481" t="n"/>
      <c r="BT39" s="481" t="n"/>
      <c r="BU39" s="481" t="n"/>
      <c r="BV39" s="481" t="n"/>
      <c r="BW39" s="481" t="n"/>
      <c r="BX39" s="481" t="n"/>
      <c r="BY39" s="481" t="n"/>
      <c r="BZ39" s="481" t="n"/>
      <c r="CA39" s="481" t="n"/>
      <c r="CB39" s="481" t="n"/>
      <c r="CC39" s="481" t="n"/>
      <c r="CD39" s="481" t="n"/>
      <c r="CE39" s="481" t="n"/>
      <c r="CF39" s="481" t="n"/>
      <c r="CG39" s="481" t="n"/>
      <c r="CH39" s="481" t="n"/>
      <c r="CI39" s="481" t="n"/>
      <c r="CJ39" s="481" t="n"/>
      <c r="CK39" s="481" t="n"/>
      <c r="CL39" s="481" t="n"/>
      <c r="CM39" s="481" t="n"/>
      <c r="CN39" s="481" t="n"/>
      <c r="CO39" s="481" t="n"/>
      <c r="CP39" s="481" t="n"/>
      <c r="CQ39" s="481" t="n"/>
      <c r="CR39" s="481" t="n"/>
      <c r="CS39" s="481" t="n"/>
      <c r="CT39" s="481" t="n"/>
    </row>
    <row r="40" ht="15" customFormat="1" customHeight="1" s="381">
      <c r="A40" s="480" t="inlineStr">
        <is>
          <t>5700-1003 Other Utilities</t>
        </is>
      </c>
      <c r="C40" s="481" t="n">
        <v>-1417.61</v>
      </c>
      <c r="D40" s="481" t="n">
        <v>-2730.36</v>
      </c>
      <c r="E40" s="481" t="n">
        <v>-1818.05</v>
      </c>
      <c r="F40" s="481" t="n">
        <v>-3307.74</v>
      </c>
      <c r="G40" s="481" t="n">
        <v>-1257.74</v>
      </c>
      <c r="H40" s="481" t="n">
        <v>-3372.74</v>
      </c>
      <c r="I40" s="481" t="n"/>
      <c r="J40" s="481" t="n"/>
      <c r="K40" s="481" t="n"/>
      <c r="L40" s="481" t="n"/>
      <c r="M40" s="481" t="n"/>
      <c r="N40" s="481" t="n"/>
      <c r="O40" s="481" t="n"/>
      <c r="P40" s="481" t="n"/>
      <c r="Q40" s="481" t="n"/>
      <c r="R40" s="481" t="n"/>
      <c r="S40" s="481" t="n"/>
      <c r="T40" s="481" t="n"/>
      <c r="U40" s="481" t="n"/>
      <c r="V40" s="481" t="n"/>
      <c r="W40" s="481" t="n"/>
      <c r="X40" s="481" t="n"/>
      <c r="Y40" s="481" t="n"/>
      <c r="Z40" s="481" t="n"/>
      <c r="AA40" s="481" t="n"/>
      <c r="AB40" s="481" t="n"/>
      <c r="AC40" s="481" t="n"/>
      <c r="AD40" s="481" t="n"/>
      <c r="AE40" s="481" t="n"/>
      <c r="AF40" s="481" t="n"/>
      <c r="AG40" s="481" t="n"/>
      <c r="AH40" s="481" t="n"/>
      <c r="AI40" s="481" t="n"/>
      <c r="AJ40" s="481" t="n"/>
      <c r="AK40" s="481" t="n"/>
      <c r="AL40" s="481" t="n"/>
      <c r="AM40" s="481" t="n"/>
      <c r="AN40" s="481" t="n"/>
      <c r="AO40" s="481" t="n"/>
      <c r="AP40" s="481" t="n"/>
      <c r="AQ40" s="481" t="n"/>
      <c r="AR40" s="481" t="n"/>
      <c r="AS40" s="481" t="n"/>
      <c r="AT40" s="481" t="n"/>
      <c r="AU40" s="481" t="n"/>
      <c r="AV40" s="481" t="n"/>
      <c r="AW40" s="481" t="n"/>
      <c r="AX40" s="481" t="n"/>
      <c r="AY40" s="481" t="n"/>
      <c r="AZ40" s="481" t="n"/>
      <c r="BA40" s="481" t="n"/>
      <c r="BB40" s="481" t="n"/>
      <c r="BC40" s="481" t="n"/>
      <c r="BD40" s="481" t="n"/>
      <c r="BE40" s="481" t="n"/>
      <c r="BF40" s="481" t="n"/>
      <c r="BG40" s="481" t="n"/>
      <c r="BH40" s="481" t="n"/>
      <c r="BI40" s="481" t="n"/>
      <c r="BJ40" s="481" t="n"/>
      <c r="BK40" s="481" t="n"/>
      <c r="BL40" s="481" t="n"/>
      <c r="BM40" s="481" t="n"/>
      <c r="BN40" s="481" t="n"/>
      <c r="BO40" s="481" t="n"/>
      <c r="BP40" s="481" t="n"/>
      <c r="BQ40" s="481" t="n"/>
      <c r="BR40" s="481" t="n"/>
      <c r="BS40" s="481" t="n"/>
      <c r="BT40" s="481" t="n"/>
      <c r="BU40" s="481" t="n"/>
      <c r="BV40" s="481" t="n"/>
      <c r="BW40" s="481" t="n"/>
      <c r="BX40" s="481" t="n"/>
      <c r="BY40" s="481" t="n"/>
      <c r="BZ40" s="481" t="n"/>
      <c r="CA40" s="481" t="n"/>
      <c r="CB40" s="481" t="n"/>
      <c r="CC40" s="481" t="n"/>
      <c r="CD40" s="481" t="n"/>
      <c r="CE40" s="481" t="n"/>
      <c r="CF40" s="481" t="n"/>
      <c r="CG40" s="481" t="n"/>
      <c r="CH40" s="481" t="n"/>
      <c r="CI40" s="481" t="n"/>
      <c r="CJ40" s="481" t="n"/>
      <c r="CK40" s="481" t="n"/>
      <c r="CL40" s="481" t="n"/>
      <c r="CM40" s="481" t="n"/>
      <c r="CN40" s="481" t="n"/>
      <c r="CO40" s="481" t="n"/>
      <c r="CP40" s="481" t="n"/>
      <c r="CQ40" s="481" t="n"/>
      <c r="CR40" s="481" t="n"/>
      <c r="CS40" s="481" t="n"/>
      <c r="CT40" s="481" t="n"/>
    </row>
    <row r="41" ht="15" customFormat="1" customHeight="1" s="381">
      <c r="A41" s="480" t="inlineStr">
        <is>
          <t>5800-1003 Consulting Fee</t>
        </is>
      </c>
      <c r="C41" s="481" t="n">
        <v>0</v>
      </c>
      <c r="D41" s="481" t="n">
        <v>0</v>
      </c>
      <c r="E41" s="481" t="n">
        <v>-41990</v>
      </c>
      <c r="F41" s="481" t="n">
        <v>-42500</v>
      </c>
      <c r="G41" s="481" t="n">
        <v>-21000</v>
      </c>
      <c r="H41" s="481" t="n">
        <v>0</v>
      </c>
      <c r="I41" s="481" t="n"/>
      <c r="J41" s="481" t="n"/>
      <c r="K41" s="481" t="n"/>
      <c r="L41" s="481" t="n"/>
      <c r="M41" s="481" t="n"/>
      <c r="N41" s="481" t="n"/>
      <c r="O41" s="481" t="n"/>
      <c r="P41" s="481" t="n"/>
      <c r="Q41" s="481" t="n"/>
      <c r="R41" s="481" t="n"/>
      <c r="S41" s="481" t="n"/>
      <c r="T41" s="481" t="n"/>
      <c r="U41" s="481" t="n"/>
      <c r="V41" s="481" t="n"/>
      <c r="W41" s="481" t="n"/>
      <c r="X41" s="481" t="n"/>
      <c r="Y41" s="481" t="n"/>
      <c r="Z41" s="481" t="n"/>
      <c r="AA41" s="481" t="n"/>
      <c r="AB41" s="481" t="n"/>
      <c r="AC41" s="481" t="n"/>
      <c r="AD41" s="481" t="n"/>
      <c r="AE41" s="481" t="n"/>
      <c r="AF41" s="481" t="n"/>
      <c r="AG41" s="481" t="n"/>
      <c r="AH41" s="481" t="n"/>
      <c r="AI41" s="481" t="n"/>
      <c r="AJ41" s="481" t="n"/>
      <c r="AK41" s="481" t="n"/>
      <c r="AL41" s="481" t="n"/>
      <c r="AM41" s="481" t="n"/>
      <c r="AN41" s="481" t="n"/>
      <c r="AO41" s="481" t="n"/>
      <c r="AP41" s="481" t="n"/>
      <c r="AQ41" s="481" t="n"/>
      <c r="AR41" s="481" t="n"/>
      <c r="AS41" s="481" t="n"/>
      <c r="AT41" s="481" t="n"/>
      <c r="AU41" s="481" t="n"/>
      <c r="AV41" s="481" t="n"/>
      <c r="AW41" s="481" t="n"/>
      <c r="AX41" s="481" t="n"/>
      <c r="AY41" s="481" t="n"/>
      <c r="AZ41" s="481" t="n"/>
      <c r="BA41" s="481" t="n"/>
      <c r="BB41" s="481" t="n"/>
      <c r="BC41" s="481" t="n"/>
      <c r="BD41" s="481" t="n"/>
      <c r="BE41" s="481" t="n"/>
      <c r="BF41" s="481" t="n"/>
      <c r="BG41" s="481" t="n"/>
      <c r="BH41" s="481" t="n"/>
      <c r="BI41" s="481" t="n"/>
      <c r="BJ41" s="481" t="n"/>
      <c r="BK41" s="481" t="n"/>
      <c r="BL41" s="481" t="n"/>
      <c r="BM41" s="481" t="n"/>
      <c r="BN41" s="481" t="n"/>
      <c r="BO41" s="481" t="n"/>
      <c r="BP41" s="481" t="n"/>
      <c r="BQ41" s="481" t="n"/>
      <c r="BR41" s="481" t="n"/>
      <c r="BS41" s="481" t="n"/>
      <c r="BT41" s="481" t="n"/>
      <c r="BU41" s="481" t="n"/>
      <c r="BV41" s="481" t="n"/>
      <c r="BW41" s="481" t="n"/>
      <c r="BX41" s="481" t="n"/>
      <c r="BY41" s="481" t="n"/>
      <c r="BZ41" s="481" t="n"/>
      <c r="CA41" s="481" t="n"/>
      <c r="CB41" s="481" t="n"/>
      <c r="CC41" s="481" t="n"/>
      <c r="CD41" s="481" t="n"/>
      <c r="CE41" s="481" t="n"/>
      <c r="CF41" s="481" t="n"/>
      <c r="CG41" s="481" t="n"/>
      <c r="CH41" s="481" t="n"/>
      <c r="CI41" s="481" t="n"/>
      <c r="CJ41" s="481" t="n"/>
      <c r="CK41" s="481" t="n"/>
      <c r="CL41" s="481" t="n"/>
      <c r="CM41" s="481" t="n"/>
      <c r="CN41" s="481" t="n"/>
      <c r="CO41" s="481" t="n"/>
      <c r="CP41" s="481" t="n"/>
      <c r="CQ41" s="481" t="n"/>
      <c r="CR41" s="481" t="n"/>
      <c r="CS41" s="481" t="n"/>
      <c r="CT41" s="481" t="n"/>
    </row>
    <row r="42" ht="15" customFormat="1" customHeight="1" s="381">
      <c r="A42" s="480" t="inlineStr">
        <is>
          <t>5900-1000 Security Monitoring</t>
        </is>
      </c>
      <c r="C42" s="481" t="n">
        <v>-165</v>
      </c>
      <c r="D42" s="481" t="n">
        <v>0</v>
      </c>
      <c r="E42" s="481" t="n">
        <v>0</v>
      </c>
      <c r="F42" s="481" t="n">
        <v>-165</v>
      </c>
      <c r="G42" s="481" t="n">
        <v>0</v>
      </c>
      <c r="H42" s="481" t="n">
        <v>-165</v>
      </c>
      <c r="I42" s="481" t="n"/>
      <c r="J42" s="481" t="n"/>
      <c r="K42" s="481" t="n"/>
      <c r="L42" s="481" t="n"/>
      <c r="M42" s="481" t="n"/>
      <c r="N42" s="481" t="n"/>
      <c r="O42" s="481" t="n"/>
      <c r="P42" s="481" t="n"/>
      <c r="Q42" s="481" t="n"/>
      <c r="R42" s="481" t="n"/>
      <c r="S42" s="481" t="n"/>
      <c r="T42" s="481" t="n"/>
      <c r="U42" s="481" t="n"/>
      <c r="V42" s="481" t="n"/>
      <c r="W42" s="481" t="n"/>
      <c r="X42" s="481" t="n"/>
      <c r="Y42" s="481" t="n"/>
      <c r="Z42" s="481" t="n"/>
      <c r="AA42" s="481" t="n"/>
      <c r="AB42" s="481" t="n"/>
      <c r="AC42" s="481" t="n"/>
      <c r="AD42" s="481" t="n"/>
      <c r="AE42" s="481" t="n"/>
      <c r="AF42" s="481" t="n"/>
      <c r="AG42" s="481" t="n"/>
      <c r="AH42" s="481" t="n"/>
      <c r="AI42" s="481" t="n"/>
      <c r="AJ42" s="481" t="n"/>
      <c r="AK42" s="481" t="n"/>
      <c r="AL42" s="481" t="n"/>
      <c r="AM42" s="481" t="n"/>
      <c r="AN42" s="481" t="n"/>
      <c r="AO42" s="481" t="n"/>
      <c r="AP42" s="481" t="n"/>
      <c r="AQ42" s="481" t="n"/>
      <c r="AR42" s="481" t="n"/>
      <c r="AS42" s="481" t="n"/>
      <c r="AT42" s="481" t="n"/>
      <c r="AU42" s="481" t="n"/>
      <c r="AV42" s="481" t="n"/>
      <c r="AW42" s="481" t="n"/>
      <c r="AX42" s="481" t="n"/>
      <c r="AY42" s="481" t="n"/>
      <c r="AZ42" s="481" t="n"/>
      <c r="BA42" s="481" t="n"/>
      <c r="BB42" s="481" t="n"/>
      <c r="BC42" s="481" t="n"/>
      <c r="BD42" s="481" t="n"/>
      <c r="BE42" s="481" t="n"/>
      <c r="BF42" s="481" t="n"/>
      <c r="BG42" s="481" t="n"/>
      <c r="BH42" s="481" t="n"/>
      <c r="BI42" s="481" t="n"/>
      <c r="BJ42" s="481" t="n"/>
      <c r="BK42" s="481" t="n"/>
      <c r="BL42" s="481" t="n"/>
      <c r="BM42" s="481" t="n"/>
      <c r="BN42" s="481" t="n"/>
      <c r="BO42" s="481" t="n"/>
      <c r="BP42" s="481" t="n"/>
      <c r="BQ42" s="481" t="n"/>
      <c r="BR42" s="481" t="n"/>
      <c r="BS42" s="481" t="n"/>
      <c r="BT42" s="481" t="n"/>
      <c r="BU42" s="481" t="n"/>
      <c r="BV42" s="481" t="n"/>
      <c r="BW42" s="481" t="n"/>
      <c r="BX42" s="481" t="n"/>
      <c r="BY42" s="481" t="n"/>
      <c r="BZ42" s="481" t="n"/>
      <c r="CA42" s="481" t="n"/>
      <c r="CB42" s="481" t="n"/>
      <c r="CC42" s="481" t="n"/>
      <c r="CD42" s="481" t="n"/>
      <c r="CE42" s="481" t="n"/>
      <c r="CF42" s="481" t="n"/>
      <c r="CG42" s="481" t="n"/>
      <c r="CH42" s="481" t="n"/>
      <c r="CI42" s="481" t="n"/>
      <c r="CJ42" s="481" t="n"/>
      <c r="CK42" s="481" t="n"/>
      <c r="CL42" s="481" t="n"/>
      <c r="CM42" s="481" t="n"/>
      <c r="CN42" s="481" t="n"/>
      <c r="CO42" s="481" t="n"/>
      <c r="CP42" s="481" t="n"/>
      <c r="CQ42" s="481" t="n"/>
      <c r="CR42" s="481" t="n"/>
      <c r="CS42" s="481" t="n"/>
      <c r="CT42" s="481" t="n"/>
    </row>
    <row r="43" ht="15" customFormat="1" customHeight="1" s="381">
      <c r="A43" s="480" t="inlineStr">
        <is>
          <t>5900-1002 Repairs and Maintenance</t>
        </is>
      </c>
      <c r="C43" s="481" t="n">
        <v>0</v>
      </c>
      <c r="D43" s="481" t="n">
        <v>0</v>
      </c>
      <c r="E43" s="481" t="n">
        <v>0</v>
      </c>
      <c r="F43" s="481" t="n">
        <v>-1036.49</v>
      </c>
      <c r="G43" s="481" t="n">
        <v>0</v>
      </c>
      <c r="H43" s="481" t="n">
        <v>-4308.58</v>
      </c>
      <c r="I43" s="481" t="n"/>
      <c r="J43" s="481" t="n"/>
      <c r="K43" s="481" t="n"/>
      <c r="L43" s="481" t="n"/>
      <c r="M43" s="481" t="n"/>
      <c r="N43" s="481" t="n"/>
      <c r="O43" s="481" t="n"/>
      <c r="P43" s="481" t="n"/>
      <c r="Q43" s="481" t="n"/>
      <c r="R43" s="481" t="n"/>
      <c r="S43" s="481" t="n"/>
      <c r="T43" s="481" t="n"/>
      <c r="U43" s="481" t="n"/>
      <c r="V43" s="481" t="n"/>
      <c r="W43" s="481" t="n"/>
      <c r="X43" s="481" t="n"/>
      <c r="Y43" s="481" t="n"/>
      <c r="Z43" s="481" t="n"/>
      <c r="AA43" s="481" t="n"/>
      <c r="AB43" s="481" t="n"/>
      <c r="AC43" s="481" t="n"/>
      <c r="AD43" s="481" t="n"/>
      <c r="AE43" s="481" t="n"/>
      <c r="AF43" s="481" t="n"/>
      <c r="AG43" s="481" t="n"/>
      <c r="AH43" s="481" t="n"/>
      <c r="AI43" s="481" t="n"/>
      <c r="AJ43" s="481" t="n"/>
      <c r="AK43" s="481" t="n"/>
      <c r="AL43" s="481" t="n"/>
      <c r="AM43" s="481" t="n"/>
      <c r="AN43" s="481" t="n"/>
      <c r="AO43" s="481" t="n"/>
      <c r="AP43" s="481" t="n"/>
      <c r="AQ43" s="481" t="n"/>
      <c r="AR43" s="481" t="n"/>
      <c r="AS43" s="481" t="n"/>
      <c r="AT43" s="481" t="n"/>
      <c r="AU43" s="481" t="n"/>
      <c r="AV43" s="481" t="n"/>
      <c r="AW43" s="481" t="n"/>
      <c r="AX43" s="481" t="n"/>
      <c r="AY43" s="481" t="n"/>
      <c r="AZ43" s="481" t="n"/>
      <c r="BA43" s="481" t="n"/>
      <c r="BB43" s="481" t="n"/>
      <c r="BC43" s="481" t="n"/>
      <c r="BD43" s="481" t="n"/>
      <c r="BE43" s="481" t="n"/>
      <c r="BF43" s="481" t="n"/>
      <c r="BG43" s="481" t="n"/>
      <c r="BH43" s="481" t="n"/>
      <c r="BI43" s="481" t="n"/>
      <c r="BJ43" s="481" t="n"/>
      <c r="BK43" s="481" t="n"/>
      <c r="BL43" s="481" t="n"/>
      <c r="BM43" s="481" t="n"/>
      <c r="BN43" s="481" t="n"/>
      <c r="BO43" s="481" t="n"/>
      <c r="BP43" s="481" t="n"/>
      <c r="BQ43" s="481" t="n"/>
      <c r="BR43" s="481" t="n"/>
      <c r="BS43" s="481" t="n"/>
      <c r="BT43" s="481" t="n"/>
      <c r="BU43" s="481" t="n"/>
      <c r="BV43" s="481" t="n"/>
      <c r="BW43" s="481" t="n"/>
      <c r="BX43" s="481" t="n"/>
      <c r="BY43" s="481" t="n"/>
      <c r="BZ43" s="481" t="n"/>
      <c r="CA43" s="481" t="n"/>
      <c r="CB43" s="481" t="n"/>
      <c r="CC43" s="481" t="n"/>
      <c r="CD43" s="481" t="n"/>
      <c r="CE43" s="481" t="n"/>
      <c r="CF43" s="481" t="n"/>
      <c r="CG43" s="481" t="n"/>
      <c r="CH43" s="481" t="n"/>
      <c r="CI43" s="481" t="n"/>
      <c r="CJ43" s="481" t="n"/>
      <c r="CK43" s="481" t="n"/>
      <c r="CL43" s="481" t="n"/>
      <c r="CM43" s="481" t="n"/>
      <c r="CN43" s="481" t="n"/>
      <c r="CO43" s="481" t="n"/>
      <c r="CP43" s="481" t="n"/>
      <c r="CQ43" s="481" t="n"/>
      <c r="CR43" s="481" t="n"/>
      <c r="CS43" s="481" t="n"/>
      <c r="CT43" s="481" t="n"/>
    </row>
    <row r="44" ht="15" customFormat="1" customHeight="1" s="381">
      <c r="A44" s="480" t="inlineStr">
        <is>
          <t>5900-1003 Janitorial and Cleaning Expenses</t>
        </is>
      </c>
      <c r="C44" s="481" t="n">
        <v>-550</v>
      </c>
      <c r="D44" s="481" t="n">
        <v>-550</v>
      </c>
      <c r="E44" s="481" t="n">
        <v>-550</v>
      </c>
      <c r="F44" s="481" t="n">
        <v>-600</v>
      </c>
      <c r="G44" s="481" t="n">
        <v>-650</v>
      </c>
      <c r="H44" s="481" t="n">
        <v>-575</v>
      </c>
      <c r="I44" s="481" t="n"/>
      <c r="J44" s="481" t="n"/>
      <c r="K44" s="481" t="n"/>
      <c r="L44" s="481" t="n"/>
      <c r="M44" s="481" t="n"/>
      <c r="N44" s="481" t="n"/>
      <c r="O44" s="481" t="n"/>
      <c r="P44" s="481" t="n"/>
      <c r="Q44" s="481" t="n"/>
      <c r="R44" s="481" t="n"/>
      <c r="S44" s="481" t="n"/>
      <c r="T44" s="481" t="n"/>
      <c r="U44" s="481" t="n"/>
      <c r="V44" s="481" t="n"/>
      <c r="W44" s="481" t="n"/>
      <c r="X44" s="481" t="n"/>
      <c r="Y44" s="481" t="n"/>
      <c r="Z44" s="481" t="n"/>
      <c r="AA44" s="481" t="n"/>
      <c r="AB44" s="481" t="n"/>
      <c r="AC44" s="481" t="n"/>
      <c r="AD44" s="481" t="n"/>
      <c r="AE44" s="481" t="n"/>
      <c r="AF44" s="481" t="n"/>
      <c r="AG44" s="481" t="n"/>
      <c r="AH44" s="481" t="n"/>
      <c r="AI44" s="481" t="n"/>
      <c r="AJ44" s="481" t="n"/>
      <c r="AK44" s="481" t="n"/>
      <c r="AL44" s="481" t="n"/>
      <c r="AM44" s="481" t="n"/>
      <c r="AN44" s="481" t="n"/>
      <c r="AO44" s="481" t="n"/>
      <c r="AP44" s="481" t="n"/>
      <c r="AQ44" s="481" t="n"/>
      <c r="AR44" s="481" t="n"/>
      <c r="AS44" s="481" t="n"/>
      <c r="AT44" s="481" t="n"/>
      <c r="AU44" s="481" t="n"/>
      <c r="AV44" s="481" t="n"/>
      <c r="AW44" s="481" t="n"/>
      <c r="AX44" s="481" t="n"/>
      <c r="AY44" s="481" t="n"/>
      <c r="AZ44" s="481" t="n"/>
      <c r="BA44" s="481" t="n"/>
      <c r="BB44" s="481" t="n"/>
      <c r="BC44" s="481" t="n"/>
      <c r="BD44" s="481" t="n"/>
      <c r="BE44" s="481" t="n"/>
      <c r="BF44" s="481" t="n"/>
      <c r="BG44" s="481" t="n"/>
      <c r="BH44" s="481" t="n"/>
      <c r="BI44" s="481" t="n"/>
      <c r="BJ44" s="481" t="n"/>
      <c r="BK44" s="481" t="n"/>
      <c r="BL44" s="481" t="n"/>
      <c r="BM44" s="481" t="n"/>
      <c r="BN44" s="481" t="n"/>
      <c r="BO44" s="481" t="n"/>
      <c r="BP44" s="481" t="n"/>
      <c r="BQ44" s="481" t="n"/>
      <c r="BR44" s="481" t="n"/>
      <c r="BS44" s="481" t="n"/>
      <c r="BT44" s="481" t="n"/>
      <c r="BU44" s="481" t="n"/>
      <c r="BV44" s="481" t="n"/>
      <c r="BW44" s="481" t="n"/>
      <c r="BX44" s="481" t="n"/>
      <c r="BY44" s="481" t="n"/>
      <c r="BZ44" s="481" t="n"/>
      <c r="CA44" s="481" t="n"/>
      <c r="CB44" s="481" t="n"/>
      <c r="CC44" s="481" t="n"/>
      <c r="CD44" s="481" t="n"/>
      <c r="CE44" s="481" t="n"/>
      <c r="CF44" s="481" t="n"/>
      <c r="CG44" s="481" t="n"/>
      <c r="CH44" s="481" t="n"/>
      <c r="CI44" s="481" t="n"/>
      <c r="CJ44" s="481" t="n"/>
      <c r="CK44" s="481" t="n"/>
      <c r="CL44" s="481" t="n"/>
      <c r="CM44" s="481" t="n"/>
      <c r="CN44" s="481" t="n"/>
      <c r="CO44" s="481" t="n"/>
      <c r="CP44" s="481" t="n"/>
      <c r="CQ44" s="481" t="n"/>
      <c r="CR44" s="481" t="n"/>
      <c r="CS44" s="481" t="n"/>
      <c r="CT44" s="481" t="n"/>
    </row>
    <row r="45" ht="15" customFormat="1" customHeight="1" s="381">
      <c r="A45" s="482" t="inlineStr">
        <is>
          <t>5900-1005 Supplies and Other Job Site Overhead</t>
        </is>
      </c>
      <c r="C45" s="485" t="n">
        <v>-19223.75</v>
      </c>
      <c r="D45" s="485" t="n">
        <v>-13381.97</v>
      </c>
      <c r="E45" s="485" t="n">
        <v>-20308.69</v>
      </c>
      <c r="F45" s="485" t="n">
        <v>-16948.76</v>
      </c>
      <c r="G45" s="485" t="n">
        <v>-29716.98</v>
      </c>
      <c r="H45" s="485" t="n">
        <v>-11335.64</v>
      </c>
      <c r="I45" s="485" t="n"/>
      <c r="J45" s="485" t="n"/>
      <c r="K45" s="485" t="n"/>
      <c r="L45" s="485" t="n"/>
      <c r="M45" s="485" t="n"/>
      <c r="N45" s="485" t="n"/>
      <c r="O45" s="485" t="n"/>
      <c r="P45" s="485" t="n"/>
      <c r="Q45" s="485" t="n"/>
      <c r="R45" s="485" t="n"/>
      <c r="S45" s="485" t="n"/>
      <c r="T45" s="485" t="n"/>
      <c r="U45" s="485" t="n"/>
      <c r="V45" s="485" t="n"/>
      <c r="W45" s="485" t="n"/>
      <c r="X45" s="485" t="n"/>
      <c r="Y45" s="485" t="n"/>
      <c r="Z45" s="485" t="n"/>
      <c r="AA45" s="485" t="n"/>
      <c r="AB45" s="485" t="n"/>
      <c r="AC45" s="485" t="n"/>
      <c r="AD45" s="485" t="n"/>
      <c r="AE45" s="485" t="n"/>
      <c r="AF45" s="485" t="n"/>
      <c r="AG45" s="485" t="n"/>
      <c r="AH45" s="485" t="n"/>
      <c r="AI45" s="485" t="n"/>
      <c r="AJ45" s="485" t="n"/>
      <c r="AK45" s="485" t="n"/>
      <c r="AL45" s="485" t="n"/>
      <c r="AM45" s="485" t="n"/>
      <c r="AN45" s="485" t="n"/>
      <c r="AO45" s="485" t="n"/>
      <c r="AP45" s="485" t="n"/>
      <c r="AQ45" s="485" t="n"/>
      <c r="AR45" s="485" t="n"/>
      <c r="AS45" s="485" t="n"/>
      <c r="AT45" s="485" t="n"/>
      <c r="AU45" s="485" t="n"/>
      <c r="AV45" s="485" t="n"/>
      <c r="AW45" s="485" t="n"/>
      <c r="AX45" s="485" t="n"/>
      <c r="AY45" s="485" t="n"/>
      <c r="AZ45" s="485" t="n"/>
      <c r="BA45" s="485" t="n"/>
      <c r="BB45" s="485" t="n"/>
      <c r="BC45" s="485" t="n"/>
      <c r="BD45" s="485" t="n"/>
      <c r="BE45" s="485" t="n"/>
      <c r="BF45" s="485" t="n"/>
      <c r="BG45" s="485" t="n"/>
      <c r="BH45" s="485" t="n"/>
      <c r="BI45" s="485" t="n"/>
      <c r="BJ45" s="485" t="n"/>
      <c r="BK45" s="485" t="n"/>
      <c r="BL45" s="485" t="n"/>
      <c r="BM45" s="485" t="n"/>
      <c r="BN45" s="485" t="n"/>
      <c r="BO45" s="485" t="n"/>
      <c r="BP45" s="485" t="n"/>
      <c r="BQ45" s="485" t="n"/>
      <c r="BR45" s="485" t="n"/>
      <c r="BS45" s="485" t="n"/>
      <c r="BT45" s="485" t="n"/>
      <c r="BU45" s="485" t="n"/>
      <c r="BV45" s="485" t="n"/>
      <c r="BW45" s="485" t="n"/>
      <c r="BX45" s="485" t="n"/>
      <c r="BY45" s="485" t="n"/>
      <c r="BZ45" s="485" t="n"/>
      <c r="CA45" s="485" t="n"/>
      <c r="CB45" s="485" t="n"/>
      <c r="CC45" s="485" t="n"/>
      <c r="CD45" s="485" t="n"/>
      <c r="CE45" s="485" t="n"/>
      <c r="CF45" s="485" t="n"/>
      <c r="CG45" s="485" t="n"/>
      <c r="CH45" s="485" t="n"/>
      <c r="CI45" s="485" t="n"/>
      <c r="CJ45" s="485" t="n"/>
      <c r="CK45" s="485" t="n"/>
      <c r="CL45" s="485" t="n"/>
      <c r="CM45" s="485" t="n"/>
      <c r="CN45" s="485" t="n"/>
      <c r="CO45" s="485" t="n"/>
      <c r="CP45" s="485" t="n"/>
      <c r="CQ45" s="485" t="n"/>
      <c r="CR45" s="485" t="n"/>
      <c r="CS45" s="485" t="n"/>
      <c r="CT45" s="485" t="n"/>
    </row>
    <row r="46" ht="15" customFormat="1" customHeight="1" s="381">
      <c r="A46" s="482" t="inlineStr">
        <is>
          <t>5900-1006 Auto and Truck Expense</t>
        </is>
      </c>
      <c r="C46" s="485" t="n">
        <v>-1909.98</v>
      </c>
      <c r="D46" s="485" t="n">
        <v>-190.1</v>
      </c>
      <c r="E46" s="485" t="n">
        <v>-2166.92</v>
      </c>
      <c r="F46" s="485" t="n">
        <v>-1816.95</v>
      </c>
      <c r="G46" s="485" t="n">
        <v>-1452.9</v>
      </c>
      <c r="H46" s="485" t="n">
        <v>-13918.31</v>
      </c>
      <c r="I46" s="485" t="n"/>
      <c r="J46" s="485" t="n"/>
      <c r="K46" s="485" t="n"/>
      <c r="L46" s="485" t="n"/>
      <c r="M46" s="485" t="n"/>
      <c r="N46" s="485" t="n"/>
      <c r="O46" s="485" t="n"/>
      <c r="P46" s="485" t="n"/>
      <c r="Q46" s="485" t="n"/>
      <c r="R46" s="485" t="n"/>
      <c r="S46" s="485" t="n"/>
      <c r="T46" s="485" t="n"/>
      <c r="U46" s="485" t="n"/>
      <c r="V46" s="485" t="n"/>
      <c r="W46" s="485" t="n"/>
      <c r="X46" s="485" t="n"/>
      <c r="Y46" s="485" t="n"/>
      <c r="Z46" s="485" t="n"/>
      <c r="AA46" s="485" t="n"/>
      <c r="AB46" s="485" t="n"/>
      <c r="AC46" s="485" t="n"/>
      <c r="AD46" s="485" t="n"/>
      <c r="AE46" s="485" t="n"/>
      <c r="AF46" s="485" t="n"/>
      <c r="AG46" s="485" t="n"/>
      <c r="AH46" s="485" t="n"/>
      <c r="AI46" s="485" t="n"/>
      <c r="AJ46" s="485" t="n"/>
      <c r="AK46" s="485" t="n"/>
      <c r="AL46" s="485" t="n"/>
      <c r="AM46" s="485" t="n"/>
      <c r="AN46" s="485" t="n"/>
      <c r="AO46" s="485" t="n"/>
      <c r="AP46" s="485" t="n"/>
      <c r="AQ46" s="485" t="n"/>
      <c r="AR46" s="485" t="n"/>
      <c r="AS46" s="485" t="n"/>
      <c r="AT46" s="485" t="n"/>
      <c r="AU46" s="485" t="n"/>
      <c r="AV46" s="485" t="n"/>
      <c r="AW46" s="485" t="n"/>
      <c r="AX46" s="485" t="n"/>
      <c r="AY46" s="485" t="n"/>
      <c r="AZ46" s="485" t="n"/>
      <c r="BA46" s="485" t="n"/>
      <c r="BB46" s="485" t="n"/>
      <c r="BC46" s="485" t="n"/>
      <c r="BD46" s="485" t="n"/>
      <c r="BE46" s="485" t="n"/>
      <c r="BF46" s="485" t="n"/>
      <c r="BG46" s="485" t="n"/>
      <c r="BH46" s="485" t="n"/>
      <c r="BI46" s="485" t="n"/>
      <c r="BJ46" s="485" t="n"/>
      <c r="BK46" s="485" t="n"/>
      <c r="BL46" s="485" t="n"/>
      <c r="BM46" s="485" t="n"/>
      <c r="BN46" s="485" t="n"/>
      <c r="BO46" s="485" t="n"/>
      <c r="BP46" s="485" t="n"/>
      <c r="BQ46" s="485" t="n"/>
      <c r="BR46" s="485" t="n"/>
      <c r="BS46" s="485" t="n"/>
      <c r="BT46" s="485" t="n"/>
      <c r="BU46" s="485" t="n"/>
      <c r="BV46" s="485" t="n"/>
      <c r="BW46" s="485" t="n"/>
      <c r="BX46" s="485" t="n"/>
      <c r="BY46" s="485" t="n"/>
      <c r="BZ46" s="485" t="n"/>
      <c r="CA46" s="485" t="n"/>
      <c r="CB46" s="485" t="n"/>
      <c r="CC46" s="485" t="n"/>
      <c r="CD46" s="485" t="n"/>
      <c r="CE46" s="485" t="n"/>
      <c r="CF46" s="485" t="n"/>
      <c r="CG46" s="485" t="n"/>
      <c r="CH46" s="485" t="n"/>
      <c r="CI46" s="485" t="n"/>
      <c r="CJ46" s="485" t="n"/>
      <c r="CK46" s="485" t="n"/>
      <c r="CL46" s="485" t="n"/>
      <c r="CM46" s="485" t="n"/>
      <c r="CN46" s="485" t="n"/>
      <c r="CO46" s="485" t="n"/>
      <c r="CP46" s="485" t="n"/>
      <c r="CQ46" s="485" t="n"/>
      <c r="CR46" s="485" t="n"/>
      <c r="CS46" s="485" t="n"/>
      <c r="CT46" s="485" t="n"/>
    </row>
    <row r="47" ht="15" customFormat="1" customHeight="1" s="381">
      <c r="A47" s="482" t="inlineStr">
        <is>
          <t>5900-1007 Landscaping</t>
        </is>
      </c>
      <c r="C47" s="485" t="n">
        <v>-320</v>
      </c>
      <c r="D47" s="485" t="n">
        <v>-160</v>
      </c>
      <c r="E47" s="485" t="n">
        <v>0</v>
      </c>
      <c r="F47" s="485" t="n">
        <v>0</v>
      </c>
      <c r="G47" s="485" t="n">
        <v>-320</v>
      </c>
      <c r="H47" s="485" t="n">
        <v>-320</v>
      </c>
      <c r="I47" s="485" t="n"/>
      <c r="J47" s="485" t="n"/>
      <c r="K47" s="485" t="n"/>
      <c r="L47" s="485" t="n"/>
      <c r="M47" s="485" t="n"/>
      <c r="N47" s="485" t="n"/>
      <c r="O47" s="485" t="n"/>
      <c r="P47" s="485" t="n"/>
      <c r="Q47" s="485" t="n"/>
      <c r="R47" s="485" t="n"/>
      <c r="S47" s="485" t="n"/>
      <c r="T47" s="485" t="n"/>
      <c r="U47" s="485" t="n"/>
      <c r="V47" s="485" t="n"/>
      <c r="W47" s="485" t="n"/>
      <c r="X47" s="485" t="n"/>
      <c r="Y47" s="485" t="n"/>
      <c r="Z47" s="485" t="n"/>
      <c r="AA47" s="485" t="n"/>
      <c r="AB47" s="485" t="n"/>
      <c r="AC47" s="485" t="n"/>
      <c r="AD47" s="485" t="n"/>
      <c r="AE47" s="485" t="n"/>
      <c r="AF47" s="485" t="n"/>
      <c r="AG47" s="485" t="n"/>
      <c r="AH47" s="485" t="n"/>
      <c r="AI47" s="485" t="n"/>
      <c r="AJ47" s="485" t="n"/>
      <c r="AK47" s="485" t="n"/>
      <c r="AL47" s="485" t="n"/>
      <c r="AM47" s="485" t="n"/>
      <c r="AN47" s="485" t="n"/>
      <c r="AO47" s="485" t="n"/>
      <c r="AP47" s="485" t="n"/>
      <c r="AQ47" s="485" t="n"/>
      <c r="AR47" s="485" t="n"/>
      <c r="AS47" s="485" t="n"/>
      <c r="AT47" s="485" t="n"/>
      <c r="AU47" s="485" t="n"/>
      <c r="AV47" s="485" t="n"/>
      <c r="AW47" s="485" t="n"/>
      <c r="AX47" s="485" t="n"/>
      <c r="AY47" s="485" t="n"/>
      <c r="AZ47" s="485" t="n"/>
      <c r="BA47" s="485" t="n"/>
      <c r="BB47" s="485" t="n"/>
      <c r="BC47" s="485" t="n"/>
      <c r="BD47" s="485" t="n"/>
      <c r="BE47" s="485" t="n"/>
      <c r="BF47" s="485" t="n"/>
      <c r="BG47" s="485" t="n"/>
      <c r="BH47" s="485" t="n"/>
      <c r="BI47" s="485" t="n"/>
      <c r="BJ47" s="485" t="n"/>
      <c r="BK47" s="485" t="n"/>
      <c r="BL47" s="485" t="n"/>
      <c r="BM47" s="485" t="n"/>
      <c r="BN47" s="485" t="n"/>
      <c r="BO47" s="485" t="n"/>
      <c r="BP47" s="485" t="n"/>
      <c r="BQ47" s="485" t="n"/>
      <c r="BR47" s="485" t="n"/>
      <c r="BS47" s="485" t="n"/>
      <c r="BT47" s="485" t="n"/>
      <c r="BU47" s="485" t="n"/>
      <c r="BV47" s="485" t="n"/>
      <c r="BW47" s="485" t="n"/>
      <c r="BX47" s="485" t="n"/>
      <c r="BY47" s="485" t="n"/>
      <c r="BZ47" s="485" t="n"/>
      <c r="CA47" s="485" t="n"/>
      <c r="CB47" s="485" t="n"/>
      <c r="CC47" s="485" t="n"/>
      <c r="CD47" s="485" t="n"/>
      <c r="CE47" s="485" t="n"/>
      <c r="CF47" s="485" t="n"/>
      <c r="CG47" s="485" t="n"/>
      <c r="CH47" s="485" t="n"/>
      <c r="CI47" s="485" t="n"/>
      <c r="CJ47" s="485" t="n"/>
      <c r="CK47" s="485" t="n"/>
      <c r="CL47" s="485" t="n"/>
      <c r="CM47" s="485" t="n"/>
      <c r="CN47" s="485" t="n"/>
      <c r="CO47" s="485" t="n"/>
      <c r="CP47" s="485" t="n"/>
      <c r="CQ47" s="485" t="n"/>
      <c r="CR47" s="485" t="n"/>
      <c r="CS47" s="485" t="n"/>
      <c r="CT47" s="485" t="n"/>
    </row>
    <row r="48" ht="15" customFormat="1" customHeight="1" s="381">
      <c r="A48" s="482" t="inlineStr">
        <is>
          <t>5900-1040 Warranty and Other Job Adjustments</t>
        </is>
      </c>
      <c r="C48" s="485" t="n">
        <v>-17660.72</v>
      </c>
      <c r="D48" s="485" t="n">
        <v>-5799</v>
      </c>
      <c r="E48" s="485" t="n">
        <v>-3432.18</v>
      </c>
      <c r="F48" s="485" t="n">
        <v>0</v>
      </c>
      <c r="G48" s="485" t="n">
        <v>-73874.28999999999</v>
      </c>
      <c r="H48" s="485" t="n">
        <v>0</v>
      </c>
      <c r="I48" s="485" t="n"/>
      <c r="J48" s="485" t="n"/>
      <c r="K48" s="485" t="n"/>
      <c r="L48" s="485" t="n"/>
      <c r="M48" s="485" t="n"/>
      <c r="N48" s="485" t="n"/>
      <c r="O48" s="485" t="n"/>
      <c r="P48" s="485" t="n"/>
      <c r="Q48" s="485" t="n"/>
      <c r="R48" s="485" t="n"/>
      <c r="S48" s="485" t="n"/>
      <c r="T48" s="485" t="n"/>
      <c r="U48" s="485" t="n"/>
      <c r="V48" s="485" t="n"/>
      <c r="W48" s="485" t="n"/>
      <c r="X48" s="485" t="n"/>
      <c r="Y48" s="485" t="n"/>
      <c r="Z48" s="485" t="n"/>
      <c r="AA48" s="485" t="n"/>
      <c r="AB48" s="485" t="n"/>
      <c r="AC48" s="485" t="n"/>
      <c r="AD48" s="485" t="n"/>
      <c r="AE48" s="485" t="n"/>
      <c r="AF48" s="485" t="n"/>
      <c r="AG48" s="485" t="n"/>
      <c r="AH48" s="485" t="n"/>
      <c r="AI48" s="485" t="n"/>
      <c r="AJ48" s="485" t="n"/>
      <c r="AK48" s="485" t="n"/>
      <c r="AL48" s="485" t="n"/>
      <c r="AM48" s="485" t="n"/>
      <c r="AN48" s="485" t="n"/>
      <c r="AO48" s="485" t="n"/>
      <c r="AP48" s="485" t="n"/>
      <c r="AQ48" s="485" t="n"/>
      <c r="AR48" s="485" t="n"/>
      <c r="AS48" s="485" t="n"/>
      <c r="AT48" s="485" t="n"/>
      <c r="AU48" s="485" t="n"/>
      <c r="AV48" s="485" t="n"/>
      <c r="AW48" s="485" t="n"/>
      <c r="AX48" s="485" t="n"/>
      <c r="AY48" s="485" t="n"/>
      <c r="AZ48" s="485" t="n"/>
      <c r="BA48" s="485" t="n"/>
      <c r="BB48" s="485" t="n"/>
      <c r="BC48" s="485" t="n"/>
      <c r="BD48" s="485" t="n"/>
      <c r="BE48" s="485" t="n"/>
      <c r="BF48" s="485" t="n"/>
      <c r="BG48" s="485" t="n"/>
      <c r="BH48" s="485" t="n"/>
      <c r="BI48" s="485" t="n"/>
      <c r="BJ48" s="485" t="n"/>
      <c r="BK48" s="485" t="n"/>
      <c r="BL48" s="485" t="n"/>
      <c r="BM48" s="485" t="n"/>
      <c r="BN48" s="485" t="n"/>
      <c r="BO48" s="485" t="n"/>
      <c r="BP48" s="485" t="n"/>
      <c r="BQ48" s="485" t="n"/>
      <c r="BR48" s="485" t="n"/>
      <c r="BS48" s="485" t="n"/>
      <c r="BT48" s="485" t="n"/>
      <c r="BU48" s="485" t="n"/>
      <c r="BV48" s="485" t="n"/>
      <c r="BW48" s="485" t="n"/>
      <c r="BX48" s="485" t="n"/>
      <c r="BY48" s="485" t="n"/>
      <c r="BZ48" s="485" t="n"/>
      <c r="CA48" s="485" t="n"/>
      <c r="CB48" s="485" t="n"/>
      <c r="CC48" s="485" t="n"/>
      <c r="CD48" s="485" t="n"/>
      <c r="CE48" s="485" t="n"/>
      <c r="CF48" s="485" t="n"/>
      <c r="CG48" s="485" t="n"/>
      <c r="CH48" s="485" t="n"/>
      <c r="CI48" s="485" t="n"/>
      <c r="CJ48" s="485" t="n"/>
      <c r="CK48" s="485" t="n"/>
      <c r="CL48" s="485" t="n"/>
      <c r="CM48" s="485" t="n"/>
      <c r="CN48" s="485" t="n"/>
      <c r="CO48" s="485" t="n"/>
      <c r="CP48" s="485" t="n"/>
      <c r="CQ48" s="485" t="n"/>
      <c r="CR48" s="485" t="n"/>
      <c r="CS48" s="485" t="n"/>
      <c r="CT48" s="485" t="n"/>
    </row>
    <row r="49" ht="15" customFormat="1" customHeight="1" s="381">
      <c r="A49" s="482" t="inlineStr">
        <is>
          <t>5900-1075 Miscellaneous Expense</t>
        </is>
      </c>
      <c r="C49" s="481" t="n">
        <v>-1913.91</v>
      </c>
      <c r="D49" s="481" t="n">
        <v>-2254.72</v>
      </c>
      <c r="E49" s="481" t="n">
        <v>-1913.91</v>
      </c>
      <c r="F49" s="481" t="n">
        <v>-1609.91</v>
      </c>
      <c r="G49" s="481" t="n">
        <v>-2760.86</v>
      </c>
      <c r="H49" s="481" t="n">
        <v>0</v>
      </c>
      <c r="I49" s="481" t="n"/>
      <c r="J49" s="481" t="n"/>
      <c r="K49" s="481" t="n"/>
      <c r="L49" s="481" t="n"/>
      <c r="M49" s="481" t="n"/>
      <c r="N49" s="481" t="n"/>
      <c r="O49" s="481" t="n"/>
      <c r="P49" s="481" t="n"/>
      <c r="Q49" s="481" t="n"/>
      <c r="R49" s="481" t="n"/>
      <c r="S49" s="481" t="n"/>
      <c r="T49" s="481" t="n"/>
      <c r="U49" s="481" t="n"/>
      <c r="V49" s="481" t="n"/>
      <c r="W49" s="481" t="n"/>
      <c r="X49" s="481" t="n"/>
      <c r="Y49" s="481" t="n"/>
      <c r="Z49" s="481" t="n"/>
      <c r="AA49" s="481" t="n"/>
      <c r="AB49" s="481" t="n"/>
      <c r="AC49" s="481" t="n"/>
      <c r="AD49" s="481" t="n"/>
      <c r="AE49" s="481" t="n"/>
      <c r="AF49" s="481" t="n"/>
      <c r="AG49" s="481" t="n"/>
      <c r="AH49" s="481" t="n"/>
      <c r="AI49" s="481" t="n"/>
      <c r="AJ49" s="481" t="n"/>
      <c r="AK49" s="481" t="n"/>
      <c r="AL49" s="481" t="n"/>
      <c r="AM49" s="481" t="n"/>
      <c r="AN49" s="481" t="n"/>
      <c r="AO49" s="481" t="n"/>
      <c r="AP49" s="481" t="n"/>
      <c r="AQ49" s="481" t="n"/>
      <c r="AR49" s="481" t="n"/>
      <c r="AS49" s="481" t="n"/>
      <c r="AT49" s="481" t="n"/>
      <c r="AU49" s="481" t="n"/>
      <c r="AV49" s="481" t="n"/>
      <c r="AW49" s="481" t="n"/>
      <c r="AX49" s="481" t="n"/>
      <c r="AY49" s="481" t="n"/>
      <c r="AZ49" s="481" t="n"/>
      <c r="BA49" s="481" t="n"/>
      <c r="BB49" s="481" t="n"/>
      <c r="BC49" s="481" t="n"/>
      <c r="BD49" s="481" t="n"/>
      <c r="BE49" s="481" t="n"/>
      <c r="BF49" s="481" t="n"/>
      <c r="BG49" s="481" t="n"/>
      <c r="BH49" s="481" t="n"/>
      <c r="BI49" s="481" t="n"/>
      <c r="BJ49" s="481" t="n"/>
      <c r="BK49" s="481" t="n"/>
      <c r="BL49" s="481" t="n"/>
      <c r="BM49" s="481" t="n"/>
      <c r="BN49" s="481" t="n"/>
      <c r="BO49" s="481" t="n"/>
      <c r="BP49" s="481" t="n"/>
      <c r="BQ49" s="481" t="n"/>
      <c r="BR49" s="481" t="n"/>
      <c r="BS49" s="481" t="n"/>
      <c r="BT49" s="481" t="n"/>
      <c r="BU49" s="481" t="n"/>
      <c r="BV49" s="481" t="n"/>
      <c r="BW49" s="481" t="n"/>
      <c r="BX49" s="481" t="n"/>
      <c r="BY49" s="481" t="n"/>
      <c r="BZ49" s="481" t="n"/>
      <c r="CA49" s="481" t="n"/>
      <c r="CB49" s="481" t="n"/>
      <c r="CC49" s="481" t="n"/>
      <c r="CD49" s="481" t="n"/>
      <c r="CE49" s="481" t="n"/>
      <c r="CF49" s="481" t="n"/>
      <c r="CG49" s="481" t="n"/>
      <c r="CH49" s="481" t="n"/>
      <c r="CI49" s="481" t="n"/>
      <c r="CJ49" s="481" t="n"/>
      <c r="CK49" s="481" t="n"/>
      <c r="CL49" s="481" t="n"/>
      <c r="CM49" s="481" t="n"/>
      <c r="CN49" s="481" t="n"/>
      <c r="CO49" s="481" t="n"/>
      <c r="CP49" s="481" t="n"/>
      <c r="CQ49" s="481" t="n"/>
      <c r="CR49" s="481" t="n"/>
      <c r="CS49" s="481" t="n"/>
      <c r="CT49" s="481" t="n"/>
    </row>
    <row r="50" ht="15" customFormat="1" customHeight="1" s="381">
      <c r="A50" s="482" t="inlineStr">
        <is>
          <t>5900-1080 Bank Service Charges</t>
        </is>
      </c>
      <c r="C50" s="481" t="n">
        <v>0</v>
      </c>
      <c r="D50" s="481" t="n">
        <v>-75</v>
      </c>
      <c r="E50" s="481" t="n">
        <v>-5</v>
      </c>
      <c r="F50" s="481" t="n">
        <v>0</v>
      </c>
      <c r="G50" s="481" t="n">
        <v>0</v>
      </c>
      <c r="H50" s="481" t="n">
        <v>0</v>
      </c>
      <c r="I50" s="481" t="n"/>
      <c r="J50" s="481" t="n"/>
      <c r="K50" s="481" t="n"/>
      <c r="L50" s="481" t="n"/>
      <c r="M50" s="481" t="n"/>
      <c r="N50" s="481" t="n"/>
      <c r="O50" s="481" t="n"/>
      <c r="P50" s="481" t="n"/>
      <c r="Q50" s="481" t="n"/>
      <c r="R50" s="481" t="n"/>
      <c r="S50" s="481" t="n"/>
      <c r="T50" s="481" t="n"/>
      <c r="U50" s="481" t="n"/>
      <c r="V50" s="481" t="n"/>
      <c r="W50" s="481" t="n"/>
      <c r="X50" s="481" t="n"/>
      <c r="Y50" s="481" t="n"/>
      <c r="Z50" s="481" t="n"/>
      <c r="AA50" s="481" t="n"/>
      <c r="AB50" s="481" t="n"/>
      <c r="AC50" s="481" t="n"/>
      <c r="AD50" s="481" t="n"/>
      <c r="AE50" s="481" t="n"/>
      <c r="AF50" s="481" t="n"/>
      <c r="AG50" s="481" t="n"/>
      <c r="AH50" s="481" t="n"/>
      <c r="AI50" s="481" t="n"/>
      <c r="AJ50" s="481" t="n"/>
      <c r="AK50" s="481" t="n"/>
      <c r="AL50" s="481" t="n"/>
      <c r="AM50" s="481" t="n"/>
      <c r="AN50" s="481" t="n"/>
      <c r="AO50" s="481" t="n"/>
      <c r="AP50" s="481" t="n"/>
      <c r="AQ50" s="481" t="n"/>
      <c r="AR50" s="481" t="n"/>
      <c r="AS50" s="481" t="n"/>
      <c r="AT50" s="481" t="n"/>
      <c r="AU50" s="481" t="n"/>
      <c r="AV50" s="481" t="n"/>
      <c r="AW50" s="481" t="n"/>
      <c r="AX50" s="481" t="n"/>
      <c r="AY50" s="481" t="n"/>
      <c r="AZ50" s="481" t="n"/>
      <c r="BA50" s="481" t="n"/>
      <c r="BB50" s="481" t="n"/>
      <c r="BC50" s="481" t="n"/>
      <c r="BD50" s="481" t="n"/>
      <c r="BE50" s="481" t="n"/>
      <c r="BF50" s="481" t="n"/>
      <c r="BG50" s="481" t="n"/>
      <c r="BH50" s="481" t="n"/>
      <c r="BI50" s="481" t="n"/>
      <c r="BJ50" s="481" t="n"/>
      <c r="BK50" s="481" t="n"/>
      <c r="BL50" s="481" t="n"/>
      <c r="BM50" s="481" t="n"/>
      <c r="BN50" s="481" t="n"/>
      <c r="BO50" s="481" t="n"/>
      <c r="BP50" s="481" t="n"/>
      <c r="BQ50" s="481" t="n"/>
      <c r="BR50" s="481" t="n"/>
      <c r="BS50" s="481" t="n"/>
      <c r="BT50" s="481" t="n"/>
      <c r="BU50" s="481" t="n"/>
      <c r="BV50" s="481" t="n"/>
      <c r="BW50" s="481" t="n"/>
      <c r="BX50" s="481" t="n"/>
      <c r="BY50" s="481" t="n"/>
      <c r="BZ50" s="481" t="n"/>
      <c r="CA50" s="481" t="n"/>
      <c r="CB50" s="481" t="n"/>
      <c r="CC50" s="481" t="n"/>
      <c r="CD50" s="481" t="n"/>
      <c r="CE50" s="481" t="n"/>
      <c r="CF50" s="481" t="n"/>
      <c r="CG50" s="481" t="n"/>
      <c r="CH50" s="481" t="n"/>
      <c r="CI50" s="481" t="n"/>
      <c r="CJ50" s="481" t="n"/>
      <c r="CK50" s="481" t="n"/>
      <c r="CL50" s="481" t="n"/>
      <c r="CM50" s="481" t="n"/>
      <c r="CN50" s="481" t="n"/>
      <c r="CO50" s="481" t="n"/>
      <c r="CP50" s="481" t="n"/>
      <c r="CQ50" s="481" t="n"/>
      <c r="CR50" s="481" t="n"/>
      <c r="CS50" s="481" t="n"/>
      <c r="CT50" s="481" t="n"/>
    </row>
    <row r="51" ht="15" customFormat="1" customHeight="1" s="381">
      <c r="A51" s="482" t="inlineStr">
        <is>
          <t>5900-3000 Charitable Contribution</t>
        </is>
      </c>
      <c r="C51" s="481" t="n">
        <v>0</v>
      </c>
      <c r="D51" s="481" t="n">
        <v>-63</v>
      </c>
      <c r="E51" s="481" t="n">
        <v>0</v>
      </c>
      <c r="F51" s="481" t="n">
        <v>0</v>
      </c>
      <c r="G51" s="481" t="n">
        <v>0</v>
      </c>
      <c r="H51" s="481" t="n">
        <v>0</v>
      </c>
      <c r="I51" s="481" t="n"/>
      <c r="J51" s="481" t="n"/>
      <c r="K51" s="481" t="n"/>
      <c r="L51" s="481" t="n"/>
      <c r="M51" s="481" t="n"/>
      <c r="N51" s="481" t="n"/>
      <c r="O51" s="481" t="n"/>
      <c r="P51" s="481" t="n"/>
      <c r="Q51" s="481" t="n"/>
      <c r="R51" s="481" t="n"/>
      <c r="S51" s="481" t="n"/>
      <c r="T51" s="481" t="n"/>
      <c r="U51" s="481" t="n"/>
      <c r="V51" s="481" t="n"/>
      <c r="W51" s="481" t="n"/>
      <c r="X51" s="481" t="n"/>
      <c r="Y51" s="481" t="n"/>
      <c r="Z51" s="481" t="n"/>
      <c r="AA51" s="481" t="n"/>
      <c r="AB51" s="481" t="n"/>
      <c r="AC51" s="481" t="n"/>
      <c r="AD51" s="481" t="n"/>
      <c r="AE51" s="481" t="n"/>
      <c r="AF51" s="481" t="n"/>
      <c r="AG51" s="481" t="n"/>
      <c r="AH51" s="481" t="n"/>
      <c r="AI51" s="481" t="n"/>
      <c r="AJ51" s="481" t="n"/>
      <c r="AK51" s="481" t="n"/>
      <c r="AL51" s="481" t="n"/>
      <c r="AM51" s="481" t="n"/>
      <c r="AN51" s="481" t="n"/>
      <c r="AO51" s="481" t="n"/>
      <c r="AP51" s="481" t="n"/>
      <c r="AQ51" s="481" t="n"/>
      <c r="AR51" s="481" t="n"/>
      <c r="AS51" s="481" t="n"/>
      <c r="AT51" s="481" t="n"/>
      <c r="AU51" s="481" t="n"/>
      <c r="AV51" s="481" t="n"/>
      <c r="AW51" s="481" t="n"/>
      <c r="AX51" s="481" t="n"/>
      <c r="AY51" s="481" t="n"/>
      <c r="AZ51" s="481" t="n"/>
      <c r="BA51" s="481" t="n"/>
      <c r="BB51" s="481" t="n"/>
      <c r="BC51" s="481" t="n"/>
      <c r="BD51" s="481" t="n"/>
      <c r="BE51" s="481" t="n"/>
      <c r="BF51" s="481" t="n"/>
      <c r="BG51" s="481" t="n"/>
      <c r="BH51" s="481" t="n"/>
      <c r="BI51" s="481" t="n"/>
      <c r="BJ51" s="481" t="n"/>
      <c r="BK51" s="481" t="n"/>
      <c r="BL51" s="481" t="n"/>
      <c r="BM51" s="481" t="n"/>
      <c r="BN51" s="481" t="n"/>
      <c r="BO51" s="481" t="n"/>
      <c r="BP51" s="481" t="n"/>
      <c r="BQ51" s="481" t="n"/>
      <c r="BR51" s="481" t="n"/>
      <c r="BS51" s="481" t="n"/>
      <c r="BT51" s="481" t="n"/>
      <c r="BU51" s="481" t="n"/>
      <c r="BV51" s="481" t="n"/>
      <c r="BW51" s="481" t="n"/>
      <c r="BX51" s="481" t="n"/>
      <c r="BY51" s="481" t="n"/>
      <c r="BZ51" s="481" t="n"/>
      <c r="CA51" s="481" t="n"/>
      <c r="CB51" s="481" t="n"/>
      <c r="CC51" s="481" t="n"/>
      <c r="CD51" s="481" t="n"/>
      <c r="CE51" s="481" t="n"/>
      <c r="CF51" s="481" t="n"/>
      <c r="CG51" s="481" t="n"/>
      <c r="CH51" s="481" t="n"/>
      <c r="CI51" s="481" t="n"/>
      <c r="CJ51" s="481" t="n"/>
      <c r="CK51" s="481" t="n"/>
      <c r="CL51" s="481" t="n"/>
      <c r="CM51" s="481" t="n"/>
      <c r="CN51" s="481" t="n"/>
      <c r="CO51" s="481" t="n"/>
      <c r="CP51" s="481" t="n"/>
      <c r="CQ51" s="481" t="n"/>
      <c r="CR51" s="481" t="n"/>
      <c r="CS51" s="481" t="n"/>
      <c r="CT51" s="481" t="n"/>
    </row>
    <row r="52" ht="18" customFormat="1" customHeight="1" s="381">
      <c r="A52" s="452" t="inlineStr">
        <is>
          <t>BD Commission</t>
        </is>
      </c>
      <c r="B52" s="486" t="n"/>
      <c r="C52" s="487" t="n"/>
      <c r="D52" s="487" t="n"/>
      <c r="E52" s="487" t="n"/>
      <c r="F52" s="487" t="n"/>
      <c r="G52" s="487" t="n"/>
      <c r="H52" s="487" t="n"/>
      <c r="I52" s="487" t="n"/>
      <c r="J52" s="487" t="n"/>
      <c r="K52" s="487" t="n"/>
      <c r="L52" s="487" t="n"/>
      <c r="M52" s="487" t="n"/>
      <c r="N52" s="487" t="n"/>
      <c r="O52" s="487" t="n"/>
      <c r="P52" s="487" t="n"/>
      <c r="Q52" s="487" t="n"/>
      <c r="R52" s="487" t="n"/>
      <c r="S52" s="487" t="n"/>
      <c r="T52" s="487" t="n"/>
      <c r="U52" s="487" t="n"/>
      <c r="V52" s="487" t="n"/>
      <c r="W52" s="487" t="n"/>
      <c r="X52" s="487" t="n"/>
      <c r="Y52" s="487" t="n"/>
      <c r="Z52" s="487" t="n"/>
      <c r="AA52" s="487" t="n"/>
      <c r="AB52" s="487" t="n"/>
      <c r="AC52" s="487" t="n"/>
      <c r="AD52" s="487" t="n"/>
      <c r="AE52" s="487" t="n"/>
      <c r="AF52" s="487" t="n"/>
      <c r="AG52" s="487" t="n"/>
      <c r="AH52" s="487" t="n"/>
      <c r="AI52" s="487" t="n"/>
      <c r="AJ52" s="487" t="n"/>
      <c r="AK52" s="487" t="n"/>
      <c r="AL52" s="487" t="n"/>
      <c r="AM52" s="487" t="n"/>
      <c r="AN52" s="487" t="n"/>
      <c r="AO52" s="487" t="n"/>
      <c r="AP52" s="487" t="n"/>
      <c r="AQ52" s="487" t="n"/>
      <c r="AR52" s="487" t="n"/>
      <c r="AS52" s="487" t="n"/>
      <c r="AT52" s="487" t="n"/>
      <c r="AU52" s="487" t="n"/>
      <c r="AV52" s="487" t="n"/>
      <c r="AW52" s="487" t="n"/>
      <c r="AX52" s="487" t="n"/>
      <c r="AY52" s="487" t="n"/>
      <c r="AZ52" s="487" t="n"/>
      <c r="BA52" s="487" t="n"/>
      <c r="BB52" s="487" t="n"/>
      <c r="BC52" s="487" t="n"/>
      <c r="BD52" s="487" t="n"/>
      <c r="BE52" s="487" t="n"/>
      <c r="BF52" s="487" t="n"/>
      <c r="BG52" s="487" t="n"/>
      <c r="BH52" s="487" t="n"/>
      <c r="BI52" s="487" t="n"/>
      <c r="BJ52" s="487" t="n"/>
      <c r="BK52" s="487" t="n"/>
      <c r="BL52" s="487" t="n"/>
      <c r="BM52" s="487" t="n"/>
      <c r="BN52" s="487" t="n"/>
      <c r="BO52" s="487" t="n"/>
      <c r="BP52" s="487" t="n"/>
      <c r="BQ52" s="487" t="n"/>
      <c r="BR52" s="487" t="n"/>
      <c r="BS52" s="487" t="n"/>
      <c r="BT52" s="487" t="n"/>
      <c r="BU52" s="487" t="n"/>
      <c r="BV52" s="487" t="n"/>
      <c r="BW52" s="487" t="n"/>
      <c r="BX52" s="487" t="n"/>
      <c r="BY52" s="487" t="n"/>
      <c r="BZ52" s="487" t="n"/>
      <c r="CA52" s="487" t="n"/>
      <c r="CB52" s="487" t="n"/>
      <c r="CC52" s="487" t="n"/>
      <c r="CD52" s="487" t="n"/>
      <c r="CE52" s="487" t="n"/>
      <c r="CF52" s="487" t="n"/>
      <c r="CG52" s="487" t="n"/>
      <c r="CH52" s="487" t="n"/>
      <c r="CI52" s="487" t="n"/>
      <c r="CJ52" s="487" t="n"/>
      <c r="CK52" s="487" t="n"/>
      <c r="CL52" s="487" t="n"/>
      <c r="CM52" s="487" t="n"/>
      <c r="CN52" s="487" t="n"/>
      <c r="CO52" s="487" t="n"/>
      <c r="CP52" s="487" t="n"/>
      <c r="CQ52" s="487" t="n"/>
      <c r="CR52" s="487" t="n"/>
      <c r="CS52" s="487" t="n"/>
      <c r="CT52" s="487" t="n"/>
    </row>
    <row r="53" ht="15" customFormat="1" customHeight="1" s="381">
      <c r="A53" s="488" t="inlineStr">
        <is>
          <t>8200-2000 State Tax and Fees</t>
        </is>
      </c>
      <c r="C53" s="481" t="n">
        <v>0</v>
      </c>
      <c r="D53" s="481" t="n">
        <v>0</v>
      </c>
      <c r="E53" s="481" t="n">
        <v>-11105.35</v>
      </c>
      <c r="F53" s="481" t="n">
        <v>0</v>
      </c>
      <c r="G53" s="481" t="n">
        <v>0</v>
      </c>
      <c r="H53" s="481" t="n">
        <v>0</v>
      </c>
      <c r="I53" s="481" t="n"/>
      <c r="J53" s="481" t="n"/>
      <c r="K53" s="481" t="n"/>
      <c r="L53" s="481" t="n"/>
      <c r="M53" s="481" t="n"/>
      <c r="N53" s="481" t="n"/>
      <c r="O53" s="481" t="n"/>
      <c r="P53" s="481" t="n"/>
      <c r="Q53" s="481" t="n"/>
      <c r="R53" s="481" t="n"/>
      <c r="S53" s="481" t="n"/>
      <c r="T53" s="481" t="n"/>
      <c r="U53" s="481" t="n"/>
      <c r="V53" s="481" t="n"/>
      <c r="W53" s="481" t="n"/>
      <c r="X53" s="481" t="n"/>
      <c r="Y53" s="481" t="n"/>
      <c r="Z53" s="481" t="n"/>
      <c r="AA53" s="481" t="n"/>
      <c r="AB53" s="481" t="n"/>
      <c r="AC53" s="481" t="n"/>
      <c r="AD53" s="481" t="n"/>
      <c r="AE53" s="481" t="n"/>
      <c r="AF53" s="481" t="n"/>
      <c r="AG53" s="481" t="n"/>
      <c r="AH53" s="481" t="n"/>
      <c r="AI53" s="481" t="n"/>
      <c r="AJ53" s="481" t="n"/>
      <c r="AK53" s="481" t="n"/>
      <c r="AL53" s="481" t="n"/>
      <c r="AM53" s="481" t="n"/>
      <c r="AN53" s="481" t="n"/>
      <c r="AO53" s="481" t="n"/>
      <c r="AP53" s="481" t="n"/>
      <c r="AQ53" s="481" t="n"/>
      <c r="AR53" s="481" t="n"/>
      <c r="AS53" s="481" t="n"/>
      <c r="AT53" s="481" t="n"/>
      <c r="AU53" s="481" t="n"/>
      <c r="AV53" s="481" t="n"/>
      <c r="AW53" s="481" t="n"/>
      <c r="AX53" s="481" t="n"/>
      <c r="AY53" s="481" t="n"/>
      <c r="AZ53" s="481" t="n"/>
      <c r="BA53" s="481" t="n"/>
      <c r="BB53" s="481" t="n"/>
      <c r="BC53" s="481" t="n"/>
      <c r="BD53" s="481" t="n"/>
      <c r="BE53" s="481" t="n"/>
      <c r="BF53" s="481" t="n"/>
      <c r="BG53" s="481" t="n"/>
      <c r="BH53" s="481" t="n"/>
      <c r="BI53" s="481" t="n"/>
      <c r="BJ53" s="481" t="n"/>
      <c r="BK53" s="481" t="n"/>
      <c r="BL53" s="481" t="n"/>
      <c r="BM53" s="481" t="n"/>
      <c r="BN53" s="481" t="n"/>
      <c r="BO53" s="481" t="n"/>
      <c r="BP53" s="481" t="n"/>
      <c r="BQ53" s="481" t="n"/>
      <c r="BR53" s="481" t="n"/>
      <c r="BS53" s="481" t="n"/>
      <c r="BT53" s="481" t="n"/>
      <c r="BU53" s="481" t="n"/>
      <c r="BV53" s="481" t="n"/>
      <c r="BW53" s="481" t="n"/>
      <c r="BX53" s="481" t="n"/>
      <c r="BY53" s="481" t="n"/>
      <c r="BZ53" s="481" t="n"/>
      <c r="CA53" s="481" t="n"/>
      <c r="CB53" s="481" t="n"/>
      <c r="CC53" s="481" t="n"/>
      <c r="CD53" s="481" t="n"/>
      <c r="CE53" s="481" t="n"/>
      <c r="CF53" s="481" t="n"/>
      <c r="CG53" s="481" t="n"/>
      <c r="CH53" s="481" t="n"/>
      <c r="CI53" s="481" t="n"/>
      <c r="CJ53" s="481" t="n"/>
      <c r="CK53" s="481" t="n"/>
      <c r="CL53" s="481" t="n"/>
      <c r="CM53" s="481" t="n"/>
      <c r="CN53" s="481" t="n"/>
      <c r="CO53" s="481" t="n"/>
      <c r="CP53" s="481" t="n"/>
      <c r="CQ53" s="481" t="n"/>
      <c r="CR53" s="481" t="n"/>
      <c r="CS53" s="481" t="n"/>
      <c r="CT53" s="481" t="n"/>
    </row>
    <row r="54" ht="15" customFormat="1" customHeight="1" s="381">
      <c r="A54" s="488" t="inlineStr">
        <is>
          <t>Equip. Rental + D&amp;A (P&amp;L true-up)</t>
        </is>
      </c>
      <c r="C54" s="481" t="n"/>
      <c r="D54" s="481" t="n"/>
      <c r="E54" s="481" t="n"/>
      <c r="F54" s="481" t="n"/>
      <c r="G54" s="481" t="n"/>
      <c r="H54" s="481" t="n">
        <v>-612.6799999999999</v>
      </c>
      <c r="I54" s="481" t="n"/>
      <c r="J54" s="481" t="n"/>
      <c r="K54" s="481" t="n"/>
      <c r="L54" s="481" t="n"/>
      <c r="M54" s="481" t="n"/>
      <c r="N54" s="481" t="n"/>
      <c r="O54" s="481" t="n"/>
      <c r="P54" s="481" t="n"/>
      <c r="Q54" s="481" t="n"/>
      <c r="R54" s="481" t="n"/>
      <c r="S54" s="481" t="n"/>
      <c r="T54" s="481" t="n"/>
      <c r="U54" s="481" t="n"/>
      <c r="V54" s="481" t="n"/>
      <c r="W54" s="481" t="n"/>
      <c r="X54" s="481" t="n"/>
      <c r="Y54" s="481" t="n"/>
      <c r="Z54" s="481" t="n"/>
      <c r="AA54" s="481" t="n"/>
      <c r="AB54" s="481" t="n"/>
      <c r="AC54" s="481" t="n"/>
      <c r="AD54" s="481" t="n"/>
      <c r="AE54" s="481" t="n"/>
      <c r="AF54" s="481" t="n"/>
      <c r="AG54" s="481" t="n"/>
      <c r="AH54" s="481" t="n"/>
      <c r="AI54" s="481" t="n"/>
      <c r="AJ54" s="481" t="n"/>
      <c r="AK54" s="481" t="n"/>
      <c r="AL54" s="481" t="n"/>
      <c r="AM54" s="481" t="n"/>
      <c r="AN54" s="481" t="n"/>
      <c r="AO54" s="481" t="n"/>
      <c r="AP54" s="481" t="n"/>
      <c r="AQ54" s="481" t="n"/>
      <c r="AR54" s="481" t="n"/>
      <c r="AS54" s="481" t="n"/>
      <c r="AT54" s="481" t="n"/>
      <c r="AU54" s="481" t="n"/>
      <c r="AV54" s="481" t="n"/>
      <c r="AW54" s="481" t="n"/>
      <c r="AX54" s="481" t="n"/>
      <c r="AY54" s="481" t="n"/>
      <c r="AZ54" s="481" t="n"/>
      <c r="BA54" s="481" t="n"/>
      <c r="BB54" s="481" t="n"/>
      <c r="BC54" s="481" t="n"/>
      <c r="BD54" s="481" t="n"/>
      <c r="BE54" s="481" t="n"/>
      <c r="BF54" s="481" t="n"/>
      <c r="BG54" s="481" t="n"/>
      <c r="BH54" s="481" t="n"/>
      <c r="BI54" s="481" t="n"/>
      <c r="BJ54" s="481" t="n"/>
      <c r="BK54" s="481" t="n"/>
      <c r="BL54" s="481" t="n"/>
      <c r="BM54" s="481" t="n"/>
      <c r="BN54" s="481" t="n"/>
      <c r="BO54" s="481" t="n"/>
      <c r="BP54" s="481" t="n"/>
      <c r="BQ54" s="481" t="n"/>
      <c r="BR54" s="481" t="n"/>
      <c r="BS54" s="481" t="n"/>
      <c r="BT54" s="481" t="n"/>
      <c r="BU54" s="481" t="n"/>
      <c r="BV54" s="481" t="n"/>
      <c r="BW54" s="481" t="n"/>
      <c r="BX54" s="481" t="n"/>
      <c r="BY54" s="481" t="n"/>
      <c r="BZ54" s="481" t="n"/>
      <c r="CA54" s="481" t="n"/>
      <c r="CB54" s="481" t="n"/>
      <c r="CC54" s="481" t="n"/>
      <c r="CD54" s="481" t="n"/>
      <c r="CE54" s="481" t="n"/>
      <c r="CF54" s="481" t="n"/>
      <c r="CG54" s="481" t="n"/>
      <c r="CH54" s="481" t="n"/>
      <c r="CI54" s="481" t="n"/>
      <c r="CJ54" s="481" t="n"/>
      <c r="CK54" s="481" t="n"/>
      <c r="CL54" s="481" t="n"/>
      <c r="CM54" s="481" t="n"/>
      <c r="CN54" s="481" t="n"/>
      <c r="CO54" s="481" t="n"/>
      <c r="CP54" s="481" t="n"/>
      <c r="CQ54" s="481" t="n"/>
      <c r="CR54" s="481" t="n"/>
      <c r="CS54" s="481" t="n"/>
      <c r="CT54" s="481" t="n"/>
    </row>
    <row r="55" ht="15" customFormat="1" customHeight="1" s="381">
      <c r="A55" s="477" t="inlineStr">
        <is>
          <t>Total GC Costs</t>
        </is>
      </c>
      <c r="C55" s="489">
        <f>SUM(C20:C54)</f>
        <v>-260601.5</v>
      </c>
      <c r="D55" s="489">
        <f>SUM(D20:D54)</f>
        <v>-260308.54</v>
      </c>
      <c r="E55" s="489">
        <f>SUM(E20:E54)</f>
        <v>-351937.74</v>
      </c>
      <c r="F55" s="489">
        <f>SUM(F20:F54)</f>
        <v>-73431.56</v>
      </c>
      <c r="G55" s="489">
        <f>SUM(G20:G54)</f>
        <v>-437914.85</v>
      </c>
      <c r="H55" s="489">
        <f>SUM(H20:H54)</f>
        <v>-323453.89</v>
      </c>
      <c r="I55" s="489">
        <f>SUM(I20:I54)</f>
        <v>0</v>
      </c>
      <c r="J55" s="489">
        <f>SUM(J20:J54)</f>
        <v>0</v>
      </c>
      <c r="K55" s="489">
        <f>SUM(K20:K54)</f>
        <v>0</v>
      </c>
      <c r="L55" s="489">
        <f>SUM(L20:L54)</f>
        <v>0</v>
      </c>
      <c r="M55" s="489">
        <f>SUM(M20:M54)</f>
        <v>0</v>
      </c>
      <c r="N55" s="489">
        <f>SUM(N20:N54)</f>
        <v>0</v>
      </c>
      <c r="O55" s="489">
        <f>SUM(O20:O54)</f>
        <v>0</v>
      </c>
      <c r="P55" s="489">
        <f>SUM(P20:P54)</f>
        <v>0</v>
      </c>
      <c r="Q55" s="489">
        <f>SUM(Q20:Q54)</f>
        <v>0</v>
      </c>
      <c r="R55" s="489">
        <f>SUM(R20:R54)</f>
        <v>0</v>
      </c>
      <c r="S55" s="489">
        <f>SUM(S20:S54)</f>
        <v>0</v>
      </c>
      <c r="T55" s="489">
        <f>SUM(T20:T54)</f>
        <v>0</v>
      </c>
      <c r="U55" s="489">
        <f>SUM(U20:U54)</f>
        <v>0</v>
      </c>
      <c r="V55" s="489">
        <f>SUM(V20:V54)</f>
        <v>0</v>
      </c>
      <c r="W55" s="489">
        <f>SUM(W20:W54)</f>
        <v>0</v>
      </c>
      <c r="X55" s="489">
        <f>SUM(X20:X54)</f>
        <v>0</v>
      </c>
      <c r="Y55" s="489">
        <f>SUM(Y20:Y54)</f>
        <v>0</v>
      </c>
      <c r="Z55" s="489">
        <f>SUM(Z20:Z54)</f>
        <v>0</v>
      </c>
      <c r="AA55" s="489">
        <f>SUM(AA20:AA54)</f>
        <v>0</v>
      </c>
      <c r="AB55" s="489">
        <f>SUM(AB20:AB54)</f>
        <v>0</v>
      </c>
      <c r="AC55" s="489">
        <f>SUM(AC20:AC54)</f>
        <v>0</v>
      </c>
      <c r="AD55" s="489">
        <f>SUM(AD20:AD54)</f>
        <v>0</v>
      </c>
      <c r="AE55" s="489">
        <f>SUM(AE20:AE54)</f>
        <v>0</v>
      </c>
      <c r="AF55" s="489">
        <f>SUM(AF20:AF54)</f>
        <v>0</v>
      </c>
      <c r="AG55" s="489">
        <f>SUM(AG20:AG54)</f>
        <v>0</v>
      </c>
      <c r="AH55" s="489">
        <f>SUM(AH20:AH54)</f>
        <v>0</v>
      </c>
      <c r="AI55" s="489">
        <f>SUM(AI20:AI54)</f>
        <v>0</v>
      </c>
      <c r="AJ55" s="489">
        <f>SUM(AJ20:AJ54)</f>
        <v>0</v>
      </c>
      <c r="AK55" s="489">
        <f>SUM(AK20:AK54)</f>
        <v>0</v>
      </c>
      <c r="AL55" s="489">
        <f>SUM(AL20:AL54)</f>
        <v>0</v>
      </c>
      <c r="AM55" s="489">
        <f>SUM(AM20:AM54)</f>
        <v>0</v>
      </c>
      <c r="AN55" s="489">
        <f>SUM(AN20:AN54)</f>
        <v>0</v>
      </c>
      <c r="AO55" s="489">
        <f>SUM(AO20:AO54)</f>
        <v>0</v>
      </c>
      <c r="AP55" s="489">
        <f>SUM(AP20:AP54)</f>
        <v>0</v>
      </c>
      <c r="AQ55" s="489">
        <f>SUM(AQ20:AQ54)</f>
        <v>0</v>
      </c>
      <c r="AR55" s="489">
        <f>SUM(AR20:AR54)</f>
        <v>0</v>
      </c>
      <c r="AS55" s="489">
        <f>SUM(AS20:AS54)</f>
        <v>0</v>
      </c>
      <c r="AT55" s="489">
        <f>SUM(AT20:AT54)</f>
        <v>0</v>
      </c>
      <c r="AU55" s="489">
        <f>SUM(AU20:AU54)</f>
        <v>0</v>
      </c>
      <c r="AV55" s="489">
        <f>SUM(AV20:AV54)</f>
        <v>0</v>
      </c>
      <c r="AW55" s="489">
        <f>SUM(AW20:AW54)</f>
        <v>0</v>
      </c>
      <c r="AX55" s="489">
        <f>SUM(AX20:AX54)</f>
        <v>0</v>
      </c>
      <c r="AY55" s="489">
        <f>SUM(AY20:AY54)</f>
        <v>0</v>
      </c>
      <c r="AZ55" s="489">
        <f>SUM(AZ20:AZ54)</f>
        <v>0</v>
      </c>
      <c r="BA55" s="489">
        <f>SUM(BA20:BA54)</f>
        <v>0</v>
      </c>
      <c r="BB55" s="489">
        <f>SUM(BB20:BB54)</f>
        <v>0</v>
      </c>
      <c r="BC55" s="489">
        <f>SUM(BC20:BC54)</f>
        <v>0</v>
      </c>
      <c r="BD55" s="489">
        <f>SUM(BD20:BD54)</f>
        <v>0</v>
      </c>
      <c r="BE55" s="489">
        <f>SUM(BE20:BE54)</f>
        <v>0</v>
      </c>
      <c r="BF55" s="489">
        <f>SUM(BF20:BF54)</f>
        <v>0</v>
      </c>
      <c r="BG55" s="489">
        <f>SUM(BG20:BG54)</f>
        <v>0</v>
      </c>
      <c r="BH55" s="489">
        <f>SUM(BH20:BH54)</f>
        <v>0</v>
      </c>
      <c r="BI55" s="489">
        <f>SUM(BI20:BI54)</f>
        <v>0</v>
      </c>
      <c r="BJ55" s="489">
        <f>SUM(BJ20:BJ54)</f>
        <v>0</v>
      </c>
      <c r="BK55" s="489">
        <f>SUM(BK20:BK54)</f>
        <v>0</v>
      </c>
      <c r="BL55" s="489">
        <f>SUM(BL20:BL54)</f>
        <v>0</v>
      </c>
      <c r="BM55" s="489">
        <f>SUM(BM20:BM54)</f>
        <v>0</v>
      </c>
      <c r="BN55" s="489">
        <f>SUM(BN20:BN54)</f>
        <v>0</v>
      </c>
      <c r="BO55" s="489">
        <f>SUM(BO20:BO54)</f>
        <v>0</v>
      </c>
      <c r="BP55" s="489">
        <f>SUM(BP20:BP54)</f>
        <v>0</v>
      </c>
      <c r="BQ55" s="489">
        <f>SUM(BQ20:BQ54)</f>
        <v>0</v>
      </c>
      <c r="BR55" s="489">
        <f>SUM(BR20:BR54)</f>
        <v>0</v>
      </c>
      <c r="BS55" s="489">
        <f>SUM(BS20:BS54)</f>
        <v>0</v>
      </c>
      <c r="BT55" s="489">
        <f>SUM(BT20:BT54)</f>
        <v>0</v>
      </c>
      <c r="BU55" s="489">
        <f>SUM(BU20:BU54)</f>
        <v>0</v>
      </c>
      <c r="BV55" s="489">
        <f>SUM(BV20:BV54)</f>
        <v>0</v>
      </c>
      <c r="BW55" s="489">
        <f>SUM(BW20:BW54)</f>
        <v>0</v>
      </c>
      <c r="BX55" s="489">
        <f>SUM(BX20:BX54)</f>
        <v>0</v>
      </c>
      <c r="BY55" s="489">
        <f>SUM(BY20:BY54)</f>
        <v>0</v>
      </c>
      <c r="BZ55" s="489">
        <f>SUM(BZ20:BZ54)</f>
        <v>0</v>
      </c>
      <c r="CA55" s="489">
        <f>SUM(CA20:CA54)</f>
        <v>0</v>
      </c>
      <c r="CB55" s="489">
        <f>SUM(CB20:CB54)</f>
        <v>0</v>
      </c>
      <c r="CC55" s="489">
        <f>SUM(CC20:CC54)</f>
        <v>0</v>
      </c>
      <c r="CD55" s="489">
        <f>SUM(CD20:CD54)</f>
        <v>0</v>
      </c>
      <c r="CE55" s="489">
        <f>SUM(CE20:CE54)</f>
        <v>0</v>
      </c>
      <c r="CF55" s="489">
        <f>SUM(CF20:CF54)</f>
        <v>0</v>
      </c>
      <c r="CG55" s="489">
        <f>SUM(CG20:CG54)</f>
        <v>0</v>
      </c>
      <c r="CH55" s="489">
        <f>SUM(CH20:CH54)</f>
        <v>0</v>
      </c>
      <c r="CI55" s="489">
        <f>SUM(CI20:CI54)</f>
        <v>0</v>
      </c>
      <c r="CJ55" s="489">
        <f>SUM(CJ20:CJ54)</f>
        <v>0</v>
      </c>
      <c r="CK55" s="489">
        <f>SUM(CK20:CK54)</f>
        <v>0</v>
      </c>
      <c r="CL55" s="489">
        <f>SUM(CL20:CL54)</f>
        <v>0</v>
      </c>
      <c r="CM55" s="489">
        <f>SUM(CM20:CM54)</f>
        <v>0</v>
      </c>
      <c r="CN55" s="489">
        <f>SUM(CN20:CN54)</f>
        <v>0</v>
      </c>
      <c r="CO55" s="489">
        <f>SUM(CO20:CO54)</f>
        <v>0</v>
      </c>
      <c r="CP55" s="489">
        <f>SUM(CP20:CP54)</f>
        <v>0</v>
      </c>
      <c r="CQ55" s="489">
        <f>SUM(CQ20:CQ54)</f>
        <v>0</v>
      </c>
      <c r="CR55" s="489">
        <f>SUM(CR20:CR54)</f>
        <v>0</v>
      </c>
      <c r="CS55" s="489">
        <f>SUM(CS20:CS54)</f>
        <v>0</v>
      </c>
      <c r="CT55" s="489">
        <f>SUM(CT20:CT54)</f>
        <v>0</v>
      </c>
    </row>
    <row r="56" ht="15" customFormat="1" customHeight="1" s="381">
      <c r="A56" s="480" t="n"/>
      <c r="C56" s="481" t="n"/>
      <c r="D56" s="481" t="n"/>
      <c r="E56" s="481" t="n"/>
      <c r="F56" s="481" t="n"/>
      <c r="G56" s="481" t="n"/>
      <c r="H56" s="481" t="n"/>
      <c r="I56" s="481" t="n"/>
      <c r="J56" s="481" t="n"/>
      <c r="K56" s="481" t="n"/>
      <c r="L56" s="481" t="n"/>
      <c r="M56" s="481" t="n"/>
      <c r="N56" s="481" t="n"/>
      <c r="O56" s="481" t="n"/>
      <c r="P56" s="481" t="n"/>
      <c r="Q56" s="481" t="n"/>
      <c r="R56" s="481" t="n"/>
      <c r="S56" s="481" t="n"/>
      <c r="T56" s="481" t="n"/>
      <c r="U56" s="481" t="n"/>
      <c r="V56" s="481" t="n"/>
      <c r="W56" s="481" t="n"/>
      <c r="X56" s="481" t="n"/>
      <c r="Y56" s="481" t="n"/>
      <c r="Z56" s="481" t="n"/>
      <c r="AA56" s="481" t="n"/>
      <c r="AB56" s="481" t="n"/>
      <c r="AC56" s="481" t="n"/>
      <c r="AD56" s="481" t="n"/>
      <c r="AE56" s="481" t="n"/>
      <c r="AF56" s="481" t="n"/>
      <c r="AG56" s="481" t="n"/>
      <c r="AH56" s="481" t="n"/>
      <c r="AI56" s="481" t="n"/>
      <c r="AJ56" s="481" t="n"/>
      <c r="AK56" s="481" t="n"/>
      <c r="AL56" s="481" t="n"/>
      <c r="AM56" s="481" t="n"/>
      <c r="AN56" s="481" t="n"/>
      <c r="AO56" s="481" t="n"/>
      <c r="AP56" s="481" t="n"/>
      <c r="AQ56" s="481" t="n"/>
      <c r="AR56" s="481" t="n"/>
      <c r="AS56" s="481" t="n"/>
      <c r="AT56" s="481" t="n"/>
      <c r="AU56" s="481" t="n"/>
      <c r="AV56" s="481" t="n"/>
      <c r="AW56" s="481" t="n"/>
      <c r="AX56" s="481" t="n"/>
      <c r="AY56" s="481" t="n"/>
      <c r="AZ56" s="481" t="n"/>
      <c r="BA56" s="481" t="n"/>
      <c r="BB56" s="481" t="n"/>
      <c r="BC56" s="481" t="n"/>
      <c r="BD56" s="481" t="n"/>
      <c r="BE56" s="481" t="n"/>
      <c r="BF56" s="481" t="n"/>
      <c r="BG56" s="481" t="n"/>
      <c r="BH56" s="481" t="n"/>
      <c r="BI56" s="481" t="n"/>
      <c r="BJ56" s="481" t="n"/>
      <c r="BK56" s="481" t="n"/>
      <c r="BL56" s="481" t="n"/>
      <c r="BM56" s="481" t="n"/>
      <c r="BN56" s="481" t="n"/>
      <c r="BO56" s="481" t="n"/>
      <c r="BP56" s="481" t="n"/>
      <c r="BQ56" s="481" t="n"/>
      <c r="BR56" s="481" t="n"/>
      <c r="BS56" s="481" t="n"/>
      <c r="BT56" s="481" t="n"/>
      <c r="BU56" s="481" t="n"/>
      <c r="BV56" s="481" t="n"/>
      <c r="BW56" s="481" t="n"/>
      <c r="BX56" s="481" t="n"/>
      <c r="BY56" s="481" t="n"/>
      <c r="BZ56" s="481" t="n"/>
      <c r="CA56" s="481" t="n"/>
      <c r="CB56" s="481" t="n"/>
      <c r="CC56" s="481" t="n"/>
      <c r="CD56" s="481" t="n"/>
      <c r="CE56" s="481" t="n"/>
      <c r="CF56" s="481" t="n"/>
      <c r="CG56" s="481" t="n"/>
      <c r="CH56" s="481" t="n"/>
      <c r="CI56" s="481" t="n"/>
      <c r="CJ56" s="481" t="n"/>
      <c r="CK56" s="481" t="n"/>
      <c r="CL56" s="481" t="n"/>
      <c r="CM56" s="481" t="n"/>
      <c r="CN56" s="481" t="n"/>
      <c r="CO56" s="481" t="n"/>
      <c r="CP56" s="481" t="n"/>
      <c r="CQ56" s="481" t="n"/>
      <c r="CR56" s="481" t="n"/>
      <c r="CS56" s="481" t="n"/>
      <c r="CT56" s="481" t="n"/>
    </row>
    <row r="57" ht="15" customFormat="1" customHeight="1" s="381">
      <c r="A57" s="452" t="inlineStr">
        <is>
          <t>GC Net Income</t>
        </is>
      </c>
      <c r="C57" s="490">
        <f>C17+C55</f>
        <v>-41844.6399999999</v>
      </c>
      <c r="D57" s="490">
        <f>D17+D55</f>
        <v>-311309.31</v>
      </c>
      <c r="E57" s="490">
        <f>E17+E55</f>
        <v>242246.78</v>
      </c>
      <c r="F57" s="490">
        <f>F17+F55</f>
        <v>373926.69</v>
      </c>
      <c r="G57" s="490">
        <f>G17+G55</f>
        <v>27621.8499999997</v>
      </c>
      <c r="H57" s="490">
        <f>H17+H55</f>
        <v>317897.240000001</v>
      </c>
      <c r="I57" s="490">
        <f>I17+I55</f>
        <v>0</v>
      </c>
      <c r="J57" s="490">
        <f>J17+J55</f>
        <v>0</v>
      </c>
      <c r="K57" s="490">
        <f>K17+K55</f>
        <v>0</v>
      </c>
      <c r="L57" s="490">
        <f>L17+L55</f>
        <v>0</v>
      </c>
      <c r="M57" s="490">
        <f>M17+M55</f>
        <v>0</v>
      </c>
      <c r="N57" s="490">
        <f>N17+N55</f>
        <v>0</v>
      </c>
      <c r="O57" s="490">
        <f>O17+O55</f>
        <v>0</v>
      </c>
      <c r="P57" s="490">
        <f>P17+P55</f>
        <v>0</v>
      </c>
      <c r="Q57" s="490">
        <f>Q17+Q55</f>
        <v>0</v>
      </c>
      <c r="R57" s="490">
        <f>R17+R55</f>
        <v>0</v>
      </c>
      <c r="S57" s="490">
        <f>S17+S55</f>
        <v>0</v>
      </c>
      <c r="T57" s="490">
        <f>T17+T55</f>
        <v>0</v>
      </c>
      <c r="U57" s="490">
        <f>U17+U55</f>
        <v>0</v>
      </c>
      <c r="V57" s="490">
        <f>V17+V55</f>
        <v>0</v>
      </c>
      <c r="W57" s="490">
        <f>W17+W55</f>
        <v>0</v>
      </c>
      <c r="X57" s="490">
        <f>X17+X55</f>
        <v>0</v>
      </c>
      <c r="Y57" s="490">
        <f>Y17+Y55</f>
        <v>0</v>
      </c>
      <c r="Z57" s="490">
        <f>Z17+Z55</f>
        <v>0</v>
      </c>
      <c r="AA57" s="490">
        <f>AA17+AA55</f>
        <v>0</v>
      </c>
      <c r="AB57" s="490">
        <f>AB17+AB55</f>
        <v>0</v>
      </c>
      <c r="AC57" s="490">
        <f>AC17+AC55</f>
        <v>0</v>
      </c>
      <c r="AD57" s="490">
        <f>AD17+AD55</f>
        <v>0</v>
      </c>
      <c r="AE57" s="490">
        <f>AE17+AE55</f>
        <v>0</v>
      </c>
      <c r="AF57" s="490">
        <f>AF17+AF55</f>
        <v>0</v>
      </c>
      <c r="AG57" s="490">
        <f>AG17+AG55</f>
        <v>0</v>
      </c>
      <c r="AH57" s="490">
        <f>AH17+AH55</f>
        <v>0</v>
      </c>
      <c r="AI57" s="490">
        <f>AI17+AI55</f>
        <v>0</v>
      </c>
      <c r="AJ57" s="490">
        <f>AJ17+AJ55</f>
        <v>0</v>
      </c>
      <c r="AK57" s="490">
        <f>AK17+AK55</f>
        <v>0</v>
      </c>
      <c r="AL57" s="490">
        <f>AL17+AL55</f>
        <v>0</v>
      </c>
      <c r="AM57" s="490">
        <f>AM17+AM55</f>
        <v>0</v>
      </c>
      <c r="AN57" s="490">
        <f>AN17+AN55</f>
        <v>0</v>
      </c>
      <c r="AO57" s="490">
        <f>AO17+AO55</f>
        <v>0</v>
      </c>
      <c r="AP57" s="490">
        <f>AP17+AP55</f>
        <v>0</v>
      </c>
      <c r="AQ57" s="490">
        <f>AQ17+AQ55</f>
        <v>0</v>
      </c>
      <c r="AR57" s="490">
        <f>AR17+AR55</f>
        <v>0</v>
      </c>
      <c r="AS57" s="490">
        <f>AS17+AS55</f>
        <v>0</v>
      </c>
      <c r="AT57" s="490">
        <f>AT17+AT55</f>
        <v>0</v>
      </c>
      <c r="AU57" s="490">
        <f>AU17+AU55</f>
        <v>0</v>
      </c>
      <c r="AV57" s="490">
        <f>AV17+AV55</f>
        <v>0</v>
      </c>
      <c r="AW57" s="490">
        <f>AW17+AW55</f>
        <v>0</v>
      </c>
      <c r="AX57" s="490">
        <f>AX17+AX55</f>
        <v>0</v>
      </c>
      <c r="AY57" s="490">
        <f>AY17+AY55</f>
        <v>0</v>
      </c>
      <c r="AZ57" s="490">
        <f>AZ17+AZ55</f>
        <v>0</v>
      </c>
      <c r="BA57" s="490">
        <f>BA17+BA55</f>
        <v>0</v>
      </c>
      <c r="BB57" s="490">
        <f>BB17+BB55</f>
        <v>0</v>
      </c>
      <c r="BC57" s="490">
        <f>BC17+BC55</f>
        <v>0</v>
      </c>
      <c r="BD57" s="490">
        <f>BD17+BD55</f>
        <v>0</v>
      </c>
      <c r="BE57" s="490">
        <f>BE17+BE55</f>
        <v>0</v>
      </c>
      <c r="BF57" s="490">
        <f>BF17+BF55</f>
        <v>0</v>
      </c>
      <c r="BG57" s="490">
        <f>BG17+BG55</f>
        <v>0</v>
      </c>
      <c r="BH57" s="490">
        <f>BH17+BH55</f>
        <v>0</v>
      </c>
      <c r="BI57" s="490">
        <f>BI17+BI55</f>
        <v>0</v>
      </c>
      <c r="BJ57" s="490">
        <f>BJ17+BJ55</f>
        <v>0</v>
      </c>
      <c r="BK57" s="490">
        <f>BK17+BK55</f>
        <v>0</v>
      </c>
      <c r="BL57" s="490">
        <f>BL17+BL55</f>
        <v>0</v>
      </c>
      <c r="BM57" s="490">
        <f>BM17+BM55</f>
        <v>0</v>
      </c>
      <c r="BN57" s="490">
        <f>BN17+BN55</f>
        <v>0</v>
      </c>
      <c r="BO57" s="490">
        <f>BO17+BO55</f>
        <v>0</v>
      </c>
      <c r="BP57" s="490">
        <f>BP17+BP55</f>
        <v>0</v>
      </c>
      <c r="BQ57" s="490">
        <f>BQ17+BQ55</f>
        <v>0</v>
      </c>
      <c r="BR57" s="490">
        <f>BR17+BR55</f>
        <v>0</v>
      </c>
      <c r="BS57" s="490">
        <f>BS17+BS55</f>
        <v>0</v>
      </c>
      <c r="BT57" s="490">
        <f>BT17+BT55</f>
        <v>0</v>
      </c>
      <c r="BU57" s="490">
        <f>BU17+BU55</f>
        <v>0</v>
      </c>
      <c r="BV57" s="490">
        <f>BV17+BV55</f>
        <v>0</v>
      </c>
      <c r="BW57" s="490">
        <f>BW17+BW55</f>
        <v>0</v>
      </c>
      <c r="BX57" s="490">
        <f>BX17+BX55</f>
        <v>0</v>
      </c>
      <c r="BY57" s="490">
        <f>BY17+BY55</f>
        <v>0</v>
      </c>
      <c r="BZ57" s="490">
        <f>BZ17+BZ55</f>
        <v>0</v>
      </c>
      <c r="CA57" s="490">
        <f>CA17+CA55</f>
        <v>0</v>
      </c>
      <c r="CB57" s="490">
        <f>CB17+CB55</f>
        <v>0</v>
      </c>
      <c r="CC57" s="490">
        <f>CC17+CC55</f>
        <v>0</v>
      </c>
      <c r="CD57" s="490">
        <f>CD17+CD55</f>
        <v>0</v>
      </c>
      <c r="CE57" s="490">
        <f>CE17+CE55</f>
        <v>0</v>
      </c>
      <c r="CF57" s="490">
        <f>CF17+CF55</f>
        <v>0</v>
      </c>
      <c r="CG57" s="490">
        <f>CG17+CG55</f>
        <v>0</v>
      </c>
      <c r="CH57" s="490">
        <f>CH17+CH55</f>
        <v>0</v>
      </c>
      <c r="CI57" s="490">
        <f>CI17+CI55</f>
        <v>0</v>
      </c>
      <c r="CJ57" s="490">
        <f>CJ17+CJ55</f>
        <v>0</v>
      </c>
      <c r="CK57" s="490">
        <f>CK17+CK55</f>
        <v>0</v>
      </c>
      <c r="CL57" s="490">
        <f>CL17+CL55</f>
        <v>0</v>
      </c>
      <c r="CM57" s="490">
        <f>CM17+CM55</f>
        <v>0</v>
      </c>
      <c r="CN57" s="490">
        <f>CN17+CN55</f>
        <v>0</v>
      </c>
      <c r="CO57" s="490">
        <f>CO17+CO55</f>
        <v>0</v>
      </c>
      <c r="CP57" s="490">
        <f>CP17+CP55</f>
        <v>0</v>
      </c>
      <c r="CQ57" s="490">
        <f>CQ17+CQ55</f>
        <v>0</v>
      </c>
      <c r="CR57" s="490">
        <f>CR17+CR55</f>
        <v>0</v>
      </c>
      <c r="CS57" s="490">
        <f>CS17+CS55</f>
        <v>0</v>
      </c>
      <c r="CT57" s="490">
        <f>CT17+CT55</f>
        <v>0</v>
      </c>
    </row>
    <row r="58" ht="15" customFormat="1" customHeight="1" s="381">
      <c r="A58" s="482" t="inlineStr">
        <is>
          <t>GC Net Profit Margin %</t>
        </is>
      </c>
      <c r="C58" s="484">
        <f>IFERROR(C57/C13,0)</f>
        <v>-0.0287831236019867</v>
      </c>
      <c r="D58" s="484">
        <f>IFERROR(D57/D13,0)</f>
        <v>-0.102996554608564</v>
      </c>
      <c r="E58" s="484">
        <f>IFERROR(E57/E13,0)</f>
        <v>0.0906538863233281</v>
      </c>
      <c r="F58" s="484">
        <f>IFERROR(F57/F13,0)</f>
        <v>0.101270434808067</v>
      </c>
      <c r="G58" s="484">
        <f>IFERROR(G57/G13,0)</f>
        <v>0.00625486062340116</v>
      </c>
      <c r="H58" s="484">
        <f>IFERROR(H57/H13,0)</f>
        <v>0.0508451485513171</v>
      </c>
      <c r="I58" s="484">
        <f>IFERROR(I57/I13,0)</f>
        <v>0</v>
      </c>
      <c r="J58" s="484">
        <f>IFERROR(J57/J13,0)</f>
        <v>0</v>
      </c>
      <c r="K58" s="484">
        <f>IFERROR(K57/K13,0)</f>
        <v>0</v>
      </c>
      <c r="L58" s="484">
        <f>IFERROR(L57/L13,0)</f>
        <v>0</v>
      </c>
      <c r="M58" s="484">
        <f>IFERROR(M57/M13,0)</f>
        <v>0</v>
      </c>
      <c r="N58" s="484">
        <f>IFERROR(N57/N13,0)</f>
        <v>0</v>
      </c>
      <c r="O58" s="484">
        <f>IFERROR(O57/O13,0)</f>
        <v>0</v>
      </c>
      <c r="P58" s="484">
        <f>IFERROR(P57/P13,0)</f>
        <v>0</v>
      </c>
      <c r="Q58" s="484">
        <f>IFERROR(Q57/Q13,0)</f>
        <v>0</v>
      </c>
      <c r="R58" s="484">
        <f>IFERROR(R57/R13,0)</f>
        <v>0</v>
      </c>
      <c r="S58" s="484">
        <f>IFERROR(S57/S13,0)</f>
        <v>0</v>
      </c>
      <c r="T58" s="484">
        <f>IFERROR(T57/T13,0)</f>
        <v>0</v>
      </c>
      <c r="U58" s="484">
        <f>IFERROR(U57/U13,0)</f>
        <v>0</v>
      </c>
      <c r="V58" s="484">
        <f>IFERROR(V57/V13,0)</f>
        <v>0</v>
      </c>
      <c r="W58" s="484">
        <f>IFERROR(W57/W13,0)</f>
        <v>0</v>
      </c>
      <c r="X58" s="484">
        <f>IFERROR(X57/X13,0)</f>
        <v>0</v>
      </c>
      <c r="Y58" s="484">
        <f>IFERROR(Y57/Y13,0)</f>
        <v>0</v>
      </c>
      <c r="Z58" s="484">
        <f>IFERROR(Z57/Z13,0)</f>
        <v>0</v>
      </c>
      <c r="AA58" s="484">
        <f>IFERROR(AA57/AA13,0)</f>
        <v>0</v>
      </c>
      <c r="AB58" s="484">
        <f>IFERROR(AB57/AB13,0)</f>
        <v>0</v>
      </c>
      <c r="AC58" s="484">
        <f>IFERROR(AC57/AC13,0)</f>
        <v>0</v>
      </c>
      <c r="AD58" s="484">
        <f>IFERROR(AD57/AD13,0)</f>
        <v>0</v>
      </c>
      <c r="AE58" s="484">
        <f>IFERROR(AE57/AE13,0)</f>
        <v>0</v>
      </c>
      <c r="AF58" s="484">
        <f>IFERROR(AF57/AF13,0)</f>
        <v>0</v>
      </c>
      <c r="AG58" s="484">
        <f>IFERROR(AG57/AG13,0)</f>
        <v>0</v>
      </c>
      <c r="AH58" s="484">
        <f>IFERROR(AH57/AH13,0)</f>
        <v>0</v>
      </c>
      <c r="AI58" s="484">
        <f>IFERROR(AI57/AI13,0)</f>
        <v>0</v>
      </c>
      <c r="AJ58" s="484">
        <f>IFERROR(AJ57/AJ13,0)</f>
        <v>0</v>
      </c>
      <c r="AK58" s="484">
        <f>IFERROR(AK57/AK13,0)</f>
        <v>0</v>
      </c>
      <c r="AL58" s="484">
        <f>IFERROR(AL57/AL13,0)</f>
        <v>0</v>
      </c>
      <c r="AM58" s="484">
        <f>IFERROR(AM57/AM13,0)</f>
        <v>0</v>
      </c>
      <c r="AN58" s="484">
        <f>IFERROR(AN57/AN13,0)</f>
        <v>0</v>
      </c>
      <c r="AO58" s="484">
        <f>IFERROR(AO57/AO13,0)</f>
        <v>0</v>
      </c>
      <c r="AP58" s="484">
        <f>IFERROR(AP57/AP13,0)</f>
        <v>0</v>
      </c>
      <c r="AQ58" s="484">
        <f>IFERROR(AQ57/AQ13,0)</f>
        <v>0</v>
      </c>
      <c r="AR58" s="484">
        <f>IFERROR(AR57/AR13,0)</f>
        <v>0</v>
      </c>
      <c r="AS58" s="484">
        <f>IFERROR(AS57/AS13,0)</f>
        <v>0</v>
      </c>
      <c r="AT58" s="484">
        <f>IFERROR(AT57/AT13,0)</f>
        <v>0</v>
      </c>
      <c r="AU58" s="484">
        <f>IFERROR(AU57/AU13,0)</f>
        <v>0</v>
      </c>
      <c r="AV58" s="484">
        <f>IFERROR(AV57/AV13,0)</f>
        <v>0</v>
      </c>
      <c r="AW58" s="484">
        <f>IFERROR(AW57/AW13,0)</f>
        <v>0</v>
      </c>
      <c r="AX58" s="484">
        <f>IFERROR(AX57/AX13,0)</f>
        <v>0</v>
      </c>
      <c r="AY58" s="484">
        <f>IFERROR(AY57/AY13,0)</f>
        <v>0</v>
      </c>
      <c r="AZ58" s="484">
        <f>IFERROR(AZ57/AZ13,0)</f>
        <v>0</v>
      </c>
      <c r="BA58" s="484">
        <f>IFERROR(BA57/BA13,0)</f>
        <v>0</v>
      </c>
      <c r="BB58" s="484">
        <f>IFERROR(BB57/BB13,0)</f>
        <v>0</v>
      </c>
      <c r="BC58" s="484">
        <f>IFERROR(BC57/BC13,0)</f>
        <v>0</v>
      </c>
      <c r="BD58" s="484">
        <f>IFERROR(BD57/BD13,0)</f>
        <v>0</v>
      </c>
      <c r="BE58" s="484">
        <f>IFERROR(BE57/BE13,0)</f>
        <v>0</v>
      </c>
      <c r="BF58" s="484">
        <f>IFERROR(BF57/BF13,0)</f>
        <v>0</v>
      </c>
      <c r="BG58" s="484">
        <f>IFERROR(BG57/BG13,0)</f>
        <v>0</v>
      </c>
      <c r="BH58" s="484">
        <f>IFERROR(BH57/BH13,0)</f>
        <v>0</v>
      </c>
      <c r="BI58" s="484">
        <f>IFERROR(BI57/BI13,0)</f>
        <v>0</v>
      </c>
      <c r="BJ58" s="484">
        <f>IFERROR(BJ57/BJ13,0)</f>
        <v>0</v>
      </c>
      <c r="BK58" s="484">
        <f>IFERROR(BK57/BK13,0)</f>
        <v>0</v>
      </c>
      <c r="BL58" s="484">
        <f>IFERROR(BL57/BL13,0)</f>
        <v>0</v>
      </c>
      <c r="BM58" s="484">
        <f>IFERROR(BM57/BM13,0)</f>
        <v>0</v>
      </c>
      <c r="BN58" s="484">
        <f>IFERROR(BN57/BN13,0)</f>
        <v>0</v>
      </c>
      <c r="BO58" s="484">
        <f>IFERROR(BO57/BO13,0)</f>
        <v>0</v>
      </c>
      <c r="BP58" s="484">
        <f>IFERROR(BP57/BP13,0)</f>
        <v>0</v>
      </c>
      <c r="BQ58" s="484">
        <f>IFERROR(BQ57/BQ13,0)</f>
        <v>0</v>
      </c>
      <c r="BR58" s="484">
        <f>IFERROR(BR57/BR13,0)</f>
        <v>0</v>
      </c>
      <c r="BS58" s="484">
        <f>IFERROR(BS57/BS13,0)</f>
        <v>0</v>
      </c>
      <c r="BT58" s="484">
        <f>IFERROR(BT57/BT13,0)</f>
        <v>0</v>
      </c>
      <c r="BU58" s="484">
        <f>IFERROR(BU57/BU13,0)</f>
        <v>0</v>
      </c>
      <c r="BV58" s="484">
        <f>IFERROR(BV57/BV13,0)</f>
        <v>0</v>
      </c>
      <c r="BW58" s="484">
        <f>IFERROR(BW57/BW13,0)</f>
        <v>0</v>
      </c>
      <c r="BX58" s="484">
        <f>IFERROR(BX57/BX13,0)</f>
        <v>0</v>
      </c>
      <c r="BY58" s="484">
        <f>IFERROR(BY57/BY13,0)</f>
        <v>0</v>
      </c>
      <c r="BZ58" s="484">
        <f>IFERROR(BZ57/BZ13,0)</f>
        <v>0</v>
      </c>
      <c r="CA58" s="484">
        <f>IFERROR(CA57/CA13,0)</f>
        <v>0</v>
      </c>
      <c r="CB58" s="484">
        <f>IFERROR(CB57/CB13,0)</f>
        <v>0</v>
      </c>
      <c r="CC58" s="484">
        <f>IFERROR(CC57/CC13,0)</f>
        <v>0</v>
      </c>
      <c r="CD58" s="484">
        <f>IFERROR(CD57/CD13,0)</f>
        <v>0</v>
      </c>
      <c r="CE58" s="484">
        <f>IFERROR(CE57/CE13,0)</f>
        <v>0</v>
      </c>
      <c r="CF58" s="484">
        <f>IFERROR(CF57/CF13,0)</f>
        <v>0</v>
      </c>
      <c r="CG58" s="484">
        <f>IFERROR(CG57/CG13,0)</f>
        <v>0</v>
      </c>
      <c r="CH58" s="484">
        <f>IFERROR(CH57/CH13,0)</f>
        <v>0</v>
      </c>
      <c r="CI58" s="484">
        <f>IFERROR(CI57/CI13,0)</f>
        <v>0</v>
      </c>
      <c r="CJ58" s="484">
        <f>IFERROR(CJ57/CJ13,0)</f>
        <v>0</v>
      </c>
      <c r="CK58" s="484">
        <f>IFERROR(CK57/CK13,0)</f>
        <v>0</v>
      </c>
      <c r="CL58" s="484">
        <f>IFERROR(CL57/CL13,0)</f>
        <v>0</v>
      </c>
      <c r="CM58" s="484">
        <f>IFERROR(CM57/CM13,0)</f>
        <v>0</v>
      </c>
      <c r="CN58" s="484">
        <f>IFERROR(CN57/CN13,0)</f>
        <v>0</v>
      </c>
      <c r="CO58" s="484">
        <f>IFERROR(CO57/CO13,0)</f>
        <v>0</v>
      </c>
      <c r="CP58" s="484">
        <f>IFERROR(CP57/CP13,0)</f>
        <v>0</v>
      </c>
      <c r="CQ58" s="484">
        <f>IFERROR(CQ57/CQ13,0)</f>
        <v>0</v>
      </c>
      <c r="CR58" s="484">
        <f>IFERROR(CR57/CR13,0)</f>
        <v>0</v>
      </c>
      <c r="CS58" s="484">
        <f>IFERROR(CS57/CS13,0)</f>
        <v>0</v>
      </c>
      <c r="CT58" s="484">
        <f>IFERROR(CT57/CT13,0)</f>
        <v>0</v>
      </c>
    </row>
    <row r="59" ht="15" customFormat="1" customHeight="1" s="381">
      <c r="A59" s="480" t="n"/>
      <c r="C59" s="481" t="n"/>
      <c r="D59" s="481" t="n"/>
      <c r="E59" s="481" t="n"/>
      <c r="F59" s="481" t="n"/>
      <c r="G59" s="481" t="n"/>
      <c r="H59" s="481" t="n"/>
      <c r="I59" s="481" t="n"/>
      <c r="J59" s="481" t="n"/>
      <c r="K59" s="481" t="n"/>
      <c r="L59" s="481" t="n"/>
      <c r="M59" s="481" t="n"/>
      <c r="N59" s="481" t="n"/>
      <c r="O59" s="481" t="n"/>
      <c r="P59" s="481" t="n"/>
      <c r="Q59" s="481" t="n"/>
      <c r="R59" s="481" t="n"/>
      <c r="S59" s="481" t="n"/>
      <c r="T59" s="481" t="n"/>
      <c r="U59" s="481" t="n"/>
      <c r="V59" s="481" t="n"/>
      <c r="W59" s="481" t="n"/>
      <c r="X59" s="481" t="n"/>
      <c r="Y59" s="481" t="n"/>
      <c r="Z59" s="481" t="n"/>
      <c r="AA59" s="481" t="n"/>
      <c r="AB59" s="481" t="n"/>
      <c r="AC59" s="481" t="n"/>
      <c r="AD59" s="481" t="n"/>
      <c r="AE59" s="481" t="n"/>
      <c r="AF59" s="481" t="n"/>
      <c r="AG59" s="481" t="n"/>
      <c r="AH59" s="481" t="n"/>
      <c r="AI59" s="481" t="n"/>
      <c r="AJ59" s="481" t="n"/>
      <c r="AK59" s="481" t="n"/>
      <c r="AL59" s="481" t="n"/>
      <c r="AM59" s="481" t="n"/>
      <c r="AN59" s="481" t="n"/>
      <c r="AO59" s="481" t="n"/>
      <c r="AP59" s="481" t="n"/>
      <c r="AQ59" s="481" t="n"/>
      <c r="AR59" s="481" t="n"/>
      <c r="AS59" s="481" t="n"/>
      <c r="AT59" s="481" t="n"/>
      <c r="AU59" s="481" t="n"/>
      <c r="AV59" s="481" t="n"/>
      <c r="AW59" s="481" t="n"/>
      <c r="AX59" s="481" t="n"/>
      <c r="AY59" s="481" t="n"/>
      <c r="AZ59" s="481" t="n"/>
      <c r="BA59" s="481" t="n"/>
      <c r="BB59" s="481" t="n"/>
      <c r="BC59" s="481" t="n"/>
      <c r="BD59" s="481" t="n"/>
      <c r="BE59" s="481" t="n"/>
      <c r="BF59" s="481" t="n"/>
      <c r="BG59" s="481" t="n"/>
      <c r="BH59" s="481" t="n"/>
      <c r="BI59" s="481" t="n"/>
      <c r="BJ59" s="481" t="n"/>
      <c r="BK59" s="481" t="n"/>
      <c r="BL59" s="481" t="n"/>
      <c r="BM59" s="481" t="n"/>
      <c r="BN59" s="481" t="n"/>
      <c r="BO59" s="481" t="n"/>
      <c r="BP59" s="481" t="n"/>
      <c r="BQ59" s="481" t="n"/>
      <c r="BR59" s="481" t="n"/>
      <c r="BS59" s="481" t="n"/>
      <c r="BT59" s="481" t="n"/>
      <c r="BU59" s="481" t="n"/>
      <c r="BV59" s="481" t="n"/>
      <c r="BW59" s="481" t="n"/>
      <c r="BX59" s="481" t="n"/>
      <c r="BY59" s="481" t="n"/>
      <c r="BZ59" s="481" t="n"/>
      <c r="CA59" s="481" t="n"/>
      <c r="CB59" s="481" t="n"/>
      <c r="CC59" s="481" t="n"/>
      <c r="CD59" s="481" t="n"/>
      <c r="CE59" s="481" t="n"/>
      <c r="CF59" s="481" t="n"/>
      <c r="CG59" s="481" t="n"/>
      <c r="CH59" s="481" t="n"/>
      <c r="CI59" s="481" t="n"/>
      <c r="CJ59" s="481" t="n"/>
      <c r="CK59" s="481" t="n"/>
      <c r="CL59" s="481" t="n"/>
      <c r="CM59" s="481" t="n"/>
      <c r="CN59" s="481" t="n"/>
      <c r="CO59" s="481" t="n"/>
      <c r="CP59" s="481" t="n"/>
      <c r="CQ59" s="481" t="n"/>
      <c r="CR59" s="481" t="n"/>
      <c r="CS59" s="481" t="n"/>
      <c r="CT59" s="481" t="n"/>
    </row>
    <row r="60" ht="15" customFormat="1" customHeight="1" s="381">
      <c r="A60" s="480" t="n"/>
      <c r="C60" s="481" t="n"/>
      <c r="D60" s="481" t="n"/>
      <c r="E60" s="481" t="n"/>
      <c r="F60" s="481" t="n"/>
      <c r="G60" s="481" t="n"/>
      <c r="H60" s="481" t="n"/>
      <c r="I60" s="481" t="n"/>
      <c r="J60" s="481" t="n"/>
      <c r="K60" s="481" t="n"/>
      <c r="L60" s="481" t="n"/>
      <c r="M60" s="481" t="n"/>
      <c r="N60" s="481" t="n"/>
      <c r="O60" s="481" t="n"/>
      <c r="P60" s="481" t="n"/>
      <c r="Q60" s="481" t="n"/>
      <c r="R60" s="481" t="n"/>
      <c r="S60" s="481" t="n"/>
      <c r="T60" s="481" t="n"/>
      <c r="U60" s="481" t="n"/>
      <c r="V60" s="481" t="n"/>
      <c r="W60" s="481" t="n"/>
      <c r="X60" s="481" t="n"/>
      <c r="Y60" s="481" t="n"/>
      <c r="Z60" s="481" t="n"/>
      <c r="AA60" s="481" t="n"/>
      <c r="AB60" s="481" t="n"/>
      <c r="AC60" s="481" t="n"/>
      <c r="AD60" s="481" t="n"/>
      <c r="AE60" s="481" t="n"/>
      <c r="AF60" s="481" t="n"/>
      <c r="AG60" s="481" t="n"/>
      <c r="AH60" s="481" t="n"/>
      <c r="AI60" s="481" t="n"/>
      <c r="AJ60" s="481" t="n"/>
      <c r="AK60" s="481" t="n"/>
      <c r="AL60" s="481" t="n"/>
      <c r="AM60" s="481" t="n"/>
      <c r="AN60" s="481" t="n"/>
      <c r="AO60" s="481" t="n"/>
      <c r="AP60" s="481" t="n"/>
      <c r="AQ60" s="481" t="n"/>
      <c r="AR60" s="481" t="n"/>
      <c r="AS60" s="481" t="n"/>
      <c r="AT60" s="481" t="n"/>
      <c r="AU60" s="481" t="n"/>
      <c r="AV60" s="481" t="n"/>
      <c r="AW60" s="481" t="n"/>
      <c r="AX60" s="481" t="n"/>
      <c r="AY60" s="481" t="n"/>
      <c r="AZ60" s="481" t="n"/>
      <c r="BA60" s="481" t="n"/>
      <c r="BB60" s="481" t="n"/>
      <c r="BC60" s="481" t="n"/>
      <c r="BD60" s="481" t="n"/>
      <c r="BE60" s="481" t="n"/>
      <c r="BF60" s="481" t="n"/>
      <c r="BG60" s="481" t="n"/>
      <c r="BH60" s="481" t="n"/>
      <c r="BI60" s="481" t="n"/>
      <c r="BJ60" s="481" t="n"/>
      <c r="BK60" s="481" t="n"/>
      <c r="BL60" s="481" t="n"/>
      <c r="BM60" s="481" t="n"/>
      <c r="BN60" s="481" t="n"/>
      <c r="BO60" s="481" t="n"/>
      <c r="BP60" s="481" t="n"/>
      <c r="BQ60" s="481" t="n"/>
      <c r="BR60" s="481" t="n"/>
      <c r="BS60" s="481" t="n"/>
      <c r="BT60" s="481" t="n"/>
      <c r="BU60" s="481" t="n"/>
      <c r="BV60" s="481" t="n"/>
      <c r="BW60" s="481" t="n"/>
      <c r="BX60" s="481" t="n"/>
      <c r="BY60" s="481" t="n"/>
      <c r="BZ60" s="481" t="n"/>
      <c r="CA60" s="481" t="n"/>
      <c r="CB60" s="481" t="n"/>
      <c r="CC60" s="481" t="n"/>
      <c r="CD60" s="481" t="n"/>
      <c r="CE60" s="481" t="n"/>
      <c r="CF60" s="481" t="n"/>
      <c r="CG60" s="481" t="n"/>
      <c r="CH60" s="481" t="n"/>
      <c r="CI60" s="481" t="n"/>
      <c r="CJ60" s="481" t="n"/>
      <c r="CK60" s="481" t="n"/>
      <c r="CL60" s="481" t="n"/>
      <c r="CM60" s="481" t="n"/>
      <c r="CN60" s="481" t="n"/>
      <c r="CO60" s="481" t="n"/>
      <c r="CP60" s="481" t="n"/>
      <c r="CQ60" s="481" t="n"/>
      <c r="CR60" s="481" t="n"/>
      <c r="CS60" s="481" t="n"/>
      <c r="CT60" s="481" t="n"/>
    </row>
    <row r="61" ht="15" customFormat="1" customHeight="1" s="381">
      <c r="A61" s="480" t="n"/>
      <c r="C61" s="481" t="n"/>
      <c r="D61" s="481" t="n"/>
      <c r="E61" s="481" t="n"/>
      <c r="F61" s="481" t="n"/>
      <c r="G61" s="481" t="n"/>
      <c r="H61" s="481" t="n"/>
      <c r="I61" s="481" t="n"/>
      <c r="J61" s="481" t="n"/>
      <c r="K61" s="481" t="n"/>
      <c r="L61" s="481" t="n"/>
      <c r="M61" s="481" t="n"/>
      <c r="N61" s="481" t="n"/>
      <c r="O61" s="481" t="n"/>
      <c r="P61" s="481" t="n"/>
      <c r="Q61" s="481" t="n"/>
      <c r="R61" s="481" t="n"/>
      <c r="S61" s="481" t="n"/>
      <c r="T61" s="481" t="n"/>
      <c r="U61" s="481" t="n"/>
      <c r="V61" s="481" t="n"/>
      <c r="W61" s="481" t="n"/>
      <c r="X61" s="481" t="n"/>
      <c r="Y61" s="481" t="n"/>
      <c r="Z61" s="481" t="n"/>
      <c r="AA61" s="481" t="n"/>
      <c r="AB61" s="481" t="n"/>
      <c r="AC61" s="481" t="n"/>
      <c r="AD61" s="481" t="n"/>
      <c r="AE61" s="481" t="n"/>
      <c r="AF61" s="481" t="n"/>
      <c r="AG61" s="481" t="n"/>
      <c r="AH61" s="481" t="n"/>
      <c r="AI61" s="481" t="n"/>
      <c r="AJ61" s="481" t="n"/>
      <c r="AK61" s="481" t="n"/>
      <c r="AL61" s="481" t="n"/>
      <c r="AM61" s="481" t="n"/>
      <c r="AN61" s="481" t="n"/>
      <c r="AO61" s="481" t="n"/>
      <c r="AP61" s="481" t="n"/>
      <c r="AQ61" s="481" t="n"/>
      <c r="AR61" s="481" t="n"/>
      <c r="AS61" s="481" t="n"/>
      <c r="AT61" s="481" t="n"/>
      <c r="AU61" s="481" t="n"/>
      <c r="AV61" s="481" t="n"/>
      <c r="AW61" s="481" t="n"/>
      <c r="AX61" s="481" t="n"/>
      <c r="AY61" s="481" t="n"/>
      <c r="AZ61" s="481" t="n"/>
      <c r="BA61" s="481" t="n"/>
      <c r="BB61" s="481" t="n"/>
      <c r="BC61" s="481" t="n"/>
      <c r="BD61" s="481" t="n"/>
      <c r="BE61" s="481" t="n"/>
      <c r="BF61" s="481" t="n"/>
      <c r="BG61" s="481" t="n"/>
      <c r="BH61" s="481" t="n"/>
      <c r="BI61" s="481" t="n"/>
      <c r="BJ61" s="481" t="n"/>
      <c r="BK61" s="481" t="n"/>
      <c r="BL61" s="481" t="n"/>
      <c r="BM61" s="481" t="n"/>
      <c r="BN61" s="481" t="n"/>
      <c r="BO61" s="481" t="n"/>
      <c r="BP61" s="481" t="n"/>
      <c r="BQ61" s="481" t="n"/>
      <c r="BR61" s="481" t="n"/>
      <c r="BS61" s="481" t="n"/>
      <c r="BT61" s="481" t="n"/>
      <c r="BU61" s="481" t="n"/>
      <c r="BV61" s="481" t="n"/>
      <c r="BW61" s="481" t="n"/>
      <c r="BX61" s="481" t="n"/>
      <c r="BY61" s="481" t="n"/>
      <c r="BZ61" s="481" t="n"/>
      <c r="CA61" s="481" t="n"/>
      <c r="CB61" s="481" t="n"/>
      <c r="CC61" s="481" t="n"/>
      <c r="CD61" s="481" t="n"/>
      <c r="CE61" s="481" t="n"/>
      <c r="CF61" s="481" t="n"/>
      <c r="CG61" s="481" t="n"/>
      <c r="CH61" s="481" t="n"/>
      <c r="CI61" s="481" t="n"/>
      <c r="CJ61" s="481" t="n"/>
      <c r="CK61" s="481" t="n"/>
      <c r="CL61" s="481" t="n"/>
      <c r="CM61" s="481" t="n"/>
      <c r="CN61" s="481" t="n"/>
      <c r="CO61" s="481" t="n"/>
      <c r="CP61" s="481" t="n"/>
      <c r="CQ61" s="481" t="n"/>
      <c r="CR61" s="481" t="n"/>
      <c r="CS61" s="481" t="n"/>
      <c r="CT61" s="481" t="n"/>
    </row>
    <row r="62" ht="15" customFormat="1" customHeight="1" s="381">
      <c r="A62" s="480" t="n"/>
      <c r="C62" s="481" t="n"/>
      <c r="D62" s="481" t="n"/>
      <c r="E62" s="481" t="n"/>
      <c r="F62" s="481" t="n"/>
      <c r="G62" s="481" t="n"/>
      <c r="H62" s="481" t="n"/>
      <c r="I62" s="481" t="n"/>
      <c r="J62" s="481" t="n"/>
      <c r="K62" s="481" t="n"/>
      <c r="L62" s="481" t="n"/>
      <c r="M62" s="481" t="n"/>
      <c r="N62" s="481" t="n"/>
      <c r="O62" s="481" t="n"/>
      <c r="P62" s="481" t="n"/>
      <c r="Q62" s="481" t="n"/>
      <c r="R62" s="481" t="n"/>
      <c r="S62" s="481" t="n"/>
      <c r="T62" s="481" t="n"/>
      <c r="U62" s="481" t="n"/>
      <c r="V62" s="481" t="n"/>
      <c r="W62" s="481" t="n"/>
      <c r="X62" s="481" t="n"/>
      <c r="Y62" s="481" t="n"/>
      <c r="Z62" s="481" t="n"/>
      <c r="AA62" s="481" t="n"/>
      <c r="AB62" s="481" t="n"/>
      <c r="AC62" s="481" t="n"/>
      <c r="AD62" s="481" t="n"/>
      <c r="AE62" s="481" t="n"/>
      <c r="AF62" s="481" t="n"/>
      <c r="AG62" s="481" t="n"/>
      <c r="AH62" s="481" t="n"/>
      <c r="AI62" s="481" t="n"/>
      <c r="AJ62" s="481" t="n"/>
      <c r="AK62" s="481" t="n"/>
      <c r="AL62" s="481" t="n"/>
      <c r="AM62" s="481" t="n"/>
      <c r="AN62" s="481" t="n"/>
      <c r="AO62" s="481" t="n"/>
      <c r="AP62" s="481" t="n"/>
      <c r="AQ62" s="481" t="n"/>
      <c r="AR62" s="481" t="n"/>
      <c r="AS62" s="481" t="n"/>
      <c r="AT62" s="481" t="n"/>
      <c r="AU62" s="481" t="n"/>
      <c r="AV62" s="481" t="n"/>
      <c r="AW62" s="481" t="n"/>
      <c r="AX62" s="481" t="n"/>
      <c r="AY62" s="481" t="n"/>
      <c r="AZ62" s="481" t="n"/>
      <c r="BA62" s="481" t="n"/>
      <c r="BB62" s="481" t="n"/>
      <c r="BC62" s="481" t="n"/>
      <c r="BD62" s="481" t="n"/>
      <c r="BE62" s="481" t="n"/>
      <c r="BF62" s="481" t="n"/>
      <c r="BG62" s="481" t="n"/>
      <c r="BH62" s="481" t="n"/>
      <c r="BI62" s="481" t="n"/>
      <c r="BJ62" s="481" t="n"/>
      <c r="BK62" s="481" t="n"/>
      <c r="BL62" s="481" t="n"/>
      <c r="BM62" s="481" t="n"/>
      <c r="BN62" s="481" t="n"/>
      <c r="BO62" s="481" t="n"/>
      <c r="BP62" s="481" t="n"/>
      <c r="BQ62" s="481" t="n"/>
      <c r="BR62" s="481" t="n"/>
      <c r="BS62" s="481" t="n"/>
      <c r="BT62" s="481" t="n"/>
      <c r="BU62" s="481" t="n"/>
      <c r="BV62" s="481" t="n"/>
      <c r="BW62" s="481" t="n"/>
      <c r="BX62" s="481" t="n"/>
      <c r="BY62" s="481" t="n"/>
      <c r="BZ62" s="481" t="n"/>
      <c r="CA62" s="481" t="n"/>
      <c r="CB62" s="481" t="n"/>
      <c r="CC62" s="481" t="n"/>
      <c r="CD62" s="481" t="n"/>
      <c r="CE62" s="481" t="n"/>
      <c r="CF62" s="481" t="n"/>
      <c r="CG62" s="481" t="n"/>
      <c r="CH62" s="481" t="n"/>
      <c r="CI62" s="481" t="n"/>
      <c r="CJ62" s="481" t="n"/>
      <c r="CK62" s="481" t="n"/>
      <c r="CL62" s="481" t="n"/>
      <c r="CM62" s="481" t="n"/>
      <c r="CN62" s="481" t="n"/>
      <c r="CO62" s="481" t="n"/>
      <c r="CP62" s="481" t="n"/>
      <c r="CQ62" s="481" t="n"/>
      <c r="CR62" s="481" t="n"/>
      <c r="CS62" s="481" t="n"/>
      <c r="CT62" s="481" t="n"/>
    </row>
    <row r="63" ht="15" customFormat="1" customHeight="1" s="381">
      <c r="A63" s="480" t="inlineStr">
        <is>
          <t>Non-Cash Revenue Items</t>
        </is>
      </c>
      <c r="C63" s="481" t="n"/>
      <c r="D63" s="481" t="n"/>
      <c r="E63" s="481" t="n"/>
      <c r="F63" s="481" t="n"/>
      <c r="G63" s="481" t="n"/>
      <c r="H63" s="481" t="n">
        <v>299000</v>
      </c>
      <c r="I63" s="481" t="n"/>
      <c r="J63" s="481" t="n"/>
      <c r="K63" s="481" t="n"/>
      <c r="L63" s="481" t="n"/>
      <c r="M63" s="481" t="n"/>
      <c r="N63" s="481" t="n"/>
      <c r="O63" s="481" t="n"/>
      <c r="P63" s="481" t="n"/>
      <c r="Q63" s="481" t="n"/>
      <c r="R63" s="481" t="n"/>
      <c r="S63" s="481" t="n"/>
      <c r="T63" s="481" t="n"/>
      <c r="U63" s="481" t="n"/>
      <c r="V63" s="481" t="n"/>
      <c r="W63" s="481" t="n"/>
      <c r="X63" s="481" t="n"/>
      <c r="Y63" s="481" t="n"/>
      <c r="Z63" s="481" t="n"/>
      <c r="AA63" s="481" t="n"/>
      <c r="AB63" s="481" t="n"/>
      <c r="AC63" s="481" t="n"/>
      <c r="AD63" s="481" t="n"/>
      <c r="AE63" s="481" t="n"/>
      <c r="AF63" s="481" t="n"/>
      <c r="AG63" s="481" t="n"/>
      <c r="AH63" s="481" t="n"/>
      <c r="AI63" s="481" t="n"/>
      <c r="AJ63" s="481" t="n"/>
      <c r="AK63" s="481" t="n"/>
      <c r="AL63" s="481" t="n"/>
      <c r="AM63" s="481" t="n"/>
      <c r="AN63" s="481" t="n"/>
      <c r="AO63" s="481" t="n"/>
      <c r="AP63" s="481" t="n"/>
      <c r="AQ63" s="481" t="n"/>
      <c r="AR63" s="481" t="n"/>
      <c r="AS63" s="481" t="n"/>
      <c r="AT63" s="481" t="n"/>
      <c r="AU63" s="481" t="n"/>
      <c r="AV63" s="481" t="n"/>
      <c r="AW63" s="481" t="n"/>
      <c r="AX63" s="481" t="n"/>
      <c r="AY63" s="481" t="n"/>
      <c r="AZ63" s="481" t="n"/>
      <c r="BA63" s="481" t="n"/>
      <c r="BB63" s="481" t="n"/>
      <c r="BC63" s="481" t="n"/>
      <c r="BD63" s="481" t="n"/>
      <c r="BE63" s="481" t="n"/>
      <c r="BF63" s="481" t="n"/>
      <c r="BG63" s="481" t="n"/>
      <c r="BH63" s="481" t="n"/>
      <c r="BI63" s="481" t="n"/>
      <c r="BJ63" s="481" t="n"/>
      <c r="BK63" s="481" t="n"/>
      <c r="BL63" s="481" t="n"/>
      <c r="BM63" s="481" t="n"/>
      <c r="BN63" s="481" t="n"/>
      <c r="BO63" s="481" t="n"/>
      <c r="BP63" s="481" t="n"/>
      <c r="BQ63" s="481" t="n"/>
      <c r="BR63" s="481" t="n"/>
      <c r="BS63" s="481" t="n"/>
      <c r="BT63" s="481" t="n"/>
      <c r="BU63" s="481" t="n"/>
      <c r="BV63" s="481" t="n"/>
      <c r="BW63" s="481" t="n"/>
      <c r="BX63" s="481" t="n"/>
      <c r="BY63" s="481" t="n"/>
      <c r="BZ63" s="481" t="n"/>
      <c r="CA63" s="481" t="n"/>
      <c r="CB63" s="481" t="n"/>
      <c r="CC63" s="481" t="n"/>
      <c r="CD63" s="481" t="n"/>
      <c r="CE63" s="481" t="n"/>
      <c r="CF63" s="481" t="n"/>
      <c r="CG63" s="481" t="n"/>
      <c r="CH63" s="481" t="n"/>
      <c r="CI63" s="481" t="n"/>
      <c r="CJ63" s="481" t="n"/>
      <c r="CK63" s="481" t="n"/>
      <c r="CL63" s="481" t="n"/>
      <c r="CM63" s="481" t="n"/>
      <c r="CN63" s="481" t="n"/>
      <c r="CO63" s="481" t="n"/>
      <c r="CP63" s="481" t="n"/>
      <c r="CQ63" s="481" t="n"/>
      <c r="CR63" s="481" t="n"/>
      <c r="CS63" s="481" t="n"/>
      <c r="CT63" s="481" t="n"/>
    </row>
    <row r="64" ht="15" customFormat="1" customHeight="1" s="381">
      <c r="A64" s="480" t="inlineStr">
        <is>
          <t>Edgemont Management Fee</t>
        </is>
      </c>
      <c r="C64" s="481" t="n">
        <v>833.33</v>
      </c>
      <c r="D64" s="481" t="n">
        <v>833.33</v>
      </c>
      <c r="E64" s="481" t="n">
        <v>833.33</v>
      </c>
      <c r="F64" s="481" t="n">
        <v>833.33</v>
      </c>
      <c r="G64" s="481" t="n">
        <v>833.33</v>
      </c>
      <c r="H64" s="481" t="n">
        <v>833.33</v>
      </c>
      <c r="I64" s="481" t="n"/>
      <c r="J64" s="481" t="n"/>
      <c r="K64" s="481" t="n"/>
      <c r="L64" s="481" t="n"/>
      <c r="M64" s="481" t="n"/>
      <c r="N64" s="481" t="n"/>
      <c r="O64" s="481" t="n"/>
      <c r="P64" s="481" t="n"/>
      <c r="Q64" s="481" t="n"/>
      <c r="R64" s="481" t="n"/>
      <c r="S64" s="481" t="n"/>
      <c r="T64" s="481" t="n"/>
      <c r="U64" s="481" t="n"/>
      <c r="V64" s="481" t="n"/>
      <c r="W64" s="481" t="n"/>
      <c r="X64" s="481" t="n"/>
      <c r="Y64" s="481" t="n"/>
      <c r="Z64" s="481" t="n"/>
      <c r="AA64" s="481" t="n"/>
      <c r="AB64" s="481" t="n"/>
      <c r="AC64" s="481" t="n"/>
      <c r="AD64" s="481" t="n"/>
      <c r="AE64" s="481" t="n"/>
      <c r="AF64" s="481" t="n"/>
      <c r="AG64" s="481" t="n"/>
      <c r="AH64" s="481" t="n"/>
      <c r="AI64" s="481" t="n"/>
      <c r="AJ64" s="481" t="n"/>
      <c r="AK64" s="481" t="n"/>
      <c r="AL64" s="481" t="n"/>
      <c r="AM64" s="481" t="n"/>
      <c r="AN64" s="481" t="n"/>
      <c r="AO64" s="481" t="n"/>
      <c r="AP64" s="481" t="n"/>
      <c r="AQ64" s="481" t="n"/>
      <c r="AR64" s="481" t="n"/>
      <c r="AS64" s="481" t="n"/>
      <c r="AT64" s="481" t="n"/>
      <c r="AU64" s="481" t="n"/>
      <c r="AV64" s="481" t="n"/>
      <c r="AW64" s="481" t="n"/>
      <c r="AX64" s="481" t="n"/>
      <c r="AY64" s="481" t="n"/>
      <c r="AZ64" s="481" t="n"/>
      <c r="BA64" s="481" t="n"/>
      <c r="BB64" s="481" t="n"/>
      <c r="BC64" s="481" t="n"/>
      <c r="BD64" s="481" t="n"/>
      <c r="BE64" s="481" t="n"/>
      <c r="BF64" s="481" t="n"/>
      <c r="BG64" s="481" t="n"/>
      <c r="BH64" s="481" t="n"/>
      <c r="BI64" s="481" t="n"/>
      <c r="BJ64" s="481" t="n"/>
      <c r="BK64" s="481" t="n"/>
      <c r="BL64" s="481" t="n"/>
      <c r="BM64" s="481" t="n"/>
      <c r="BN64" s="481" t="n"/>
      <c r="BO64" s="481" t="n"/>
      <c r="BP64" s="481" t="n"/>
      <c r="BQ64" s="481" t="n"/>
      <c r="BR64" s="481" t="n"/>
      <c r="BS64" s="481" t="n"/>
      <c r="BT64" s="481" t="n"/>
      <c r="BU64" s="481" t="n"/>
      <c r="BV64" s="481" t="n"/>
      <c r="BW64" s="481" t="n"/>
      <c r="BX64" s="481" t="n"/>
      <c r="BY64" s="481" t="n"/>
      <c r="BZ64" s="481" t="n"/>
      <c r="CA64" s="481" t="n"/>
      <c r="CB64" s="481" t="n"/>
      <c r="CC64" s="481" t="n"/>
      <c r="CD64" s="481" t="n"/>
      <c r="CE64" s="481" t="n"/>
      <c r="CF64" s="481" t="n"/>
      <c r="CG64" s="481" t="n"/>
      <c r="CH64" s="481" t="n"/>
      <c r="CI64" s="481" t="n"/>
      <c r="CJ64" s="481" t="n"/>
      <c r="CK64" s="481" t="n"/>
      <c r="CL64" s="481" t="n"/>
      <c r="CM64" s="481" t="n"/>
      <c r="CN64" s="481" t="n"/>
      <c r="CO64" s="481" t="n"/>
      <c r="CP64" s="481" t="n"/>
      <c r="CQ64" s="481" t="n"/>
      <c r="CR64" s="481" t="n"/>
      <c r="CS64" s="481" t="n"/>
      <c r="CT64" s="481" t="n"/>
    </row>
    <row r="65" ht="15" customFormat="1" customHeight="1" s="381">
      <c r="A65" s="480" t="inlineStr">
        <is>
          <t>Ramsgate Dev Fee - Construction</t>
        </is>
      </c>
      <c r="C65" s="481" t="n">
        <v>23906.25</v>
      </c>
      <c r="D65" s="481" t="n">
        <v>23906.25</v>
      </c>
      <c r="E65" s="481" t="n">
        <v>23906.25</v>
      </c>
      <c r="F65" s="481" t="n">
        <v>23906.25</v>
      </c>
      <c r="G65" s="481" t="n">
        <v>23906.25</v>
      </c>
      <c r="H65" s="481" t="n">
        <v>23906.25</v>
      </c>
      <c r="I65" s="481" t="n"/>
      <c r="J65" s="481" t="n"/>
      <c r="K65" s="481" t="n"/>
      <c r="L65" s="481" t="n"/>
      <c r="M65" s="481" t="n"/>
      <c r="N65" s="481" t="n"/>
      <c r="O65" s="481" t="n"/>
      <c r="P65" s="481" t="n"/>
      <c r="Q65" s="481" t="n"/>
      <c r="R65" s="481" t="n"/>
      <c r="S65" s="481" t="n"/>
      <c r="T65" s="481" t="n"/>
      <c r="U65" s="481" t="n"/>
      <c r="V65" s="481" t="n"/>
      <c r="W65" s="481" t="n"/>
      <c r="X65" s="481" t="n"/>
      <c r="Y65" s="481" t="n"/>
      <c r="Z65" s="481" t="n"/>
      <c r="AA65" s="481" t="n"/>
      <c r="AB65" s="481" t="n"/>
      <c r="AC65" s="481" t="n"/>
      <c r="AD65" s="481" t="n"/>
      <c r="AE65" s="481" t="n"/>
      <c r="AF65" s="481" t="n"/>
      <c r="AG65" s="481" t="n"/>
      <c r="AH65" s="481" t="n"/>
      <c r="AI65" s="481" t="n"/>
      <c r="AJ65" s="481" t="n"/>
      <c r="AK65" s="481" t="n"/>
      <c r="AL65" s="481" t="n"/>
      <c r="AM65" s="481" t="n"/>
      <c r="AN65" s="481" t="n"/>
      <c r="AO65" s="481" t="n"/>
      <c r="AP65" s="481" t="n"/>
      <c r="AQ65" s="481" t="n"/>
      <c r="AR65" s="481" t="n"/>
      <c r="AS65" s="481" t="n"/>
      <c r="AT65" s="481" t="n"/>
      <c r="AU65" s="481" t="n"/>
      <c r="AV65" s="481" t="n"/>
      <c r="AW65" s="481" t="n"/>
      <c r="AX65" s="481" t="n"/>
      <c r="AY65" s="481" t="n"/>
      <c r="AZ65" s="481" t="n"/>
      <c r="BA65" s="481" t="n"/>
      <c r="BB65" s="481" t="n"/>
      <c r="BC65" s="481" t="n"/>
      <c r="BD65" s="481" t="n"/>
      <c r="BE65" s="481" t="n"/>
      <c r="BF65" s="481" t="n"/>
      <c r="BG65" s="481" t="n"/>
      <c r="BH65" s="481" t="n"/>
      <c r="BI65" s="481" t="n"/>
      <c r="BJ65" s="481" t="n"/>
      <c r="BK65" s="481" t="n"/>
      <c r="BL65" s="481" t="n"/>
      <c r="BM65" s="481" t="n"/>
      <c r="BN65" s="481" t="n"/>
      <c r="BO65" s="481" t="n"/>
      <c r="BP65" s="481" t="n"/>
      <c r="BQ65" s="481" t="n"/>
      <c r="BR65" s="481" t="n"/>
      <c r="BS65" s="481" t="n"/>
      <c r="BT65" s="481" t="n"/>
      <c r="BU65" s="481" t="n"/>
      <c r="BV65" s="481" t="n"/>
      <c r="BW65" s="481" t="n"/>
      <c r="BX65" s="481" t="n"/>
      <c r="BY65" s="481" t="n"/>
      <c r="BZ65" s="481" t="n"/>
      <c r="CA65" s="481" t="n"/>
      <c r="CB65" s="481" t="n"/>
      <c r="CC65" s="481" t="n"/>
      <c r="CD65" s="481" t="n"/>
      <c r="CE65" s="481" t="n"/>
      <c r="CF65" s="481" t="n"/>
      <c r="CG65" s="481" t="n"/>
      <c r="CH65" s="481" t="n"/>
      <c r="CI65" s="481" t="n"/>
      <c r="CJ65" s="481" t="n"/>
      <c r="CK65" s="481" t="n"/>
      <c r="CL65" s="481" t="n"/>
      <c r="CM65" s="481" t="n"/>
      <c r="CN65" s="481" t="n"/>
      <c r="CO65" s="481" t="n"/>
      <c r="CP65" s="481" t="n"/>
      <c r="CQ65" s="481" t="n"/>
      <c r="CR65" s="481" t="n"/>
      <c r="CS65" s="481" t="n"/>
      <c r="CT65" s="481" t="n"/>
    </row>
    <row r="66" ht="15" customFormat="1" customHeight="1" s="381">
      <c r="A66" s="480" t="inlineStr">
        <is>
          <t>Ramsgate Dev Fee - 20% Occ</t>
        </is>
      </c>
      <c r="C66" s="481" t="n"/>
      <c r="D66" s="481" t="n"/>
      <c r="E66" s="481" t="n"/>
      <c r="F66" s="481" t="n"/>
      <c r="G66" s="481" t="n"/>
      <c r="H66" s="481" t="n"/>
      <c r="I66" s="481" t="n"/>
      <c r="J66" s="481" t="n"/>
      <c r="K66" s="481" t="n"/>
      <c r="L66" s="481" t="n"/>
      <c r="M66" s="481" t="n"/>
      <c r="N66" s="481" t="n"/>
      <c r="O66" s="481" t="n"/>
      <c r="P66" s="481" t="n"/>
      <c r="Q66" s="481" t="n"/>
      <c r="R66" s="481" t="n"/>
      <c r="S66" s="481" t="n"/>
      <c r="T66" s="481" t="n"/>
      <c r="U66" s="481" t="n"/>
      <c r="V66" s="481" t="n"/>
      <c r="W66" s="481" t="n"/>
      <c r="X66" s="481" t="n"/>
      <c r="Y66" s="481" t="n"/>
      <c r="Z66" s="481" t="n"/>
      <c r="AA66" s="481" t="n"/>
      <c r="AB66" s="481" t="n"/>
      <c r="AC66" s="481" t="n"/>
      <c r="AD66" s="481" t="n"/>
      <c r="AE66" s="481" t="n"/>
      <c r="AF66" s="481" t="n"/>
      <c r="AG66" s="481" t="n"/>
      <c r="AH66" s="481" t="n"/>
      <c r="AI66" s="481" t="n"/>
      <c r="AJ66" s="481" t="n"/>
      <c r="AK66" s="481" t="n"/>
      <c r="AL66" s="481" t="n"/>
      <c r="AM66" s="481" t="n"/>
      <c r="AN66" s="481" t="n"/>
      <c r="AO66" s="481" t="n"/>
      <c r="AP66" s="481" t="n"/>
      <c r="AQ66" s="481" t="n"/>
      <c r="AR66" s="481" t="n"/>
      <c r="AS66" s="481" t="n"/>
      <c r="AT66" s="481" t="n"/>
      <c r="AU66" s="481" t="n"/>
      <c r="AV66" s="481" t="n"/>
      <c r="AW66" s="481" t="n"/>
      <c r="AX66" s="481" t="n"/>
      <c r="AY66" s="481" t="n"/>
      <c r="AZ66" s="481" t="n"/>
      <c r="BA66" s="481" t="n"/>
      <c r="BB66" s="481" t="n"/>
      <c r="BC66" s="481" t="n"/>
      <c r="BD66" s="481" t="n"/>
      <c r="BE66" s="481" t="n"/>
      <c r="BF66" s="481" t="n"/>
      <c r="BG66" s="481" t="n"/>
      <c r="BH66" s="481" t="n"/>
      <c r="BI66" s="481" t="n"/>
      <c r="BJ66" s="481" t="n"/>
      <c r="BK66" s="481" t="n"/>
      <c r="BL66" s="481" t="n"/>
      <c r="BM66" s="481" t="n"/>
      <c r="BN66" s="481" t="n"/>
      <c r="BO66" s="481" t="n"/>
      <c r="BP66" s="481" t="n"/>
      <c r="BQ66" s="481" t="n"/>
      <c r="BR66" s="481" t="n"/>
      <c r="BS66" s="481" t="n"/>
      <c r="BT66" s="481" t="n"/>
      <c r="BU66" s="481" t="n"/>
      <c r="BV66" s="481" t="n"/>
      <c r="BW66" s="481" t="n"/>
      <c r="BX66" s="481" t="n"/>
      <c r="BY66" s="481" t="n"/>
      <c r="BZ66" s="481" t="n"/>
      <c r="CA66" s="481" t="n"/>
      <c r="CB66" s="481" t="n"/>
      <c r="CC66" s="481" t="n"/>
      <c r="CD66" s="481" t="n"/>
      <c r="CE66" s="481" t="n"/>
      <c r="CF66" s="481" t="n"/>
      <c r="CG66" s="481" t="n"/>
      <c r="CH66" s="481" t="n"/>
      <c r="CI66" s="481" t="n"/>
      <c r="CJ66" s="481" t="n"/>
      <c r="CK66" s="481" t="n"/>
      <c r="CL66" s="481" t="n"/>
      <c r="CM66" s="481" t="n"/>
      <c r="CN66" s="481" t="n"/>
      <c r="CO66" s="481" t="n"/>
      <c r="CP66" s="481" t="n"/>
      <c r="CQ66" s="481" t="n"/>
      <c r="CR66" s="481" t="n"/>
      <c r="CS66" s="481" t="n"/>
      <c r="CT66" s="481" t="n"/>
    </row>
    <row r="67" ht="15" customFormat="1" customHeight="1" s="381">
      <c r="A67" s="480" t="inlineStr">
        <is>
          <t>Ramsgate Dev Fee - 50% Occ</t>
        </is>
      </c>
      <c r="C67" s="481" t="n"/>
      <c r="D67" s="481" t="n"/>
      <c r="E67" s="481" t="n"/>
      <c r="F67" s="481" t="n"/>
      <c r="G67" s="481" t="n"/>
      <c r="H67" s="481" t="n"/>
      <c r="I67" s="481" t="n"/>
      <c r="J67" s="481" t="n"/>
      <c r="K67" s="481" t="n"/>
      <c r="L67" s="481" t="n"/>
      <c r="M67" s="481" t="n"/>
      <c r="N67" s="481" t="n"/>
      <c r="O67" s="481" t="n"/>
      <c r="P67" s="481" t="n"/>
      <c r="Q67" s="481" t="n"/>
      <c r="R67" s="481" t="n"/>
      <c r="S67" s="481" t="n"/>
      <c r="T67" s="481" t="n"/>
      <c r="U67" s="481" t="n"/>
      <c r="V67" s="481" t="n"/>
      <c r="W67" s="481" t="n"/>
      <c r="X67" s="481" t="n"/>
      <c r="Y67" s="481" t="n"/>
      <c r="Z67" s="481" t="n"/>
      <c r="AA67" s="481" t="n"/>
      <c r="AB67" s="481" t="n"/>
      <c r="AC67" s="481" t="n"/>
      <c r="AD67" s="481" t="n"/>
      <c r="AE67" s="481" t="n"/>
      <c r="AF67" s="481" t="n"/>
      <c r="AG67" s="481" t="n"/>
      <c r="AH67" s="481" t="n"/>
      <c r="AI67" s="481" t="n"/>
      <c r="AJ67" s="481" t="n"/>
      <c r="AK67" s="481" t="n"/>
      <c r="AL67" s="481" t="n"/>
      <c r="AM67" s="481" t="n"/>
      <c r="AN67" s="481" t="n"/>
      <c r="AO67" s="481" t="n"/>
      <c r="AP67" s="481" t="n"/>
      <c r="AQ67" s="481" t="n"/>
      <c r="AR67" s="481" t="n"/>
      <c r="AS67" s="481" t="n"/>
      <c r="AT67" s="481" t="n"/>
      <c r="AU67" s="481" t="n"/>
      <c r="AV67" s="481" t="n"/>
      <c r="AW67" s="481" t="n"/>
      <c r="AX67" s="481" t="n"/>
      <c r="AY67" s="481" t="n"/>
      <c r="AZ67" s="481" t="n"/>
      <c r="BA67" s="481" t="n"/>
      <c r="BB67" s="481" t="n"/>
      <c r="BC67" s="481" t="n"/>
      <c r="BD67" s="481" t="n"/>
      <c r="BE67" s="481" t="n"/>
      <c r="BF67" s="481" t="n"/>
      <c r="BG67" s="481" t="n"/>
      <c r="BH67" s="481" t="n"/>
      <c r="BI67" s="481" t="n"/>
      <c r="BJ67" s="481" t="n"/>
      <c r="BK67" s="481" t="n"/>
      <c r="BL67" s="481" t="n"/>
      <c r="BM67" s="481" t="n"/>
      <c r="BN67" s="481" t="n"/>
      <c r="BO67" s="481" t="n"/>
      <c r="BP67" s="481" t="n"/>
      <c r="BQ67" s="481" t="n"/>
      <c r="BR67" s="481" t="n"/>
      <c r="BS67" s="481" t="n"/>
      <c r="BT67" s="481" t="n"/>
      <c r="BU67" s="481" t="n"/>
      <c r="BV67" s="481" t="n"/>
      <c r="BW67" s="481" t="n"/>
      <c r="BX67" s="481" t="n"/>
      <c r="BY67" s="481" t="n"/>
      <c r="BZ67" s="481" t="n"/>
      <c r="CA67" s="481" t="n"/>
      <c r="CB67" s="481" t="n"/>
      <c r="CC67" s="481" t="n"/>
      <c r="CD67" s="481" t="n"/>
      <c r="CE67" s="481" t="n"/>
      <c r="CF67" s="481" t="n"/>
      <c r="CG67" s="481" t="n"/>
      <c r="CH67" s="481" t="n"/>
      <c r="CI67" s="481" t="n"/>
      <c r="CJ67" s="481" t="n"/>
      <c r="CK67" s="481" t="n"/>
      <c r="CL67" s="481" t="n"/>
      <c r="CM67" s="481" t="n"/>
      <c r="CN67" s="481" t="n"/>
      <c r="CO67" s="481" t="n"/>
      <c r="CP67" s="481" t="n"/>
      <c r="CQ67" s="481" t="n"/>
      <c r="CR67" s="481" t="n"/>
      <c r="CS67" s="481" t="n"/>
      <c r="CT67" s="481" t="n"/>
    </row>
    <row r="68" ht="15" customFormat="1" customHeight="1" s="381">
      <c r="A68" s="480" t="inlineStr">
        <is>
          <t>Ramsgate Dev Fee - 90% Occ</t>
        </is>
      </c>
      <c r="C68" s="481" t="n"/>
      <c r="D68" s="481" t="n"/>
      <c r="E68" s="481" t="n"/>
      <c r="F68" s="481" t="n"/>
      <c r="G68" s="481" t="n"/>
      <c r="H68" s="481" t="n"/>
      <c r="I68" s="481" t="n"/>
      <c r="J68" s="481" t="n"/>
      <c r="K68" s="481" t="n"/>
      <c r="L68" s="481" t="n"/>
      <c r="M68" s="481" t="n"/>
      <c r="N68" s="481" t="n"/>
      <c r="O68" s="481" t="n"/>
      <c r="P68" s="481" t="n"/>
      <c r="Q68" s="481" t="n"/>
      <c r="R68" s="481" t="n"/>
      <c r="S68" s="481" t="n"/>
      <c r="T68" s="481" t="n"/>
      <c r="U68" s="481" t="n"/>
      <c r="V68" s="481" t="n"/>
      <c r="W68" s="481" t="n"/>
      <c r="X68" s="481" t="n"/>
      <c r="Y68" s="481" t="n"/>
      <c r="Z68" s="481" t="n"/>
      <c r="AA68" s="481" t="n"/>
      <c r="AB68" s="481" t="n"/>
      <c r="AC68" s="481" t="n"/>
      <c r="AD68" s="481" t="n"/>
      <c r="AE68" s="481" t="n"/>
      <c r="AF68" s="481" t="n"/>
      <c r="AG68" s="481" t="n"/>
      <c r="AH68" s="481" t="n"/>
      <c r="AI68" s="481" t="n"/>
      <c r="AJ68" s="481" t="n"/>
      <c r="AK68" s="481" t="n"/>
      <c r="AL68" s="481" t="n"/>
      <c r="AM68" s="481" t="n"/>
      <c r="AN68" s="481" t="n"/>
      <c r="AO68" s="481" t="n"/>
      <c r="AP68" s="481" t="n"/>
      <c r="AQ68" s="481" t="n"/>
      <c r="AR68" s="481" t="n"/>
      <c r="AS68" s="481" t="n"/>
      <c r="AT68" s="481" t="n"/>
      <c r="AU68" s="481" t="n"/>
      <c r="AV68" s="481" t="n"/>
      <c r="AW68" s="481" t="n"/>
      <c r="AX68" s="481" t="n"/>
      <c r="AY68" s="481" t="n"/>
      <c r="AZ68" s="481" t="n"/>
      <c r="BA68" s="481" t="n"/>
      <c r="BB68" s="481" t="n"/>
      <c r="BC68" s="481" t="n"/>
      <c r="BD68" s="481" t="n"/>
      <c r="BE68" s="481" t="n"/>
      <c r="BF68" s="481" t="n"/>
      <c r="BG68" s="481" t="n"/>
      <c r="BH68" s="481" t="n"/>
      <c r="BI68" s="481" t="n"/>
      <c r="BJ68" s="481" t="n"/>
      <c r="BK68" s="481" t="n"/>
      <c r="BL68" s="481" t="n"/>
      <c r="BM68" s="481" t="n"/>
      <c r="BN68" s="481" t="n"/>
      <c r="BO68" s="481" t="n"/>
      <c r="BP68" s="481" t="n"/>
      <c r="BQ68" s="481" t="n"/>
      <c r="BR68" s="481" t="n"/>
      <c r="BS68" s="481" t="n"/>
      <c r="BT68" s="481" t="n"/>
      <c r="BU68" s="481" t="n"/>
      <c r="BV68" s="481" t="n"/>
      <c r="BW68" s="481" t="n"/>
      <c r="BX68" s="481" t="n"/>
      <c r="BY68" s="481" t="n"/>
      <c r="BZ68" s="481" t="n"/>
      <c r="CA68" s="481" t="n"/>
      <c r="CB68" s="481" t="n"/>
      <c r="CC68" s="481" t="n"/>
      <c r="CD68" s="481" t="n"/>
      <c r="CE68" s="481" t="n"/>
      <c r="CF68" s="481" t="n"/>
      <c r="CG68" s="481" t="n"/>
      <c r="CH68" s="481" t="n"/>
      <c r="CI68" s="481" t="n"/>
      <c r="CJ68" s="481" t="n"/>
      <c r="CK68" s="481" t="n"/>
      <c r="CL68" s="481" t="n"/>
      <c r="CM68" s="481" t="n"/>
      <c r="CN68" s="481" t="n"/>
      <c r="CO68" s="481" t="n"/>
      <c r="CP68" s="481" t="n"/>
      <c r="CQ68" s="481" t="n"/>
      <c r="CR68" s="481" t="n"/>
      <c r="CS68" s="481" t="n"/>
      <c r="CT68" s="481" t="n"/>
    </row>
    <row r="69" ht="15" customFormat="1" customHeight="1" s="381">
      <c r="A69" s="480" t="inlineStr">
        <is>
          <t>Crenshaw Development Fee</t>
        </is>
      </c>
      <c r="C69" s="481" t="n">
        <v>9375</v>
      </c>
      <c r="D69" s="481" t="n">
        <v>9375</v>
      </c>
      <c r="E69" s="481" t="n">
        <v>9375</v>
      </c>
      <c r="F69" s="481" t="n">
        <v>9375</v>
      </c>
      <c r="G69" s="481" t="n">
        <v>9375</v>
      </c>
      <c r="H69" s="481" t="n">
        <v>9375</v>
      </c>
      <c r="I69" s="481" t="n"/>
      <c r="J69" s="481" t="n"/>
      <c r="K69" s="481" t="n"/>
      <c r="L69" s="481" t="n"/>
      <c r="M69" s="481" t="n"/>
      <c r="N69" s="481" t="n"/>
      <c r="O69" s="481" t="n"/>
      <c r="P69" s="481" t="n"/>
      <c r="Q69" s="481" t="n"/>
      <c r="R69" s="481" t="n"/>
      <c r="S69" s="481" t="n"/>
      <c r="T69" s="481" t="n"/>
      <c r="U69" s="481" t="n"/>
      <c r="V69" s="481" t="n"/>
      <c r="W69" s="481" t="n"/>
      <c r="X69" s="481" t="n"/>
      <c r="Y69" s="481" t="n"/>
      <c r="Z69" s="481" t="n"/>
      <c r="AA69" s="481" t="n"/>
      <c r="AB69" s="481" t="n"/>
      <c r="AC69" s="481" t="n"/>
      <c r="AD69" s="481" t="n"/>
      <c r="AE69" s="481" t="n"/>
      <c r="AF69" s="481" t="n"/>
      <c r="AG69" s="481" t="n"/>
      <c r="AH69" s="481" t="n"/>
      <c r="AI69" s="481" t="n"/>
      <c r="AJ69" s="481" t="n"/>
      <c r="AK69" s="481" t="n"/>
      <c r="AL69" s="481" t="n"/>
      <c r="AM69" s="481" t="n"/>
      <c r="AN69" s="481" t="n"/>
      <c r="AO69" s="481" t="n"/>
      <c r="AP69" s="481" t="n"/>
      <c r="AQ69" s="481" t="n"/>
      <c r="AR69" s="481" t="n"/>
      <c r="AS69" s="481" t="n"/>
      <c r="AT69" s="481" t="n"/>
      <c r="AU69" s="481" t="n"/>
      <c r="AV69" s="481" t="n"/>
      <c r="AW69" s="481" t="n"/>
      <c r="AX69" s="481" t="n"/>
      <c r="AY69" s="481" t="n"/>
      <c r="AZ69" s="481" t="n"/>
      <c r="BA69" s="481" t="n"/>
      <c r="BB69" s="481" t="n"/>
      <c r="BC69" s="481" t="n"/>
      <c r="BD69" s="481" t="n"/>
      <c r="BE69" s="481" t="n"/>
      <c r="BF69" s="481" t="n"/>
      <c r="BG69" s="481" t="n"/>
      <c r="BH69" s="481" t="n"/>
      <c r="BI69" s="481" t="n"/>
      <c r="BJ69" s="481" t="n"/>
      <c r="BK69" s="481" t="n"/>
      <c r="BL69" s="481" t="n"/>
      <c r="BM69" s="481" t="n"/>
      <c r="BN69" s="481" t="n"/>
      <c r="BO69" s="481" t="n"/>
      <c r="BP69" s="481" t="n"/>
      <c r="BQ69" s="481" t="n"/>
      <c r="BR69" s="481" t="n"/>
      <c r="BS69" s="481" t="n"/>
      <c r="BT69" s="481" t="n"/>
      <c r="BU69" s="481" t="n"/>
      <c r="BV69" s="481" t="n"/>
      <c r="BW69" s="481" t="n"/>
      <c r="BX69" s="481" t="n"/>
      <c r="BY69" s="481" t="n"/>
      <c r="BZ69" s="481" t="n"/>
      <c r="CA69" s="481" t="n"/>
      <c r="CB69" s="481" t="n"/>
      <c r="CC69" s="481" t="n"/>
      <c r="CD69" s="481" t="n"/>
      <c r="CE69" s="481" t="n"/>
      <c r="CF69" s="481" t="n"/>
      <c r="CG69" s="481" t="n"/>
      <c r="CH69" s="481" t="n"/>
      <c r="CI69" s="481" t="n"/>
      <c r="CJ69" s="481" t="n"/>
      <c r="CK69" s="481" t="n"/>
      <c r="CL69" s="481" t="n"/>
      <c r="CM69" s="481" t="n"/>
      <c r="CN69" s="481" t="n"/>
      <c r="CO69" s="481" t="n"/>
      <c r="CP69" s="481" t="n"/>
      <c r="CQ69" s="481" t="n"/>
      <c r="CR69" s="481" t="n"/>
      <c r="CS69" s="481" t="n"/>
      <c r="CT69" s="481" t="n"/>
    </row>
    <row r="70" ht="15" customFormat="1" customHeight="1" s="381">
      <c r="A70" s="480" t="inlineStr">
        <is>
          <t>12th &amp; Fir Developer Fee</t>
        </is>
      </c>
      <c r="C70" s="481" t="n"/>
      <c r="D70" s="481" t="n"/>
      <c r="E70" s="481" t="n"/>
      <c r="F70" s="481" t="n"/>
      <c r="G70" s="481" t="n"/>
      <c r="H70" s="481" t="n"/>
      <c r="I70" s="481" t="n"/>
      <c r="J70" s="481" t="n"/>
      <c r="K70" s="481" t="n"/>
      <c r="L70" s="481" t="n"/>
      <c r="M70" s="481" t="n"/>
      <c r="N70" s="481" t="n"/>
      <c r="O70" s="481" t="n"/>
      <c r="P70" s="481" t="n"/>
      <c r="Q70" s="481" t="n"/>
      <c r="R70" s="481" t="n"/>
      <c r="S70" s="481" t="n"/>
      <c r="T70" s="481" t="n"/>
      <c r="U70" s="481" t="n"/>
      <c r="V70" s="481" t="n"/>
      <c r="W70" s="481" t="n"/>
      <c r="X70" s="481" t="n"/>
      <c r="Y70" s="481" t="n"/>
      <c r="Z70" s="481" t="n"/>
      <c r="AA70" s="481" t="n"/>
      <c r="AB70" s="481" t="n"/>
      <c r="AC70" s="481" t="n"/>
      <c r="AD70" s="481" t="n"/>
      <c r="AE70" s="481" t="n"/>
      <c r="AF70" s="481" t="n"/>
      <c r="AG70" s="481" t="n"/>
      <c r="AH70" s="481" t="n"/>
      <c r="AI70" s="481" t="n"/>
      <c r="AJ70" s="481" t="n"/>
      <c r="AK70" s="481" t="n"/>
      <c r="AL70" s="481" t="n"/>
      <c r="AM70" s="481" t="n"/>
      <c r="AN70" s="481" t="n"/>
      <c r="AO70" s="481" t="n"/>
      <c r="AP70" s="481" t="n"/>
      <c r="AQ70" s="481" t="n"/>
      <c r="AR70" s="481" t="n"/>
      <c r="AS70" s="481" t="n"/>
      <c r="AT70" s="481" t="n"/>
      <c r="AU70" s="481" t="n"/>
      <c r="AV70" s="481" t="n"/>
      <c r="AW70" s="481" t="n"/>
      <c r="AX70" s="481" t="n"/>
      <c r="AY70" s="481" t="n"/>
      <c r="AZ70" s="481" t="n"/>
      <c r="BA70" s="481" t="n"/>
      <c r="BB70" s="481" t="n"/>
      <c r="BC70" s="481" t="n"/>
      <c r="BD70" s="481" t="n"/>
      <c r="BE70" s="481" t="n"/>
      <c r="BF70" s="481" t="n"/>
      <c r="BG70" s="481" t="n"/>
      <c r="BH70" s="481" t="n"/>
      <c r="BI70" s="481" t="n"/>
      <c r="BJ70" s="481" t="n"/>
      <c r="BK70" s="481" t="n"/>
      <c r="BL70" s="481" t="n"/>
      <c r="BM70" s="481" t="n"/>
      <c r="BN70" s="481" t="n"/>
      <c r="BO70" s="481" t="n"/>
      <c r="BP70" s="481" t="n"/>
      <c r="BQ70" s="481" t="n"/>
      <c r="BR70" s="481" t="n"/>
      <c r="BS70" s="481" t="n"/>
      <c r="BT70" s="481" t="n"/>
      <c r="BU70" s="481" t="n"/>
      <c r="BV70" s="481" t="n"/>
      <c r="BW70" s="481" t="n"/>
      <c r="BX70" s="481" t="n"/>
      <c r="BY70" s="481" t="n"/>
      <c r="BZ70" s="481" t="n"/>
      <c r="CA70" s="481" t="n"/>
      <c r="CB70" s="481" t="n"/>
      <c r="CC70" s="481" t="n"/>
      <c r="CD70" s="481" t="n"/>
      <c r="CE70" s="481" t="n"/>
      <c r="CF70" s="481" t="n"/>
      <c r="CG70" s="481" t="n"/>
      <c r="CH70" s="481" t="n"/>
      <c r="CI70" s="481" t="n"/>
      <c r="CJ70" s="481" t="n"/>
      <c r="CK70" s="481" t="n"/>
      <c r="CL70" s="481" t="n"/>
      <c r="CM70" s="481" t="n"/>
      <c r="CN70" s="481" t="n"/>
      <c r="CO70" s="481" t="n"/>
      <c r="CP70" s="481" t="n"/>
      <c r="CQ70" s="481" t="n"/>
      <c r="CR70" s="481" t="n"/>
      <c r="CS70" s="481" t="n"/>
      <c r="CT70" s="481" t="n"/>
    </row>
    <row r="71" ht="15" customFormat="1" customHeight="1" s="381">
      <c r="A71" s="480" t="inlineStr">
        <is>
          <t>Klump Accounting Fee</t>
        </is>
      </c>
      <c r="C71" s="481" t="n"/>
      <c r="D71" s="481" t="n"/>
      <c r="E71" s="481" t="n"/>
      <c r="F71" s="481" t="n"/>
      <c r="G71" s="481" t="n"/>
      <c r="H71" s="481" t="n"/>
      <c r="I71" s="481" t="n"/>
      <c r="J71" s="481" t="n"/>
      <c r="K71" s="481" t="n"/>
      <c r="L71" s="481" t="n"/>
      <c r="M71" s="481" t="n"/>
      <c r="N71" s="481" t="n"/>
      <c r="O71" s="481" t="n"/>
      <c r="P71" s="481" t="n"/>
      <c r="Q71" s="481" t="n"/>
      <c r="R71" s="481" t="n"/>
      <c r="S71" s="481" t="n"/>
      <c r="T71" s="481" t="n"/>
      <c r="U71" s="481" t="n"/>
      <c r="V71" s="481" t="n"/>
      <c r="W71" s="481" t="n"/>
      <c r="X71" s="481" t="n"/>
      <c r="Y71" s="481" t="n"/>
      <c r="Z71" s="481" t="n"/>
      <c r="AA71" s="481" t="n"/>
      <c r="AB71" s="481" t="n"/>
      <c r="AC71" s="481" t="n"/>
      <c r="AD71" s="481" t="n"/>
      <c r="AE71" s="481" t="n"/>
      <c r="AF71" s="481" t="n"/>
      <c r="AG71" s="481" t="n"/>
      <c r="AH71" s="481" t="n"/>
      <c r="AI71" s="481" t="n"/>
      <c r="AJ71" s="481" t="n"/>
      <c r="AK71" s="481" t="n"/>
      <c r="AL71" s="481" t="n"/>
      <c r="AM71" s="481" t="n"/>
      <c r="AN71" s="481" t="n"/>
      <c r="AO71" s="481" t="n"/>
      <c r="AP71" s="481" t="n"/>
      <c r="AQ71" s="481" t="n"/>
      <c r="AR71" s="481" t="n"/>
      <c r="AS71" s="481" t="n"/>
      <c r="AT71" s="481" t="n"/>
      <c r="AU71" s="481" t="n"/>
      <c r="AV71" s="481" t="n"/>
      <c r="AW71" s="481" t="n"/>
      <c r="AX71" s="481" t="n"/>
      <c r="AY71" s="481" t="n"/>
      <c r="AZ71" s="481" t="n"/>
      <c r="BA71" s="481" t="n"/>
      <c r="BB71" s="481" t="n"/>
      <c r="BC71" s="481" t="n"/>
      <c r="BD71" s="481" t="n"/>
      <c r="BE71" s="481" t="n"/>
      <c r="BF71" s="481" t="n"/>
      <c r="BG71" s="481" t="n"/>
      <c r="BH71" s="481" t="n"/>
      <c r="BI71" s="481" t="n"/>
      <c r="BJ71" s="481" t="n"/>
      <c r="BK71" s="481" t="n"/>
      <c r="BL71" s="481" t="n"/>
      <c r="BM71" s="481" t="n"/>
      <c r="BN71" s="481" t="n"/>
      <c r="BO71" s="481" t="n"/>
      <c r="BP71" s="481" t="n"/>
      <c r="BQ71" s="481" t="n"/>
      <c r="BR71" s="481" t="n"/>
      <c r="BS71" s="481" t="n"/>
      <c r="BT71" s="481" t="n"/>
      <c r="BU71" s="481" t="n"/>
      <c r="BV71" s="481" t="n"/>
      <c r="BW71" s="481" t="n"/>
      <c r="BX71" s="481" t="n"/>
      <c r="BY71" s="481" t="n"/>
      <c r="BZ71" s="481" t="n"/>
      <c r="CA71" s="481" t="n"/>
      <c r="CB71" s="481" t="n"/>
      <c r="CC71" s="481" t="n"/>
      <c r="CD71" s="481" t="n"/>
      <c r="CE71" s="481" t="n"/>
      <c r="CF71" s="481" t="n"/>
      <c r="CG71" s="481" t="n"/>
      <c r="CH71" s="481" t="n"/>
      <c r="CI71" s="481" t="n"/>
      <c r="CJ71" s="481" t="n"/>
      <c r="CK71" s="481" t="n"/>
      <c r="CL71" s="481" t="n"/>
      <c r="CM71" s="481" t="n"/>
      <c r="CN71" s="481" t="n"/>
      <c r="CO71" s="481" t="n"/>
      <c r="CP71" s="481" t="n"/>
      <c r="CQ71" s="481" t="n"/>
      <c r="CR71" s="481" t="n"/>
      <c r="CS71" s="481" t="n"/>
      <c r="CT71" s="481" t="n"/>
    </row>
    <row r="72" ht="15" customFormat="1" customHeight="1" s="381">
      <c r="A72" s="480" t="inlineStr">
        <is>
          <t>Klump Developer Fee</t>
        </is>
      </c>
      <c r="C72" s="481" t="n"/>
      <c r="D72" s="481" t="n"/>
      <c r="E72" s="481" t="n"/>
      <c r="F72" s="481" t="n"/>
      <c r="G72" s="481" t="n"/>
      <c r="H72" s="481" t="n"/>
      <c r="I72" s="481" t="n"/>
      <c r="J72" s="481" t="n"/>
      <c r="K72" s="481" t="n"/>
      <c r="L72" s="481" t="n"/>
      <c r="M72" s="481" t="n"/>
      <c r="N72" s="481" t="n"/>
      <c r="O72" s="481" t="n"/>
      <c r="P72" s="481" t="n"/>
      <c r="Q72" s="481" t="n"/>
      <c r="R72" s="481" t="n"/>
      <c r="S72" s="481" t="n"/>
      <c r="T72" s="481" t="n"/>
      <c r="U72" s="481" t="n"/>
      <c r="V72" s="481" t="n"/>
      <c r="W72" s="481" t="n"/>
      <c r="X72" s="481" t="n"/>
      <c r="Y72" s="481" t="n"/>
      <c r="Z72" s="481" t="n"/>
      <c r="AA72" s="481" t="n"/>
      <c r="AB72" s="481" t="n"/>
      <c r="AC72" s="481" t="n"/>
      <c r="AD72" s="481" t="n"/>
      <c r="AE72" s="481" t="n"/>
      <c r="AF72" s="481" t="n"/>
      <c r="AG72" s="481" t="n"/>
      <c r="AH72" s="481" t="n"/>
      <c r="AI72" s="481" t="n"/>
      <c r="AJ72" s="481" t="n"/>
      <c r="AK72" s="481" t="n"/>
      <c r="AL72" s="481" t="n"/>
      <c r="AM72" s="481" t="n"/>
      <c r="AN72" s="481" t="n"/>
      <c r="AO72" s="481" t="n"/>
      <c r="AP72" s="481" t="n"/>
      <c r="AQ72" s="481" t="n"/>
      <c r="AR72" s="481" t="n"/>
      <c r="AS72" s="481" t="n"/>
      <c r="AT72" s="481" t="n"/>
      <c r="AU72" s="481" t="n"/>
      <c r="AV72" s="481" t="n"/>
      <c r="AW72" s="481" t="n"/>
      <c r="AX72" s="481" t="n"/>
      <c r="AY72" s="481" t="n"/>
      <c r="AZ72" s="481" t="n"/>
      <c r="BA72" s="481" t="n"/>
      <c r="BB72" s="481" t="n"/>
      <c r="BC72" s="481" t="n"/>
      <c r="BD72" s="481" t="n"/>
      <c r="BE72" s="481" t="n"/>
      <c r="BF72" s="481" t="n"/>
      <c r="BG72" s="481" t="n"/>
      <c r="BH72" s="481" t="n"/>
      <c r="BI72" s="481" t="n"/>
      <c r="BJ72" s="481" t="n"/>
      <c r="BK72" s="481" t="n"/>
      <c r="BL72" s="481" t="n"/>
      <c r="BM72" s="481" t="n"/>
      <c r="BN72" s="481" t="n"/>
      <c r="BO72" s="481" t="n"/>
      <c r="BP72" s="481" t="n"/>
      <c r="BQ72" s="481" t="n"/>
      <c r="BR72" s="481" t="n"/>
      <c r="BS72" s="481" t="n"/>
      <c r="BT72" s="481" t="n"/>
      <c r="BU72" s="481" t="n"/>
      <c r="BV72" s="481" t="n"/>
      <c r="BW72" s="481" t="n"/>
      <c r="BX72" s="481" t="n"/>
      <c r="BY72" s="481" t="n"/>
      <c r="BZ72" s="481" t="n"/>
      <c r="CA72" s="481" t="n"/>
      <c r="CB72" s="481" t="n"/>
      <c r="CC72" s="481" t="n"/>
      <c r="CD72" s="481" t="n"/>
      <c r="CE72" s="481" t="n"/>
      <c r="CF72" s="481" t="n"/>
      <c r="CG72" s="481" t="n"/>
      <c r="CH72" s="481" t="n"/>
      <c r="CI72" s="481" t="n"/>
      <c r="CJ72" s="481" t="n"/>
      <c r="CK72" s="481" t="n"/>
      <c r="CL72" s="481" t="n"/>
      <c r="CM72" s="481" t="n"/>
      <c r="CN72" s="481" t="n"/>
      <c r="CO72" s="481" t="n"/>
      <c r="CP72" s="481" t="n"/>
      <c r="CQ72" s="481" t="n"/>
      <c r="CR72" s="481" t="n"/>
      <c r="CS72" s="481" t="n"/>
      <c r="CT72" s="481" t="n"/>
    </row>
    <row r="73" ht="15" customFormat="1" customHeight="1" s="381">
      <c r="A73" s="480" t="inlineStr">
        <is>
          <t>Klump Guarantee Fee</t>
        </is>
      </c>
      <c r="C73" s="481" t="n"/>
      <c r="D73" s="481" t="n"/>
      <c r="E73" s="481" t="n"/>
      <c r="F73" s="481" t="n"/>
      <c r="G73" s="481" t="n"/>
      <c r="H73" s="481" t="n"/>
      <c r="I73" s="481" t="n"/>
      <c r="J73" s="481" t="n"/>
      <c r="K73" s="481" t="n"/>
      <c r="L73" s="481" t="n"/>
      <c r="M73" s="481" t="n"/>
      <c r="N73" s="481" t="n"/>
      <c r="O73" s="481" t="n"/>
      <c r="P73" s="481" t="n"/>
      <c r="Q73" s="481" t="n"/>
      <c r="R73" s="481" t="n"/>
      <c r="S73" s="481" t="n"/>
      <c r="T73" s="481" t="n"/>
      <c r="U73" s="481" t="n"/>
      <c r="V73" s="481" t="n"/>
      <c r="W73" s="481" t="n"/>
      <c r="X73" s="481" t="n"/>
      <c r="Y73" s="481" t="n"/>
      <c r="Z73" s="481" t="n"/>
      <c r="AA73" s="481" t="n"/>
      <c r="AB73" s="481" t="n"/>
      <c r="AC73" s="481" t="n"/>
      <c r="AD73" s="481" t="n"/>
      <c r="AE73" s="481" t="n"/>
      <c r="AF73" s="481" t="n"/>
      <c r="AG73" s="481" t="n"/>
      <c r="AH73" s="481" t="n"/>
      <c r="AI73" s="481" t="n"/>
      <c r="AJ73" s="481" t="n"/>
      <c r="AK73" s="481" t="n"/>
      <c r="AL73" s="481" t="n"/>
      <c r="AM73" s="481" t="n"/>
      <c r="AN73" s="481" t="n"/>
      <c r="AO73" s="481" t="n"/>
      <c r="AP73" s="481" t="n"/>
      <c r="AQ73" s="481" t="n"/>
      <c r="AR73" s="481" t="n"/>
      <c r="AS73" s="481" t="n"/>
      <c r="AT73" s="481" t="n"/>
      <c r="AU73" s="481" t="n"/>
      <c r="AV73" s="481" t="n"/>
      <c r="AW73" s="481" t="n"/>
      <c r="AX73" s="481" t="n"/>
      <c r="AY73" s="481" t="n"/>
      <c r="AZ73" s="481" t="n"/>
      <c r="BA73" s="481" t="n"/>
      <c r="BB73" s="481" t="n"/>
      <c r="BC73" s="481" t="n"/>
      <c r="BD73" s="481" t="n"/>
      <c r="BE73" s="481" t="n"/>
      <c r="BF73" s="481" t="n"/>
      <c r="BG73" s="481" t="n"/>
      <c r="BH73" s="481" t="n"/>
      <c r="BI73" s="481" t="n"/>
      <c r="BJ73" s="481" t="n"/>
      <c r="BK73" s="481" t="n"/>
      <c r="BL73" s="481" t="n"/>
      <c r="BM73" s="481" t="n"/>
      <c r="BN73" s="481" t="n"/>
      <c r="BO73" s="481" t="n"/>
      <c r="BP73" s="481" t="n"/>
      <c r="BQ73" s="481" t="n"/>
      <c r="BR73" s="481" t="n"/>
      <c r="BS73" s="481" t="n"/>
      <c r="BT73" s="481" t="n"/>
      <c r="BU73" s="481" t="n"/>
      <c r="BV73" s="481" t="n"/>
      <c r="BW73" s="481" t="n"/>
      <c r="BX73" s="481" t="n"/>
      <c r="BY73" s="481" t="n"/>
      <c r="BZ73" s="481" t="n"/>
      <c r="CA73" s="481" t="n"/>
      <c r="CB73" s="481" t="n"/>
      <c r="CC73" s="481" t="n"/>
      <c r="CD73" s="481" t="n"/>
      <c r="CE73" s="481" t="n"/>
      <c r="CF73" s="481" t="n"/>
      <c r="CG73" s="481" t="n"/>
      <c r="CH73" s="481" t="n"/>
      <c r="CI73" s="481" t="n"/>
      <c r="CJ73" s="481" t="n"/>
      <c r="CK73" s="481" t="n"/>
      <c r="CL73" s="481" t="n"/>
      <c r="CM73" s="481" t="n"/>
      <c r="CN73" s="481" t="n"/>
      <c r="CO73" s="481" t="n"/>
      <c r="CP73" s="481" t="n"/>
      <c r="CQ73" s="481" t="n"/>
      <c r="CR73" s="481" t="n"/>
      <c r="CS73" s="481" t="n"/>
      <c r="CT73" s="481" t="n"/>
    </row>
    <row r="74" ht="15" customFormat="1" customHeight="1" s="381">
      <c r="A74" s="480" t="inlineStr">
        <is>
          <t>Scott Accounting Fee</t>
        </is>
      </c>
      <c r="C74" s="481" t="n"/>
      <c r="D74" s="481" t="n"/>
      <c r="E74" s="481" t="n"/>
      <c r="F74" s="481" t="n"/>
      <c r="G74" s="481" t="n"/>
      <c r="H74" s="481" t="n"/>
      <c r="I74" s="481" t="n"/>
      <c r="J74" s="481" t="n"/>
      <c r="K74" s="481" t="n"/>
      <c r="L74" s="481" t="n"/>
      <c r="M74" s="481" t="n"/>
      <c r="N74" s="481" t="n"/>
      <c r="O74" s="481" t="n"/>
      <c r="P74" s="481" t="n"/>
      <c r="Q74" s="481" t="n"/>
      <c r="R74" s="481" t="n"/>
      <c r="S74" s="481" t="n"/>
      <c r="T74" s="481" t="n"/>
      <c r="U74" s="481" t="n"/>
      <c r="V74" s="481" t="n"/>
      <c r="W74" s="481" t="n"/>
      <c r="X74" s="481" t="n"/>
      <c r="Y74" s="481" t="n"/>
      <c r="Z74" s="481" t="n"/>
      <c r="AA74" s="481" t="n"/>
      <c r="AB74" s="481" t="n"/>
      <c r="AC74" s="481" t="n"/>
      <c r="AD74" s="481" t="n"/>
      <c r="AE74" s="481" t="n"/>
      <c r="AF74" s="481" t="n"/>
      <c r="AG74" s="481" t="n"/>
      <c r="AH74" s="481" t="n"/>
      <c r="AI74" s="481" t="n"/>
      <c r="AJ74" s="481" t="n"/>
      <c r="AK74" s="481" t="n"/>
      <c r="AL74" s="481" t="n"/>
      <c r="AM74" s="481" t="n"/>
      <c r="AN74" s="481" t="n"/>
      <c r="AO74" s="481" t="n"/>
      <c r="AP74" s="481" t="n"/>
      <c r="AQ74" s="481" t="n"/>
      <c r="AR74" s="481" t="n"/>
      <c r="AS74" s="481" t="n"/>
      <c r="AT74" s="481" t="n"/>
      <c r="AU74" s="481" t="n"/>
      <c r="AV74" s="481" t="n"/>
      <c r="AW74" s="481" t="n"/>
      <c r="AX74" s="481" t="n"/>
      <c r="AY74" s="481" t="n"/>
      <c r="AZ74" s="481" t="n"/>
      <c r="BA74" s="481" t="n"/>
      <c r="BB74" s="481" t="n"/>
      <c r="BC74" s="481" t="n"/>
      <c r="BD74" s="481" t="n"/>
      <c r="BE74" s="481" t="n"/>
      <c r="BF74" s="481" t="n"/>
      <c r="BG74" s="481" t="n"/>
      <c r="BH74" s="481" t="n"/>
      <c r="BI74" s="481" t="n"/>
      <c r="BJ74" s="481" t="n"/>
      <c r="BK74" s="481" t="n"/>
      <c r="BL74" s="481" t="n"/>
      <c r="BM74" s="481" t="n"/>
      <c r="BN74" s="481" t="n"/>
      <c r="BO74" s="481" t="n"/>
      <c r="BP74" s="481" t="n"/>
      <c r="BQ74" s="481" t="n"/>
      <c r="BR74" s="481" t="n"/>
      <c r="BS74" s="481" t="n"/>
      <c r="BT74" s="481" t="n"/>
      <c r="BU74" s="481" t="n"/>
      <c r="BV74" s="481" t="n"/>
      <c r="BW74" s="481" t="n"/>
      <c r="BX74" s="481" t="n"/>
      <c r="BY74" s="481" t="n"/>
      <c r="BZ74" s="481" t="n"/>
      <c r="CA74" s="481" t="n"/>
      <c r="CB74" s="481" t="n"/>
      <c r="CC74" s="481" t="n"/>
      <c r="CD74" s="481" t="n"/>
      <c r="CE74" s="481" t="n"/>
      <c r="CF74" s="481" t="n"/>
      <c r="CG74" s="481" t="n"/>
      <c r="CH74" s="481" t="n"/>
      <c r="CI74" s="481" t="n"/>
      <c r="CJ74" s="481" t="n"/>
      <c r="CK74" s="481" t="n"/>
      <c r="CL74" s="481" t="n"/>
      <c r="CM74" s="481" t="n"/>
      <c r="CN74" s="481" t="n"/>
      <c r="CO74" s="481" t="n"/>
      <c r="CP74" s="481" t="n"/>
      <c r="CQ74" s="481" t="n"/>
      <c r="CR74" s="481" t="n"/>
      <c r="CS74" s="481" t="n"/>
      <c r="CT74" s="481" t="n"/>
    </row>
    <row r="75" ht="15" customFormat="1" customHeight="1" s="381">
      <c r="A75" s="480" t="inlineStr">
        <is>
          <t>Scott Developer Fee</t>
        </is>
      </c>
      <c r="C75" s="481" t="n"/>
      <c r="D75" s="481" t="n"/>
      <c r="E75" s="481" t="n"/>
      <c r="F75" s="481" t="n"/>
      <c r="G75" s="481" t="n"/>
      <c r="H75" s="481" t="n"/>
      <c r="I75" s="481" t="n"/>
      <c r="J75" s="481" t="n"/>
      <c r="K75" s="481" t="n"/>
      <c r="L75" s="481" t="n"/>
      <c r="M75" s="481" t="n"/>
      <c r="N75" s="481" t="n"/>
      <c r="O75" s="481" t="n"/>
      <c r="P75" s="481" t="n"/>
      <c r="Q75" s="481" t="n"/>
      <c r="R75" s="481" t="n"/>
      <c r="S75" s="481" t="n"/>
      <c r="T75" s="481" t="n"/>
      <c r="U75" s="481" t="n"/>
      <c r="V75" s="481" t="n"/>
      <c r="W75" s="481" t="n"/>
      <c r="X75" s="481" t="n"/>
      <c r="Y75" s="481" t="n"/>
      <c r="Z75" s="481" t="n"/>
      <c r="AA75" s="481" t="n"/>
      <c r="AB75" s="481" t="n"/>
      <c r="AC75" s="481" t="n"/>
      <c r="AD75" s="481" t="n"/>
      <c r="AE75" s="481" t="n"/>
      <c r="AF75" s="481" t="n"/>
      <c r="AG75" s="481" t="n"/>
      <c r="AH75" s="481" t="n"/>
      <c r="AI75" s="481" t="n"/>
      <c r="AJ75" s="481" t="n"/>
      <c r="AK75" s="481" t="n"/>
      <c r="AL75" s="481" t="n"/>
      <c r="AM75" s="481" t="n"/>
      <c r="AN75" s="481" t="n"/>
      <c r="AO75" s="481" t="n"/>
      <c r="AP75" s="481" t="n"/>
      <c r="AQ75" s="481" t="n"/>
      <c r="AR75" s="481" t="n"/>
      <c r="AS75" s="481" t="n"/>
      <c r="AT75" s="481" t="n"/>
      <c r="AU75" s="481" t="n"/>
      <c r="AV75" s="481" t="n"/>
      <c r="AW75" s="481" t="n"/>
      <c r="AX75" s="481" t="n"/>
      <c r="AY75" s="481" t="n"/>
      <c r="AZ75" s="481" t="n"/>
      <c r="BA75" s="481" t="n"/>
      <c r="BB75" s="481" t="n"/>
      <c r="BC75" s="481" t="n"/>
      <c r="BD75" s="481" t="n"/>
      <c r="BE75" s="481" t="n"/>
      <c r="BF75" s="481" t="n"/>
      <c r="BG75" s="481" t="n"/>
      <c r="BH75" s="481" t="n"/>
      <c r="BI75" s="481" t="n"/>
      <c r="BJ75" s="481" t="n"/>
      <c r="BK75" s="481" t="n"/>
      <c r="BL75" s="481" t="n"/>
      <c r="BM75" s="481" t="n"/>
      <c r="BN75" s="481" t="n"/>
      <c r="BO75" s="481" t="n"/>
      <c r="BP75" s="481" t="n"/>
      <c r="BQ75" s="481" t="n"/>
      <c r="BR75" s="481" t="n"/>
      <c r="BS75" s="481" t="n"/>
      <c r="BT75" s="481" t="n"/>
      <c r="BU75" s="481" t="n"/>
      <c r="BV75" s="481" t="n"/>
      <c r="BW75" s="481" t="n"/>
      <c r="BX75" s="481" t="n"/>
      <c r="BY75" s="481" t="n"/>
      <c r="BZ75" s="481" t="n"/>
      <c r="CA75" s="481" t="n"/>
      <c r="CB75" s="481" t="n"/>
      <c r="CC75" s="481" t="n"/>
      <c r="CD75" s="481" t="n"/>
      <c r="CE75" s="481" t="n"/>
      <c r="CF75" s="481" t="n"/>
      <c r="CG75" s="481" t="n"/>
      <c r="CH75" s="481" t="n"/>
      <c r="CI75" s="481" t="n"/>
      <c r="CJ75" s="481" t="n"/>
      <c r="CK75" s="481" t="n"/>
      <c r="CL75" s="481" t="n"/>
      <c r="CM75" s="481" t="n"/>
      <c r="CN75" s="481" t="n"/>
      <c r="CO75" s="481" t="n"/>
      <c r="CP75" s="481" t="n"/>
      <c r="CQ75" s="481" t="n"/>
      <c r="CR75" s="481" t="n"/>
      <c r="CS75" s="481" t="n"/>
      <c r="CT75" s="481" t="n"/>
    </row>
    <row r="76" ht="15" customFormat="1" customHeight="1" s="381">
      <c r="A76" s="480" t="inlineStr">
        <is>
          <t>Scott Guarantee Fee</t>
        </is>
      </c>
      <c r="C76" s="481" t="n"/>
      <c r="D76" s="481" t="n"/>
      <c r="E76" s="481" t="n"/>
      <c r="F76" s="481" t="n"/>
      <c r="G76" s="481" t="n"/>
      <c r="H76" s="481" t="n"/>
      <c r="I76" s="481" t="n"/>
      <c r="J76" s="481" t="n"/>
      <c r="K76" s="481" t="n"/>
      <c r="L76" s="481" t="n"/>
      <c r="M76" s="481" t="n"/>
      <c r="N76" s="481" t="n"/>
      <c r="O76" s="481" t="n"/>
      <c r="P76" s="481" t="n"/>
      <c r="Q76" s="481" t="n"/>
      <c r="R76" s="481" t="n"/>
      <c r="S76" s="481" t="n"/>
      <c r="T76" s="481" t="n"/>
      <c r="U76" s="481" t="n"/>
      <c r="V76" s="481" t="n"/>
      <c r="W76" s="481" t="n"/>
      <c r="X76" s="481" t="n"/>
      <c r="Y76" s="481" t="n"/>
      <c r="Z76" s="481" t="n"/>
      <c r="AA76" s="481" t="n"/>
      <c r="AB76" s="481" t="n"/>
      <c r="AC76" s="481" t="n"/>
      <c r="AD76" s="481" t="n"/>
      <c r="AE76" s="481" t="n"/>
      <c r="AF76" s="481" t="n"/>
      <c r="AG76" s="481" t="n"/>
      <c r="AH76" s="481" t="n"/>
      <c r="AI76" s="481" t="n"/>
      <c r="AJ76" s="481" t="n"/>
      <c r="AK76" s="481" t="n"/>
      <c r="AL76" s="481" t="n"/>
      <c r="AM76" s="481" t="n"/>
      <c r="AN76" s="481" t="n"/>
      <c r="AO76" s="481" t="n"/>
      <c r="AP76" s="481" t="n"/>
      <c r="AQ76" s="481" t="n"/>
      <c r="AR76" s="481" t="n"/>
      <c r="AS76" s="481" t="n"/>
      <c r="AT76" s="481" t="n"/>
      <c r="AU76" s="481" t="n"/>
      <c r="AV76" s="481" t="n"/>
      <c r="AW76" s="481" t="n"/>
      <c r="AX76" s="481" t="n"/>
      <c r="AY76" s="481" t="n"/>
      <c r="AZ76" s="481" t="n"/>
      <c r="BA76" s="481" t="n"/>
      <c r="BB76" s="481" t="n"/>
      <c r="BC76" s="481" t="n"/>
      <c r="BD76" s="481" t="n"/>
      <c r="BE76" s="481" t="n"/>
      <c r="BF76" s="481" t="n"/>
      <c r="BG76" s="481" t="n"/>
      <c r="BH76" s="481" t="n"/>
      <c r="BI76" s="481" t="n"/>
      <c r="BJ76" s="481" t="n"/>
      <c r="BK76" s="481" t="n"/>
      <c r="BL76" s="481" t="n"/>
      <c r="BM76" s="481" t="n"/>
      <c r="BN76" s="481" t="n"/>
      <c r="BO76" s="481" t="n"/>
      <c r="BP76" s="481" t="n"/>
      <c r="BQ76" s="481" t="n"/>
      <c r="BR76" s="481" t="n"/>
      <c r="BS76" s="481" t="n"/>
      <c r="BT76" s="481" t="n"/>
      <c r="BU76" s="481" t="n"/>
      <c r="BV76" s="481" t="n"/>
      <c r="BW76" s="481" t="n"/>
      <c r="BX76" s="481" t="n"/>
      <c r="BY76" s="481" t="n"/>
      <c r="BZ76" s="481" t="n"/>
      <c r="CA76" s="481" t="n"/>
      <c r="CB76" s="481" t="n"/>
      <c r="CC76" s="481" t="n"/>
      <c r="CD76" s="481" t="n"/>
      <c r="CE76" s="481" t="n"/>
      <c r="CF76" s="481" t="n"/>
      <c r="CG76" s="481" t="n"/>
      <c r="CH76" s="481" t="n"/>
      <c r="CI76" s="481" t="n"/>
      <c r="CJ76" s="481" t="n"/>
      <c r="CK76" s="481" t="n"/>
      <c r="CL76" s="481" t="n"/>
      <c r="CM76" s="481" t="n"/>
      <c r="CN76" s="481" t="n"/>
      <c r="CO76" s="481" t="n"/>
      <c r="CP76" s="481" t="n"/>
      <c r="CQ76" s="481" t="n"/>
      <c r="CR76" s="481" t="n"/>
      <c r="CS76" s="481" t="n"/>
      <c r="CT76" s="481" t="n"/>
    </row>
    <row r="77" ht="15" customFormat="1" customHeight="1" s="381">
      <c r="A77" s="480" t="inlineStr">
        <is>
          <t>Francis LIHTC Revenue (SP Share)</t>
        </is>
      </c>
      <c r="C77" s="481" t="n"/>
      <c r="D77" s="481" t="n"/>
      <c r="E77" s="481" t="n"/>
      <c r="F77" s="481" t="n"/>
      <c r="G77" s="481" t="n"/>
      <c r="H77" s="481" t="n"/>
      <c r="I77" s="481" t="n"/>
      <c r="J77" s="481" t="n"/>
      <c r="K77" s="481" t="n"/>
      <c r="L77" s="481" t="n"/>
      <c r="M77" s="481" t="n"/>
      <c r="N77" s="481" t="n"/>
      <c r="O77" s="481" t="n"/>
      <c r="P77" s="481" t="n"/>
      <c r="Q77" s="481" t="n"/>
      <c r="R77" s="481" t="n"/>
      <c r="S77" s="481" t="n"/>
      <c r="T77" s="481" t="n"/>
      <c r="U77" s="481" t="n"/>
      <c r="V77" s="481" t="n"/>
      <c r="W77" s="481" t="n"/>
      <c r="X77" s="481" t="n"/>
      <c r="Y77" s="481" t="n"/>
      <c r="Z77" s="481" t="n"/>
      <c r="AA77" s="481" t="n"/>
      <c r="AB77" s="481" t="n"/>
      <c r="AC77" s="481" t="n"/>
      <c r="AD77" s="481" t="n"/>
      <c r="AE77" s="481" t="n"/>
      <c r="AF77" s="481" t="n"/>
      <c r="AG77" s="481" t="n"/>
      <c r="AH77" s="481" t="n"/>
      <c r="AI77" s="481" t="n"/>
      <c r="AJ77" s="481" t="n"/>
      <c r="AK77" s="481" t="n"/>
      <c r="AL77" s="481" t="n"/>
      <c r="AM77" s="481" t="n"/>
      <c r="AN77" s="481" t="n"/>
      <c r="AO77" s="481" t="n"/>
      <c r="AP77" s="481" t="n"/>
      <c r="AQ77" s="481" t="n"/>
      <c r="AR77" s="481" t="n"/>
      <c r="AS77" s="481" t="n"/>
      <c r="AT77" s="481" t="n"/>
      <c r="AU77" s="481" t="n"/>
      <c r="AV77" s="481" t="n"/>
      <c r="AW77" s="481" t="n"/>
      <c r="AX77" s="481" t="n"/>
      <c r="AY77" s="481" t="n"/>
      <c r="AZ77" s="481" t="n"/>
      <c r="BA77" s="481" t="n"/>
      <c r="BB77" s="481" t="n"/>
      <c r="BC77" s="481" t="n"/>
      <c r="BD77" s="481" t="n"/>
      <c r="BE77" s="481" t="n"/>
      <c r="BF77" s="481" t="n"/>
      <c r="BG77" s="481" t="n"/>
      <c r="BH77" s="481" t="n"/>
      <c r="BI77" s="481" t="n"/>
      <c r="BJ77" s="481" t="n"/>
      <c r="BK77" s="481" t="n"/>
      <c r="BL77" s="481" t="n"/>
      <c r="BM77" s="481" t="n"/>
      <c r="BN77" s="481" t="n"/>
      <c r="BO77" s="481" t="n"/>
      <c r="BP77" s="481" t="n"/>
      <c r="BQ77" s="481" t="n"/>
      <c r="BR77" s="481" t="n"/>
      <c r="BS77" s="481" t="n"/>
      <c r="BT77" s="481" t="n"/>
      <c r="BU77" s="481" t="n"/>
      <c r="BV77" s="481" t="n"/>
      <c r="BW77" s="481" t="n"/>
      <c r="BX77" s="481" t="n"/>
      <c r="BY77" s="481" t="n"/>
      <c r="BZ77" s="481" t="n"/>
      <c r="CA77" s="481" t="n"/>
      <c r="CB77" s="481" t="n"/>
      <c r="CC77" s="481" t="n"/>
      <c r="CD77" s="481" t="n"/>
      <c r="CE77" s="481" t="n"/>
      <c r="CF77" s="481" t="n"/>
      <c r="CG77" s="481" t="n"/>
      <c r="CH77" s="481" t="n"/>
      <c r="CI77" s="481" t="n"/>
      <c r="CJ77" s="481" t="n"/>
      <c r="CK77" s="481" t="n"/>
      <c r="CL77" s="481" t="n"/>
      <c r="CM77" s="481" t="n"/>
      <c r="CN77" s="481" t="n"/>
      <c r="CO77" s="481" t="n"/>
      <c r="CP77" s="481" t="n"/>
      <c r="CQ77" s="481" t="n"/>
      <c r="CR77" s="481" t="n"/>
      <c r="CS77" s="481" t="n"/>
      <c r="CT77" s="481" t="n"/>
    </row>
    <row r="78" ht="15" customFormat="1" customHeight="1" s="381">
      <c r="A78" s="480" t="inlineStr">
        <is>
          <t>Reseda LIHTC Revenue (SP Share)</t>
        </is>
      </c>
      <c r="C78" s="481" t="n"/>
      <c r="D78" s="481" t="n"/>
      <c r="E78" s="481" t="n"/>
      <c r="F78" s="481" t="n"/>
      <c r="G78" s="481" t="n"/>
      <c r="H78" s="481" t="n"/>
      <c r="I78" s="481" t="n"/>
      <c r="J78" s="481" t="n"/>
      <c r="K78" s="481" t="n"/>
      <c r="L78" s="481" t="n"/>
      <c r="M78" s="481" t="n"/>
      <c r="N78" s="481" t="n"/>
      <c r="O78" s="481" t="n"/>
      <c r="P78" s="481" t="n"/>
      <c r="Q78" s="481" t="n"/>
      <c r="R78" s="481" t="n"/>
      <c r="S78" s="481" t="n"/>
      <c r="T78" s="481" t="n"/>
      <c r="U78" s="481" t="n"/>
      <c r="V78" s="481" t="n"/>
      <c r="W78" s="481" t="n"/>
      <c r="X78" s="481" t="n"/>
      <c r="Y78" s="481" t="n"/>
      <c r="Z78" s="481" t="n"/>
      <c r="AA78" s="481" t="n"/>
      <c r="AB78" s="481" t="n"/>
      <c r="AC78" s="481" t="n"/>
      <c r="AD78" s="481" t="n"/>
      <c r="AE78" s="481" t="n"/>
      <c r="AF78" s="481" t="n"/>
      <c r="AG78" s="481" t="n"/>
      <c r="AH78" s="481" t="n"/>
      <c r="AI78" s="481" t="n"/>
      <c r="AJ78" s="481" t="n"/>
      <c r="AK78" s="481" t="n"/>
      <c r="AL78" s="481" t="n"/>
      <c r="AM78" s="481" t="n"/>
      <c r="AN78" s="481" t="n"/>
      <c r="AO78" s="481" t="n"/>
      <c r="AP78" s="481" t="n"/>
      <c r="AQ78" s="481" t="n"/>
      <c r="AR78" s="481" t="n"/>
      <c r="AS78" s="481" t="n"/>
      <c r="AT78" s="481" t="n"/>
      <c r="AU78" s="481" t="n"/>
      <c r="AV78" s="481" t="n"/>
      <c r="AW78" s="481" t="n"/>
      <c r="AX78" s="481" t="n"/>
      <c r="AY78" s="481" t="n"/>
      <c r="AZ78" s="481" t="n"/>
      <c r="BA78" s="481" t="n"/>
      <c r="BB78" s="481" t="n"/>
      <c r="BC78" s="481" t="n"/>
      <c r="BD78" s="481" t="n"/>
      <c r="BE78" s="481" t="n"/>
      <c r="BF78" s="481" t="n"/>
      <c r="BG78" s="481" t="n"/>
      <c r="BH78" s="481" t="n"/>
      <c r="BI78" s="481" t="n"/>
      <c r="BJ78" s="481" t="n"/>
      <c r="BK78" s="481" t="n"/>
      <c r="BL78" s="481" t="n"/>
      <c r="BM78" s="481" t="n"/>
      <c r="BN78" s="481" t="n"/>
      <c r="BO78" s="481" t="n"/>
      <c r="BP78" s="481" t="n"/>
      <c r="BQ78" s="481" t="n"/>
      <c r="BR78" s="481" t="n"/>
      <c r="BS78" s="481" t="n"/>
      <c r="BT78" s="481" t="n"/>
      <c r="BU78" s="481" t="n"/>
      <c r="BV78" s="481" t="n"/>
      <c r="BW78" s="481" t="n"/>
      <c r="BX78" s="481" t="n"/>
      <c r="BY78" s="481" t="n"/>
      <c r="BZ78" s="481" t="n"/>
      <c r="CA78" s="481" t="n"/>
      <c r="CB78" s="481" t="n"/>
      <c r="CC78" s="481" t="n"/>
      <c r="CD78" s="481" t="n"/>
      <c r="CE78" s="481" t="n"/>
      <c r="CF78" s="481" t="n"/>
      <c r="CG78" s="481" t="n"/>
      <c r="CH78" s="481" t="n"/>
      <c r="CI78" s="481" t="n"/>
      <c r="CJ78" s="481" t="n"/>
      <c r="CK78" s="481" t="n"/>
      <c r="CL78" s="481" t="n"/>
      <c r="CM78" s="481" t="n"/>
      <c r="CN78" s="481" t="n"/>
      <c r="CO78" s="481" t="n"/>
      <c r="CP78" s="481" t="n"/>
      <c r="CQ78" s="481" t="n"/>
      <c r="CR78" s="481" t="n"/>
      <c r="CS78" s="481" t="n"/>
      <c r="CT78" s="481" t="n"/>
    </row>
    <row r="79" ht="15" customFormat="1" customHeight="1" s="381">
      <c r="A79" s="480" t="inlineStr">
        <is>
          <t>3rd St LIHTC Revenue (SP Share)</t>
        </is>
      </c>
      <c r="C79" s="481" t="n"/>
      <c r="D79" s="481" t="n"/>
      <c r="E79" s="481" t="n"/>
      <c r="F79" s="481" t="n"/>
      <c r="G79" s="481" t="n"/>
      <c r="H79" s="481" t="n"/>
      <c r="I79" s="481" t="n"/>
      <c r="J79" s="481" t="n"/>
      <c r="K79" s="481" t="n"/>
      <c r="L79" s="481" t="n"/>
      <c r="M79" s="481" t="n"/>
      <c r="N79" s="481" t="n"/>
      <c r="O79" s="481" t="n"/>
      <c r="P79" s="481" t="n"/>
      <c r="Q79" s="481" t="n"/>
      <c r="R79" s="481" t="n"/>
      <c r="S79" s="481" t="n"/>
      <c r="T79" s="481" t="n"/>
      <c r="U79" s="481" t="n"/>
      <c r="V79" s="481" t="n"/>
      <c r="W79" s="481" t="n"/>
      <c r="X79" s="481" t="n"/>
      <c r="Y79" s="481" t="n"/>
      <c r="Z79" s="481" t="n"/>
      <c r="AA79" s="481" t="n"/>
      <c r="AB79" s="481" t="n"/>
      <c r="AC79" s="481" t="n"/>
      <c r="AD79" s="481" t="n"/>
      <c r="AE79" s="481" t="n"/>
      <c r="AF79" s="481" t="n"/>
      <c r="AG79" s="481" t="n"/>
      <c r="AH79" s="481" t="n"/>
      <c r="AI79" s="481" t="n"/>
      <c r="AJ79" s="481" t="n"/>
      <c r="AK79" s="481" t="n"/>
      <c r="AL79" s="481" t="n"/>
      <c r="AM79" s="481" t="n"/>
      <c r="AN79" s="481" t="n"/>
      <c r="AO79" s="481" t="n"/>
      <c r="AP79" s="481" t="n"/>
      <c r="AQ79" s="481" t="n"/>
      <c r="AR79" s="481" t="n"/>
      <c r="AS79" s="481" t="n"/>
      <c r="AT79" s="481" t="n"/>
      <c r="AU79" s="481" t="n"/>
      <c r="AV79" s="481" t="n"/>
      <c r="AW79" s="481" t="n"/>
      <c r="AX79" s="481" t="n"/>
      <c r="AY79" s="481" t="n"/>
      <c r="AZ79" s="481" t="n"/>
      <c r="BA79" s="481" t="n"/>
      <c r="BB79" s="481" t="n"/>
      <c r="BC79" s="481" t="n"/>
      <c r="BD79" s="481" t="n"/>
      <c r="BE79" s="481" t="n"/>
      <c r="BF79" s="481" t="n"/>
      <c r="BG79" s="481" t="n"/>
      <c r="BH79" s="481" t="n"/>
      <c r="BI79" s="481" t="n"/>
      <c r="BJ79" s="481" t="n"/>
      <c r="BK79" s="481" t="n"/>
      <c r="BL79" s="481" t="n"/>
      <c r="BM79" s="481" t="n"/>
      <c r="BN79" s="481" t="n"/>
      <c r="BO79" s="481" t="n"/>
      <c r="BP79" s="481" t="n"/>
      <c r="BQ79" s="481" t="n"/>
      <c r="BR79" s="481" t="n"/>
      <c r="BS79" s="481" t="n"/>
      <c r="BT79" s="481" t="n"/>
      <c r="BU79" s="481" t="n"/>
      <c r="BV79" s="481" t="n"/>
      <c r="BW79" s="481" t="n"/>
      <c r="BX79" s="481" t="n"/>
      <c r="BY79" s="481" t="n"/>
      <c r="BZ79" s="481" t="n"/>
      <c r="CA79" s="481" t="n"/>
      <c r="CB79" s="481" t="n"/>
      <c r="CC79" s="481" t="n"/>
      <c r="CD79" s="481" t="n"/>
      <c r="CE79" s="481" t="n"/>
      <c r="CF79" s="481" t="n"/>
      <c r="CG79" s="481" t="n"/>
      <c r="CH79" s="481" t="n"/>
      <c r="CI79" s="481" t="n"/>
      <c r="CJ79" s="481" t="n"/>
      <c r="CK79" s="481" t="n"/>
      <c r="CL79" s="481" t="n"/>
      <c r="CM79" s="481" t="n"/>
      <c r="CN79" s="481" t="n"/>
      <c r="CO79" s="481" t="n"/>
      <c r="CP79" s="481" t="n"/>
      <c r="CQ79" s="481" t="n"/>
      <c r="CR79" s="481" t="n"/>
      <c r="CS79" s="481" t="n"/>
      <c r="CT79" s="481" t="n"/>
    </row>
    <row r="80" ht="15" customFormat="1" customHeight="1" s="381">
      <c r="A80" s="480" t="inlineStr">
        <is>
          <t>Uplifters Total to SP</t>
        </is>
      </c>
      <c r="C80" s="481" t="n"/>
      <c r="D80" s="481" t="n"/>
      <c r="E80" s="481" t="n"/>
      <c r="F80" s="481" t="n"/>
      <c r="G80" s="481" t="n"/>
      <c r="H80" s="481" t="n"/>
      <c r="I80" s="481" t="n"/>
      <c r="J80" s="481" t="n"/>
      <c r="K80" s="481" t="n"/>
      <c r="L80" s="481" t="n"/>
      <c r="M80" s="481" t="n"/>
      <c r="N80" s="481" t="n"/>
      <c r="O80" s="481" t="n"/>
      <c r="P80" s="481" t="n"/>
      <c r="Q80" s="481" t="n"/>
      <c r="R80" s="481" t="n"/>
      <c r="S80" s="481" t="n"/>
      <c r="T80" s="481" t="n"/>
      <c r="U80" s="481" t="n"/>
      <c r="V80" s="481" t="n"/>
      <c r="W80" s="481" t="n"/>
      <c r="X80" s="481" t="n"/>
      <c r="Y80" s="481" t="n"/>
      <c r="Z80" s="481" t="n"/>
      <c r="AA80" s="481" t="n"/>
      <c r="AB80" s="481" t="n"/>
      <c r="AC80" s="481" t="n"/>
      <c r="AD80" s="481" t="n"/>
      <c r="AE80" s="481" t="n"/>
      <c r="AF80" s="481" t="n"/>
      <c r="AG80" s="481" t="n"/>
      <c r="AH80" s="481" t="n"/>
      <c r="AI80" s="481" t="n"/>
      <c r="AJ80" s="481" t="n"/>
      <c r="AK80" s="481" t="n"/>
      <c r="AL80" s="481" t="n"/>
      <c r="AM80" s="481" t="n"/>
      <c r="AN80" s="481" t="n"/>
      <c r="AO80" s="481" t="n"/>
      <c r="AP80" s="481" t="n"/>
      <c r="AQ80" s="481" t="n"/>
      <c r="AR80" s="481" t="n"/>
      <c r="AS80" s="481" t="n"/>
      <c r="AT80" s="481" t="n"/>
      <c r="AU80" s="481" t="n"/>
      <c r="AV80" s="481" t="n"/>
      <c r="AW80" s="481" t="n"/>
      <c r="AX80" s="481" t="n"/>
      <c r="AY80" s="481" t="n"/>
      <c r="AZ80" s="481" t="n"/>
      <c r="BA80" s="481" t="n"/>
      <c r="BB80" s="481" t="n"/>
      <c r="BC80" s="481" t="n"/>
      <c r="BD80" s="481" t="n"/>
      <c r="BE80" s="481" t="n"/>
      <c r="BF80" s="481" t="n"/>
      <c r="BG80" s="481" t="n"/>
      <c r="BH80" s="481" t="n"/>
      <c r="BI80" s="481" t="n"/>
      <c r="BJ80" s="481" t="n"/>
      <c r="BK80" s="481" t="n"/>
      <c r="BL80" s="481" t="n"/>
      <c r="BM80" s="481" t="n"/>
      <c r="BN80" s="481" t="n"/>
      <c r="BO80" s="481" t="n"/>
      <c r="BP80" s="481" t="n"/>
      <c r="BQ80" s="481" t="n"/>
      <c r="BR80" s="481" t="n"/>
      <c r="BS80" s="481" t="n"/>
      <c r="BT80" s="481" t="n"/>
      <c r="BU80" s="481" t="n"/>
      <c r="BV80" s="481" t="n"/>
      <c r="BW80" s="481" t="n"/>
      <c r="BX80" s="481" t="n"/>
      <c r="BY80" s="481" t="n"/>
      <c r="BZ80" s="481" t="n"/>
      <c r="CA80" s="481" t="n"/>
      <c r="CB80" s="481" t="n"/>
      <c r="CC80" s="481" t="n"/>
      <c r="CD80" s="481" t="n"/>
      <c r="CE80" s="481" t="n"/>
      <c r="CF80" s="481" t="n"/>
      <c r="CG80" s="481" t="n"/>
      <c r="CH80" s="481" t="n"/>
      <c r="CI80" s="481" t="n"/>
      <c r="CJ80" s="481" t="n"/>
      <c r="CK80" s="481" t="n"/>
      <c r="CL80" s="481" t="n"/>
      <c r="CM80" s="481" t="n"/>
      <c r="CN80" s="481" t="n"/>
      <c r="CO80" s="481" t="n"/>
      <c r="CP80" s="481" t="n"/>
      <c r="CQ80" s="481" t="n"/>
      <c r="CR80" s="481" t="n"/>
      <c r="CS80" s="481" t="n"/>
      <c r="CT80" s="481" t="n"/>
    </row>
    <row r="81" ht="15" customFormat="1" customHeight="1" s="381">
      <c r="A81" s="477" t="inlineStr">
        <is>
          <t>Total Six Peak Revenue</t>
        </is>
      </c>
      <c r="C81" s="483">
        <f>SUM(C63:C80)</f>
        <v>34114.58</v>
      </c>
      <c r="D81" s="483">
        <f>SUM(D63:D80)</f>
        <v>34114.58</v>
      </c>
      <c r="E81" s="483">
        <f>SUM(E63:E80)</f>
        <v>34114.58</v>
      </c>
      <c r="F81" s="483">
        <f>SUM(F63:F80)</f>
        <v>34114.58</v>
      </c>
      <c r="G81" s="483">
        <f>SUM(G63:G80)</f>
        <v>34114.58</v>
      </c>
      <c r="H81" s="483">
        <f>SUM(H63:H80)</f>
        <v>333114.58</v>
      </c>
      <c r="I81" s="483">
        <f>SUM(I63:I80)</f>
        <v>0</v>
      </c>
      <c r="J81" s="483">
        <f>SUM(J63:J80)</f>
        <v>0</v>
      </c>
      <c r="K81" s="483">
        <f>SUM(K63:K80)</f>
        <v>0</v>
      </c>
      <c r="L81" s="483">
        <f>SUM(L63:L80)</f>
        <v>0</v>
      </c>
      <c r="M81" s="483">
        <f>SUM(M63:M80)</f>
        <v>0</v>
      </c>
      <c r="N81" s="483">
        <f>SUM(N63:N80)</f>
        <v>0</v>
      </c>
      <c r="O81" s="483">
        <f>SUM(O63:O80)</f>
        <v>0</v>
      </c>
      <c r="P81" s="483">
        <f>SUM(P63:P80)</f>
        <v>0</v>
      </c>
      <c r="Q81" s="483">
        <f>SUM(Q63:Q80)</f>
        <v>0</v>
      </c>
      <c r="R81" s="483">
        <f>SUM(R63:R80)</f>
        <v>0</v>
      </c>
      <c r="S81" s="483">
        <f>SUM(S63:S80)</f>
        <v>0</v>
      </c>
      <c r="T81" s="483">
        <f>SUM(T63:T80)</f>
        <v>0</v>
      </c>
      <c r="U81" s="483">
        <f>SUM(U63:U80)</f>
        <v>0</v>
      </c>
      <c r="V81" s="483">
        <f>SUM(V63:V80)</f>
        <v>0</v>
      </c>
      <c r="W81" s="483">
        <f>SUM(W63:W80)</f>
        <v>0</v>
      </c>
      <c r="X81" s="483">
        <f>SUM(X63:X80)</f>
        <v>0</v>
      </c>
      <c r="Y81" s="483">
        <f>SUM(Y63:Y80)</f>
        <v>0</v>
      </c>
      <c r="Z81" s="483">
        <f>SUM(Z63:Z80)</f>
        <v>0</v>
      </c>
      <c r="AA81" s="483">
        <f>SUM(AA63:AA80)</f>
        <v>0</v>
      </c>
      <c r="AB81" s="483">
        <f>SUM(AB63:AB80)</f>
        <v>0</v>
      </c>
      <c r="AC81" s="483">
        <f>SUM(AC63:AC80)</f>
        <v>0</v>
      </c>
      <c r="AD81" s="483">
        <f>SUM(AD63:AD80)</f>
        <v>0</v>
      </c>
      <c r="AE81" s="483">
        <f>SUM(AE63:AE80)</f>
        <v>0</v>
      </c>
      <c r="AF81" s="483">
        <f>SUM(AF63:AF80)</f>
        <v>0</v>
      </c>
      <c r="AG81" s="483">
        <f>SUM(AG63:AG80)</f>
        <v>0</v>
      </c>
      <c r="AH81" s="483">
        <f>SUM(AH63:AH80)</f>
        <v>0</v>
      </c>
      <c r="AI81" s="483">
        <f>SUM(AI63:AI80)</f>
        <v>0</v>
      </c>
      <c r="AJ81" s="483">
        <f>SUM(AJ63:AJ80)</f>
        <v>0</v>
      </c>
      <c r="AK81" s="483">
        <f>SUM(AK63:AK80)</f>
        <v>0</v>
      </c>
      <c r="AL81" s="483">
        <f>SUM(AL63:AL80)</f>
        <v>0</v>
      </c>
      <c r="AM81" s="483">
        <f>SUM(AM63:AM80)</f>
        <v>0</v>
      </c>
      <c r="AN81" s="483">
        <f>SUM(AN63:AN80)</f>
        <v>0</v>
      </c>
      <c r="AO81" s="483">
        <f>SUM(AO63:AO80)</f>
        <v>0</v>
      </c>
      <c r="AP81" s="483">
        <f>SUM(AP63:AP80)</f>
        <v>0</v>
      </c>
      <c r="AQ81" s="483">
        <f>SUM(AQ63:AQ80)</f>
        <v>0</v>
      </c>
      <c r="AR81" s="483">
        <f>SUM(AR63:AR80)</f>
        <v>0</v>
      </c>
      <c r="AS81" s="483">
        <f>SUM(AS63:AS80)</f>
        <v>0</v>
      </c>
      <c r="AT81" s="483">
        <f>SUM(AT63:AT80)</f>
        <v>0</v>
      </c>
      <c r="AU81" s="483">
        <f>SUM(AU63:AU80)</f>
        <v>0</v>
      </c>
      <c r="AV81" s="483">
        <f>SUM(AV63:AV80)</f>
        <v>0</v>
      </c>
      <c r="AW81" s="483">
        <f>SUM(AW63:AW80)</f>
        <v>0</v>
      </c>
      <c r="AX81" s="483">
        <f>SUM(AX63:AX80)</f>
        <v>0</v>
      </c>
      <c r="AY81" s="483">
        <f>SUM(AY63:AY80)</f>
        <v>0</v>
      </c>
      <c r="AZ81" s="483">
        <f>SUM(AZ63:AZ80)</f>
        <v>0</v>
      </c>
      <c r="BA81" s="483">
        <f>SUM(BA63:BA80)</f>
        <v>0</v>
      </c>
      <c r="BB81" s="483">
        <f>SUM(BB63:BB80)</f>
        <v>0</v>
      </c>
      <c r="BC81" s="483">
        <f>SUM(BC63:BC80)</f>
        <v>0</v>
      </c>
      <c r="BD81" s="483">
        <f>SUM(BD63:BD80)</f>
        <v>0</v>
      </c>
      <c r="BE81" s="483">
        <f>SUM(BE63:BE80)</f>
        <v>0</v>
      </c>
      <c r="BF81" s="483">
        <f>SUM(BF63:BF80)</f>
        <v>0</v>
      </c>
      <c r="BG81" s="483">
        <f>SUM(BG63:BG80)</f>
        <v>0</v>
      </c>
      <c r="BH81" s="483">
        <f>SUM(BH63:BH80)</f>
        <v>0</v>
      </c>
      <c r="BI81" s="483">
        <f>SUM(BI63:BI80)</f>
        <v>0</v>
      </c>
      <c r="BJ81" s="483">
        <f>SUM(BJ63:BJ80)</f>
        <v>0</v>
      </c>
      <c r="BK81" s="483">
        <f>SUM(BK63:BK80)</f>
        <v>0</v>
      </c>
      <c r="BL81" s="483">
        <f>SUM(BL63:BL80)</f>
        <v>0</v>
      </c>
      <c r="BM81" s="483">
        <f>SUM(BM63:BM80)</f>
        <v>0</v>
      </c>
      <c r="BN81" s="483">
        <f>SUM(BN63:BN80)</f>
        <v>0</v>
      </c>
      <c r="BO81" s="483">
        <f>SUM(BO63:BO80)</f>
        <v>0</v>
      </c>
      <c r="BP81" s="483">
        <f>SUM(BP63:BP80)</f>
        <v>0</v>
      </c>
      <c r="BQ81" s="483">
        <f>SUM(BQ63:BQ80)</f>
        <v>0</v>
      </c>
      <c r="BR81" s="483">
        <f>SUM(BR63:BR80)</f>
        <v>0</v>
      </c>
      <c r="BS81" s="483">
        <f>SUM(BS63:BS80)</f>
        <v>0</v>
      </c>
      <c r="BT81" s="483">
        <f>SUM(BT63:BT80)</f>
        <v>0</v>
      </c>
      <c r="BU81" s="483">
        <f>SUM(BU63:BU80)</f>
        <v>0</v>
      </c>
      <c r="BV81" s="483">
        <f>SUM(BV63:BV80)</f>
        <v>0</v>
      </c>
      <c r="BW81" s="483">
        <f>SUM(BW63:BW80)</f>
        <v>0</v>
      </c>
      <c r="BX81" s="483">
        <f>SUM(BX63:BX80)</f>
        <v>0</v>
      </c>
      <c r="BY81" s="483">
        <f>SUM(BY63:BY80)</f>
        <v>0</v>
      </c>
      <c r="BZ81" s="483">
        <f>SUM(BZ63:BZ80)</f>
        <v>0</v>
      </c>
      <c r="CA81" s="483">
        <f>SUM(CA63:CA80)</f>
        <v>0</v>
      </c>
      <c r="CB81" s="483">
        <f>SUM(CB63:CB80)</f>
        <v>0</v>
      </c>
      <c r="CC81" s="483">
        <f>SUM(CC63:CC80)</f>
        <v>0</v>
      </c>
      <c r="CD81" s="483">
        <f>SUM(CD63:CD80)</f>
        <v>0</v>
      </c>
      <c r="CE81" s="483">
        <f>SUM(CE63:CE80)</f>
        <v>0</v>
      </c>
      <c r="CF81" s="483">
        <f>SUM(CF63:CF80)</f>
        <v>0</v>
      </c>
      <c r="CG81" s="483">
        <f>SUM(CG63:CG80)</f>
        <v>0</v>
      </c>
      <c r="CH81" s="483">
        <f>SUM(CH63:CH80)</f>
        <v>0</v>
      </c>
      <c r="CI81" s="483">
        <f>SUM(CI63:CI80)</f>
        <v>0</v>
      </c>
      <c r="CJ81" s="483">
        <f>SUM(CJ63:CJ80)</f>
        <v>0</v>
      </c>
      <c r="CK81" s="483">
        <f>SUM(CK63:CK80)</f>
        <v>0</v>
      </c>
      <c r="CL81" s="483">
        <f>SUM(CL63:CL80)</f>
        <v>0</v>
      </c>
      <c r="CM81" s="483">
        <f>SUM(CM63:CM80)</f>
        <v>0</v>
      </c>
      <c r="CN81" s="483">
        <f>SUM(CN63:CN80)</f>
        <v>0</v>
      </c>
      <c r="CO81" s="483">
        <f>SUM(CO63:CO80)</f>
        <v>0</v>
      </c>
      <c r="CP81" s="483">
        <f>SUM(CP63:CP80)</f>
        <v>0</v>
      </c>
      <c r="CQ81" s="483">
        <f>SUM(CQ63:CQ80)</f>
        <v>0</v>
      </c>
      <c r="CR81" s="483">
        <f>SUM(CR63:CR80)</f>
        <v>0</v>
      </c>
      <c r="CS81" s="483">
        <f>SUM(CS63:CS80)</f>
        <v>0</v>
      </c>
      <c r="CT81" s="483">
        <f>SUM(CT63:CT80)</f>
        <v>0</v>
      </c>
    </row>
    <row r="82" ht="15" customFormat="1" customHeight="1" s="381">
      <c r="A82" s="480" t="n"/>
      <c r="C82" s="481" t="n"/>
      <c r="D82" s="481" t="n"/>
      <c r="E82" s="481" t="n"/>
      <c r="F82" s="481" t="n"/>
      <c r="G82" s="481" t="n"/>
      <c r="H82" s="481" t="n"/>
      <c r="I82" s="481" t="n"/>
      <c r="J82" s="481" t="n"/>
      <c r="K82" s="481" t="n"/>
      <c r="L82" s="481" t="n"/>
      <c r="M82" s="481" t="n"/>
      <c r="N82" s="481" t="n"/>
      <c r="O82" s="481" t="n"/>
      <c r="P82" s="481" t="n"/>
      <c r="Q82" s="481" t="n"/>
      <c r="R82" s="481" t="n"/>
      <c r="S82" s="481" t="n"/>
      <c r="T82" s="481" t="n"/>
      <c r="U82" s="481" t="n"/>
      <c r="V82" s="481" t="n"/>
      <c r="W82" s="481" t="n"/>
      <c r="X82" s="481" t="n"/>
      <c r="Y82" s="481" t="n"/>
      <c r="Z82" s="481" t="n"/>
      <c r="AA82" s="481" t="n"/>
      <c r="AB82" s="481" t="n"/>
      <c r="AC82" s="481" t="n"/>
      <c r="AD82" s="481" t="n"/>
      <c r="AE82" s="481" t="n"/>
      <c r="AF82" s="481" t="n"/>
      <c r="AG82" s="481" t="n"/>
      <c r="AH82" s="481" t="n"/>
      <c r="AI82" s="481" t="n"/>
      <c r="AJ82" s="481" t="n"/>
      <c r="AK82" s="481" t="n"/>
      <c r="AL82" s="481" t="n"/>
      <c r="AM82" s="481" t="n"/>
      <c r="AN82" s="481" t="n"/>
      <c r="AO82" s="481" t="n"/>
      <c r="AP82" s="481" t="n"/>
      <c r="AQ82" s="481" t="n"/>
      <c r="AR82" s="481" t="n"/>
      <c r="AS82" s="481" t="n"/>
      <c r="AT82" s="481" t="n"/>
      <c r="AU82" s="481" t="n"/>
      <c r="AV82" s="481" t="n"/>
      <c r="AW82" s="481" t="n"/>
      <c r="AX82" s="481" t="n"/>
      <c r="AY82" s="481" t="n"/>
      <c r="AZ82" s="481" t="n"/>
      <c r="BA82" s="481" t="n"/>
      <c r="BB82" s="481" t="n"/>
      <c r="BC82" s="481" t="n"/>
      <c r="BD82" s="481" t="n"/>
      <c r="BE82" s="481" t="n"/>
      <c r="BF82" s="481" t="n"/>
      <c r="BG82" s="481" t="n"/>
      <c r="BH82" s="481" t="n"/>
      <c r="BI82" s="481" t="n"/>
      <c r="BJ82" s="481" t="n"/>
      <c r="BK82" s="481" t="n"/>
      <c r="BL82" s="481" t="n"/>
      <c r="BM82" s="481" t="n"/>
      <c r="BN82" s="481" t="n"/>
      <c r="BO82" s="481" t="n"/>
      <c r="BP82" s="481" t="n"/>
      <c r="BQ82" s="481" t="n"/>
      <c r="BR82" s="481" t="n"/>
      <c r="BS82" s="481" t="n"/>
      <c r="BT82" s="481" t="n"/>
      <c r="BU82" s="481" t="n"/>
      <c r="BV82" s="481" t="n"/>
      <c r="BW82" s="481" t="n"/>
      <c r="BX82" s="481" t="n"/>
      <c r="BY82" s="481" t="n"/>
      <c r="BZ82" s="481" t="n"/>
      <c r="CA82" s="481" t="n"/>
      <c r="CB82" s="481" t="n"/>
      <c r="CC82" s="481" t="n"/>
      <c r="CD82" s="481" t="n"/>
      <c r="CE82" s="481" t="n"/>
      <c r="CF82" s="481" t="n"/>
      <c r="CG82" s="481" t="n"/>
      <c r="CH82" s="481" t="n"/>
      <c r="CI82" s="481" t="n"/>
      <c r="CJ82" s="481" t="n"/>
      <c r="CK82" s="481" t="n"/>
      <c r="CL82" s="481" t="n"/>
      <c r="CM82" s="481" t="n"/>
      <c r="CN82" s="481" t="n"/>
      <c r="CO82" s="481" t="n"/>
      <c r="CP82" s="481" t="n"/>
      <c r="CQ82" s="481" t="n"/>
      <c r="CR82" s="481" t="n"/>
      <c r="CS82" s="481" t="n"/>
      <c r="CT82" s="481" t="n"/>
    </row>
    <row r="83" ht="15" customFormat="1" customHeight="1" s="381">
      <c r="A83" s="480" t="inlineStr">
        <is>
          <t>5000-1000 Payroll</t>
        </is>
      </c>
      <c r="C83" s="481" t="n">
        <v>-54421</v>
      </c>
      <c r="D83" s="481" t="n">
        <v>-54166.68</v>
      </c>
      <c r="E83" s="481" t="n">
        <v>-54166.68</v>
      </c>
      <c r="F83" s="481" t="n">
        <v>-54166.68</v>
      </c>
      <c r="G83" s="481" t="n">
        <v>-54166.68</v>
      </c>
      <c r="H83" s="481" t="n">
        <v>-54166.68</v>
      </c>
      <c r="I83" s="481" t="n"/>
      <c r="J83" s="481" t="n"/>
      <c r="K83" s="481" t="n"/>
      <c r="L83" s="481" t="n"/>
      <c r="M83" s="481" t="n"/>
      <c r="N83" s="481" t="n"/>
      <c r="O83" s="481" t="n"/>
      <c r="P83" s="481" t="n"/>
      <c r="Q83" s="481" t="n"/>
      <c r="R83" s="481" t="n"/>
      <c r="S83" s="481" t="n"/>
      <c r="T83" s="481" t="n"/>
      <c r="U83" s="481" t="n"/>
      <c r="V83" s="481" t="n"/>
      <c r="W83" s="481" t="n"/>
      <c r="X83" s="481" t="n"/>
      <c r="Y83" s="481" t="n"/>
      <c r="Z83" s="481" t="n"/>
      <c r="AA83" s="481" t="n"/>
      <c r="AB83" s="481" t="n"/>
      <c r="AC83" s="481" t="n"/>
      <c r="AD83" s="481" t="n"/>
      <c r="AE83" s="481" t="n"/>
      <c r="AF83" s="481" t="n"/>
      <c r="AG83" s="481" t="n"/>
      <c r="AH83" s="481" t="n"/>
      <c r="AI83" s="481" t="n"/>
      <c r="AJ83" s="481" t="n"/>
      <c r="AK83" s="481" t="n"/>
      <c r="AL83" s="481" t="n"/>
      <c r="AM83" s="481" t="n"/>
      <c r="AN83" s="481" t="n"/>
      <c r="AO83" s="481" t="n"/>
      <c r="AP83" s="481" t="n"/>
      <c r="AQ83" s="481" t="n"/>
      <c r="AR83" s="481" t="n"/>
      <c r="AS83" s="481" t="n"/>
      <c r="AT83" s="481" t="n"/>
      <c r="AU83" s="481" t="n"/>
      <c r="AV83" s="481" t="n"/>
      <c r="AW83" s="481" t="n"/>
      <c r="AX83" s="481" t="n"/>
      <c r="AY83" s="481" t="n"/>
      <c r="AZ83" s="481" t="n"/>
      <c r="BA83" s="481" t="n"/>
      <c r="BB83" s="481" t="n"/>
      <c r="BC83" s="481" t="n"/>
      <c r="BD83" s="481" t="n"/>
      <c r="BE83" s="481" t="n"/>
      <c r="BF83" s="481" t="n"/>
      <c r="BG83" s="481" t="n"/>
      <c r="BH83" s="481" t="n"/>
      <c r="BI83" s="481" t="n"/>
      <c r="BJ83" s="481" t="n"/>
      <c r="BK83" s="481" t="n"/>
      <c r="BL83" s="481" t="n"/>
      <c r="BM83" s="481" t="n"/>
      <c r="BN83" s="481" t="n"/>
      <c r="BO83" s="481" t="n"/>
      <c r="BP83" s="481" t="n"/>
      <c r="BQ83" s="481" t="n"/>
      <c r="BR83" s="481" t="n"/>
      <c r="BS83" s="481" t="n"/>
      <c r="BT83" s="481" t="n"/>
      <c r="BU83" s="481" t="n"/>
      <c r="BV83" s="481" t="n"/>
      <c r="BW83" s="481" t="n"/>
      <c r="BX83" s="481" t="n"/>
      <c r="BY83" s="481" t="n"/>
      <c r="BZ83" s="481" t="n"/>
      <c r="CA83" s="481" t="n"/>
      <c r="CB83" s="481" t="n"/>
      <c r="CC83" s="481" t="n"/>
      <c r="CD83" s="481" t="n"/>
      <c r="CE83" s="481" t="n"/>
      <c r="CF83" s="481" t="n"/>
      <c r="CG83" s="481" t="n"/>
      <c r="CH83" s="481" t="n"/>
      <c r="CI83" s="481" t="n"/>
      <c r="CJ83" s="481" t="n"/>
      <c r="CK83" s="481" t="n"/>
      <c r="CL83" s="481" t="n"/>
      <c r="CM83" s="481" t="n"/>
      <c r="CN83" s="481" t="n"/>
      <c r="CO83" s="481" t="n"/>
      <c r="CP83" s="481" t="n"/>
      <c r="CQ83" s="481" t="n"/>
      <c r="CR83" s="481" t="n"/>
      <c r="CS83" s="481" t="n"/>
      <c r="CT83" s="481" t="n"/>
    </row>
    <row r="84" ht="15" customFormat="1" customHeight="1" s="381">
      <c r="A84" s="480" t="inlineStr">
        <is>
          <t>5000-1001 Payroll Taxes</t>
        </is>
      </c>
      <c r="C84" s="481" t="n">
        <v>-5302</v>
      </c>
      <c r="D84" s="481" t="n">
        <v>-4279.79</v>
      </c>
      <c r="E84" s="481" t="n">
        <v>-4145.97</v>
      </c>
      <c r="F84" s="481" t="n">
        <v>-4145.96</v>
      </c>
      <c r="G84" s="481" t="n">
        <v>-4145.99</v>
      </c>
      <c r="H84" s="481" t="n">
        <v>-4145.95</v>
      </c>
      <c r="I84" s="481" t="n"/>
      <c r="J84" s="481" t="n"/>
      <c r="K84" s="481" t="n"/>
      <c r="L84" s="481" t="n"/>
      <c r="M84" s="481" t="n"/>
      <c r="N84" s="481" t="n"/>
      <c r="O84" s="481" t="n"/>
      <c r="P84" s="481" t="n"/>
      <c r="Q84" s="481" t="n"/>
      <c r="R84" s="481" t="n"/>
      <c r="S84" s="481" t="n"/>
      <c r="T84" s="481" t="n"/>
      <c r="U84" s="481" t="n"/>
      <c r="V84" s="481" t="n"/>
      <c r="W84" s="481" t="n"/>
      <c r="X84" s="481" t="n"/>
      <c r="Y84" s="481" t="n"/>
      <c r="Z84" s="481" t="n"/>
      <c r="AA84" s="481" t="n"/>
      <c r="AB84" s="481" t="n"/>
      <c r="AC84" s="481" t="n"/>
      <c r="AD84" s="481" t="n"/>
      <c r="AE84" s="481" t="n"/>
      <c r="AF84" s="481" t="n"/>
      <c r="AG84" s="481" t="n"/>
      <c r="AH84" s="481" t="n"/>
      <c r="AI84" s="481" t="n"/>
      <c r="AJ84" s="481" t="n"/>
      <c r="AK84" s="481" t="n"/>
      <c r="AL84" s="481" t="n"/>
      <c r="AM84" s="481" t="n"/>
      <c r="AN84" s="481" t="n"/>
      <c r="AO84" s="481" t="n"/>
      <c r="AP84" s="481" t="n"/>
      <c r="AQ84" s="481" t="n"/>
      <c r="AR84" s="481" t="n"/>
      <c r="AS84" s="481" t="n"/>
      <c r="AT84" s="481" t="n"/>
      <c r="AU84" s="481" t="n"/>
      <c r="AV84" s="481" t="n"/>
      <c r="AW84" s="481" t="n"/>
      <c r="AX84" s="481" t="n"/>
      <c r="AY84" s="481" t="n"/>
      <c r="AZ84" s="481" t="n"/>
      <c r="BA84" s="481" t="n"/>
      <c r="BB84" s="481" t="n"/>
      <c r="BC84" s="481" t="n"/>
      <c r="BD84" s="481" t="n"/>
      <c r="BE84" s="481" t="n"/>
      <c r="BF84" s="481" t="n"/>
      <c r="BG84" s="481" t="n"/>
      <c r="BH84" s="481" t="n"/>
      <c r="BI84" s="481" t="n"/>
      <c r="BJ84" s="481" t="n"/>
      <c r="BK84" s="481" t="n"/>
      <c r="BL84" s="481" t="n"/>
      <c r="BM84" s="481" t="n"/>
      <c r="BN84" s="481" t="n"/>
      <c r="BO84" s="481" t="n"/>
      <c r="BP84" s="481" t="n"/>
      <c r="BQ84" s="481" t="n"/>
      <c r="BR84" s="481" t="n"/>
      <c r="BS84" s="481" t="n"/>
      <c r="BT84" s="481" t="n"/>
      <c r="BU84" s="481" t="n"/>
      <c r="BV84" s="481" t="n"/>
      <c r="BW84" s="481" t="n"/>
      <c r="BX84" s="481" t="n"/>
      <c r="BY84" s="481" t="n"/>
      <c r="BZ84" s="481" t="n"/>
      <c r="CA84" s="481" t="n"/>
      <c r="CB84" s="481" t="n"/>
      <c r="CC84" s="481" t="n"/>
      <c r="CD84" s="481" t="n"/>
      <c r="CE84" s="481" t="n"/>
      <c r="CF84" s="481" t="n"/>
      <c r="CG84" s="481" t="n"/>
      <c r="CH84" s="481" t="n"/>
      <c r="CI84" s="481" t="n"/>
      <c r="CJ84" s="481" t="n"/>
      <c r="CK84" s="481" t="n"/>
      <c r="CL84" s="481" t="n"/>
      <c r="CM84" s="481" t="n"/>
      <c r="CN84" s="481" t="n"/>
      <c r="CO84" s="481" t="n"/>
      <c r="CP84" s="481" t="n"/>
      <c r="CQ84" s="481" t="n"/>
      <c r="CR84" s="481" t="n"/>
      <c r="CS84" s="481" t="n"/>
      <c r="CT84" s="481" t="n"/>
    </row>
    <row r="85" ht="15" customFormat="1" customHeight="1" s="381">
      <c r="A85" s="480" t="inlineStr">
        <is>
          <t>5000-1002 Employee Benefits</t>
        </is>
      </c>
      <c r="C85" s="481" t="n">
        <v>-12137.77</v>
      </c>
      <c r="D85" s="481" t="n">
        <v>-12137.78</v>
      </c>
      <c r="E85" s="481" t="n">
        <v>-12137.78</v>
      </c>
      <c r="F85" s="481" t="n">
        <v>-12137.78</v>
      </c>
      <c r="G85" s="481" t="n">
        <v>-12137.78</v>
      </c>
      <c r="H85" s="481" t="n">
        <v>-12137.78</v>
      </c>
      <c r="I85" s="481" t="n"/>
      <c r="J85" s="481" t="n"/>
      <c r="K85" s="481" t="n"/>
      <c r="L85" s="481" t="n"/>
      <c r="M85" s="481" t="n"/>
      <c r="N85" s="481" t="n"/>
      <c r="O85" s="481" t="n"/>
      <c r="P85" s="481" t="n"/>
      <c r="Q85" s="481" t="n"/>
      <c r="R85" s="481" t="n"/>
      <c r="S85" s="481" t="n"/>
      <c r="T85" s="481" t="n"/>
      <c r="U85" s="481" t="n"/>
      <c r="V85" s="481" t="n"/>
      <c r="W85" s="481" t="n"/>
      <c r="X85" s="481" t="n"/>
      <c r="Y85" s="481" t="n"/>
      <c r="Z85" s="481" t="n"/>
      <c r="AA85" s="481" t="n"/>
      <c r="AB85" s="481" t="n"/>
      <c r="AC85" s="481" t="n"/>
      <c r="AD85" s="481" t="n"/>
      <c r="AE85" s="481" t="n"/>
      <c r="AF85" s="481" t="n"/>
      <c r="AG85" s="481" t="n"/>
      <c r="AH85" s="481" t="n"/>
      <c r="AI85" s="481" t="n"/>
      <c r="AJ85" s="481" t="n"/>
      <c r="AK85" s="481" t="n"/>
      <c r="AL85" s="481" t="n"/>
      <c r="AM85" s="481" t="n"/>
      <c r="AN85" s="481" t="n"/>
      <c r="AO85" s="481" t="n"/>
      <c r="AP85" s="481" t="n"/>
      <c r="AQ85" s="481" t="n"/>
      <c r="AR85" s="481" t="n"/>
      <c r="AS85" s="481" t="n"/>
      <c r="AT85" s="481" t="n"/>
      <c r="AU85" s="481" t="n"/>
      <c r="AV85" s="481" t="n"/>
      <c r="AW85" s="481" t="n"/>
      <c r="AX85" s="481" t="n"/>
      <c r="AY85" s="481" t="n"/>
      <c r="AZ85" s="481" t="n"/>
      <c r="BA85" s="481" t="n"/>
      <c r="BB85" s="481" t="n"/>
      <c r="BC85" s="481" t="n"/>
      <c r="BD85" s="481" t="n"/>
      <c r="BE85" s="481" t="n"/>
      <c r="BF85" s="481" t="n"/>
      <c r="BG85" s="481" t="n"/>
      <c r="BH85" s="481" t="n"/>
      <c r="BI85" s="481" t="n"/>
      <c r="BJ85" s="481" t="n"/>
      <c r="BK85" s="481" t="n"/>
      <c r="BL85" s="481" t="n"/>
      <c r="BM85" s="481" t="n"/>
      <c r="BN85" s="481" t="n"/>
      <c r="BO85" s="481" t="n"/>
      <c r="BP85" s="481" t="n"/>
      <c r="BQ85" s="481" t="n"/>
      <c r="BR85" s="481" t="n"/>
      <c r="BS85" s="481" t="n"/>
      <c r="BT85" s="481" t="n"/>
      <c r="BU85" s="481" t="n"/>
      <c r="BV85" s="481" t="n"/>
      <c r="BW85" s="481" t="n"/>
      <c r="BX85" s="481" t="n"/>
      <c r="BY85" s="481" t="n"/>
      <c r="BZ85" s="481" t="n"/>
      <c r="CA85" s="481" t="n"/>
      <c r="CB85" s="481" t="n"/>
      <c r="CC85" s="481" t="n"/>
      <c r="CD85" s="481" t="n"/>
      <c r="CE85" s="481" t="n"/>
      <c r="CF85" s="481" t="n"/>
      <c r="CG85" s="481" t="n"/>
      <c r="CH85" s="481" t="n"/>
      <c r="CI85" s="481" t="n"/>
      <c r="CJ85" s="481" t="n"/>
      <c r="CK85" s="481" t="n"/>
      <c r="CL85" s="481" t="n"/>
      <c r="CM85" s="481" t="n"/>
      <c r="CN85" s="481" t="n"/>
      <c r="CO85" s="481" t="n"/>
      <c r="CP85" s="481" t="n"/>
      <c r="CQ85" s="481" t="n"/>
      <c r="CR85" s="481" t="n"/>
      <c r="CS85" s="481" t="n"/>
      <c r="CT85" s="481" t="n"/>
    </row>
    <row r="86" ht="15" customFormat="1" customHeight="1" s="381">
      <c r="A86" s="480" t="inlineStr">
        <is>
          <t>5000-1003 Workers Comp</t>
        </is>
      </c>
      <c r="C86" s="481" t="n">
        <v>-475.76</v>
      </c>
      <c r="D86" s="481" t="n">
        <v>-475.76</v>
      </c>
      <c r="E86" s="481" t="n">
        <v>-475.76</v>
      </c>
      <c r="F86" s="481" t="n">
        <v>-475.76</v>
      </c>
      <c r="G86" s="481" t="n">
        <v>-475.76</v>
      </c>
      <c r="H86" s="481" t="n">
        <v>-475.76</v>
      </c>
      <c r="I86" s="481" t="n"/>
      <c r="J86" s="481" t="n"/>
      <c r="K86" s="481" t="n"/>
      <c r="L86" s="481" t="n"/>
      <c r="M86" s="481" t="n"/>
      <c r="N86" s="481" t="n"/>
      <c r="O86" s="481" t="n"/>
      <c r="P86" s="481" t="n"/>
      <c r="Q86" s="481" t="n"/>
      <c r="R86" s="481" t="n"/>
      <c r="S86" s="481" t="n"/>
      <c r="T86" s="481" t="n"/>
      <c r="U86" s="481" t="n"/>
      <c r="V86" s="481" t="n"/>
      <c r="W86" s="481" t="n"/>
      <c r="X86" s="481" t="n"/>
      <c r="Y86" s="481" t="n"/>
      <c r="Z86" s="481" t="n"/>
      <c r="AA86" s="481" t="n"/>
      <c r="AB86" s="481" t="n"/>
      <c r="AC86" s="481" t="n"/>
      <c r="AD86" s="481" t="n"/>
      <c r="AE86" s="481" t="n"/>
      <c r="AF86" s="481" t="n"/>
      <c r="AG86" s="481" t="n"/>
      <c r="AH86" s="481" t="n"/>
      <c r="AI86" s="481" t="n"/>
      <c r="AJ86" s="481" t="n"/>
      <c r="AK86" s="481" t="n"/>
      <c r="AL86" s="481" t="n"/>
      <c r="AM86" s="481" t="n"/>
      <c r="AN86" s="481" t="n"/>
      <c r="AO86" s="481" t="n"/>
      <c r="AP86" s="481" t="n"/>
      <c r="AQ86" s="481" t="n"/>
      <c r="AR86" s="481" t="n"/>
      <c r="AS86" s="481" t="n"/>
      <c r="AT86" s="481" t="n"/>
      <c r="AU86" s="481" t="n"/>
      <c r="AV86" s="481" t="n"/>
      <c r="AW86" s="481" t="n"/>
      <c r="AX86" s="481" t="n"/>
      <c r="AY86" s="481" t="n"/>
      <c r="AZ86" s="481" t="n"/>
      <c r="BA86" s="481" t="n"/>
      <c r="BB86" s="481" t="n"/>
      <c r="BC86" s="481" t="n"/>
      <c r="BD86" s="481" t="n"/>
      <c r="BE86" s="481" t="n"/>
      <c r="BF86" s="481" t="n"/>
      <c r="BG86" s="481" t="n"/>
      <c r="BH86" s="481" t="n"/>
      <c r="BI86" s="481" t="n"/>
      <c r="BJ86" s="481" t="n"/>
      <c r="BK86" s="481" t="n"/>
      <c r="BL86" s="481" t="n"/>
      <c r="BM86" s="481" t="n"/>
      <c r="BN86" s="481" t="n"/>
      <c r="BO86" s="481" t="n"/>
      <c r="BP86" s="481" t="n"/>
      <c r="BQ86" s="481" t="n"/>
      <c r="BR86" s="481" t="n"/>
      <c r="BS86" s="481" t="n"/>
      <c r="BT86" s="481" t="n"/>
      <c r="BU86" s="481" t="n"/>
      <c r="BV86" s="481" t="n"/>
      <c r="BW86" s="481" t="n"/>
      <c r="BX86" s="481" t="n"/>
      <c r="BY86" s="481" t="n"/>
      <c r="BZ86" s="481" t="n"/>
      <c r="CA86" s="481" t="n"/>
      <c r="CB86" s="481" t="n"/>
      <c r="CC86" s="481" t="n"/>
      <c r="CD86" s="481" t="n"/>
      <c r="CE86" s="481" t="n"/>
      <c r="CF86" s="481" t="n"/>
      <c r="CG86" s="481" t="n"/>
      <c r="CH86" s="481" t="n"/>
      <c r="CI86" s="481" t="n"/>
      <c r="CJ86" s="481" t="n"/>
      <c r="CK86" s="481" t="n"/>
      <c r="CL86" s="481" t="n"/>
      <c r="CM86" s="481" t="n"/>
      <c r="CN86" s="481" t="n"/>
      <c r="CO86" s="481" t="n"/>
      <c r="CP86" s="481" t="n"/>
      <c r="CQ86" s="481" t="n"/>
      <c r="CR86" s="481" t="n"/>
      <c r="CS86" s="481" t="n"/>
      <c r="CT86" s="481" t="n"/>
    </row>
    <row r="87" ht="15" customFormat="1" customHeight="1" s="381">
      <c r="A87" s="480" t="inlineStr">
        <is>
          <t>5000-1005 Payroll Servicing Fees</t>
        </is>
      </c>
      <c r="C87" s="481" t="n">
        <v>-2200.12</v>
      </c>
      <c r="D87" s="481" t="n">
        <v>-2200.12</v>
      </c>
      <c r="E87" s="481" t="n">
        <v>-2200.12</v>
      </c>
      <c r="F87" s="481" t="n">
        <v>-2200.12</v>
      </c>
      <c r="G87" s="481" t="n">
        <v>-2200.12</v>
      </c>
      <c r="H87" s="481" t="n">
        <v>-2200.12</v>
      </c>
      <c r="I87" s="481" t="n"/>
      <c r="J87" s="481" t="n"/>
      <c r="K87" s="481" t="n"/>
      <c r="L87" s="481" t="n"/>
      <c r="M87" s="481" t="n"/>
      <c r="N87" s="481" t="n"/>
      <c r="O87" s="481" t="n"/>
      <c r="P87" s="481" t="n"/>
      <c r="Q87" s="481" t="n"/>
      <c r="R87" s="481" t="n"/>
      <c r="S87" s="481" t="n"/>
      <c r="T87" s="481" t="n"/>
      <c r="U87" s="481" t="n"/>
      <c r="V87" s="481" t="n"/>
      <c r="W87" s="481" t="n"/>
      <c r="X87" s="481" t="n"/>
      <c r="Y87" s="481" t="n"/>
      <c r="Z87" s="481" t="n"/>
      <c r="AA87" s="481" t="n"/>
      <c r="AB87" s="481" t="n"/>
      <c r="AC87" s="481" t="n"/>
      <c r="AD87" s="481" t="n"/>
      <c r="AE87" s="481" t="n"/>
      <c r="AF87" s="481" t="n"/>
      <c r="AG87" s="481" t="n"/>
      <c r="AH87" s="481" t="n"/>
      <c r="AI87" s="481" t="n"/>
      <c r="AJ87" s="481" t="n"/>
      <c r="AK87" s="481" t="n"/>
      <c r="AL87" s="481" t="n"/>
      <c r="AM87" s="481" t="n"/>
      <c r="AN87" s="481" t="n"/>
      <c r="AO87" s="481" t="n"/>
      <c r="AP87" s="481" t="n"/>
      <c r="AQ87" s="481" t="n"/>
      <c r="AR87" s="481" t="n"/>
      <c r="AS87" s="481" t="n"/>
      <c r="AT87" s="481" t="n"/>
      <c r="AU87" s="481" t="n"/>
      <c r="AV87" s="481" t="n"/>
      <c r="AW87" s="481" t="n"/>
      <c r="AX87" s="481" t="n"/>
      <c r="AY87" s="481" t="n"/>
      <c r="AZ87" s="481" t="n"/>
      <c r="BA87" s="481" t="n"/>
      <c r="BB87" s="481" t="n"/>
      <c r="BC87" s="481" t="n"/>
      <c r="BD87" s="481" t="n"/>
      <c r="BE87" s="481" t="n"/>
      <c r="BF87" s="481" t="n"/>
      <c r="BG87" s="481" t="n"/>
      <c r="BH87" s="481" t="n"/>
      <c r="BI87" s="481" t="n"/>
      <c r="BJ87" s="481" t="n"/>
      <c r="BK87" s="481" t="n"/>
      <c r="BL87" s="481" t="n"/>
      <c r="BM87" s="481" t="n"/>
      <c r="BN87" s="481" t="n"/>
      <c r="BO87" s="481" t="n"/>
      <c r="BP87" s="481" t="n"/>
      <c r="BQ87" s="481" t="n"/>
      <c r="BR87" s="481" t="n"/>
      <c r="BS87" s="481" t="n"/>
      <c r="BT87" s="481" t="n"/>
      <c r="BU87" s="481" t="n"/>
      <c r="BV87" s="481" t="n"/>
      <c r="BW87" s="481" t="n"/>
      <c r="BX87" s="481" t="n"/>
      <c r="BY87" s="481" t="n"/>
      <c r="BZ87" s="481" t="n"/>
      <c r="CA87" s="481" t="n"/>
      <c r="CB87" s="481" t="n"/>
      <c r="CC87" s="481" t="n"/>
      <c r="CD87" s="481" t="n"/>
      <c r="CE87" s="481" t="n"/>
      <c r="CF87" s="481" t="n"/>
      <c r="CG87" s="481" t="n"/>
      <c r="CH87" s="481" t="n"/>
      <c r="CI87" s="481" t="n"/>
      <c r="CJ87" s="481" t="n"/>
      <c r="CK87" s="481" t="n"/>
      <c r="CL87" s="481" t="n"/>
      <c r="CM87" s="481" t="n"/>
      <c r="CN87" s="481" t="n"/>
      <c r="CO87" s="481" t="n"/>
      <c r="CP87" s="481" t="n"/>
      <c r="CQ87" s="481" t="n"/>
      <c r="CR87" s="481" t="n"/>
      <c r="CS87" s="481" t="n"/>
      <c r="CT87" s="481" t="n"/>
    </row>
    <row r="88" ht="15" customFormat="1" customHeight="1" s="381">
      <c r="A88" s="480" t="inlineStr">
        <is>
          <t>5100-1000 Rent Expense</t>
        </is>
      </c>
      <c r="C88" s="481" t="n">
        <v>-8848.65</v>
      </c>
      <c r="D88" s="481" t="n">
        <v>-8817.629999999999</v>
      </c>
      <c r="E88" s="481" t="n">
        <v>-3775.91</v>
      </c>
      <c r="F88" s="481" t="n">
        <v>-8731.120000000001</v>
      </c>
      <c r="G88" s="481" t="n">
        <v>-8739.17</v>
      </c>
      <c r="H88" s="481" t="n">
        <v>-8771.99</v>
      </c>
      <c r="I88" s="481" t="n"/>
      <c r="J88" s="481" t="n"/>
      <c r="K88" s="481" t="n"/>
      <c r="L88" s="481" t="n"/>
      <c r="M88" s="481" t="n"/>
      <c r="N88" s="481" t="n"/>
      <c r="O88" s="481" t="n"/>
      <c r="P88" s="481" t="n"/>
      <c r="Q88" s="481" t="n"/>
      <c r="R88" s="481" t="n"/>
      <c r="S88" s="481" t="n"/>
      <c r="T88" s="481" t="n"/>
      <c r="U88" s="481" t="n"/>
      <c r="V88" s="481" t="n"/>
      <c r="W88" s="481" t="n"/>
      <c r="X88" s="481" t="n"/>
      <c r="Y88" s="481" t="n"/>
      <c r="Z88" s="481" t="n"/>
      <c r="AA88" s="481" t="n"/>
      <c r="AB88" s="481" t="n"/>
      <c r="AC88" s="481" t="n"/>
      <c r="AD88" s="481" t="n"/>
      <c r="AE88" s="481" t="n"/>
      <c r="AF88" s="481" t="n"/>
      <c r="AG88" s="481" t="n"/>
      <c r="AH88" s="481" t="n"/>
      <c r="AI88" s="481" t="n"/>
      <c r="AJ88" s="481" t="n"/>
      <c r="AK88" s="481" t="n"/>
      <c r="AL88" s="481" t="n"/>
      <c r="AM88" s="481" t="n"/>
      <c r="AN88" s="481" t="n"/>
      <c r="AO88" s="481" t="n"/>
      <c r="AP88" s="481" t="n"/>
      <c r="AQ88" s="481" t="n"/>
      <c r="AR88" s="481" t="n"/>
      <c r="AS88" s="481" t="n"/>
      <c r="AT88" s="481" t="n"/>
      <c r="AU88" s="481" t="n"/>
      <c r="AV88" s="481" t="n"/>
      <c r="AW88" s="481" t="n"/>
      <c r="AX88" s="481" t="n"/>
      <c r="AY88" s="481" t="n"/>
      <c r="AZ88" s="481" t="n"/>
      <c r="BA88" s="481" t="n"/>
      <c r="BB88" s="481" t="n"/>
      <c r="BC88" s="481" t="n"/>
      <c r="BD88" s="481" t="n"/>
      <c r="BE88" s="481" t="n"/>
      <c r="BF88" s="481" t="n"/>
      <c r="BG88" s="481" t="n"/>
      <c r="BH88" s="481" t="n"/>
      <c r="BI88" s="481" t="n"/>
      <c r="BJ88" s="481" t="n"/>
      <c r="BK88" s="481" t="n"/>
      <c r="BL88" s="481" t="n"/>
      <c r="BM88" s="481" t="n"/>
      <c r="BN88" s="481" t="n"/>
      <c r="BO88" s="481" t="n"/>
      <c r="BP88" s="481" t="n"/>
      <c r="BQ88" s="481" t="n"/>
      <c r="BR88" s="481" t="n"/>
      <c r="BS88" s="481" t="n"/>
      <c r="BT88" s="481" t="n"/>
      <c r="BU88" s="481" t="n"/>
      <c r="BV88" s="481" t="n"/>
      <c r="BW88" s="481" t="n"/>
      <c r="BX88" s="481" t="n"/>
      <c r="BY88" s="481" t="n"/>
      <c r="BZ88" s="481" t="n"/>
      <c r="CA88" s="481" t="n"/>
      <c r="CB88" s="481" t="n"/>
      <c r="CC88" s="481" t="n"/>
      <c r="CD88" s="481" t="n"/>
      <c r="CE88" s="481" t="n"/>
      <c r="CF88" s="481" t="n"/>
      <c r="CG88" s="481" t="n"/>
      <c r="CH88" s="481" t="n"/>
      <c r="CI88" s="481" t="n"/>
      <c r="CJ88" s="481" t="n"/>
      <c r="CK88" s="481" t="n"/>
      <c r="CL88" s="481" t="n"/>
      <c r="CM88" s="481" t="n"/>
      <c r="CN88" s="481" t="n"/>
      <c r="CO88" s="481" t="n"/>
      <c r="CP88" s="481" t="n"/>
      <c r="CQ88" s="481" t="n"/>
      <c r="CR88" s="481" t="n"/>
      <c r="CS88" s="481" t="n"/>
      <c r="CT88" s="481" t="n"/>
    </row>
    <row r="89" ht="15" customFormat="1" customHeight="1" s="381">
      <c r="A89" s="480" t="inlineStr">
        <is>
          <t>5200-1000 Office Supplies and Expenses</t>
        </is>
      </c>
      <c r="C89" s="481" t="n">
        <v>-1722.9</v>
      </c>
      <c r="D89" s="481" t="n">
        <v>0</v>
      </c>
      <c r="E89" s="481" t="n">
        <v>-28.51</v>
      </c>
      <c r="F89" s="481" t="n">
        <v>0</v>
      </c>
      <c r="G89" s="481" t="n">
        <v>-212.12</v>
      </c>
      <c r="H89" s="481" t="n">
        <v>-83.92</v>
      </c>
      <c r="I89" s="481" t="n"/>
      <c r="J89" s="481" t="n"/>
      <c r="K89" s="481" t="n"/>
      <c r="L89" s="481" t="n"/>
      <c r="M89" s="481" t="n"/>
      <c r="N89" s="481" t="n"/>
      <c r="O89" s="481" t="n"/>
      <c r="P89" s="481" t="n"/>
      <c r="Q89" s="481" t="n"/>
      <c r="R89" s="481" t="n"/>
      <c r="S89" s="481" t="n"/>
      <c r="T89" s="481" t="n"/>
      <c r="U89" s="481" t="n"/>
      <c r="V89" s="481" t="n"/>
      <c r="W89" s="481" t="n"/>
      <c r="X89" s="481" t="n"/>
      <c r="Y89" s="481" t="n"/>
      <c r="Z89" s="481" t="n"/>
      <c r="AA89" s="481" t="n"/>
      <c r="AB89" s="481" t="n"/>
      <c r="AC89" s="481" t="n"/>
      <c r="AD89" s="481" t="n"/>
      <c r="AE89" s="481" t="n"/>
      <c r="AF89" s="481" t="n"/>
      <c r="AG89" s="481" t="n"/>
      <c r="AH89" s="481" t="n"/>
      <c r="AI89" s="481" t="n"/>
      <c r="AJ89" s="481" t="n"/>
      <c r="AK89" s="481" t="n"/>
      <c r="AL89" s="481" t="n"/>
      <c r="AM89" s="481" t="n"/>
      <c r="AN89" s="481" t="n"/>
      <c r="AO89" s="481" t="n"/>
      <c r="AP89" s="481" t="n"/>
      <c r="AQ89" s="481" t="n"/>
      <c r="AR89" s="481" t="n"/>
      <c r="AS89" s="481" t="n"/>
      <c r="AT89" s="481" t="n"/>
      <c r="AU89" s="481" t="n"/>
      <c r="AV89" s="481" t="n"/>
      <c r="AW89" s="481" t="n"/>
      <c r="AX89" s="481" t="n"/>
      <c r="AY89" s="481" t="n"/>
      <c r="AZ89" s="481" t="n"/>
      <c r="BA89" s="481" t="n"/>
      <c r="BB89" s="481" t="n"/>
      <c r="BC89" s="481" t="n"/>
      <c r="BD89" s="481" t="n"/>
      <c r="BE89" s="481" t="n"/>
      <c r="BF89" s="481" t="n"/>
      <c r="BG89" s="481" t="n"/>
      <c r="BH89" s="481" t="n"/>
      <c r="BI89" s="481" t="n"/>
      <c r="BJ89" s="481" t="n"/>
      <c r="BK89" s="481" t="n"/>
      <c r="BL89" s="481" t="n"/>
      <c r="BM89" s="481" t="n"/>
      <c r="BN89" s="481" t="n"/>
      <c r="BO89" s="481" t="n"/>
      <c r="BP89" s="481" t="n"/>
      <c r="BQ89" s="481" t="n"/>
      <c r="BR89" s="481" t="n"/>
      <c r="BS89" s="481" t="n"/>
      <c r="BT89" s="481" t="n"/>
      <c r="BU89" s="481" t="n"/>
      <c r="BV89" s="481" t="n"/>
      <c r="BW89" s="481" t="n"/>
      <c r="BX89" s="481" t="n"/>
      <c r="BY89" s="481" t="n"/>
      <c r="BZ89" s="481" t="n"/>
      <c r="CA89" s="481" t="n"/>
      <c r="CB89" s="481" t="n"/>
      <c r="CC89" s="481" t="n"/>
      <c r="CD89" s="481" t="n"/>
      <c r="CE89" s="481" t="n"/>
      <c r="CF89" s="481" t="n"/>
      <c r="CG89" s="481" t="n"/>
      <c r="CH89" s="481" t="n"/>
      <c r="CI89" s="481" t="n"/>
      <c r="CJ89" s="481" t="n"/>
      <c r="CK89" s="481" t="n"/>
      <c r="CL89" s="481" t="n"/>
      <c r="CM89" s="481" t="n"/>
      <c r="CN89" s="481" t="n"/>
      <c r="CO89" s="481" t="n"/>
      <c r="CP89" s="481" t="n"/>
      <c r="CQ89" s="481" t="n"/>
      <c r="CR89" s="481" t="n"/>
      <c r="CS89" s="481" t="n"/>
      <c r="CT89" s="481" t="n"/>
    </row>
    <row r="90" ht="15" customFormat="1" customHeight="1" s="381">
      <c r="A90" s="480" t="inlineStr">
        <is>
          <t>5200-1053 IT Software and Subscriptions</t>
        </is>
      </c>
      <c r="C90" s="481" t="n">
        <v>-246.85</v>
      </c>
      <c r="D90" s="481" t="n">
        <v>0</v>
      </c>
      <c r="E90" s="481" t="n">
        <v>-4246.73</v>
      </c>
      <c r="F90" s="481" t="n">
        <v>-3123.87</v>
      </c>
      <c r="G90" s="481" t="n">
        <v>-3184.88</v>
      </c>
      <c r="H90" s="481" t="n">
        <v>-4015.94</v>
      </c>
      <c r="I90" s="481" t="n"/>
      <c r="J90" s="481" t="n"/>
      <c r="K90" s="481" t="n"/>
      <c r="L90" s="481" t="n"/>
      <c r="M90" s="481" t="n"/>
      <c r="N90" s="481" t="n"/>
      <c r="O90" s="481" t="n"/>
      <c r="P90" s="481" t="n"/>
      <c r="Q90" s="481" t="n"/>
      <c r="R90" s="481" t="n"/>
      <c r="S90" s="481" t="n"/>
      <c r="T90" s="481" t="n"/>
      <c r="U90" s="481" t="n"/>
      <c r="V90" s="481" t="n"/>
      <c r="W90" s="481" t="n"/>
      <c r="X90" s="481" t="n"/>
      <c r="Y90" s="481" t="n"/>
      <c r="Z90" s="481" t="n"/>
      <c r="AA90" s="481" t="n"/>
      <c r="AB90" s="481" t="n"/>
      <c r="AC90" s="481" t="n"/>
      <c r="AD90" s="481" t="n"/>
      <c r="AE90" s="481" t="n"/>
      <c r="AF90" s="481" t="n"/>
      <c r="AG90" s="481" t="n"/>
      <c r="AH90" s="481" t="n"/>
      <c r="AI90" s="481" t="n"/>
      <c r="AJ90" s="481" t="n"/>
      <c r="AK90" s="481" t="n"/>
      <c r="AL90" s="481" t="n"/>
      <c r="AM90" s="481" t="n"/>
      <c r="AN90" s="481" t="n"/>
      <c r="AO90" s="481" t="n"/>
      <c r="AP90" s="481" t="n"/>
      <c r="AQ90" s="481" t="n"/>
      <c r="AR90" s="481" t="n"/>
      <c r="AS90" s="481" t="n"/>
      <c r="AT90" s="481" t="n"/>
      <c r="AU90" s="481" t="n"/>
      <c r="AV90" s="481" t="n"/>
      <c r="AW90" s="481" t="n"/>
      <c r="AX90" s="481" t="n"/>
      <c r="AY90" s="481" t="n"/>
      <c r="AZ90" s="481" t="n"/>
      <c r="BA90" s="481" t="n"/>
      <c r="BB90" s="481" t="n"/>
      <c r="BC90" s="481" t="n"/>
      <c r="BD90" s="481" t="n"/>
      <c r="BE90" s="481" t="n"/>
      <c r="BF90" s="481" t="n"/>
      <c r="BG90" s="481" t="n"/>
      <c r="BH90" s="481" t="n"/>
      <c r="BI90" s="481" t="n"/>
      <c r="BJ90" s="481" t="n"/>
      <c r="BK90" s="481" t="n"/>
      <c r="BL90" s="481" t="n"/>
      <c r="BM90" s="481" t="n"/>
      <c r="BN90" s="481" t="n"/>
      <c r="BO90" s="481" t="n"/>
      <c r="BP90" s="481" t="n"/>
      <c r="BQ90" s="481" t="n"/>
      <c r="BR90" s="481" t="n"/>
      <c r="BS90" s="481" t="n"/>
      <c r="BT90" s="481" t="n"/>
      <c r="BU90" s="481" t="n"/>
      <c r="BV90" s="481" t="n"/>
      <c r="BW90" s="481" t="n"/>
      <c r="BX90" s="481" t="n"/>
      <c r="BY90" s="481" t="n"/>
      <c r="BZ90" s="481" t="n"/>
      <c r="CA90" s="481" t="n"/>
      <c r="CB90" s="481" t="n"/>
      <c r="CC90" s="481" t="n"/>
      <c r="CD90" s="481" t="n"/>
      <c r="CE90" s="481" t="n"/>
      <c r="CF90" s="481" t="n"/>
      <c r="CG90" s="481" t="n"/>
      <c r="CH90" s="481" t="n"/>
      <c r="CI90" s="481" t="n"/>
      <c r="CJ90" s="481" t="n"/>
      <c r="CK90" s="481" t="n"/>
      <c r="CL90" s="481" t="n"/>
      <c r="CM90" s="481" t="n"/>
      <c r="CN90" s="481" t="n"/>
      <c r="CO90" s="481" t="n"/>
      <c r="CP90" s="481" t="n"/>
      <c r="CQ90" s="481" t="n"/>
      <c r="CR90" s="481" t="n"/>
      <c r="CS90" s="481" t="n"/>
      <c r="CT90" s="481" t="n"/>
    </row>
    <row r="91" ht="15" customFormat="1" customHeight="1" s="381">
      <c r="A91" s="480" t="inlineStr">
        <is>
          <t>5200-1060 Website Design</t>
        </is>
      </c>
      <c r="C91" s="481" t="n">
        <v>0</v>
      </c>
      <c r="D91" s="481" t="n">
        <v>0</v>
      </c>
      <c r="E91" s="481" t="n">
        <v>-870</v>
      </c>
      <c r="F91" s="481" t="n">
        <v>0</v>
      </c>
      <c r="G91" s="481" t="n">
        <v>0</v>
      </c>
      <c r="H91" s="481" t="n">
        <v>0</v>
      </c>
      <c r="I91" s="481" t="n"/>
      <c r="J91" s="481" t="n"/>
      <c r="K91" s="481" t="n"/>
      <c r="L91" s="481" t="n"/>
      <c r="M91" s="481" t="n"/>
      <c r="N91" s="481" t="n"/>
      <c r="O91" s="481" t="n"/>
      <c r="P91" s="481" t="n"/>
      <c r="Q91" s="481" t="n"/>
      <c r="R91" s="481" t="n"/>
      <c r="S91" s="481" t="n"/>
      <c r="T91" s="481" t="n"/>
      <c r="U91" s="481" t="n"/>
      <c r="V91" s="481" t="n"/>
      <c r="W91" s="481" t="n"/>
      <c r="X91" s="481" t="n"/>
      <c r="Y91" s="481" t="n"/>
      <c r="Z91" s="481" t="n"/>
      <c r="AA91" s="481" t="n"/>
      <c r="AB91" s="481" t="n"/>
      <c r="AC91" s="481" t="n"/>
      <c r="AD91" s="481" t="n"/>
      <c r="AE91" s="481" t="n"/>
      <c r="AF91" s="481" t="n"/>
      <c r="AG91" s="481" t="n"/>
      <c r="AH91" s="481" t="n"/>
      <c r="AI91" s="481" t="n"/>
      <c r="AJ91" s="481" t="n"/>
      <c r="AK91" s="481" t="n"/>
      <c r="AL91" s="481" t="n"/>
      <c r="AM91" s="481" t="n"/>
      <c r="AN91" s="481" t="n"/>
      <c r="AO91" s="481" t="n"/>
      <c r="AP91" s="481" t="n"/>
      <c r="AQ91" s="481" t="n"/>
      <c r="AR91" s="481" t="n"/>
      <c r="AS91" s="481" t="n"/>
      <c r="AT91" s="481" t="n"/>
      <c r="AU91" s="481" t="n"/>
      <c r="AV91" s="481" t="n"/>
      <c r="AW91" s="481" t="n"/>
      <c r="AX91" s="481" t="n"/>
      <c r="AY91" s="481" t="n"/>
      <c r="AZ91" s="481" t="n"/>
      <c r="BA91" s="481" t="n"/>
      <c r="BB91" s="481" t="n"/>
      <c r="BC91" s="481" t="n"/>
      <c r="BD91" s="481" t="n"/>
      <c r="BE91" s="481" t="n"/>
      <c r="BF91" s="481" t="n"/>
      <c r="BG91" s="481" t="n"/>
      <c r="BH91" s="481" t="n"/>
      <c r="BI91" s="481" t="n"/>
      <c r="BJ91" s="481" t="n"/>
      <c r="BK91" s="481" t="n"/>
      <c r="BL91" s="481" t="n"/>
      <c r="BM91" s="481" t="n"/>
      <c r="BN91" s="481" t="n"/>
      <c r="BO91" s="481" t="n"/>
      <c r="BP91" s="481" t="n"/>
      <c r="BQ91" s="481" t="n"/>
      <c r="BR91" s="481" t="n"/>
      <c r="BS91" s="481" t="n"/>
      <c r="BT91" s="481" t="n"/>
      <c r="BU91" s="481" t="n"/>
      <c r="BV91" s="481" t="n"/>
      <c r="BW91" s="481" t="n"/>
      <c r="BX91" s="481" t="n"/>
      <c r="BY91" s="481" t="n"/>
      <c r="BZ91" s="481" t="n"/>
      <c r="CA91" s="481" t="n"/>
      <c r="CB91" s="481" t="n"/>
      <c r="CC91" s="481" t="n"/>
      <c r="CD91" s="481" t="n"/>
      <c r="CE91" s="481" t="n"/>
      <c r="CF91" s="481" t="n"/>
      <c r="CG91" s="481" t="n"/>
      <c r="CH91" s="481" t="n"/>
      <c r="CI91" s="481" t="n"/>
      <c r="CJ91" s="481" t="n"/>
      <c r="CK91" s="481" t="n"/>
      <c r="CL91" s="481" t="n"/>
      <c r="CM91" s="481" t="n"/>
      <c r="CN91" s="481" t="n"/>
      <c r="CO91" s="481" t="n"/>
      <c r="CP91" s="481" t="n"/>
      <c r="CQ91" s="481" t="n"/>
      <c r="CR91" s="481" t="n"/>
      <c r="CS91" s="481" t="n"/>
      <c r="CT91" s="481" t="n"/>
    </row>
    <row r="92" ht="15" customFormat="1" customHeight="1" s="381">
      <c r="A92" s="482" t="inlineStr">
        <is>
          <t>5200-1061 Website Hosting</t>
        </is>
      </c>
      <c r="C92" s="485" t="n">
        <v>-245</v>
      </c>
      <c r="D92" s="485" t="n">
        <v>-245</v>
      </c>
      <c r="E92" s="485" t="n">
        <v>-245</v>
      </c>
      <c r="F92" s="485" t="n">
        <v>-245</v>
      </c>
      <c r="G92" s="485" t="n">
        <v>-245</v>
      </c>
      <c r="H92" s="485" t="n">
        <v>-245</v>
      </c>
      <c r="I92" s="485" t="n"/>
      <c r="J92" s="485" t="n"/>
      <c r="K92" s="485" t="n"/>
      <c r="L92" s="485" t="n"/>
      <c r="M92" s="485" t="n"/>
      <c r="N92" s="485" t="n"/>
      <c r="O92" s="485" t="n"/>
      <c r="P92" s="485" t="n"/>
      <c r="Q92" s="485" t="n"/>
      <c r="R92" s="485" t="n"/>
      <c r="S92" s="485" t="n"/>
      <c r="T92" s="485" t="n"/>
      <c r="U92" s="485" t="n"/>
      <c r="V92" s="485" t="n"/>
      <c r="W92" s="485" t="n"/>
      <c r="X92" s="485" t="n"/>
      <c r="Y92" s="485" t="n"/>
      <c r="Z92" s="485" t="n"/>
      <c r="AA92" s="485" t="n"/>
      <c r="AB92" s="485" t="n"/>
      <c r="AC92" s="485" t="n"/>
      <c r="AD92" s="485" t="n"/>
      <c r="AE92" s="485" t="n"/>
      <c r="AF92" s="485" t="n"/>
      <c r="AG92" s="485" t="n"/>
      <c r="AH92" s="485" t="n"/>
      <c r="AI92" s="485" t="n"/>
      <c r="AJ92" s="485" t="n"/>
      <c r="AK92" s="485" t="n"/>
      <c r="AL92" s="485" t="n"/>
      <c r="AM92" s="485" t="n"/>
      <c r="AN92" s="485" t="n"/>
      <c r="AO92" s="485" t="n"/>
      <c r="AP92" s="485" t="n"/>
      <c r="AQ92" s="485" t="n"/>
      <c r="AR92" s="485" t="n"/>
      <c r="AS92" s="485" t="n"/>
      <c r="AT92" s="485" t="n"/>
      <c r="AU92" s="485" t="n"/>
      <c r="AV92" s="485" t="n"/>
      <c r="AW92" s="485" t="n"/>
      <c r="AX92" s="485" t="n"/>
      <c r="AY92" s="485" t="n"/>
      <c r="AZ92" s="485" t="n"/>
      <c r="BA92" s="485" t="n"/>
      <c r="BB92" s="485" t="n"/>
      <c r="BC92" s="485" t="n"/>
      <c r="BD92" s="485" t="n"/>
      <c r="BE92" s="485" t="n"/>
      <c r="BF92" s="485" t="n"/>
      <c r="BG92" s="485" t="n"/>
      <c r="BH92" s="485" t="n"/>
      <c r="BI92" s="485" t="n"/>
      <c r="BJ92" s="485" t="n"/>
      <c r="BK92" s="485" t="n"/>
      <c r="BL92" s="485" t="n"/>
      <c r="BM92" s="485" t="n"/>
      <c r="BN92" s="485" t="n"/>
      <c r="BO92" s="485" t="n"/>
      <c r="BP92" s="485" t="n"/>
      <c r="BQ92" s="485" t="n"/>
      <c r="BR92" s="485" t="n"/>
      <c r="BS92" s="485" t="n"/>
      <c r="BT92" s="485" t="n"/>
      <c r="BU92" s="485" t="n"/>
      <c r="BV92" s="485" t="n"/>
      <c r="BW92" s="485" t="n"/>
      <c r="BX92" s="485" t="n"/>
      <c r="BY92" s="485" t="n"/>
      <c r="BZ92" s="485" t="n"/>
      <c r="CA92" s="485" t="n"/>
      <c r="CB92" s="485" t="n"/>
      <c r="CC92" s="485" t="n"/>
      <c r="CD92" s="485" t="n"/>
      <c r="CE92" s="485" t="n"/>
      <c r="CF92" s="485" t="n"/>
      <c r="CG92" s="485" t="n"/>
      <c r="CH92" s="485" t="n"/>
      <c r="CI92" s="485" t="n"/>
      <c r="CJ92" s="485" t="n"/>
      <c r="CK92" s="485" t="n"/>
      <c r="CL92" s="485" t="n"/>
      <c r="CM92" s="485" t="n"/>
      <c r="CN92" s="485" t="n"/>
      <c r="CO92" s="485" t="n"/>
      <c r="CP92" s="485" t="n"/>
      <c r="CQ92" s="485" t="n"/>
      <c r="CR92" s="485" t="n"/>
      <c r="CS92" s="485" t="n"/>
      <c r="CT92" s="485" t="n"/>
    </row>
    <row r="93" ht="15" customFormat="1" customHeight="1" s="381">
      <c r="A93" s="482" t="inlineStr">
        <is>
          <t>5300-1000 Travel and Lodging</t>
        </is>
      </c>
      <c r="C93" s="485" t="n">
        <v>-986.5700000000001</v>
      </c>
      <c r="D93" s="485" t="n">
        <v>-1254.61</v>
      </c>
      <c r="E93" s="485" t="n">
        <v>-1297.31</v>
      </c>
      <c r="F93" s="485" t="n">
        <v>-48.78</v>
      </c>
      <c r="G93" s="485" t="n">
        <v>-4199.86</v>
      </c>
      <c r="H93" s="485" t="n">
        <v>-3433.39</v>
      </c>
      <c r="I93" s="485" t="n"/>
      <c r="J93" s="485" t="n"/>
      <c r="K93" s="485" t="n"/>
      <c r="L93" s="485" t="n"/>
      <c r="M93" s="485" t="n"/>
      <c r="N93" s="485" t="n"/>
      <c r="O93" s="485" t="n"/>
      <c r="P93" s="485" t="n"/>
      <c r="Q93" s="485" t="n"/>
      <c r="R93" s="485" t="n"/>
      <c r="S93" s="485" t="n"/>
      <c r="T93" s="485" t="n"/>
      <c r="U93" s="485" t="n"/>
      <c r="V93" s="485" t="n"/>
      <c r="W93" s="485" t="n"/>
      <c r="X93" s="485" t="n"/>
      <c r="Y93" s="485" t="n"/>
      <c r="Z93" s="485" t="n"/>
      <c r="AA93" s="485" t="n"/>
      <c r="AB93" s="485" t="n"/>
      <c r="AC93" s="485" t="n"/>
      <c r="AD93" s="485" t="n"/>
      <c r="AE93" s="485" t="n"/>
      <c r="AF93" s="485" t="n"/>
      <c r="AG93" s="485" t="n"/>
      <c r="AH93" s="485" t="n"/>
      <c r="AI93" s="485" t="n"/>
      <c r="AJ93" s="485" t="n"/>
      <c r="AK93" s="485" t="n"/>
      <c r="AL93" s="485" t="n"/>
      <c r="AM93" s="485" t="n"/>
      <c r="AN93" s="485" t="n"/>
      <c r="AO93" s="485" t="n"/>
      <c r="AP93" s="485" t="n"/>
      <c r="AQ93" s="485" t="n"/>
      <c r="AR93" s="485" t="n"/>
      <c r="AS93" s="485" t="n"/>
      <c r="AT93" s="485" t="n"/>
      <c r="AU93" s="485" t="n"/>
      <c r="AV93" s="485" t="n"/>
      <c r="AW93" s="485" t="n"/>
      <c r="AX93" s="485" t="n"/>
      <c r="AY93" s="485" t="n"/>
      <c r="AZ93" s="485" t="n"/>
      <c r="BA93" s="485" t="n"/>
      <c r="BB93" s="485" t="n"/>
      <c r="BC93" s="485" t="n"/>
      <c r="BD93" s="485" t="n"/>
      <c r="BE93" s="485" t="n"/>
      <c r="BF93" s="485" t="n"/>
      <c r="BG93" s="485" t="n"/>
      <c r="BH93" s="485" t="n"/>
      <c r="BI93" s="485" t="n"/>
      <c r="BJ93" s="485" t="n"/>
      <c r="BK93" s="485" t="n"/>
      <c r="BL93" s="485" t="n"/>
      <c r="BM93" s="485" t="n"/>
      <c r="BN93" s="485" t="n"/>
      <c r="BO93" s="485" t="n"/>
      <c r="BP93" s="485" t="n"/>
      <c r="BQ93" s="485" t="n"/>
      <c r="BR93" s="485" t="n"/>
      <c r="BS93" s="485" t="n"/>
      <c r="BT93" s="485" t="n"/>
      <c r="BU93" s="485" t="n"/>
      <c r="BV93" s="485" t="n"/>
      <c r="BW93" s="485" t="n"/>
      <c r="BX93" s="485" t="n"/>
      <c r="BY93" s="485" t="n"/>
      <c r="BZ93" s="485" t="n"/>
      <c r="CA93" s="485" t="n"/>
      <c r="CB93" s="485" t="n"/>
      <c r="CC93" s="485" t="n"/>
      <c r="CD93" s="485" t="n"/>
      <c r="CE93" s="485" t="n"/>
      <c r="CF93" s="485" t="n"/>
      <c r="CG93" s="485" t="n"/>
      <c r="CH93" s="485" t="n"/>
      <c r="CI93" s="485" t="n"/>
      <c r="CJ93" s="485" t="n"/>
      <c r="CK93" s="485" t="n"/>
      <c r="CL93" s="485" t="n"/>
      <c r="CM93" s="485" t="n"/>
      <c r="CN93" s="485" t="n"/>
      <c r="CO93" s="485" t="n"/>
      <c r="CP93" s="485" t="n"/>
      <c r="CQ93" s="485" t="n"/>
      <c r="CR93" s="485" t="n"/>
      <c r="CS93" s="485" t="n"/>
      <c r="CT93" s="485" t="n"/>
    </row>
    <row r="94" ht="15" customFormat="1" customHeight="1" s="381">
      <c r="A94" s="482" t="inlineStr">
        <is>
          <t>5300-1001 Public Transportation</t>
        </is>
      </c>
      <c r="C94" s="485" t="n">
        <v>-588.66</v>
      </c>
      <c r="D94" s="485" t="n">
        <v>-22.94</v>
      </c>
      <c r="E94" s="485" t="n">
        <v>-487.3</v>
      </c>
      <c r="F94" s="485" t="n">
        <v>-399.98</v>
      </c>
      <c r="G94" s="485" t="n">
        <v>-216.15</v>
      </c>
      <c r="H94" s="485" t="n">
        <v>-936.05</v>
      </c>
      <c r="I94" s="485" t="n"/>
      <c r="J94" s="485" t="n"/>
      <c r="K94" s="485" t="n"/>
      <c r="L94" s="485" t="n"/>
      <c r="M94" s="485" t="n"/>
      <c r="N94" s="485" t="n"/>
      <c r="O94" s="485" t="n"/>
      <c r="P94" s="485" t="n"/>
      <c r="Q94" s="485" t="n"/>
      <c r="R94" s="485" t="n"/>
      <c r="S94" s="485" t="n"/>
      <c r="T94" s="485" t="n"/>
      <c r="U94" s="485" t="n"/>
      <c r="V94" s="485" t="n"/>
      <c r="W94" s="485" t="n"/>
      <c r="X94" s="485" t="n"/>
      <c r="Y94" s="485" t="n"/>
      <c r="Z94" s="485" t="n"/>
      <c r="AA94" s="485" t="n"/>
      <c r="AB94" s="485" t="n"/>
      <c r="AC94" s="485" t="n"/>
      <c r="AD94" s="485" t="n"/>
      <c r="AE94" s="485" t="n"/>
      <c r="AF94" s="485" t="n"/>
      <c r="AG94" s="485" t="n"/>
      <c r="AH94" s="485" t="n"/>
      <c r="AI94" s="485" t="n"/>
      <c r="AJ94" s="485" t="n"/>
      <c r="AK94" s="485" t="n"/>
      <c r="AL94" s="485" t="n"/>
      <c r="AM94" s="485" t="n"/>
      <c r="AN94" s="485" t="n"/>
      <c r="AO94" s="485" t="n"/>
      <c r="AP94" s="485" t="n"/>
      <c r="AQ94" s="485" t="n"/>
      <c r="AR94" s="485" t="n"/>
      <c r="AS94" s="485" t="n"/>
      <c r="AT94" s="485" t="n"/>
      <c r="AU94" s="485" t="n"/>
      <c r="AV94" s="485" t="n"/>
      <c r="AW94" s="485" t="n"/>
      <c r="AX94" s="485" t="n"/>
      <c r="AY94" s="485" t="n"/>
      <c r="AZ94" s="485" t="n"/>
      <c r="BA94" s="485" t="n"/>
      <c r="BB94" s="485" t="n"/>
      <c r="BC94" s="485" t="n"/>
      <c r="BD94" s="485" t="n"/>
      <c r="BE94" s="485" t="n"/>
      <c r="BF94" s="485" t="n"/>
      <c r="BG94" s="485" t="n"/>
      <c r="BH94" s="485" t="n"/>
      <c r="BI94" s="485" t="n"/>
      <c r="BJ94" s="485" t="n"/>
      <c r="BK94" s="485" t="n"/>
      <c r="BL94" s="485" t="n"/>
      <c r="BM94" s="485" t="n"/>
      <c r="BN94" s="485" t="n"/>
      <c r="BO94" s="485" t="n"/>
      <c r="BP94" s="485" t="n"/>
      <c r="BQ94" s="485" t="n"/>
      <c r="BR94" s="485" t="n"/>
      <c r="BS94" s="485" t="n"/>
      <c r="BT94" s="485" t="n"/>
      <c r="BU94" s="485" t="n"/>
      <c r="BV94" s="485" t="n"/>
      <c r="BW94" s="485" t="n"/>
      <c r="BX94" s="485" t="n"/>
      <c r="BY94" s="485" t="n"/>
      <c r="BZ94" s="485" t="n"/>
      <c r="CA94" s="485" t="n"/>
      <c r="CB94" s="485" t="n"/>
      <c r="CC94" s="485" t="n"/>
      <c r="CD94" s="485" t="n"/>
      <c r="CE94" s="485" t="n"/>
      <c r="CF94" s="485" t="n"/>
      <c r="CG94" s="485" t="n"/>
      <c r="CH94" s="485" t="n"/>
      <c r="CI94" s="485" t="n"/>
      <c r="CJ94" s="485" t="n"/>
      <c r="CK94" s="485" t="n"/>
      <c r="CL94" s="485" t="n"/>
      <c r="CM94" s="485" t="n"/>
      <c r="CN94" s="485" t="n"/>
      <c r="CO94" s="485" t="n"/>
      <c r="CP94" s="485" t="n"/>
      <c r="CQ94" s="485" t="n"/>
      <c r="CR94" s="485" t="n"/>
      <c r="CS94" s="485" t="n"/>
      <c r="CT94" s="485" t="n"/>
    </row>
    <row r="95" ht="15" customFormat="1" customHeight="1" s="381">
      <c r="A95" s="482" t="inlineStr">
        <is>
          <t>5300-1002 Parking</t>
        </is>
      </c>
      <c r="C95" s="485" t="n">
        <v>0</v>
      </c>
      <c r="D95" s="485" t="n">
        <v>-92.75</v>
      </c>
      <c r="E95" s="485" t="n">
        <v>-57.46</v>
      </c>
      <c r="F95" s="485" t="n">
        <v>0</v>
      </c>
      <c r="G95" s="485" t="n">
        <v>-24.3</v>
      </c>
      <c r="H95" s="485" t="n">
        <v>-917.7</v>
      </c>
      <c r="I95" s="485" t="n"/>
      <c r="J95" s="485" t="n"/>
      <c r="K95" s="485" t="n"/>
      <c r="L95" s="485" t="n"/>
      <c r="M95" s="485" t="n"/>
      <c r="N95" s="485" t="n"/>
      <c r="O95" s="485" t="n"/>
      <c r="P95" s="485" t="n"/>
      <c r="Q95" s="485" t="n"/>
      <c r="R95" s="485" t="n"/>
      <c r="S95" s="485" t="n"/>
      <c r="T95" s="485" t="n"/>
      <c r="U95" s="485" t="n"/>
      <c r="V95" s="485" t="n"/>
      <c r="W95" s="485" t="n"/>
      <c r="X95" s="485" t="n"/>
      <c r="Y95" s="485" t="n"/>
      <c r="Z95" s="485" t="n"/>
      <c r="AA95" s="485" t="n"/>
      <c r="AB95" s="485" t="n"/>
      <c r="AC95" s="485" t="n"/>
      <c r="AD95" s="485" t="n"/>
      <c r="AE95" s="485" t="n"/>
      <c r="AF95" s="485" t="n"/>
      <c r="AG95" s="485" t="n"/>
      <c r="AH95" s="485" t="n"/>
      <c r="AI95" s="485" t="n"/>
      <c r="AJ95" s="485" t="n"/>
      <c r="AK95" s="485" t="n"/>
      <c r="AL95" s="485" t="n"/>
      <c r="AM95" s="485" t="n"/>
      <c r="AN95" s="485" t="n"/>
      <c r="AO95" s="485" t="n"/>
      <c r="AP95" s="485" t="n"/>
      <c r="AQ95" s="485" t="n"/>
      <c r="AR95" s="485" t="n"/>
      <c r="AS95" s="485" t="n"/>
      <c r="AT95" s="485" t="n"/>
      <c r="AU95" s="485" t="n"/>
      <c r="AV95" s="485" t="n"/>
      <c r="AW95" s="485" t="n"/>
      <c r="AX95" s="485" t="n"/>
      <c r="AY95" s="485" t="n"/>
      <c r="AZ95" s="485" t="n"/>
      <c r="BA95" s="485" t="n"/>
      <c r="BB95" s="485" t="n"/>
      <c r="BC95" s="485" t="n"/>
      <c r="BD95" s="485" t="n"/>
      <c r="BE95" s="485" t="n"/>
      <c r="BF95" s="485" t="n"/>
      <c r="BG95" s="485" t="n"/>
      <c r="BH95" s="485" t="n"/>
      <c r="BI95" s="485" t="n"/>
      <c r="BJ95" s="485" t="n"/>
      <c r="BK95" s="485" t="n"/>
      <c r="BL95" s="485" t="n"/>
      <c r="BM95" s="485" t="n"/>
      <c r="BN95" s="485" t="n"/>
      <c r="BO95" s="485" t="n"/>
      <c r="BP95" s="485" t="n"/>
      <c r="BQ95" s="485" t="n"/>
      <c r="BR95" s="485" t="n"/>
      <c r="BS95" s="485" t="n"/>
      <c r="BT95" s="485" t="n"/>
      <c r="BU95" s="485" t="n"/>
      <c r="BV95" s="485" t="n"/>
      <c r="BW95" s="485" t="n"/>
      <c r="BX95" s="485" t="n"/>
      <c r="BY95" s="485" t="n"/>
      <c r="BZ95" s="485" t="n"/>
      <c r="CA95" s="485" t="n"/>
      <c r="CB95" s="485" t="n"/>
      <c r="CC95" s="485" t="n"/>
      <c r="CD95" s="485" t="n"/>
      <c r="CE95" s="485" t="n"/>
      <c r="CF95" s="485" t="n"/>
      <c r="CG95" s="485" t="n"/>
      <c r="CH95" s="485" t="n"/>
      <c r="CI95" s="485" t="n"/>
      <c r="CJ95" s="485" t="n"/>
      <c r="CK95" s="485" t="n"/>
      <c r="CL95" s="485" t="n"/>
      <c r="CM95" s="485" t="n"/>
      <c r="CN95" s="485" t="n"/>
      <c r="CO95" s="485" t="n"/>
      <c r="CP95" s="485" t="n"/>
      <c r="CQ95" s="485" t="n"/>
      <c r="CR95" s="485" t="n"/>
      <c r="CS95" s="485" t="n"/>
      <c r="CT95" s="485" t="n"/>
    </row>
    <row r="96" ht="15" customFormat="1" customHeight="1" s="381">
      <c r="A96" s="482" t="inlineStr">
        <is>
          <t>5300-1050 Meals and Entertainment</t>
        </is>
      </c>
      <c r="C96" s="485" t="n">
        <v>-640.88</v>
      </c>
      <c r="D96" s="485" t="n">
        <v>-872.64</v>
      </c>
      <c r="E96" s="485" t="n">
        <v>-1175.78</v>
      </c>
      <c r="F96" s="485" t="n">
        <v>-471.38</v>
      </c>
      <c r="G96" s="485" t="n">
        <v>-1307.57</v>
      </c>
      <c r="H96" s="485" t="n">
        <v>-3067.11</v>
      </c>
      <c r="I96" s="485" t="n"/>
      <c r="J96" s="485" t="n"/>
      <c r="K96" s="485" t="n"/>
      <c r="L96" s="485" t="n"/>
      <c r="M96" s="485" t="n"/>
      <c r="N96" s="485" t="n"/>
      <c r="O96" s="485" t="n"/>
      <c r="P96" s="485" t="n"/>
      <c r="Q96" s="485" t="n"/>
      <c r="R96" s="485" t="n"/>
      <c r="S96" s="485" t="n"/>
      <c r="T96" s="485" t="n"/>
      <c r="U96" s="485" t="n"/>
      <c r="V96" s="485" t="n"/>
      <c r="W96" s="485" t="n"/>
      <c r="X96" s="485" t="n"/>
      <c r="Y96" s="485" t="n"/>
      <c r="Z96" s="485" t="n"/>
      <c r="AA96" s="485" t="n"/>
      <c r="AB96" s="485" t="n"/>
      <c r="AC96" s="485" t="n"/>
      <c r="AD96" s="485" t="n"/>
      <c r="AE96" s="485" t="n"/>
      <c r="AF96" s="485" t="n"/>
      <c r="AG96" s="485" t="n"/>
      <c r="AH96" s="485" t="n"/>
      <c r="AI96" s="485" t="n"/>
      <c r="AJ96" s="485" t="n"/>
      <c r="AK96" s="485" t="n"/>
      <c r="AL96" s="485" t="n"/>
      <c r="AM96" s="485" t="n"/>
      <c r="AN96" s="485" t="n"/>
      <c r="AO96" s="485" t="n"/>
      <c r="AP96" s="485" t="n"/>
      <c r="AQ96" s="485" t="n"/>
      <c r="AR96" s="485" t="n"/>
      <c r="AS96" s="485" t="n"/>
      <c r="AT96" s="485" t="n"/>
      <c r="AU96" s="485" t="n"/>
      <c r="AV96" s="485" t="n"/>
      <c r="AW96" s="485" t="n"/>
      <c r="AX96" s="485" t="n"/>
      <c r="AY96" s="485" t="n"/>
      <c r="AZ96" s="485" t="n"/>
      <c r="BA96" s="485" t="n"/>
      <c r="BB96" s="485" t="n"/>
      <c r="BC96" s="485" t="n"/>
      <c r="BD96" s="485" t="n"/>
      <c r="BE96" s="485" t="n"/>
      <c r="BF96" s="485" t="n"/>
      <c r="BG96" s="485" t="n"/>
      <c r="BH96" s="485" t="n"/>
      <c r="BI96" s="485" t="n"/>
      <c r="BJ96" s="485" t="n"/>
      <c r="BK96" s="485" t="n"/>
      <c r="BL96" s="485" t="n"/>
      <c r="BM96" s="485" t="n"/>
      <c r="BN96" s="485" t="n"/>
      <c r="BO96" s="485" t="n"/>
      <c r="BP96" s="485" t="n"/>
      <c r="BQ96" s="485" t="n"/>
      <c r="BR96" s="485" t="n"/>
      <c r="BS96" s="485" t="n"/>
      <c r="BT96" s="485" t="n"/>
      <c r="BU96" s="485" t="n"/>
      <c r="BV96" s="485" t="n"/>
      <c r="BW96" s="485" t="n"/>
      <c r="BX96" s="485" t="n"/>
      <c r="BY96" s="485" t="n"/>
      <c r="BZ96" s="485" t="n"/>
      <c r="CA96" s="485" t="n"/>
      <c r="CB96" s="485" t="n"/>
      <c r="CC96" s="485" t="n"/>
      <c r="CD96" s="485" t="n"/>
      <c r="CE96" s="485" t="n"/>
      <c r="CF96" s="485" t="n"/>
      <c r="CG96" s="485" t="n"/>
      <c r="CH96" s="485" t="n"/>
      <c r="CI96" s="485" t="n"/>
      <c r="CJ96" s="485" t="n"/>
      <c r="CK96" s="485" t="n"/>
      <c r="CL96" s="485" t="n"/>
      <c r="CM96" s="485" t="n"/>
      <c r="CN96" s="485" t="n"/>
      <c r="CO96" s="485" t="n"/>
      <c r="CP96" s="485" t="n"/>
      <c r="CQ96" s="485" t="n"/>
      <c r="CR96" s="485" t="n"/>
      <c r="CS96" s="485" t="n"/>
      <c r="CT96" s="485" t="n"/>
    </row>
    <row r="97" ht="15" customFormat="1" customHeight="1" s="381">
      <c r="A97" s="482" t="inlineStr">
        <is>
          <t>5500-1000 Legal and Professional Fees</t>
        </is>
      </c>
      <c r="C97" s="485" t="n">
        <v>0</v>
      </c>
      <c r="D97" s="485" t="n">
        <v>0</v>
      </c>
      <c r="E97" s="485" t="n">
        <v>-38050.5</v>
      </c>
      <c r="F97" s="485" t="n">
        <v>0</v>
      </c>
      <c r="G97" s="485" t="n">
        <v>-986.5</v>
      </c>
      <c r="H97" s="485" t="n">
        <v>-4830</v>
      </c>
      <c r="I97" s="485" t="n"/>
      <c r="J97" s="485" t="n"/>
      <c r="K97" s="485" t="n"/>
      <c r="L97" s="485" t="n"/>
      <c r="M97" s="485" t="n"/>
      <c r="N97" s="485" t="n"/>
      <c r="O97" s="485" t="n"/>
      <c r="P97" s="485" t="n"/>
      <c r="Q97" s="485" t="n"/>
      <c r="R97" s="485" t="n"/>
      <c r="S97" s="485" t="n"/>
      <c r="T97" s="485" t="n"/>
      <c r="U97" s="485" t="n"/>
      <c r="V97" s="485" t="n"/>
      <c r="W97" s="485" t="n"/>
      <c r="X97" s="485" t="n"/>
      <c r="Y97" s="485" t="n"/>
      <c r="Z97" s="485" t="n"/>
      <c r="AA97" s="485" t="n"/>
      <c r="AB97" s="485" t="n"/>
      <c r="AC97" s="485" t="n"/>
      <c r="AD97" s="485" t="n"/>
      <c r="AE97" s="485" t="n"/>
      <c r="AF97" s="485" t="n"/>
      <c r="AG97" s="485" t="n"/>
      <c r="AH97" s="485" t="n"/>
      <c r="AI97" s="485" t="n"/>
      <c r="AJ97" s="485" t="n"/>
      <c r="AK97" s="485" t="n"/>
      <c r="AL97" s="485" t="n"/>
      <c r="AM97" s="485" t="n"/>
      <c r="AN97" s="485" t="n"/>
      <c r="AO97" s="485" t="n"/>
      <c r="AP97" s="485" t="n"/>
      <c r="AQ97" s="485" t="n"/>
      <c r="AR97" s="485" t="n"/>
      <c r="AS97" s="485" t="n"/>
      <c r="AT97" s="485" t="n"/>
      <c r="AU97" s="485" t="n"/>
      <c r="AV97" s="485" t="n"/>
      <c r="AW97" s="485" t="n"/>
      <c r="AX97" s="485" t="n"/>
      <c r="AY97" s="485" t="n"/>
      <c r="AZ97" s="485" t="n"/>
      <c r="BA97" s="485" t="n"/>
      <c r="BB97" s="485" t="n"/>
      <c r="BC97" s="485" t="n"/>
      <c r="BD97" s="485" t="n"/>
      <c r="BE97" s="485" t="n"/>
      <c r="BF97" s="485" t="n"/>
      <c r="BG97" s="485" t="n"/>
      <c r="BH97" s="485" t="n"/>
      <c r="BI97" s="485" t="n"/>
      <c r="BJ97" s="485" t="n"/>
      <c r="BK97" s="485" t="n"/>
      <c r="BL97" s="485" t="n"/>
      <c r="BM97" s="485" t="n"/>
      <c r="BN97" s="485" t="n"/>
      <c r="BO97" s="485" t="n"/>
      <c r="BP97" s="485" t="n"/>
      <c r="BQ97" s="485" t="n"/>
      <c r="BR97" s="485" t="n"/>
      <c r="BS97" s="485" t="n"/>
      <c r="BT97" s="485" t="n"/>
      <c r="BU97" s="485" t="n"/>
      <c r="BV97" s="485" t="n"/>
      <c r="BW97" s="485" t="n"/>
      <c r="BX97" s="485" t="n"/>
      <c r="BY97" s="485" t="n"/>
      <c r="BZ97" s="485" t="n"/>
      <c r="CA97" s="485" t="n"/>
      <c r="CB97" s="485" t="n"/>
      <c r="CC97" s="485" t="n"/>
      <c r="CD97" s="485" t="n"/>
      <c r="CE97" s="485" t="n"/>
      <c r="CF97" s="485" t="n"/>
      <c r="CG97" s="485" t="n"/>
      <c r="CH97" s="485" t="n"/>
      <c r="CI97" s="485" t="n"/>
      <c r="CJ97" s="485" t="n"/>
      <c r="CK97" s="485" t="n"/>
      <c r="CL97" s="485" t="n"/>
      <c r="CM97" s="485" t="n"/>
      <c r="CN97" s="485" t="n"/>
      <c r="CO97" s="485" t="n"/>
      <c r="CP97" s="485" t="n"/>
      <c r="CQ97" s="485" t="n"/>
      <c r="CR97" s="485" t="n"/>
      <c r="CS97" s="485" t="n"/>
      <c r="CT97" s="485" t="n"/>
    </row>
    <row r="98" ht="15" customFormat="1" customHeight="1" s="381">
      <c r="A98" s="480" t="inlineStr">
        <is>
          <t>5500-1002 Accounting Consulting and Overhead</t>
        </is>
      </c>
      <c r="C98" s="481" t="n">
        <v>-4097.78</v>
      </c>
      <c r="D98" s="481" t="n">
        <v>-1950.2</v>
      </c>
      <c r="E98" s="481" t="n">
        <v>-1978.2</v>
      </c>
      <c r="F98" s="481" t="n">
        <v>-1970.2</v>
      </c>
      <c r="G98" s="481" t="n">
        <v>-6126.2</v>
      </c>
      <c r="H98" s="481" t="n">
        <v>-1993.2</v>
      </c>
      <c r="I98" s="481" t="n"/>
      <c r="J98" s="481" t="n"/>
      <c r="K98" s="481" t="n"/>
      <c r="L98" s="481" t="n"/>
      <c r="M98" s="481" t="n"/>
      <c r="N98" s="481" t="n"/>
      <c r="O98" s="481" t="n"/>
      <c r="P98" s="481" t="n"/>
      <c r="Q98" s="481" t="n"/>
      <c r="R98" s="481" t="n"/>
      <c r="S98" s="481" t="n"/>
      <c r="T98" s="481" t="n"/>
      <c r="U98" s="481" t="n"/>
      <c r="V98" s="481" t="n"/>
      <c r="W98" s="481" t="n"/>
      <c r="X98" s="481" t="n"/>
      <c r="Y98" s="481" t="n"/>
      <c r="Z98" s="481" t="n"/>
      <c r="AA98" s="481" t="n"/>
      <c r="AB98" s="481" t="n"/>
      <c r="AC98" s="481" t="n"/>
      <c r="AD98" s="481" t="n"/>
      <c r="AE98" s="481" t="n"/>
      <c r="AF98" s="481" t="n"/>
      <c r="AG98" s="481" t="n"/>
      <c r="AH98" s="481" t="n"/>
      <c r="AI98" s="481" t="n"/>
      <c r="AJ98" s="481" t="n"/>
      <c r="AK98" s="481" t="n"/>
      <c r="AL98" s="481" t="n"/>
      <c r="AM98" s="481" t="n"/>
      <c r="AN98" s="481" t="n"/>
      <c r="AO98" s="481" t="n"/>
      <c r="AP98" s="481" t="n"/>
      <c r="AQ98" s="481" t="n"/>
      <c r="AR98" s="481" t="n"/>
      <c r="AS98" s="481" t="n"/>
      <c r="AT98" s="481" t="n"/>
      <c r="AU98" s="481" t="n"/>
      <c r="AV98" s="481" t="n"/>
      <c r="AW98" s="481" t="n"/>
      <c r="AX98" s="481" t="n"/>
      <c r="AY98" s="481" t="n"/>
      <c r="AZ98" s="481" t="n"/>
      <c r="BA98" s="481" t="n"/>
      <c r="BB98" s="481" t="n"/>
      <c r="BC98" s="481" t="n"/>
      <c r="BD98" s="481" t="n"/>
      <c r="BE98" s="481" t="n"/>
      <c r="BF98" s="481" t="n"/>
      <c r="BG98" s="481" t="n"/>
      <c r="BH98" s="481" t="n"/>
      <c r="BI98" s="481" t="n"/>
      <c r="BJ98" s="481" t="n"/>
      <c r="BK98" s="481" t="n"/>
      <c r="BL98" s="481" t="n"/>
      <c r="BM98" s="481" t="n"/>
      <c r="BN98" s="481" t="n"/>
      <c r="BO98" s="481" t="n"/>
      <c r="BP98" s="481" t="n"/>
      <c r="BQ98" s="481" t="n"/>
      <c r="BR98" s="481" t="n"/>
      <c r="BS98" s="481" t="n"/>
      <c r="BT98" s="481" t="n"/>
      <c r="BU98" s="481" t="n"/>
      <c r="BV98" s="481" t="n"/>
      <c r="BW98" s="481" t="n"/>
      <c r="BX98" s="481" t="n"/>
      <c r="BY98" s="481" t="n"/>
      <c r="BZ98" s="481" t="n"/>
      <c r="CA98" s="481" t="n"/>
      <c r="CB98" s="481" t="n"/>
      <c r="CC98" s="481" t="n"/>
      <c r="CD98" s="481" t="n"/>
      <c r="CE98" s="481" t="n"/>
      <c r="CF98" s="481" t="n"/>
      <c r="CG98" s="481" t="n"/>
      <c r="CH98" s="481" t="n"/>
      <c r="CI98" s="481" t="n"/>
      <c r="CJ98" s="481" t="n"/>
      <c r="CK98" s="481" t="n"/>
      <c r="CL98" s="481" t="n"/>
      <c r="CM98" s="481" t="n"/>
      <c r="CN98" s="481" t="n"/>
      <c r="CO98" s="481" t="n"/>
      <c r="CP98" s="481" t="n"/>
      <c r="CQ98" s="481" t="n"/>
      <c r="CR98" s="481" t="n"/>
      <c r="CS98" s="481" t="n"/>
      <c r="CT98" s="481" t="n"/>
    </row>
    <row r="99" ht="15" customFormat="1" customHeight="1" s="381">
      <c r="A99" s="480" t="inlineStr">
        <is>
          <t>5500-1004 Consultants and Other Professional Expenses</t>
        </is>
      </c>
      <c r="C99" s="481" t="n">
        <v>-28038</v>
      </c>
      <c r="D99" s="481" t="n">
        <v>-29387.5</v>
      </c>
      <c r="E99" s="481" t="n">
        <v>-28083</v>
      </c>
      <c r="F99" s="481" t="n">
        <v>-28083</v>
      </c>
      <c r="G99" s="481" t="n">
        <v>-69333</v>
      </c>
      <c r="H99" s="481" t="n">
        <v>-28083</v>
      </c>
      <c r="I99" s="481" t="n"/>
      <c r="J99" s="481" t="n"/>
      <c r="K99" s="481" t="n"/>
      <c r="L99" s="481" t="n"/>
      <c r="M99" s="481" t="n"/>
      <c r="N99" s="481" t="n"/>
      <c r="O99" s="481" t="n"/>
      <c r="P99" s="481" t="n"/>
      <c r="Q99" s="481" t="n"/>
      <c r="R99" s="481" t="n"/>
      <c r="S99" s="481" t="n"/>
      <c r="T99" s="481" t="n"/>
      <c r="U99" s="481" t="n"/>
      <c r="V99" s="481" t="n"/>
      <c r="W99" s="481" t="n"/>
      <c r="X99" s="481" t="n"/>
      <c r="Y99" s="481" t="n"/>
      <c r="Z99" s="481" t="n"/>
      <c r="AA99" s="481" t="n"/>
      <c r="AB99" s="481" t="n"/>
      <c r="AC99" s="481" t="n"/>
      <c r="AD99" s="481" t="n"/>
      <c r="AE99" s="481" t="n"/>
      <c r="AF99" s="481" t="n"/>
      <c r="AG99" s="481" t="n"/>
      <c r="AH99" s="481" t="n"/>
      <c r="AI99" s="481" t="n"/>
      <c r="AJ99" s="481" t="n"/>
      <c r="AK99" s="481" t="n"/>
      <c r="AL99" s="481" t="n"/>
      <c r="AM99" s="481" t="n"/>
      <c r="AN99" s="481" t="n"/>
      <c r="AO99" s="481" t="n"/>
      <c r="AP99" s="481" t="n"/>
      <c r="AQ99" s="481" t="n"/>
      <c r="AR99" s="481" t="n"/>
      <c r="AS99" s="481" t="n"/>
      <c r="AT99" s="481" t="n"/>
      <c r="AU99" s="481" t="n"/>
      <c r="AV99" s="481" t="n"/>
      <c r="AW99" s="481" t="n"/>
      <c r="AX99" s="481" t="n"/>
      <c r="AY99" s="481" t="n"/>
      <c r="AZ99" s="481" t="n"/>
      <c r="BA99" s="481" t="n"/>
      <c r="BB99" s="481" t="n"/>
      <c r="BC99" s="481" t="n"/>
      <c r="BD99" s="481" t="n"/>
      <c r="BE99" s="481" t="n"/>
      <c r="BF99" s="481" t="n"/>
      <c r="BG99" s="481" t="n"/>
      <c r="BH99" s="481" t="n"/>
      <c r="BI99" s="481" t="n"/>
      <c r="BJ99" s="481" t="n"/>
      <c r="BK99" s="481" t="n"/>
      <c r="BL99" s="481" t="n"/>
      <c r="BM99" s="481" t="n"/>
      <c r="BN99" s="481" t="n"/>
      <c r="BO99" s="481" t="n"/>
      <c r="BP99" s="481" t="n"/>
      <c r="BQ99" s="481" t="n"/>
      <c r="BR99" s="481" t="n"/>
      <c r="BS99" s="481" t="n"/>
      <c r="BT99" s="481" t="n"/>
      <c r="BU99" s="481" t="n"/>
      <c r="BV99" s="481" t="n"/>
      <c r="BW99" s="481" t="n"/>
      <c r="BX99" s="481" t="n"/>
      <c r="BY99" s="481" t="n"/>
      <c r="BZ99" s="481" t="n"/>
      <c r="CA99" s="481" t="n"/>
      <c r="CB99" s="481" t="n"/>
      <c r="CC99" s="481" t="n"/>
      <c r="CD99" s="481" t="n"/>
      <c r="CE99" s="481" t="n"/>
      <c r="CF99" s="481" t="n"/>
      <c r="CG99" s="481" t="n"/>
      <c r="CH99" s="481" t="n"/>
      <c r="CI99" s="481" t="n"/>
      <c r="CJ99" s="481" t="n"/>
      <c r="CK99" s="481" t="n"/>
      <c r="CL99" s="481" t="n"/>
      <c r="CM99" s="481" t="n"/>
      <c r="CN99" s="481" t="n"/>
      <c r="CO99" s="481" t="n"/>
      <c r="CP99" s="481" t="n"/>
      <c r="CQ99" s="481" t="n"/>
      <c r="CR99" s="481" t="n"/>
      <c r="CS99" s="481" t="n"/>
      <c r="CT99" s="481" t="n"/>
    </row>
    <row r="100" ht="15" customFormat="1" customHeight="1" s="381">
      <c r="A100" s="482" t="inlineStr">
        <is>
          <t>5500-1007 Dues and Subscriptions</t>
        </is>
      </c>
      <c r="C100" s="485" t="n">
        <v>-268</v>
      </c>
      <c r="D100" s="485" t="n">
        <v>-2088.75</v>
      </c>
      <c r="E100" s="485" t="n">
        <v>-2401.75</v>
      </c>
      <c r="F100" s="485" t="n">
        <v>-4209.5</v>
      </c>
      <c r="G100" s="485" t="n">
        <v>-2377.59</v>
      </c>
      <c r="H100" s="485" t="n">
        <v>-16</v>
      </c>
      <c r="I100" s="485" t="n"/>
      <c r="J100" s="485" t="n"/>
      <c r="K100" s="485" t="n"/>
      <c r="L100" s="485" t="n"/>
      <c r="M100" s="485" t="n"/>
      <c r="N100" s="485" t="n"/>
      <c r="O100" s="485" t="n"/>
      <c r="P100" s="485" t="n"/>
      <c r="Q100" s="485" t="n"/>
      <c r="R100" s="485" t="n"/>
      <c r="S100" s="485" t="n"/>
      <c r="T100" s="485" t="n"/>
      <c r="U100" s="485" t="n"/>
      <c r="V100" s="485" t="n"/>
      <c r="W100" s="485" t="n"/>
      <c r="X100" s="485" t="n"/>
      <c r="Y100" s="485" t="n"/>
      <c r="Z100" s="485" t="n"/>
      <c r="AA100" s="485" t="n"/>
      <c r="AB100" s="485" t="n"/>
      <c r="AC100" s="485" t="n"/>
      <c r="AD100" s="485" t="n"/>
      <c r="AE100" s="485" t="n"/>
      <c r="AF100" s="485" t="n"/>
      <c r="AG100" s="485" t="n"/>
      <c r="AH100" s="485" t="n"/>
      <c r="AI100" s="485" t="n"/>
      <c r="AJ100" s="485" t="n"/>
      <c r="AK100" s="485" t="n"/>
      <c r="AL100" s="485" t="n"/>
      <c r="AM100" s="485" t="n"/>
      <c r="AN100" s="485" t="n"/>
      <c r="AO100" s="485" t="n"/>
      <c r="AP100" s="485" t="n"/>
      <c r="AQ100" s="485" t="n"/>
      <c r="AR100" s="485" t="n"/>
      <c r="AS100" s="485" t="n"/>
      <c r="AT100" s="485" t="n"/>
      <c r="AU100" s="485" t="n"/>
      <c r="AV100" s="485" t="n"/>
      <c r="AW100" s="485" t="n"/>
      <c r="AX100" s="485" t="n"/>
      <c r="AY100" s="485" t="n"/>
      <c r="AZ100" s="485" t="n"/>
      <c r="BA100" s="485" t="n"/>
      <c r="BB100" s="485" t="n"/>
      <c r="BC100" s="485" t="n"/>
      <c r="BD100" s="485" t="n"/>
      <c r="BE100" s="485" t="n"/>
      <c r="BF100" s="485" t="n"/>
      <c r="BG100" s="485" t="n"/>
      <c r="BH100" s="485" t="n"/>
      <c r="BI100" s="485" t="n"/>
      <c r="BJ100" s="485" t="n"/>
      <c r="BK100" s="485" t="n"/>
      <c r="BL100" s="485" t="n"/>
      <c r="BM100" s="485" t="n"/>
      <c r="BN100" s="485" t="n"/>
      <c r="BO100" s="485" t="n"/>
      <c r="BP100" s="485" t="n"/>
      <c r="BQ100" s="485" t="n"/>
      <c r="BR100" s="485" t="n"/>
      <c r="BS100" s="485" t="n"/>
      <c r="BT100" s="485" t="n"/>
      <c r="BU100" s="485" t="n"/>
      <c r="BV100" s="485" t="n"/>
      <c r="BW100" s="485" t="n"/>
      <c r="BX100" s="485" t="n"/>
      <c r="BY100" s="485" t="n"/>
      <c r="BZ100" s="485" t="n"/>
      <c r="CA100" s="485" t="n"/>
      <c r="CB100" s="485" t="n"/>
      <c r="CC100" s="485" t="n"/>
      <c r="CD100" s="485" t="n"/>
      <c r="CE100" s="485" t="n"/>
      <c r="CF100" s="485" t="n"/>
      <c r="CG100" s="485" t="n"/>
      <c r="CH100" s="485" t="n"/>
      <c r="CI100" s="485" t="n"/>
      <c r="CJ100" s="485" t="n"/>
      <c r="CK100" s="485" t="n"/>
      <c r="CL100" s="485" t="n"/>
      <c r="CM100" s="485" t="n"/>
      <c r="CN100" s="485" t="n"/>
      <c r="CO100" s="485" t="n"/>
      <c r="CP100" s="485" t="n"/>
      <c r="CQ100" s="485" t="n"/>
      <c r="CR100" s="485" t="n"/>
      <c r="CS100" s="485" t="n"/>
      <c r="CT100" s="485" t="n"/>
    </row>
    <row r="101" ht="15" customFormat="1" customHeight="1" s="381">
      <c r="A101" s="482" t="inlineStr">
        <is>
          <t>5500-1009 Entity Filing and Formation Fees</t>
        </is>
      </c>
      <c r="C101" s="485" t="n">
        <v>-341.83</v>
      </c>
      <c r="D101" s="485" t="n">
        <v>-728</v>
      </c>
      <c r="E101" s="485" t="n">
        <v>-15256.75</v>
      </c>
      <c r="F101" s="485" t="n">
        <v>-1033.41</v>
      </c>
      <c r="G101" s="485" t="n">
        <v>-3499</v>
      </c>
      <c r="H101" s="485" t="n">
        <v>-1033.41</v>
      </c>
      <c r="I101" s="485" t="n"/>
      <c r="J101" s="485" t="n"/>
      <c r="K101" s="485" t="n"/>
      <c r="L101" s="485" t="n"/>
      <c r="M101" s="485" t="n"/>
      <c r="N101" s="485" t="n"/>
      <c r="O101" s="485" t="n"/>
      <c r="P101" s="485" t="n"/>
      <c r="Q101" s="485" t="n"/>
      <c r="R101" s="485" t="n"/>
      <c r="S101" s="485" t="n"/>
      <c r="T101" s="485" t="n"/>
      <c r="U101" s="485" t="n"/>
      <c r="V101" s="485" t="n"/>
      <c r="W101" s="485" t="n"/>
      <c r="X101" s="485" t="n"/>
      <c r="Y101" s="485" t="n"/>
      <c r="Z101" s="485" t="n"/>
      <c r="AA101" s="485" t="n"/>
      <c r="AB101" s="485" t="n"/>
      <c r="AC101" s="485" t="n"/>
      <c r="AD101" s="485" t="n"/>
      <c r="AE101" s="485" t="n"/>
      <c r="AF101" s="485" t="n"/>
      <c r="AG101" s="485" t="n"/>
      <c r="AH101" s="485" t="n"/>
      <c r="AI101" s="485" t="n"/>
      <c r="AJ101" s="485" t="n"/>
      <c r="AK101" s="485" t="n"/>
      <c r="AL101" s="485" t="n"/>
      <c r="AM101" s="485" t="n"/>
      <c r="AN101" s="485" t="n"/>
      <c r="AO101" s="485" t="n"/>
      <c r="AP101" s="485" t="n"/>
      <c r="AQ101" s="485" t="n"/>
      <c r="AR101" s="485" t="n"/>
      <c r="AS101" s="485" t="n"/>
      <c r="AT101" s="485" t="n"/>
      <c r="AU101" s="485" t="n"/>
      <c r="AV101" s="485" t="n"/>
      <c r="AW101" s="485" t="n"/>
      <c r="AX101" s="485" t="n"/>
      <c r="AY101" s="485" t="n"/>
      <c r="AZ101" s="485" t="n"/>
      <c r="BA101" s="485" t="n"/>
      <c r="BB101" s="485" t="n"/>
      <c r="BC101" s="485" t="n"/>
      <c r="BD101" s="485" t="n"/>
      <c r="BE101" s="485" t="n"/>
      <c r="BF101" s="485" t="n"/>
      <c r="BG101" s="485" t="n"/>
      <c r="BH101" s="485" t="n"/>
      <c r="BI101" s="485" t="n"/>
      <c r="BJ101" s="485" t="n"/>
      <c r="BK101" s="485" t="n"/>
      <c r="BL101" s="485" t="n"/>
      <c r="BM101" s="485" t="n"/>
      <c r="BN101" s="485" t="n"/>
      <c r="BO101" s="485" t="n"/>
      <c r="BP101" s="485" t="n"/>
      <c r="BQ101" s="485" t="n"/>
      <c r="BR101" s="485" t="n"/>
      <c r="BS101" s="485" t="n"/>
      <c r="BT101" s="485" t="n"/>
      <c r="BU101" s="485" t="n"/>
      <c r="BV101" s="485" t="n"/>
      <c r="BW101" s="485" t="n"/>
      <c r="BX101" s="485" t="n"/>
      <c r="BY101" s="485" t="n"/>
      <c r="BZ101" s="485" t="n"/>
      <c r="CA101" s="485" t="n"/>
      <c r="CB101" s="485" t="n"/>
      <c r="CC101" s="485" t="n"/>
      <c r="CD101" s="485" t="n"/>
      <c r="CE101" s="485" t="n"/>
      <c r="CF101" s="485" t="n"/>
      <c r="CG101" s="485" t="n"/>
      <c r="CH101" s="485" t="n"/>
      <c r="CI101" s="485" t="n"/>
      <c r="CJ101" s="485" t="n"/>
      <c r="CK101" s="485" t="n"/>
      <c r="CL101" s="485" t="n"/>
      <c r="CM101" s="485" t="n"/>
      <c r="CN101" s="485" t="n"/>
      <c r="CO101" s="485" t="n"/>
      <c r="CP101" s="485" t="n"/>
      <c r="CQ101" s="485" t="n"/>
      <c r="CR101" s="485" t="n"/>
      <c r="CS101" s="485" t="n"/>
      <c r="CT101" s="485" t="n"/>
    </row>
    <row r="102" ht="15" customFormat="1" customHeight="1" s="381">
      <c r="A102" s="488" t="inlineStr">
        <is>
          <t>5500-1010 Investment Management Software</t>
        </is>
      </c>
      <c r="C102" s="485" t="n">
        <v>-1905.31</v>
      </c>
      <c r="D102" s="485" t="n">
        <v>-1905.31</v>
      </c>
      <c r="E102" s="485" t="n">
        <v>-1905.31</v>
      </c>
      <c r="F102" s="485" t="n">
        <v>-1905.31</v>
      </c>
      <c r="G102" s="485" t="n">
        <v>-1905.31</v>
      </c>
      <c r="H102" s="485" t="n">
        <v>-1905.31</v>
      </c>
      <c r="I102" s="485" t="n"/>
      <c r="J102" s="485" t="n"/>
      <c r="K102" s="485" t="n"/>
      <c r="L102" s="485" t="n"/>
      <c r="M102" s="485" t="n"/>
      <c r="N102" s="485" t="n"/>
      <c r="O102" s="485" t="n"/>
      <c r="P102" s="485" t="n"/>
      <c r="Q102" s="485" t="n"/>
      <c r="R102" s="485" t="n"/>
      <c r="S102" s="485" t="n"/>
      <c r="T102" s="485" t="n"/>
      <c r="U102" s="485" t="n"/>
      <c r="V102" s="485" t="n"/>
      <c r="W102" s="485" t="n"/>
      <c r="X102" s="485" t="n"/>
      <c r="Y102" s="485" t="n"/>
      <c r="Z102" s="485" t="n"/>
      <c r="AA102" s="485" t="n"/>
      <c r="AB102" s="485" t="n"/>
      <c r="AC102" s="485" t="n"/>
      <c r="AD102" s="485" t="n"/>
      <c r="AE102" s="485" t="n"/>
      <c r="AF102" s="485" t="n"/>
      <c r="AG102" s="485" t="n"/>
      <c r="AH102" s="485" t="n"/>
      <c r="AI102" s="485" t="n"/>
      <c r="AJ102" s="485" t="n"/>
      <c r="AK102" s="485" t="n"/>
      <c r="AL102" s="485" t="n"/>
      <c r="AM102" s="485" t="n"/>
      <c r="AN102" s="485" t="n"/>
      <c r="AO102" s="485" t="n"/>
      <c r="AP102" s="485" t="n"/>
      <c r="AQ102" s="485" t="n"/>
      <c r="AR102" s="485" t="n"/>
      <c r="AS102" s="485" t="n"/>
      <c r="AT102" s="485" t="n"/>
      <c r="AU102" s="485" t="n"/>
      <c r="AV102" s="485" t="n"/>
      <c r="AW102" s="485" t="n"/>
      <c r="AX102" s="485" t="n"/>
      <c r="AY102" s="485" t="n"/>
      <c r="AZ102" s="485" t="n"/>
      <c r="BA102" s="485" t="n"/>
      <c r="BB102" s="485" t="n"/>
      <c r="BC102" s="485" t="n"/>
      <c r="BD102" s="485" t="n"/>
      <c r="BE102" s="485" t="n"/>
      <c r="BF102" s="485" t="n"/>
      <c r="BG102" s="485" t="n"/>
      <c r="BH102" s="485" t="n"/>
      <c r="BI102" s="485" t="n"/>
      <c r="BJ102" s="485" t="n"/>
      <c r="BK102" s="485" t="n"/>
      <c r="BL102" s="485" t="n"/>
      <c r="BM102" s="485" t="n"/>
      <c r="BN102" s="485" t="n"/>
      <c r="BO102" s="485" t="n"/>
      <c r="BP102" s="485" t="n"/>
      <c r="BQ102" s="485" t="n"/>
      <c r="BR102" s="485" t="n"/>
      <c r="BS102" s="485" t="n"/>
      <c r="BT102" s="485" t="n"/>
      <c r="BU102" s="485" t="n"/>
      <c r="BV102" s="485" t="n"/>
      <c r="BW102" s="485" t="n"/>
      <c r="BX102" s="485" t="n"/>
      <c r="BY102" s="485" t="n"/>
      <c r="BZ102" s="485" t="n"/>
      <c r="CA102" s="485" t="n"/>
      <c r="CB102" s="485" t="n"/>
      <c r="CC102" s="485" t="n"/>
      <c r="CD102" s="485" t="n"/>
      <c r="CE102" s="485" t="n"/>
      <c r="CF102" s="485" t="n"/>
      <c r="CG102" s="485" t="n"/>
      <c r="CH102" s="485" t="n"/>
      <c r="CI102" s="485" t="n"/>
      <c r="CJ102" s="485" t="n"/>
      <c r="CK102" s="485" t="n"/>
      <c r="CL102" s="485" t="n"/>
      <c r="CM102" s="485" t="n"/>
      <c r="CN102" s="485" t="n"/>
      <c r="CO102" s="485" t="n"/>
      <c r="CP102" s="485" t="n"/>
      <c r="CQ102" s="485" t="n"/>
      <c r="CR102" s="485" t="n"/>
      <c r="CS102" s="485" t="n"/>
      <c r="CT102" s="485" t="n"/>
    </row>
    <row r="103" ht="15" customFormat="1" customHeight="1" s="381">
      <c r="A103" s="488" t="inlineStr">
        <is>
          <t>5500-1053 E&amp;O/D&amp;O Insurance</t>
        </is>
      </c>
      <c r="C103" s="485" t="n">
        <v>-2100</v>
      </c>
      <c r="D103" s="485" t="n">
        <v>-2100</v>
      </c>
      <c r="E103" s="485" t="n">
        <v>-2100</v>
      </c>
      <c r="F103" s="485" t="n">
        <v>-2100</v>
      </c>
      <c r="G103" s="485" t="n">
        <v>-2100</v>
      </c>
      <c r="H103" s="485" t="n">
        <v>-2100</v>
      </c>
      <c r="I103" s="485" t="n"/>
      <c r="J103" s="485" t="n"/>
      <c r="K103" s="485" t="n"/>
      <c r="L103" s="485" t="n"/>
      <c r="M103" s="485" t="n"/>
      <c r="N103" s="485" t="n"/>
      <c r="O103" s="485" t="n"/>
      <c r="P103" s="485" t="n"/>
      <c r="Q103" s="485" t="n"/>
      <c r="R103" s="485" t="n"/>
      <c r="S103" s="485" t="n"/>
      <c r="T103" s="485" t="n"/>
      <c r="U103" s="485" t="n"/>
      <c r="V103" s="485" t="n"/>
      <c r="W103" s="485" t="n"/>
      <c r="X103" s="485" t="n"/>
      <c r="Y103" s="485" t="n"/>
      <c r="Z103" s="485" t="n"/>
      <c r="AA103" s="485" t="n"/>
      <c r="AB103" s="485" t="n"/>
      <c r="AC103" s="485" t="n"/>
      <c r="AD103" s="485" t="n"/>
      <c r="AE103" s="485" t="n"/>
      <c r="AF103" s="485" t="n"/>
      <c r="AG103" s="485" t="n"/>
      <c r="AH103" s="485" t="n"/>
      <c r="AI103" s="485" t="n"/>
      <c r="AJ103" s="485" t="n"/>
      <c r="AK103" s="485" t="n"/>
      <c r="AL103" s="485" t="n"/>
      <c r="AM103" s="485" t="n"/>
      <c r="AN103" s="485" t="n"/>
      <c r="AO103" s="485" t="n"/>
      <c r="AP103" s="485" t="n"/>
      <c r="AQ103" s="485" t="n"/>
      <c r="AR103" s="485" t="n"/>
      <c r="AS103" s="485" t="n"/>
      <c r="AT103" s="485" t="n"/>
      <c r="AU103" s="485" t="n"/>
      <c r="AV103" s="485" t="n"/>
      <c r="AW103" s="485" t="n"/>
      <c r="AX103" s="485" t="n"/>
      <c r="AY103" s="485" t="n"/>
      <c r="AZ103" s="485" t="n"/>
      <c r="BA103" s="485" t="n"/>
      <c r="BB103" s="485" t="n"/>
      <c r="BC103" s="485" t="n"/>
      <c r="BD103" s="485" t="n"/>
      <c r="BE103" s="485" t="n"/>
      <c r="BF103" s="485" t="n"/>
      <c r="BG103" s="485" t="n"/>
      <c r="BH103" s="485" t="n"/>
      <c r="BI103" s="485" t="n"/>
      <c r="BJ103" s="485" t="n"/>
      <c r="BK103" s="485" t="n"/>
      <c r="BL103" s="485" t="n"/>
      <c r="BM103" s="485" t="n"/>
      <c r="BN103" s="485" t="n"/>
      <c r="BO103" s="485" t="n"/>
      <c r="BP103" s="485" t="n"/>
      <c r="BQ103" s="485" t="n"/>
      <c r="BR103" s="485" t="n"/>
      <c r="BS103" s="485" t="n"/>
      <c r="BT103" s="485" t="n"/>
      <c r="BU103" s="485" t="n"/>
      <c r="BV103" s="485" t="n"/>
      <c r="BW103" s="485" t="n"/>
      <c r="BX103" s="485" t="n"/>
      <c r="BY103" s="485" t="n"/>
      <c r="BZ103" s="485" t="n"/>
      <c r="CA103" s="485" t="n"/>
      <c r="CB103" s="485" t="n"/>
      <c r="CC103" s="485" t="n"/>
      <c r="CD103" s="485" t="n"/>
      <c r="CE103" s="485" t="n"/>
      <c r="CF103" s="485" t="n"/>
      <c r="CG103" s="485" t="n"/>
      <c r="CH103" s="485" t="n"/>
      <c r="CI103" s="485" t="n"/>
      <c r="CJ103" s="485" t="n"/>
      <c r="CK103" s="485" t="n"/>
      <c r="CL103" s="485" t="n"/>
      <c r="CM103" s="485" t="n"/>
      <c r="CN103" s="485" t="n"/>
      <c r="CO103" s="485" t="n"/>
      <c r="CP103" s="485" t="n"/>
      <c r="CQ103" s="485" t="n"/>
      <c r="CR103" s="485" t="n"/>
      <c r="CS103" s="485" t="n"/>
      <c r="CT103" s="485" t="n"/>
    </row>
    <row r="104" ht="15" customFormat="1" customHeight="1" s="381">
      <c r="A104" s="488" t="inlineStr">
        <is>
          <t>5800-1003 Consulting Fee</t>
        </is>
      </c>
      <c r="C104" s="485" t="n">
        <v>-66666.66</v>
      </c>
      <c r="D104" s="485" t="n">
        <v>-66666.66</v>
      </c>
      <c r="E104" s="485" t="n">
        <v>-66666.66</v>
      </c>
      <c r="F104" s="485" t="n">
        <v>-66666.66</v>
      </c>
      <c r="G104" s="485" t="n">
        <v>-66666.66</v>
      </c>
      <c r="H104" s="485" t="n">
        <v>-66666.66</v>
      </c>
      <c r="I104" s="485" t="n"/>
      <c r="J104" s="485" t="n"/>
      <c r="K104" s="485" t="n"/>
      <c r="L104" s="485" t="n"/>
      <c r="M104" s="485" t="n"/>
      <c r="N104" s="485" t="n"/>
      <c r="O104" s="485" t="n"/>
      <c r="P104" s="485" t="n"/>
      <c r="Q104" s="485" t="n"/>
      <c r="R104" s="485" t="n"/>
      <c r="S104" s="485" t="n"/>
      <c r="T104" s="485" t="n"/>
      <c r="U104" s="485" t="n"/>
      <c r="V104" s="485" t="n"/>
      <c r="W104" s="485" t="n"/>
      <c r="X104" s="485" t="n"/>
      <c r="Y104" s="485" t="n"/>
      <c r="Z104" s="485" t="n"/>
      <c r="AA104" s="485" t="n"/>
      <c r="AB104" s="485" t="n"/>
      <c r="AC104" s="485" t="n"/>
      <c r="AD104" s="485" t="n"/>
      <c r="AE104" s="485" t="n"/>
      <c r="AF104" s="485" t="n"/>
      <c r="AG104" s="485" t="n"/>
      <c r="AH104" s="485" t="n"/>
      <c r="AI104" s="485" t="n"/>
      <c r="AJ104" s="485" t="n"/>
      <c r="AK104" s="485" t="n"/>
      <c r="AL104" s="485" t="n"/>
      <c r="AM104" s="485" t="n"/>
      <c r="AN104" s="485" t="n"/>
      <c r="AO104" s="485" t="n"/>
      <c r="AP104" s="485" t="n"/>
      <c r="AQ104" s="485" t="n"/>
      <c r="AR104" s="485" t="n"/>
      <c r="AS104" s="485" t="n"/>
      <c r="AT104" s="485" t="n"/>
      <c r="AU104" s="485" t="n"/>
      <c r="AV104" s="485" t="n"/>
      <c r="AW104" s="485" t="n"/>
      <c r="AX104" s="485" t="n"/>
      <c r="AY104" s="485" t="n"/>
      <c r="AZ104" s="485" t="n"/>
      <c r="BA104" s="485" t="n"/>
      <c r="BB104" s="485" t="n"/>
      <c r="BC104" s="485" t="n"/>
      <c r="BD104" s="485" t="n"/>
      <c r="BE104" s="485" t="n"/>
      <c r="BF104" s="485" t="n"/>
      <c r="BG104" s="485" t="n"/>
      <c r="BH104" s="485" t="n"/>
      <c r="BI104" s="485" t="n"/>
      <c r="BJ104" s="485" t="n"/>
      <c r="BK104" s="485" t="n"/>
      <c r="BL104" s="485" t="n"/>
      <c r="BM104" s="485" t="n"/>
      <c r="BN104" s="485" t="n"/>
      <c r="BO104" s="485" t="n"/>
      <c r="BP104" s="485" t="n"/>
      <c r="BQ104" s="485" t="n"/>
      <c r="BR104" s="485" t="n"/>
      <c r="BS104" s="485" t="n"/>
      <c r="BT104" s="485" t="n"/>
      <c r="BU104" s="485" t="n"/>
      <c r="BV104" s="485" t="n"/>
      <c r="BW104" s="485" t="n"/>
      <c r="BX104" s="485" t="n"/>
      <c r="BY104" s="485" t="n"/>
      <c r="BZ104" s="485" t="n"/>
      <c r="CA104" s="485" t="n"/>
      <c r="CB104" s="485" t="n"/>
      <c r="CC104" s="485" t="n"/>
      <c r="CD104" s="485" t="n"/>
      <c r="CE104" s="485" t="n"/>
      <c r="CF104" s="485" t="n"/>
      <c r="CG104" s="485" t="n"/>
      <c r="CH104" s="485" t="n"/>
      <c r="CI104" s="485" t="n"/>
      <c r="CJ104" s="485" t="n"/>
      <c r="CK104" s="485" t="n"/>
      <c r="CL104" s="485" t="n"/>
      <c r="CM104" s="485" t="n"/>
      <c r="CN104" s="485" t="n"/>
      <c r="CO104" s="485" t="n"/>
      <c r="CP104" s="485" t="n"/>
      <c r="CQ104" s="485" t="n"/>
      <c r="CR104" s="485" t="n"/>
      <c r="CS104" s="485" t="n"/>
      <c r="CT104" s="485" t="n"/>
    </row>
    <row r="105" ht="15" customFormat="1" customHeight="1" s="381">
      <c r="A105" s="480" t="inlineStr">
        <is>
          <t>5900-1075 Miscellaneous Expense</t>
        </is>
      </c>
      <c r="C105" s="481" t="n">
        <v>-6935.84</v>
      </c>
      <c r="D105" s="481" t="n">
        <v>-2799.88</v>
      </c>
      <c r="E105" s="481" t="n">
        <v>-12899.88</v>
      </c>
      <c r="F105" s="481" t="n">
        <v>-2932.88</v>
      </c>
      <c r="G105" s="481" t="n">
        <v>-5474.88</v>
      </c>
      <c r="H105" s="481" t="n">
        <v>-5</v>
      </c>
      <c r="I105" s="481" t="n"/>
      <c r="J105" s="481" t="n"/>
      <c r="K105" s="481" t="n"/>
      <c r="L105" s="481" t="n"/>
      <c r="M105" s="481" t="n"/>
      <c r="N105" s="481" t="n"/>
      <c r="O105" s="481" t="n"/>
      <c r="P105" s="481" t="n"/>
      <c r="Q105" s="481" t="n"/>
      <c r="R105" s="481" t="n"/>
      <c r="S105" s="481" t="n"/>
      <c r="T105" s="481" t="n"/>
      <c r="U105" s="481" t="n"/>
      <c r="V105" s="481" t="n"/>
      <c r="W105" s="481" t="n"/>
      <c r="X105" s="481" t="n"/>
      <c r="Y105" s="481" t="n"/>
      <c r="Z105" s="481" t="n"/>
      <c r="AA105" s="481" t="n"/>
      <c r="AB105" s="481" t="n"/>
      <c r="AC105" s="481" t="n"/>
      <c r="AD105" s="481" t="n"/>
      <c r="AE105" s="481" t="n"/>
      <c r="AF105" s="481" t="n"/>
      <c r="AG105" s="481" t="n"/>
      <c r="AH105" s="481" t="n"/>
      <c r="AI105" s="481" t="n"/>
      <c r="AJ105" s="481" t="n"/>
      <c r="AK105" s="481" t="n"/>
      <c r="AL105" s="481" t="n"/>
      <c r="AM105" s="481" t="n"/>
      <c r="AN105" s="481" t="n"/>
      <c r="AO105" s="481" t="n"/>
      <c r="AP105" s="481" t="n"/>
      <c r="AQ105" s="481" t="n"/>
      <c r="AR105" s="481" t="n"/>
      <c r="AS105" s="481" t="n"/>
      <c r="AT105" s="481" t="n"/>
      <c r="AU105" s="481" t="n"/>
      <c r="AV105" s="481" t="n"/>
      <c r="AW105" s="481" t="n"/>
      <c r="AX105" s="481" t="n"/>
      <c r="AY105" s="481" t="n"/>
      <c r="AZ105" s="481" t="n"/>
      <c r="BA105" s="481" t="n"/>
      <c r="BB105" s="481" t="n"/>
      <c r="BC105" s="481" t="n"/>
      <c r="BD105" s="481" t="n"/>
      <c r="BE105" s="481" t="n"/>
      <c r="BF105" s="481" t="n"/>
      <c r="BG105" s="481" t="n"/>
      <c r="BH105" s="481" t="n"/>
      <c r="BI105" s="481" t="n"/>
      <c r="BJ105" s="481" t="n"/>
      <c r="BK105" s="481" t="n"/>
      <c r="BL105" s="481" t="n"/>
      <c r="BM105" s="481" t="n"/>
      <c r="BN105" s="481" t="n"/>
      <c r="BO105" s="481" t="n"/>
      <c r="BP105" s="481" t="n"/>
      <c r="BQ105" s="481" t="n"/>
      <c r="BR105" s="481" t="n"/>
      <c r="BS105" s="481" t="n"/>
      <c r="BT105" s="481" t="n"/>
      <c r="BU105" s="481" t="n"/>
      <c r="BV105" s="481" t="n"/>
      <c r="BW105" s="481" t="n"/>
      <c r="BX105" s="481" t="n"/>
      <c r="BY105" s="481" t="n"/>
      <c r="BZ105" s="481" t="n"/>
      <c r="CA105" s="481" t="n"/>
      <c r="CB105" s="481" t="n"/>
      <c r="CC105" s="481" t="n"/>
      <c r="CD105" s="481" t="n"/>
      <c r="CE105" s="481" t="n"/>
      <c r="CF105" s="481" t="n"/>
      <c r="CG105" s="481" t="n"/>
      <c r="CH105" s="481" t="n"/>
      <c r="CI105" s="481" t="n"/>
      <c r="CJ105" s="481" t="n"/>
      <c r="CK105" s="481" t="n"/>
      <c r="CL105" s="481" t="n"/>
      <c r="CM105" s="481" t="n"/>
      <c r="CN105" s="481" t="n"/>
      <c r="CO105" s="481" t="n"/>
      <c r="CP105" s="481" t="n"/>
      <c r="CQ105" s="481" t="n"/>
      <c r="CR105" s="481" t="n"/>
      <c r="CS105" s="481" t="n"/>
      <c r="CT105" s="481" t="n"/>
    </row>
    <row r="106" ht="15" customFormat="1" customHeight="1" s="381">
      <c r="A106" s="480" t="inlineStr">
        <is>
          <t>5900-1080 Bank Service Charges</t>
        </is>
      </c>
      <c r="C106" s="481" t="n">
        <v>-658.14</v>
      </c>
      <c r="D106" s="481" t="n">
        <v>-310</v>
      </c>
      <c r="E106" s="481" t="n">
        <v>-371.74</v>
      </c>
      <c r="F106" s="481" t="n">
        <v>-857.33</v>
      </c>
      <c r="G106" s="481" t="n">
        <v>-305</v>
      </c>
      <c r="H106" s="481" t="n">
        <v>-352.5</v>
      </c>
      <c r="I106" s="481" t="n"/>
      <c r="J106" s="481" t="n"/>
      <c r="K106" s="481" t="n"/>
      <c r="L106" s="481" t="n"/>
      <c r="M106" s="481" t="n"/>
      <c r="N106" s="481" t="n"/>
      <c r="O106" s="481" t="n"/>
      <c r="P106" s="481" t="n"/>
      <c r="Q106" s="481" t="n"/>
      <c r="R106" s="481" t="n"/>
      <c r="S106" s="481" t="n"/>
      <c r="T106" s="481" t="n"/>
      <c r="U106" s="481" t="n"/>
      <c r="V106" s="481" t="n"/>
      <c r="W106" s="481" t="n"/>
      <c r="X106" s="481" t="n"/>
      <c r="Y106" s="481" t="n"/>
      <c r="Z106" s="481" t="n"/>
      <c r="AA106" s="481" t="n"/>
      <c r="AB106" s="481" t="n"/>
      <c r="AC106" s="481" t="n"/>
      <c r="AD106" s="481" t="n"/>
      <c r="AE106" s="481" t="n"/>
      <c r="AF106" s="481" t="n"/>
      <c r="AG106" s="481" t="n"/>
      <c r="AH106" s="481" t="n"/>
      <c r="AI106" s="481" t="n"/>
      <c r="AJ106" s="481" t="n"/>
      <c r="AK106" s="481" t="n"/>
      <c r="AL106" s="481" t="n"/>
      <c r="AM106" s="481" t="n"/>
      <c r="AN106" s="481" t="n"/>
      <c r="AO106" s="481" t="n"/>
      <c r="AP106" s="481" t="n"/>
      <c r="AQ106" s="481" t="n"/>
      <c r="AR106" s="481" t="n"/>
      <c r="AS106" s="481" t="n"/>
      <c r="AT106" s="481" t="n"/>
      <c r="AU106" s="481" t="n"/>
      <c r="AV106" s="481" t="n"/>
      <c r="AW106" s="481" t="n"/>
      <c r="AX106" s="481" t="n"/>
      <c r="AY106" s="481" t="n"/>
      <c r="AZ106" s="481" t="n"/>
      <c r="BA106" s="481" t="n"/>
      <c r="BB106" s="481" t="n"/>
      <c r="BC106" s="481" t="n"/>
      <c r="BD106" s="481" t="n"/>
      <c r="BE106" s="481" t="n"/>
      <c r="BF106" s="481" t="n"/>
      <c r="BG106" s="481" t="n"/>
      <c r="BH106" s="481" t="n"/>
      <c r="BI106" s="481" t="n"/>
      <c r="BJ106" s="481" t="n"/>
      <c r="BK106" s="481" t="n"/>
      <c r="BL106" s="481" t="n"/>
      <c r="BM106" s="481" t="n"/>
      <c r="BN106" s="481" t="n"/>
      <c r="BO106" s="481" t="n"/>
      <c r="BP106" s="481" t="n"/>
      <c r="BQ106" s="481" t="n"/>
      <c r="BR106" s="481" t="n"/>
      <c r="BS106" s="481" t="n"/>
      <c r="BT106" s="481" t="n"/>
      <c r="BU106" s="481" t="n"/>
      <c r="BV106" s="481" t="n"/>
      <c r="BW106" s="481" t="n"/>
      <c r="BX106" s="481" t="n"/>
      <c r="BY106" s="481" t="n"/>
      <c r="BZ106" s="481" t="n"/>
      <c r="CA106" s="481" t="n"/>
      <c r="CB106" s="481" t="n"/>
      <c r="CC106" s="481" t="n"/>
      <c r="CD106" s="481" t="n"/>
      <c r="CE106" s="481" t="n"/>
      <c r="CF106" s="481" t="n"/>
      <c r="CG106" s="481" t="n"/>
      <c r="CH106" s="481" t="n"/>
      <c r="CI106" s="481" t="n"/>
      <c r="CJ106" s="481" t="n"/>
      <c r="CK106" s="481" t="n"/>
      <c r="CL106" s="481" t="n"/>
      <c r="CM106" s="481" t="n"/>
      <c r="CN106" s="481" t="n"/>
      <c r="CO106" s="481" t="n"/>
      <c r="CP106" s="481" t="n"/>
      <c r="CQ106" s="481" t="n"/>
      <c r="CR106" s="481" t="n"/>
      <c r="CS106" s="481" t="n"/>
      <c r="CT106" s="481" t="n"/>
    </row>
    <row r="107" ht="15" customFormat="1" customHeight="1" s="381">
      <c r="A107" s="480" t="inlineStr">
        <is>
          <t>Steyn Group Guaranty Fee</t>
        </is>
      </c>
      <c r="C107" s="481" t="n"/>
      <c r="D107" s="481" t="n"/>
      <c r="E107" s="481" t="n"/>
      <c r="F107" s="481" t="n"/>
      <c r="G107" s="481" t="n"/>
      <c r="H107" s="481" t="n"/>
      <c r="I107" s="481" t="n"/>
      <c r="J107" s="481" t="n"/>
      <c r="K107" s="481" t="n"/>
      <c r="L107" s="481" t="n"/>
      <c r="M107" s="481" t="n"/>
      <c r="N107" s="481" t="n"/>
      <c r="O107" s="481" t="n"/>
      <c r="P107" s="481" t="n"/>
      <c r="Q107" s="481" t="n"/>
      <c r="R107" s="481" t="n"/>
      <c r="S107" s="481" t="n"/>
      <c r="T107" s="481" t="n"/>
      <c r="U107" s="481" t="n"/>
      <c r="V107" s="481" t="n"/>
      <c r="W107" s="481" t="n"/>
      <c r="X107" s="481" t="n"/>
      <c r="Y107" s="481" t="n"/>
      <c r="Z107" s="481" t="n"/>
      <c r="AA107" s="481" t="n"/>
      <c r="AB107" s="481" t="n"/>
      <c r="AC107" s="481" t="n"/>
      <c r="AD107" s="481" t="n"/>
      <c r="AE107" s="481" t="n"/>
      <c r="AF107" s="481" t="n"/>
      <c r="AG107" s="481" t="n"/>
      <c r="AH107" s="481" t="n"/>
      <c r="AI107" s="481" t="n"/>
      <c r="AJ107" s="481" t="n"/>
      <c r="AK107" s="481" t="n"/>
      <c r="AL107" s="481" t="n"/>
      <c r="AM107" s="481" t="n"/>
      <c r="AN107" s="481" t="n"/>
      <c r="AO107" s="481" t="n"/>
      <c r="AP107" s="481" t="n"/>
      <c r="AQ107" s="481" t="n"/>
      <c r="AR107" s="481" t="n"/>
      <c r="AS107" s="481" t="n"/>
      <c r="AT107" s="481" t="n"/>
      <c r="AU107" s="481" t="n"/>
      <c r="AV107" s="481" t="n"/>
      <c r="AW107" s="481" t="n"/>
      <c r="AX107" s="481" t="n"/>
      <c r="AY107" s="481" t="n"/>
      <c r="AZ107" s="481" t="n"/>
      <c r="BA107" s="481" t="n"/>
      <c r="BB107" s="481" t="n"/>
      <c r="BC107" s="481" t="n"/>
      <c r="BD107" s="481" t="n"/>
      <c r="BE107" s="481" t="n"/>
      <c r="BF107" s="481" t="n"/>
      <c r="BG107" s="481" t="n"/>
      <c r="BH107" s="481" t="n"/>
      <c r="BI107" s="481" t="n"/>
      <c r="BJ107" s="481" t="n"/>
      <c r="BK107" s="481" t="n"/>
      <c r="BL107" s="481" t="n"/>
      <c r="BM107" s="481" t="n"/>
      <c r="BN107" s="481" t="n"/>
      <c r="BO107" s="481" t="n"/>
      <c r="BP107" s="481" t="n"/>
      <c r="BQ107" s="481" t="n"/>
      <c r="BR107" s="481" t="n"/>
      <c r="BS107" s="481" t="n"/>
      <c r="BT107" s="481" t="n"/>
      <c r="BU107" s="481" t="n"/>
      <c r="BV107" s="481" t="n"/>
      <c r="BW107" s="481" t="n"/>
      <c r="BX107" s="481" t="n"/>
      <c r="BY107" s="481" t="n"/>
      <c r="BZ107" s="481" t="n"/>
      <c r="CA107" s="481" t="n"/>
      <c r="CB107" s="481" t="n"/>
      <c r="CC107" s="481" t="n"/>
      <c r="CD107" s="481" t="n"/>
      <c r="CE107" s="481" t="n"/>
      <c r="CF107" s="481" t="n"/>
      <c r="CG107" s="481" t="n"/>
      <c r="CH107" s="481" t="n"/>
      <c r="CI107" s="481" t="n"/>
      <c r="CJ107" s="481" t="n"/>
      <c r="CK107" s="481" t="n"/>
      <c r="CL107" s="481" t="n"/>
      <c r="CM107" s="481" t="n"/>
      <c r="CN107" s="481" t="n"/>
      <c r="CO107" s="481" t="n"/>
      <c r="CP107" s="481" t="n"/>
      <c r="CQ107" s="481" t="n"/>
      <c r="CR107" s="481" t="n"/>
      <c r="CS107" s="481" t="n"/>
      <c r="CT107" s="481" t="n"/>
    </row>
    <row r="108" ht="15" customFormat="1" customHeight="1" s="381">
      <c r="A108" s="480" t="inlineStr">
        <is>
          <t>Steyn Liquidity Guarantee Fee</t>
        </is>
      </c>
      <c r="C108" s="481" t="n"/>
      <c r="D108" s="481" t="n"/>
      <c r="E108" s="481" t="n"/>
      <c r="F108" s="481" t="n"/>
      <c r="G108" s="481" t="n"/>
      <c r="H108" s="481" t="n"/>
      <c r="I108" s="481" t="n"/>
      <c r="J108" s="481" t="n"/>
      <c r="K108" s="481" t="n"/>
      <c r="L108" s="481" t="n"/>
      <c r="M108" s="481" t="n"/>
      <c r="N108" s="481" t="n"/>
      <c r="O108" s="481" t="n"/>
      <c r="P108" s="481" t="n"/>
      <c r="Q108" s="481" t="n"/>
      <c r="R108" s="481" t="n"/>
      <c r="S108" s="481" t="n"/>
      <c r="T108" s="481" t="n"/>
      <c r="U108" s="481" t="n"/>
      <c r="V108" s="481" t="n"/>
      <c r="W108" s="481" t="n"/>
      <c r="X108" s="481" t="n"/>
      <c r="Y108" s="481" t="n"/>
      <c r="Z108" s="481" t="n"/>
      <c r="AA108" s="481" t="n"/>
      <c r="AB108" s="481" t="n"/>
      <c r="AC108" s="481" t="n"/>
      <c r="AD108" s="481" t="n"/>
      <c r="AE108" s="481" t="n"/>
      <c r="AF108" s="481" t="n"/>
      <c r="AG108" s="481" t="n"/>
      <c r="AH108" s="481" t="n"/>
      <c r="AI108" s="481" t="n"/>
      <c r="AJ108" s="481" t="n"/>
      <c r="AK108" s="481" t="n"/>
      <c r="AL108" s="481" t="n"/>
      <c r="AM108" s="481" t="n"/>
      <c r="AN108" s="481" t="n"/>
      <c r="AO108" s="481" t="n"/>
      <c r="AP108" s="481" t="n"/>
      <c r="AQ108" s="481" t="n"/>
      <c r="AR108" s="481" t="n"/>
      <c r="AS108" s="481" t="n"/>
      <c r="AT108" s="481" t="n"/>
      <c r="AU108" s="481" t="n"/>
      <c r="AV108" s="481" t="n"/>
      <c r="AW108" s="481" t="n"/>
      <c r="AX108" s="481" t="n"/>
      <c r="AY108" s="481" t="n"/>
      <c r="AZ108" s="481" t="n"/>
      <c r="BA108" s="481" t="n"/>
      <c r="BB108" s="481" t="n"/>
      <c r="BC108" s="481" t="n"/>
      <c r="BD108" s="481" t="n"/>
      <c r="BE108" s="481" t="n"/>
      <c r="BF108" s="481" t="n"/>
      <c r="BG108" s="481" t="n"/>
      <c r="BH108" s="481" t="n"/>
      <c r="BI108" s="481" t="n"/>
      <c r="BJ108" s="481" t="n"/>
      <c r="BK108" s="481" t="n"/>
      <c r="BL108" s="481" t="n"/>
      <c r="BM108" s="481" t="n"/>
      <c r="BN108" s="481" t="n"/>
      <c r="BO108" s="481" t="n"/>
      <c r="BP108" s="481" t="n"/>
      <c r="BQ108" s="481" t="n"/>
      <c r="BR108" s="481" t="n"/>
      <c r="BS108" s="481" t="n"/>
      <c r="BT108" s="481" t="n"/>
      <c r="BU108" s="481" t="n"/>
      <c r="BV108" s="481" t="n"/>
      <c r="BW108" s="481" t="n"/>
      <c r="BX108" s="481" t="n"/>
      <c r="BY108" s="481" t="n"/>
      <c r="BZ108" s="481" t="n"/>
      <c r="CA108" s="481" t="n"/>
      <c r="CB108" s="481" t="n"/>
      <c r="CC108" s="481" t="n"/>
      <c r="CD108" s="481" t="n"/>
      <c r="CE108" s="481" t="n"/>
      <c r="CF108" s="481" t="n"/>
      <c r="CG108" s="481" t="n"/>
      <c r="CH108" s="481" t="n"/>
      <c r="CI108" s="481" t="n"/>
      <c r="CJ108" s="481" t="n"/>
      <c r="CK108" s="481" t="n"/>
      <c r="CL108" s="481" t="n"/>
      <c r="CM108" s="481" t="n"/>
      <c r="CN108" s="481" t="n"/>
      <c r="CO108" s="481" t="n"/>
      <c r="CP108" s="481" t="n"/>
      <c r="CQ108" s="481" t="n"/>
      <c r="CR108" s="481" t="n"/>
      <c r="CS108" s="481" t="n"/>
      <c r="CT108" s="481" t="n"/>
    </row>
    <row r="109" ht="15" customFormat="1" customHeight="1" s="381">
      <c r="A109" s="480" t="inlineStr">
        <is>
          <t>Francis Steyn Fee + PIK (from LIHTC Revenue)</t>
        </is>
      </c>
      <c r="C109" s="481" t="n"/>
      <c r="D109" s="481" t="n"/>
      <c r="E109" s="481" t="n"/>
      <c r="F109" s="481" t="n"/>
      <c r="G109" s="481" t="n"/>
      <c r="H109" s="481" t="n"/>
      <c r="I109" s="481" t="n"/>
      <c r="J109" s="481" t="n"/>
      <c r="K109" s="481" t="n"/>
      <c r="L109" s="481" t="n"/>
      <c r="M109" s="481" t="n"/>
      <c r="N109" s="481" t="n"/>
      <c r="O109" s="481" t="n"/>
      <c r="P109" s="481" t="n"/>
      <c r="Q109" s="481" t="n"/>
      <c r="R109" s="481" t="n"/>
      <c r="S109" s="481" t="n"/>
      <c r="T109" s="481" t="n"/>
      <c r="U109" s="481" t="n"/>
      <c r="V109" s="481" t="n"/>
      <c r="W109" s="481" t="n"/>
      <c r="X109" s="481" t="n"/>
      <c r="Y109" s="481" t="n"/>
      <c r="Z109" s="481" t="n"/>
      <c r="AA109" s="481" t="n"/>
      <c r="AB109" s="481" t="n"/>
      <c r="AC109" s="481" t="n"/>
      <c r="AD109" s="481" t="n"/>
      <c r="AE109" s="481" t="n"/>
      <c r="AF109" s="481" t="n"/>
      <c r="AG109" s="481" t="n"/>
      <c r="AH109" s="481" t="n"/>
      <c r="AI109" s="481" t="n"/>
      <c r="AJ109" s="481" t="n"/>
      <c r="AK109" s="481" t="n"/>
      <c r="AL109" s="481" t="n"/>
      <c r="AM109" s="481" t="n"/>
      <c r="AN109" s="481" t="n"/>
      <c r="AO109" s="481" t="n"/>
      <c r="AP109" s="481" t="n"/>
      <c r="AQ109" s="481" t="n"/>
      <c r="AR109" s="481" t="n"/>
      <c r="AS109" s="481" t="n"/>
      <c r="AT109" s="481" t="n"/>
      <c r="AU109" s="481" t="n"/>
      <c r="AV109" s="481" t="n"/>
      <c r="AW109" s="481" t="n"/>
      <c r="AX109" s="481" t="n"/>
      <c r="AY109" s="481" t="n"/>
      <c r="AZ109" s="481" t="n"/>
      <c r="BA109" s="481" t="n"/>
      <c r="BB109" s="481" t="n"/>
      <c r="BC109" s="481" t="n"/>
      <c r="BD109" s="481" t="n"/>
      <c r="BE109" s="481" t="n"/>
      <c r="BF109" s="481" t="n"/>
      <c r="BG109" s="481" t="n"/>
      <c r="BH109" s="481" t="n"/>
      <c r="BI109" s="481" t="n"/>
      <c r="BJ109" s="481" t="n"/>
      <c r="BK109" s="481" t="n"/>
      <c r="BL109" s="481" t="n"/>
      <c r="BM109" s="481" t="n"/>
      <c r="BN109" s="481" t="n"/>
      <c r="BO109" s="481" t="n"/>
      <c r="BP109" s="481" t="n"/>
      <c r="BQ109" s="481" t="n"/>
      <c r="BR109" s="481" t="n"/>
      <c r="BS109" s="481" t="n"/>
      <c r="BT109" s="481" t="n"/>
      <c r="BU109" s="481" t="n"/>
      <c r="BV109" s="481" t="n"/>
      <c r="BW109" s="481" t="n"/>
      <c r="BX109" s="481" t="n"/>
      <c r="BY109" s="481" t="n"/>
      <c r="BZ109" s="481" t="n"/>
      <c r="CA109" s="481" t="n"/>
      <c r="CB109" s="481" t="n"/>
      <c r="CC109" s="481" t="n"/>
      <c r="CD109" s="481" t="n"/>
      <c r="CE109" s="481" t="n"/>
      <c r="CF109" s="481" t="n"/>
      <c r="CG109" s="481" t="n"/>
      <c r="CH109" s="481" t="n"/>
      <c r="CI109" s="481" t="n"/>
      <c r="CJ109" s="481" t="n"/>
      <c r="CK109" s="481" t="n"/>
      <c r="CL109" s="481" t="n"/>
      <c r="CM109" s="481" t="n"/>
      <c r="CN109" s="481" t="n"/>
      <c r="CO109" s="481" t="n"/>
      <c r="CP109" s="481" t="n"/>
      <c r="CQ109" s="481" t="n"/>
      <c r="CR109" s="481" t="n"/>
      <c r="CS109" s="481" t="n"/>
      <c r="CT109" s="481" t="n"/>
    </row>
    <row r="110" ht="15" customFormat="1" customHeight="1" s="381">
      <c r="A110" s="480" t="inlineStr">
        <is>
          <t>Reseda Steyn Fee + PIK (from LIHTC Revenue)</t>
        </is>
      </c>
      <c r="C110" s="481" t="n"/>
      <c r="D110" s="481" t="n"/>
      <c r="E110" s="481" t="n"/>
      <c r="F110" s="481" t="n"/>
      <c r="G110" s="481" t="n"/>
      <c r="H110" s="481" t="n"/>
      <c r="I110" s="481" t="n"/>
      <c r="J110" s="481" t="n"/>
      <c r="K110" s="481" t="n"/>
      <c r="L110" s="481" t="n"/>
      <c r="M110" s="481" t="n"/>
      <c r="N110" s="481" t="n"/>
      <c r="O110" s="481" t="n"/>
      <c r="P110" s="481" t="n"/>
      <c r="Q110" s="481" t="n"/>
      <c r="R110" s="481" t="n"/>
      <c r="S110" s="481" t="n"/>
      <c r="T110" s="481" t="n"/>
      <c r="U110" s="481" t="n"/>
      <c r="V110" s="481" t="n"/>
      <c r="W110" s="481" t="n"/>
      <c r="X110" s="481" t="n"/>
      <c r="Y110" s="481" t="n"/>
      <c r="Z110" s="481" t="n"/>
      <c r="AA110" s="481" t="n"/>
      <c r="AB110" s="481" t="n"/>
      <c r="AC110" s="481" t="n"/>
      <c r="AD110" s="481" t="n"/>
      <c r="AE110" s="481" t="n"/>
      <c r="AF110" s="481" t="n"/>
      <c r="AG110" s="481" t="n"/>
      <c r="AH110" s="481" t="n"/>
      <c r="AI110" s="481" t="n"/>
      <c r="AJ110" s="481" t="n"/>
      <c r="AK110" s="481" t="n"/>
      <c r="AL110" s="481" t="n"/>
      <c r="AM110" s="481" t="n"/>
      <c r="AN110" s="481" t="n"/>
      <c r="AO110" s="481" t="n"/>
      <c r="AP110" s="481" t="n"/>
      <c r="AQ110" s="481" t="n"/>
      <c r="AR110" s="481" t="n"/>
      <c r="AS110" s="481" t="n"/>
      <c r="AT110" s="481" t="n"/>
      <c r="AU110" s="481" t="n"/>
      <c r="AV110" s="481" t="n"/>
      <c r="AW110" s="481" t="n"/>
      <c r="AX110" s="481" t="n"/>
      <c r="AY110" s="481" t="n"/>
      <c r="AZ110" s="481" t="n"/>
      <c r="BA110" s="481" t="n"/>
      <c r="BB110" s="481" t="n"/>
      <c r="BC110" s="481" t="n"/>
      <c r="BD110" s="481" t="n"/>
      <c r="BE110" s="481" t="n"/>
      <c r="BF110" s="481" t="n"/>
      <c r="BG110" s="481" t="n"/>
      <c r="BH110" s="481" t="n"/>
      <c r="BI110" s="481" t="n"/>
      <c r="BJ110" s="481" t="n"/>
      <c r="BK110" s="481" t="n"/>
      <c r="BL110" s="481" t="n"/>
      <c r="BM110" s="481" t="n"/>
      <c r="BN110" s="481" t="n"/>
      <c r="BO110" s="481" t="n"/>
      <c r="BP110" s="481" t="n"/>
      <c r="BQ110" s="481" t="n"/>
      <c r="BR110" s="481" t="n"/>
      <c r="BS110" s="481" t="n"/>
      <c r="BT110" s="481" t="n"/>
      <c r="BU110" s="481" t="n"/>
      <c r="BV110" s="481" t="n"/>
      <c r="BW110" s="481" t="n"/>
      <c r="BX110" s="481" t="n"/>
      <c r="BY110" s="481" t="n"/>
      <c r="BZ110" s="481" t="n"/>
      <c r="CA110" s="481" t="n"/>
      <c r="CB110" s="481" t="n"/>
      <c r="CC110" s="481" t="n"/>
      <c r="CD110" s="481" t="n"/>
      <c r="CE110" s="481" t="n"/>
      <c r="CF110" s="481" t="n"/>
      <c r="CG110" s="481" t="n"/>
      <c r="CH110" s="481" t="n"/>
      <c r="CI110" s="481" t="n"/>
      <c r="CJ110" s="481" t="n"/>
      <c r="CK110" s="481" t="n"/>
      <c r="CL110" s="481" t="n"/>
      <c r="CM110" s="481" t="n"/>
      <c r="CN110" s="481" t="n"/>
      <c r="CO110" s="481" t="n"/>
      <c r="CP110" s="481" t="n"/>
      <c r="CQ110" s="481" t="n"/>
      <c r="CR110" s="481" t="n"/>
      <c r="CS110" s="481" t="n"/>
      <c r="CT110" s="481" t="n"/>
    </row>
    <row r="111" ht="15" customFormat="1" customHeight="1" s="381">
      <c r="A111" s="480" t="inlineStr">
        <is>
          <t>3rd St Steyn Fee + PIK (from LIHTC Revenue)</t>
        </is>
      </c>
      <c r="C111" s="481" t="n"/>
      <c r="D111" s="481" t="n"/>
      <c r="E111" s="481" t="n"/>
      <c r="F111" s="481" t="n"/>
      <c r="G111" s="481" t="n"/>
      <c r="H111" s="481" t="n"/>
      <c r="I111" s="481" t="n"/>
      <c r="J111" s="481" t="n"/>
      <c r="K111" s="481" t="n"/>
      <c r="L111" s="481" t="n"/>
      <c r="M111" s="481" t="n"/>
      <c r="N111" s="481" t="n"/>
      <c r="O111" s="481" t="n"/>
      <c r="P111" s="481" t="n"/>
      <c r="Q111" s="481" t="n"/>
      <c r="R111" s="481" t="n"/>
      <c r="S111" s="481" t="n"/>
      <c r="T111" s="481" t="n"/>
      <c r="U111" s="481" t="n"/>
      <c r="V111" s="481" t="n"/>
      <c r="W111" s="481" t="n"/>
      <c r="X111" s="481" t="n"/>
      <c r="Y111" s="481" t="n"/>
      <c r="Z111" s="481" t="n"/>
      <c r="AA111" s="481" t="n"/>
      <c r="AB111" s="481" t="n"/>
      <c r="AC111" s="481" t="n"/>
      <c r="AD111" s="481" t="n"/>
      <c r="AE111" s="481" t="n"/>
      <c r="AF111" s="481" t="n"/>
      <c r="AG111" s="481" t="n"/>
      <c r="AH111" s="481" t="n"/>
      <c r="AI111" s="481" t="n"/>
      <c r="AJ111" s="481" t="n"/>
      <c r="AK111" s="481" t="n"/>
      <c r="AL111" s="481" t="n"/>
      <c r="AM111" s="481" t="n"/>
      <c r="AN111" s="481" t="n"/>
      <c r="AO111" s="481" t="n"/>
      <c r="AP111" s="481" t="n"/>
      <c r="AQ111" s="481" t="n"/>
      <c r="AR111" s="481" t="n"/>
      <c r="AS111" s="481" t="n"/>
      <c r="AT111" s="481" t="n"/>
      <c r="AU111" s="481" t="n"/>
      <c r="AV111" s="481" t="n"/>
      <c r="AW111" s="481" t="n"/>
      <c r="AX111" s="481" t="n"/>
      <c r="AY111" s="481" t="n"/>
      <c r="AZ111" s="481" t="n"/>
      <c r="BA111" s="481" t="n"/>
      <c r="BB111" s="481" t="n"/>
      <c r="BC111" s="481" t="n"/>
      <c r="BD111" s="481" t="n"/>
      <c r="BE111" s="481" t="n"/>
      <c r="BF111" s="481" t="n"/>
      <c r="BG111" s="481" t="n"/>
      <c r="BH111" s="481" t="n"/>
      <c r="BI111" s="481" t="n"/>
      <c r="BJ111" s="481" t="n"/>
      <c r="BK111" s="481" t="n"/>
      <c r="BL111" s="481" t="n"/>
      <c r="BM111" s="481" t="n"/>
      <c r="BN111" s="481" t="n"/>
      <c r="BO111" s="481" t="n"/>
      <c r="BP111" s="481" t="n"/>
      <c r="BQ111" s="481" t="n"/>
      <c r="BR111" s="481" t="n"/>
      <c r="BS111" s="481" t="n"/>
      <c r="BT111" s="481" t="n"/>
      <c r="BU111" s="481" t="n"/>
      <c r="BV111" s="481" t="n"/>
      <c r="BW111" s="481" t="n"/>
      <c r="BX111" s="481" t="n"/>
      <c r="BY111" s="481" t="n"/>
      <c r="BZ111" s="481" t="n"/>
      <c r="CA111" s="481" t="n"/>
      <c r="CB111" s="481" t="n"/>
      <c r="CC111" s="481" t="n"/>
      <c r="CD111" s="481" t="n"/>
      <c r="CE111" s="481" t="n"/>
      <c r="CF111" s="481" t="n"/>
      <c r="CG111" s="481" t="n"/>
      <c r="CH111" s="481" t="n"/>
      <c r="CI111" s="481" t="n"/>
      <c r="CJ111" s="481" t="n"/>
      <c r="CK111" s="481" t="n"/>
      <c r="CL111" s="481" t="n"/>
      <c r="CM111" s="481" t="n"/>
      <c r="CN111" s="481" t="n"/>
      <c r="CO111" s="481" t="n"/>
      <c r="CP111" s="481" t="n"/>
      <c r="CQ111" s="481" t="n"/>
      <c r="CR111" s="481" t="n"/>
      <c r="CS111" s="481" t="n"/>
      <c r="CT111" s="481" t="n"/>
    </row>
    <row r="112" ht="15" customFormat="1" customHeight="1" s="381">
      <c r="A112" s="477" t="inlineStr">
        <is>
          <t>Total Six Peak Expenses</t>
        </is>
      </c>
      <c r="C112" s="489">
        <f>SUM(C82:C110)</f>
        <v>-198827.72</v>
      </c>
      <c r="D112" s="489">
        <f>SUM(D82:D110)</f>
        <v>-192502</v>
      </c>
      <c r="E112" s="489">
        <f>SUM(E82:E110)</f>
        <v>-255024.1</v>
      </c>
      <c r="F112" s="489">
        <f>SUM(F82:F110)</f>
        <v>-195904.72</v>
      </c>
      <c r="G112" s="489">
        <f>SUM(G82:G110)</f>
        <v>-250029.52</v>
      </c>
      <c r="H112" s="489">
        <f>SUM(H82:H110)</f>
        <v>-201582.47</v>
      </c>
      <c r="I112" s="489">
        <f>SUM(I82:I110)</f>
        <v>0</v>
      </c>
      <c r="J112" s="489">
        <f>SUM(J82:J110)</f>
        <v>0</v>
      </c>
      <c r="K112" s="489">
        <f>SUM(K82:K110)</f>
        <v>0</v>
      </c>
      <c r="L112" s="489">
        <f>SUM(L82:L110)</f>
        <v>0</v>
      </c>
      <c r="M112" s="489">
        <f>SUM(M82:M110)</f>
        <v>0</v>
      </c>
      <c r="N112" s="489">
        <f>SUM(N82:N110)</f>
        <v>0</v>
      </c>
      <c r="O112" s="489">
        <f>SUM(O82:O110)</f>
        <v>0</v>
      </c>
      <c r="P112" s="489">
        <f>SUM(P82:P110)</f>
        <v>0</v>
      </c>
      <c r="Q112" s="489">
        <f>SUM(Q82:Q110)</f>
        <v>0</v>
      </c>
      <c r="R112" s="489">
        <f>SUM(R82:R110)</f>
        <v>0</v>
      </c>
      <c r="S112" s="489">
        <f>SUM(S82:S110)</f>
        <v>0</v>
      </c>
      <c r="T112" s="489">
        <f>SUM(T82:T110)</f>
        <v>0</v>
      </c>
      <c r="U112" s="489">
        <f>SUM(U82:U110)</f>
        <v>0</v>
      </c>
      <c r="V112" s="489">
        <f>SUM(V82:V110)</f>
        <v>0</v>
      </c>
      <c r="W112" s="489">
        <f>SUM(W82:W110)</f>
        <v>0</v>
      </c>
      <c r="X112" s="489">
        <f>SUM(X82:X110)</f>
        <v>0</v>
      </c>
      <c r="Y112" s="489">
        <f>SUM(Y82:Y110)</f>
        <v>0</v>
      </c>
      <c r="Z112" s="489">
        <f>SUM(Z82:Z110)</f>
        <v>0</v>
      </c>
      <c r="AA112" s="489">
        <f>SUM(AA82:AA110)</f>
        <v>0</v>
      </c>
      <c r="AB112" s="489">
        <f>SUM(AB82:AB110)</f>
        <v>0</v>
      </c>
      <c r="AC112" s="489">
        <f>SUM(AC82:AC110)</f>
        <v>0</v>
      </c>
      <c r="AD112" s="489">
        <f>SUM(AD82:AD110)</f>
        <v>0</v>
      </c>
      <c r="AE112" s="489">
        <f>SUM(AE82:AE110)</f>
        <v>0</v>
      </c>
      <c r="AF112" s="489">
        <f>SUM(AF82:AF110)</f>
        <v>0</v>
      </c>
      <c r="AG112" s="489">
        <f>SUM(AG82:AG110)</f>
        <v>0</v>
      </c>
      <c r="AH112" s="489">
        <f>SUM(AH82:AH110)</f>
        <v>0</v>
      </c>
      <c r="AI112" s="489">
        <f>SUM(AI82:AI110)</f>
        <v>0</v>
      </c>
      <c r="AJ112" s="489">
        <f>SUM(AJ82:AJ110)</f>
        <v>0</v>
      </c>
      <c r="AK112" s="489">
        <f>SUM(AK82:AK110)</f>
        <v>0</v>
      </c>
      <c r="AL112" s="489">
        <f>SUM(AL82:AL110)</f>
        <v>0</v>
      </c>
      <c r="AM112" s="489">
        <f>SUM(AM82:AM110)</f>
        <v>0</v>
      </c>
      <c r="AN112" s="489">
        <f>SUM(AN82:AN110)</f>
        <v>0</v>
      </c>
      <c r="AO112" s="489">
        <f>SUM(AO82:AO110)</f>
        <v>0</v>
      </c>
      <c r="AP112" s="489">
        <f>SUM(AP82:AP110)</f>
        <v>0</v>
      </c>
      <c r="AQ112" s="489">
        <f>SUM(AQ82:AQ110)</f>
        <v>0</v>
      </c>
      <c r="AR112" s="489">
        <f>SUM(AR82:AR110)</f>
        <v>0</v>
      </c>
      <c r="AS112" s="489">
        <f>SUM(AS82:AS110)</f>
        <v>0</v>
      </c>
      <c r="AT112" s="489">
        <f>SUM(AT82:AT110)</f>
        <v>0</v>
      </c>
      <c r="AU112" s="489">
        <f>SUM(AU82:AU110)</f>
        <v>0</v>
      </c>
      <c r="AV112" s="489">
        <f>SUM(AV82:AV110)</f>
        <v>0</v>
      </c>
      <c r="AW112" s="489">
        <f>SUM(AW82:AW110)</f>
        <v>0</v>
      </c>
      <c r="AX112" s="489">
        <f>SUM(AX82:AX110)</f>
        <v>0</v>
      </c>
      <c r="AY112" s="489">
        <f>SUM(AY82:AY110)</f>
        <v>0</v>
      </c>
      <c r="AZ112" s="489">
        <f>SUM(AZ82:AZ110)</f>
        <v>0</v>
      </c>
      <c r="BA112" s="489">
        <f>SUM(BA82:BA110)</f>
        <v>0</v>
      </c>
      <c r="BB112" s="489">
        <f>SUM(BB82:BB110)</f>
        <v>0</v>
      </c>
      <c r="BC112" s="489">
        <f>SUM(BC82:BC110)</f>
        <v>0</v>
      </c>
      <c r="BD112" s="489">
        <f>SUM(BD82:BD110)</f>
        <v>0</v>
      </c>
      <c r="BE112" s="489">
        <f>SUM(BE82:BE110)</f>
        <v>0</v>
      </c>
      <c r="BF112" s="489">
        <f>SUM(BF82:BF110)</f>
        <v>0</v>
      </c>
      <c r="BG112" s="489">
        <f>SUM(BG82:BG110)</f>
        <v>0</v>
      </c>
      <c r="BH112" s="489">
        <f>SUM(BH82:BH110)</f>
        <v>0</v>
      </c>
      <c r="BI112" s="489">
        <f>SUM(BI82:BI110)</f>
        <v>0</v>
      </c>
      <c r="BJ112" s="489">
        <f>SUM(BJ82:BJ110)</f>
        <v>0</v>
      </c>
      <c r="BK112" s="489">
        <f>SUM(BK82:BK110)</f>
        <v>0</v>
      </c>
      <c r="BL112" s="489">
        <f>SUM(BL82:BL110)</f>
        <v>0</v>
      </c>
      <c r="BM112" s="489">
        <f>SUM(BM82:BM110)</f>
        <v>0</v>
      </c>
      <c r="BN112" s="489">
        <f>SUM(BN82:BN110)</f>
        <v>0</v>
      </c>
      <c r="BO112" s="489">
        <f>SUM(BO82:BO110)</f>
        <v>0</v>
      </c>
      <c r="BP112" s="489">
        <f>SUM(BP82:BP110)</f>
        <v>0</v>
      </c>
      <c r="BQ112" s="489">
        <f>SUM(BQ82:BQ110)</f>
        <v>0</v>
      </c>
      <c r="BR112" s="489">
        <f>SUM(BR82:BR110)</f>
        <v>0</v>
      </c>
      <c r="BS112" s="489">
        <f>SUM(BS82:BS110)</f>
        <v>0</v>
      </c>
      <c r="BT112" s="489">
        <f>SUM(BT82:BT110)</f>
        <v>0</v>
      </c>
      <c r="BU112" s="489">
        <f>SUM(BU82:BU110)</f>
        <v>0</v>
      </c>
      <c r="BV112" s="489">
        <f>SUM(BV82:BV110)</f>
        <v>0</v>
      </c>
      <c r="BW112" s="489">
        <f>SUM(BW82:BW110)</f>
        <v>0</v>
      </c>
      <c r="BX112" s="489">
        <f>SUM(BX82:BX110)</f>
        <v>0</v>
      </c>
      <c r="BY112" s="489">
        <f>SUM(BY82:BY110)</f>
        <v>0</v>
      </c>
      <c r="BZ112" s="489">
        <f>SUM(BZ82:BZ110)</f>
        <v>0</v>
      </c>
      <c r="CA112" s="489">
        <f>SUM(CA82:CA110)</f>
        <v>0</v>
      </c>
      <c r="CB112" s="489">
        <f>SUM(CB82:CB110)</f>
        <v>0</v>
      </c>
      <c r="CC112" s="489">
        <f>SUM(CC82:CC110)</f>
        <v>0</v>
      </c>
      <c r="CD112" s="489">
        <f>SUM(CD82:CD110)</f>
        <v>0</v>
      </c>
      <c r="CE112" s="489">
        <f>SUM(CE82:CE110)</f>
        <v>0</v>
      </c>
      <c r="CF112" s="489">
        <f>SUM(CF82:CF110)</f>
        <v>0</v>
      </c>
      <c r="CG112" s="489">
        <f>SUM(CG82:CG110)</f>
        <v>0</v>
      </c>
      <c r="CH112" s="489">
        <f>SUM(CH82:CH110)</f>
        <v>0</v>
      </c>
      <c r="CI112" s="489">
        <f>SUM(CI82:CI110)</f>
        <v>0</v>
      </c>
      <c r="CJ112" s="489">
        <f>SUM(CJ82:CJ110)</f>
        <v>0</v>
      </c>
      <c r="CK112" s="489">
        <f>SUM(CK82:CK110)</f>
        <v>0</v>
      </c>
      <c r="CL112" s="489">
        <f>SUM(CL82:CL110)</f>
        <v>0</v>
      </c>
      <c r="CM112" s="489">
        <f>SUM(CM82:CM110)</f>
        <v>0</v>
      </c>
      <c r="CN112" s="489">
        <f>SUM(CN82:CN110)</f>
        <v>0</v>
      </c>
      <c r="CO112" s="489">
        <f>SUM(CO82:CO110)</f>
        <v>0</v>
      </c>
      <c r="CP112" s="489">
        <f>SUM(CP82:CP110)</f>
        <v>0</v>
      </c>
      <c r="CQ112" s="489">
        <f>SUM(CQ82:CQ110)</f>
        <v>0</v>
      </c>
      <c r="CR112" s="489">
        <f>SUM(CR82:CR110)</f>
        <v>0</v>
      </c>
      <c r="CS112" s="489">
        <f>SUM(CS82:CS110)</f>
        <v>0</v>
      </c>
      <c r="CT112" s="489">
        <f>SUM(CT82:CT110)</f>
        <v>0</v>
      </c>
    </row>
    <row r="113" ht="15" customFormat="1" customHeight="1" s="381">
      <c r="A113" s="452" t="inlineStr">
        <is>
          <t>Interest, Tax &amp; Amort (P&amp;L true-up)</t>
        </is>
      </c>
      <c r="C113" s="491" t="n"/>
      <c r="D113" s="491" t="n"/>
      <c r="E113" s="491" t="n"/>
      <c r="F113" s="491" t="n"/>
      <c r="G113" s="491" t="n"/>
      <c r="H113" s="491" t="n">
        <v>53641.68</v>
      </c>
      <c r="I113" s="491" t="n"/>
      <c r="J113" s="491" t="n"/>
      <c r="K113" s="491" t="n"/>
      <c r="L113" s="491" t="n"/>
      <c r="M113" s="491" t="n"/>
      <c r="N113" s="491" t="n"/>
      <c r="O113" s="491" t="n"/>
      <c r="P113" s="491" t="n"/>
      <c r="Q113" s="491" t="n"/>
      <c r="R113" s="491" t="n"/>
      <c r="S113" s="491" t="n"/>
      <c r="T113" s="491" t="n"/>
      <c r="U113" s="491" t="n"/>
      <c r="V113" s="491" t="n"/>
      <c r="W113" s="491" t="n"/>
      <c r="X113" s="491" t="n"/>
      <c r="Y113" s="491" t="n"/>
      <c r="Z113" s="491" t="n"/>
      <c r="AA113" s="491" t="n"/>
      <c r="AB113" s="491" t="n"/>
      <c r="AC113" s="491" t="n"/>
      <c r="AD113" s="491" t="n"/>
      <c r="AE113" s="491" t="n"/>
      <c r="AF113" s="491" t="n"/>
      <c r="AG113" s="491" t="n"/>
      <c r="AH113" s="491" t="n"/>
      <c r="AI113" s="491" t="n"/>
      <c r="AJ113" s="491" t="n"/>
      <c r="AK113" s="491" t="n"/>
      <c r="AL113" s="491" t="n"/>
      <c r="AM113" s="491" t="n"/>
      <c r="AN113" s="491" t="n"/>
      <c r="AO113" s="491" t="n"/>
      <c r="AP113" s="491" t="n"/>
      <c r="AQ113" s="491" t="n"/>
      <c r="AR113" s="491" t="n"/>
      <c r="AS113" s="491" t="n"/>
      <c r="AT113" s="491" t="n"/>
      <c r="AU113" s="491" t="n"/>
      <c r="AV113" s="491" t="n"/>
      <c r="AW113" s="491" t="n"/>
      <c r="AX113" s="491" t="n"/>
      <c r="AY113" s="491" t="n"/>
      <c r="AZ113" s="491" t="n"/>
      <c r="BA113" s="491" t="n"/>
      <c r="BB113" s="491" t="n"/>
      <c r="BC113" s="491" t="n"/>
      <c r="BD113" s="491" t="n"/>
      <c r="BE113" s="491" t="n"/>
      <c r="BF113" s="491" t="n"/>
      <c r="BG113" s="491" t="n"/>
      <c r="BH113" s="491" t="n"/>
      <c r="BI113" s="491" t="n"/>
      <c r="BJ113" s="491" t="n"/>
      <c r="BK113" s="491" t="n"/>
      <c r="BL113" s="491" t="n"/>
      <c r="BM113" s="491" t="n"/>
      <c r="BN113" s="491" t="n"/>
      <c r="BO113" s="491" t="n"/>
      <c r="BP113" s="491" t="n"/>
      <c r="BQ113" s="491" t="n"/>
      <c r="BR113" s="491" t="n"/>
      <c r="BS113" s="491" t="n"/>
      <c r="BT113" s="491" t="n"/>
      <c r="BU113" s="491" t="n"/>
      <c r="BV113" s="491" t="n"/>
      <c r="BW113" s="491" t="n"/>
      <c r="BX113" s="491" t="n"/>
      <c r="BY113" s="491" t="n"/>
      <c r="BZ113" s="491" t="n"/>
      <c r="CA113" s="491" t="n"/>
      <c r="CB113" s="491" t="n"/>
      <c r="CC113" s="491" t="n"/>
      <c r="CD113" s="491" t="n"/>
      <c r="CE113" s="491" t="n"/>
      <c r="CF113" s="491" t="n"/>
      <c r="CG113" s="491" t="n"/>
      <c r="CH113" s="491" t="n"/>
      <c r="CI113" s="491" t="n"/>
      <c r="CJ113" s="491" t="n"/>
      <c r="CK113" s="491" t="n"/>
      <c r="CL113" s="491" t="n"/>
      <c r="CM113" s="491" t="n"/>
      <c r="CN113" s="491" t="n"/>
      <c r="CO113" s="491" t="n"/>
      <c r="CP113" s="491" t="n"/>
      <c r="CQ113" s="491" t="n"/>
      <c r="CR113" s="491" t="n"/>
      <c r="CS113" s="491" t="n"/>
      <c r="CT113" s="491" t="n"/>
    </row>
    <row r="114" ht="15" customFormat="1" customHeight="1" s="381">
      <c r="A114" s="452" t="inlineStr">
        <is>
          <t>Six Peak Net Income</t>
        </is>
      </c>
      <c r="C114" s="490">
        <f>C81+C112+C113</f>
        <v>-164713.14</v>
      </c>
      <c r="D114" s="490">
        <f>D81+D112+D113</f>
        <v>-158387.42</v>
      </c>
      <c r="E114" s="490">
        <f>E81+E112+E113</f>
        <v>-220909.52</v>
      </c>
      <c r="F114" s="490">
        <f>F81+F112+F113</f>
        <v>-161790.14</v>
      </c>
      <c r="G114" s="490">
        <f>G81+G112+G113</f>
        <v>-215914.94</v>
      </c>
      <c r="H114" s="490">
        <f>H81+H112+H113</f>
        <v>185173.79</v>
      </c>
      <c r="I114" s="490">
        <f>I81+I112+I113</f>
        <v>0</v>
      </c>
      <c r="J114" s="490">
        <f>J81+J112+J113</f>
        <v>0</v>
      </c>
      <c r="K114" s="490">
        <f>K81+K112+K113</f>
        <v>0</v>
      </c>
      <c r="L114" s="490">
        <f>L81+L112+L113</f>
        <v>0</v>
      </c>
      <c r="M114" s="490">
        <f>M81+M112+M113</f>
        <v>0</v>
      </c>
      <c r="N114" s="490">
        <f>N81+N112+N113</f>
        <v>0</v>
      </c>
      <c r="O114" s="490">
        <f>O81+O112+O113</f>
        <v>0</v>
      </c>
      <c r="P114" s="490">
        <f>P81+P112+P113</f>
        <v>0</v>
      </c>
      <c r="Q114" s="490">
        <f>Q81+Q112+Q113</f>
        <v>0</v>
      </c>
      <c r="R114" s="490">
        <f>R81+R112+R113</f>
        <v>0</v>
      </c>
      <c r="S114" s="490">
        <f>S81+S112+S113</f>
        <v>0</v>
      </c>
      <c r="T114" s="490">
        <f>T81+T112+T113</f>
        <v>0</v>
      </c>
      <c r="U114" s="490">
        <f>U81+U112+U113</f>
        <v>0</v>
      </c>
      <c r="V114" s="490">
        <f>V81+V112+V113</f>
        <v>0</v>
      </c>
      <c r="W114" s="490">
        <f>W81+W112+W113</f>
        <v>0</v>
      </c>
      <c r="X114" s="490">
        <f>X81+X112+X113</f>
        <v>0</v>
      </c>
      <c r="Y114" s="490">
        <f>Y81+Y112+Y113</f>
        <v>0</v>
      </c>
      <c r="Z114" s="490">
        <f>Z81+Z112+Z113</f>
        <v>0</v>
      </c>
      <c r="AA114" s="490">
        <f>AA81+AA112+AA113</f>
        <v>0</v>
      </c>
      <c r="AB114" s="490">
        <f>AB81+AB112+AB113</f>
        <v>0</v>
      </c>
      <c r="AC114" s="490">
        <f>AC81+AC112+AC113</f>
        <v>0</v>
      </c>
      <c r="AD114" s="490">
        <f>AD81+AD112+AD113</f>
        <v>0</v>
      </c>
      <c r="AE114" s="490">
        <f>AE81+AE112+AE113</f>
        <v>0</v>
      </c>
      <c r="AF114" s="490">
        <f>AF81+AF112+AF113</f>
        <v>0</v>
      </c>
      <c r="AG114" s="490">
        <f>AG81+AG112+AG113</f>
        <v>0</v>
      </c>
      <c r="AH114" s="490">
        <f>AH81+AH112+AH113</f>
        <v>0</v>
      </c>
      <c r="AI114" s="490">
        <f>AI81+AI112+AI113</f>
        <v>0</v>
      </c>
      <c r="AJ114" s="490">
        <f>AJ81+AJ112+AJ113</f>
        <v>0</v>
      </c>
      <c r="AK114" s="490">
        <f>AK81+AK112+AK113</f>
        <v>0</v>
      </c>
      <c r="AL114" s="490">
        <f>AL81+AL112+AL113</f>
        <v>0</v>
      </c>
      <c r="AM114" s="490">
        <f>AM81+AM112+AM113</f>
        <v>0</v>
      </c>
      <c r="AN114" s="490">
        <f>AN81+AN112+AN113</f>
        <v>0</v>
      </c>
      <c r="AO114" s="490">
        <f>AO81+AO112+AO113</f>
        <v>0</v>
      </c>
      <c r="AP114" s="490">
        <f>AP81+AP112+AP113</f>
        <v>0</v>
      </c>
      <c r="AQ114" s="490">
        <f>AQ81+AQ112+AQ113</f>
        <v>0</v>
      </c>
      <c r="AR114" s="490">
        <f>AR81+AR112+AR113</f>
        <v>0</v>
      </c>
      <c r="AS114" s="490">
        <f>AS81+AS112+AS113</f>
        <v>0</v>
      </c>
      <c r="AT114" s="490">
        <f>AT81+AT112+AT113</f>
        <v>0</v>
      </c>
      <c r="AU114" s="490">
        <f>AU81+AU112+AU113</f>
        <v>0</v>
      </c>
      <c r="AV114" s="490">
        <f>AV81+AV112+AV113</f>
        <v>0</v>
      </c>
      <c r="AW114" s="490">
        <f>AW81+AW112+AW113</f>
        <v>0</v>
      </c>
      <c r="AX114" s="490">
        <f>AX81+AX112+AX113</f>
        <v>0</v>
      </c>
      <c r="AY114" s="490">
        <f>AY81+AY112+AY113</f>
        <v>0</v>
      </c>
      <c r="AZ114" s="490">
        <f>AZ81+AZ112+AZ113</f>
        <v>0</v>
      </c>
      <c r="BA114" s="490">
        <f>BA81+BA112+BA113</f>
        <v>0</v>
      </c>
      <c r="BB114" s="490">
        <f>BB81+BB112+BB113</f>
        <v>0</v>
      </c>
      <c r="BC114" s="490">
        <f>BC81+BC112+BC113</f>
        <v>0</v>
      </c>
      <c r="BD114" s="490">
        <f>BD81+BD112+BD113</f>
        <v>0</v>
      </c>
      <c r="BE114" s="490">
        <f>BE81+BE112+BE113</f>
        <v>0</v>
      </c>
      <c r="BF114" s="490">
        <f>BF81+BF112+BF113</f>
        <v>0</v>
      </c>
      <c r="BG114" s="490">
        <f>BG81+BG112+BG113</f>
        <v>0</v>
      </c>
      <c r="BH114" s="490">
        <f>BH81+BH112+BH113</f>
        <v>0</v>
      </c>
      <c r="BI114" s="490">
        <f>BI81+BI112+BI113</f>
        <v>0</v>
      </c>
      <c r="BJ114" s="490">
        <f>BJ81+BJ112+BJ113</f>
        <v>0</v>
      </c>
      <c r="BK114" s="490">
        <f>BK81+BK112+BK113</f>
        <v>0</v>
      </c>
      <c r="BL114" s="490">
        <f>BL81+BL112+BL113</f>
        <v>0</v>
      </c>
      <c r="BM114" s="490">
        <f>BM81+BM112+BM113</f>
        <v>0</v>
      </c>
      <c r="BN114" s="490">
        <f>BN81+BN112+BN113</f>
        <v>0</v>
      </c>
      <c r="BO114" s="490">
        <f>BO81+BO112+BO113</f>
        <v>0</v>
      </c>
      <c r="BP114" s="490">
        <f>BP81+BP112+BP113</f>
        <v>0</v>
      </c>
      <c r="BQ114" s="490">
        <f>BQ81+BQ112+BQ113</f>
        <v>0</v>
      </c>
      <c r="BR114" s="490">
        <f>BR81+BR112+BR113</f>
        <v>0</v>
      </c>
      <c r="BS114" s="490">
        <f>BS81+BS112+BS113</f>
        <v>0</v>
      </c>
      <c r="BT114" s="490">
        <f>BT81+BT112+BT113</f>
        <v>0</v>
      </c>
      <c r="BU114" s="490">
        <f>BU81+BU112+BU113</f>
        <v>0</v>
      </c>
      <c r="BV114" s="490">
        <f>BV81+BV112+BV113</f>
        <v>0</v>
      </c>
      <c r="BW114" s="490">
        <f>BW81+BW112+BW113</f>
        <v>0</v>
      </c>
      <c r="BX114" s="490">
        <f>BX81+BX112+BX113</f>
        <v>0</v>
      </c>
      <c r="BY114" s="490">
        <f>BY81+BY112+BY113</f>
        <v>0</v>
      </c>
      <c r="BZ114" s="490">
        <f>BZ81+BZ112+BZ113</f>
        <v>0</v>
      </c>
      <c r="CA114" s="490">
        <f>CA81+CA112+CA113</f>
        <v>0</v>
      </c>
      <c r="CB114" s="490">
        <f>CB81+CB112+CB113</f>
        <v>0</v>
      </c>
      <c r="CC114" s="490">
        <f>CC81+CC112+CC113</f>
        <v>0</v>
      </c>
      <c r="CD114" s="490">
        <f>CD81+CD112+CD113</f>
        <v>0</v>
      </c>
      <c r="CE114" s="490">
        <f>CE81+CE112+CE113</f>
        <v>0</v>
      </c>
      <c r="CF114" s="490">
        <f>CF81+CF112+CF113</f>
        <v>0</v>
      </c>
      <c r="CG114" s="490">
        <f>CG81+CG112+CG113</f>
        <v>0</v>
      </c>
      <c r="CH114" s="490">
        <f>CH81+CH112+CH113</f>
        <v>0</v>
      </c>
      <c r="CI114" s="490">
        <f>CI81+CI112+CI113</f>
        <v>0</v>
      </c>
      <c r="CJ114" s="490">
        <f>CJ81+CJ112+CJ113</f>
        <v>0</v>
      </c>
      <c r="CK114" s="490">
        <f>CK81+CK112+CK113</f>
        <v>0</v>
      </c>
      <c r="CL114" s="490">
        <f>CL81+CL112+CL113</f>
        <v>0</v>
      </c>
      <c r="CM114" s="490">
        <f>CM81+CM112+CM113</f>
        <v>0</v>
      </c>
      <c r="CN114" s="490">
        <f>CN81+CN112+CN113</f>
        <v>0</v>
      </c>
      <c r="CO114" s="490">
        <f>CO81+CO112+CO113</f>
        <v>0</v>
      </c>
      <c r="CP114" s="490">
        <f>CP81+CP112+CP113</f>
        <v>0</v>
      </c>
      <c r="CQ114" s="490">
        <f>CQ81+CQ112+CQ113</f>
        <v>0</v>
      </c>
      <c r="CR114" s="490">
        <f>CR81+CR112+CR113</f>
        <v>0</v>
      </c>
      <c r="CS114" s="490">
        <f>CS81+CS112+CS113</f>
        <v>0</v>
      </c>
      <c r="CT114" s="490">
        <f>CT81+CT112+CT113</f>
        <v>0</v>
      </c>
    </row>
    <row r="115" ht="15" customFormat="1" customHeight="1" s="381">
      <c r="C115" s="491" t="n"/>
      <c r="D115" s="491" t="n"/>
      <c r="E115" s="491" t="n"/>
      <c r="F115" s="491" t="n"/>
      <c r="G115" s="491" t="n"/>
      <c r="H115" s="491" t="n"/>
      <c r="I115" s="491" t="n"/>
      <c r="J115" s="491" t="n"/>
      <c r="K115" s="491" t="n"/>
      <c r="L115" s="491" t="n"/>
      <c r="M115" s="491" t="n"/>
      <c r="N115" s="491" t="n"/>
      <c r="O115" s="491" t="n"/>
      <c r="P115" s="491" t="n"/>
      <c r="Q115" s="491" t="n"/>
      <c r="R115" s="491" t="n"/>
      <c r="S115" s="491" t="n"/>
      <c r="T115" s="491" t="n"/>
      <c r="U115" s="491" t="n"/>
      <c r="V115" s="491" t="n"/>
      <c r="W115" s="491" t="n"/>
      <c r="X115" s="491" t="n"/>
      <c r="Y115" s="491" t="n"/>
      <c r="Z115" s="491" t="n"/>
      <c r="AA115" s="491" t="n"/>
      <c r="AB115" s="491" t="n"/>
      <c r="AC115" s="491" t="n"/>
      <c r="AD115" s="491" t="n"/>
      <c r="AE115" s="491" t="n"/>
      <c r="AF115" s="491" t="n"/>
      <c r="AG115" s="491" t="n"/>
      <c r="AH115" s="491" t="n"/>
      <c r="AI115" s="491" t="n"/>
      <c r="AJ115" s="491" t="n"/>
      <c r="AK115" s="491" t="n"/>
      <c r="AL115" s="491" t="n"/>
      <c r="AM115" s="491" t="n"/>
      <c r="AN115" s="491" t="n"/>
      <c r="AO115" s="491" t="n"/>
      <c r="AP115" s="491" t="n"/>
      <c r="AQ115" s="491" t="n"/>
      <c r="AR115" s="491" t="n"/>
      <c r="AS115" s="491" t="n"/>
      <c r="AT115" s="491" t="n"/>
      <c r="AU115" s="491" t="n"/>
      <c r="AV115" s="491" t="n"/>
      <c r="AW115" s="491" t="n"/>
      <c r="AX115" s="491" t="n"/>
      <c r="AY115" s="491" t="n"/>
      <c r="AZ115" s="491" t="n"/>
      <c r="BA115" s="491" t="n"/>
      <c r="BB115" s="491" t="n"/>
      <c r="BC115" s="491" t="n"/>
      <c r="BD115" s="491" t="n"/>
      <c r="BE115" s="491" t="n"/>
      <c r="BF115" s="491" t="n"/>
      <c r="BG115" s="491" t="n"/>
      <c r="BH115" s="491" t="n"/>
      <c r="BI115" s="491" t="n"/>
      <c r="BJ115" s="491" t="n"/>
      <c r="BK115" s="491" t="n"/>
      <c r="BL115" s="491" t="n"/>
      <c r="BM115" s="491" t="n"/>
      <c r="BN115" s="491" t="n"/>
      <c r="BO115" s="491" t="n"/>
      <c r="BP115" s="491" t="n"/>
      <c r="BQ115" s="491" t="n"/>
      <c r="BR115" s="491" t="n"/>
      <c r="BS115" s="491" t="n"/>
      <c r="BT115" s="491" t="n"/>
      <c r="BU115" s="491" t="n"/>
      <c r="BV115" s="491" t="n"/>
      <c r="BW115" s="491" t="n"/>
      <c r="BX115" s="491" t="n"/>
      <c r="BY115" s="491" t="n"/>
      <c r="BZ115" s="491" t="n"/>
      <c r="CA115" s="491" t="n"/>
      <c r="CB115" s="491" t="n"/>
      <c r="CC115" s="491" t="n"/>
      <c r="CD115" s="491" t="n"/>
      <c r="CE115" s="491" t="n"/>
      <c r="CF115" s="491" t="n"/>
      <c r="CG115" s="491" t="n"/>
      <c r="CH115" s="491" t="n"/>
      <c r="CI115" s="491" t="n"/>
      <c r="CJ115" s="491" t="n"/>
      <c r="CK115" s="491" t="n"/>
      <c r="CL115" s="491" t="n"/>
      <c r="CM115" s="491" t="n"/>
      <c r="CN115" s="491" t="n"/>
      <c r="CO115" s="491" t="n"/>
      <c r="CP115" s="491" t="n"/>
      <c r="CQ115" s="491" t="n"/>
      <c r="CR115" s="491" t="n"/>
      <c r="CS115" s="491" t="n"/>
      <c r="CT115" s="49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N11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6" customWidth="1" style="381" min="1" max="1"/>
    <col width="13" customWidth="1" style="381" min="2" max="40"/>
  </cols>
  <sheetData>
    <row r="1" ht="15" customFormat="1" customHeight="1" s="381">
      <c r="A1" s="477" t="inlineStr">
        <is>
          <t>Monthly Budget vs Actual</t>
        </is>
      </c>
    </row>
    <row r="2" ht="15" customFormat="1" customHeight="1" s="381">
      <c r="A2" s="453" t="inlineStr">
        <is>
          <t>Actuals vs the November 2025 approved budget, by month. Variance = Actual minus Budget; a positive variance is favorable (expenses are stored as negatives). Months with no actuals stay blank. YTD adjusts automatically to the number of closed months.</t>
        </is>
      </c>
    </row>
    <row r="3" ht="15" customFormat="1" customHeight="1" s="381">
      <c r="A3" s="492" t="inlineStr">
        <is>
          <t>Closed months (auto):</t>
        </is>
      </c>
      <c r="B3" s="493">
        <f>SUMPRODUCT(--(Actuals!$C$21:$N$21&lt;&gt;""))</f>
        <v>6</v>
      </c>
    </row>
    <row r="4" ht="15" customFormat="1" customHeight="1" s="381">
      <c r="B4" s="494" t="n">
        <v>46023</v>
      </c>
      <c r="C4" s="495" t="n"/>
      <c r="D4" s="496" t="n"/>
      <c r="E4" s="494" t="n">
        <v>46054</v>
      </c>
      <c r="F4" s="495" t="n"/>
      <c r="G4" s="496" t="n"/>
      <c r="H4" s="494" t="n">
        <v>46082</v>
      </c>
      <c r="I4" s="495" t="n"/>
      <c r="J4" s="496" t="n"/>
      <c r="K4" s="494" t="n">
        <v>46113</v>
      </c>
      <c r="L4" s="495" t="n"/>
      <c r="M4" s="496" t="n"/>
      <c r="N4" s="494" t="n">
        <v>46143</v>
      </c>
      <c r="O4" s="495" t="n"/>
      <c r="P4" s="496" t="n"/>
      <c r="Q4" s="494" t="n">
        <v>46174</v>
      </c>
      <c r="R4" s="495" t="n"/>
      <c r="S4" s="496" t="n"/>
      <c r="T4" s="494" t="n">
        <v>46204</v>
      </c>
      <c r="U4" s="495" t="n"/>
      <c r="V4" s="496" t="n"/>
      <c r="W4" s="494" t="n">
        <v>46235</v>
      </c>
      <c r="X4" s="495" t="n"/>
      <c r="Y4" s="496" t="n"/>
      <c r="Z4" s="494" t="n">
        <v>46266</v>
      </c>
      <c r="AA4" s="495" t="n"/>
      <c r="AB4" s="496" t="n"/>
      <c r="AC4" s="494" t="n">
        <v>46296</v>
      </c>
      <c r="AD4" s="495" t="n"/>
      <c r="AE4" s="496" t="n"/>
      <c r="AF4" s="494" t="n">
        <v>46327</v>
      </c>
      <c r="AG4" s="495" t="n"/>
      <c r="AH4" s="496" t="n"/>
      <c r="AI4" s="494" t="n">
        <v>46357</v>
      </c>
      <c r="AJ4" s="495" t="n"/>
      <c r="AK4" s="496" t="n"/>
      <c r="AL4" s="497" t="inlineStr">
        <is>
          <t>YTD 2026</t>
        </is>
      </c>
      <c r="AM4" s="495" t="n"/>
      <c r="AN4" s="496" t="n"/>
    </row>
    <row r="5" ht="15" customFormat="1" customHeight="1" s="381">
      <c r="A5" s="497" t="inlineStr">
        <is>
          <t>Line Item</t>
        </is>
      </c>
      <c r="B5" s="497" t="inlineStr">
        <is>
          <t>Actual</t>
        </is>
      </c>
      <c r="C5" s="497" t="inlineStr">
        <is>
          <t>Budget</t>
        </is>
      </c>
      <c r="D5" s="497" t="inlineStr">
        <is>
          <t>Var</t>
        </is>
      </c>
      <c r="E5" s="497" t="inlineStr">
        <is>
          <t>Actual</t>
        </is>
      </c>
      <c r="F5" s="497" t="inlineStr">
        <is>
          <t>Budget</t>
        </is>
      </c>
      <c r="G5" s="497" t="inlineStr">
        <is>
          <t>Var</t>
        </is>
      </c>
      <c r="H5" s="497" t="inlineStr">
        <is>
          <t>Actual</t>
        </is>
      </c>
      <c r="I5" s="497" t="inlineStr">
        <is>
          <t>Budget</t>
        </is>
      </c>
      <c r="J5" s="497" t="inlineStr">
        <is>
          <t>Var</t>
        </is>
      </c>
      <c r="K5" s="497" t="inlineStr">
        <is>
          <t>Actual</t>
        </is>
      </c>
      <c r="L5" s="497" t="inlineStr">
        <is>
          <t>Budget</t>
        </is>
      </c>
      <c r="M5" s="497" t="inlineStr">
        <is>
          <t>Var</t>
        </is>
      </c>
      <c r="N5" s="497" t="inlineStr">
        <is>
          <t>Actual</t>
        </is>
      </c>
      <c r="O5" s="497" t="inlineStr">
        <is>
          <t>Budget</t>
        </is>
      </c>
      <c r="P5" s="497" t="inlineStr">
        <is>
          <t>Var</t>
        </is>
      </c>
      <c r="Q5" s="497" t="inlineStr">
        <is>
          <t>Actual</t>
        </is>
      </c>
      <c r="R5" s="497" t="inlineStr">
        <is>
          <t>Budget</t>
        </is>
      </c>
      <c r="S5" s="497" t="inlineStr">
        <is>
          <t>Var</t>
        </is>
      </c>
      <c r="T5" s="497" t="inlineStr">
        <is>
          <t>Actual</t>
        </is>
      </c>
      <c r="U5" s="497" t="inlineStr">
        <is>
          <t>Budget</t>
        </is>
      </c>
      <c r="V5" s="497" t="inlineStr">
        <is>
          <t>Var</t>
        </is>
      </c>
      <c r="W5" s="497" t="inlineStr">
        <is>
          <t>Actual</t>
        </is>
      </c>
      <c r="X5" s="497" t="inlineStr">
        <is>
          <t>Budget</t>
        </is>
      </c>
      <c r="Y5" s="497" t="inlineStr">
        <is>
          <t>Var</t>
        </is>
      </c>
      <c r="Z5" s="497" t="inlineStr">
        <is>
          <t>Actual</t>
        </is>
      </c>
      <c r="AA5" s="497" t="inlineStr">
        <is>
          <t>Budget</t>
        </is>
      </c>
      <c r="AB5" s="497" t="inlineStr">
        <is>
          <t>Var</t>
        </is>
      </c>
      <c r="AC5" s="497" t="inlineStr">
        <is>
          <t>Actual</t>
        </is>
      </c>
      <c r="AD5" s="497" t="inlineStr">
        <is>
          <t>Budget</t>
        </is>
      </c>
      <c r="AE5" s="497" t="inlineStr">
        <is>
          <t>Var</t>
        </is>
      </c>
      <c r="AF5" s="497" t="inlineStr">
        <is>
          <t>Actual</t>
        </is>
      </c>
      <c r="AG5" s="497" t="inlineStr">
        <is>
          <t>Budget</t>
        </is>
      </c>
      <c r="AH5" s="497" t="inlineStr">
        <is>
          <t>Var</t>
        </is>
      </c>
      <c r="AI5" s="497" t="inlineStr">
        <is>
          <t>Actual</t>
        </is>
      </c>
      <c r="AJ5" s="497" t="inlineStr">
        <is>
          <t>Budget</t>
        </is>
      </c>
      <c r="AK5" s="497" t="inlineStr">
        <is>
          <t>Var</t>
        </is>
      </c>
      <c r="AL5" s="497" t="inlineStr">
        <is>
          <t>Actual</t>
        </is>
      </c>
      <c r="AM5" s="497" t="inlineStr">
        <is>
          <t>Budget</t>
        </is>
      </c>
      <c r="AN5" s="497" t="inlineStr">
        <is>
          <t>Var</t>
        </is>
      </c>
    </row>
    <row r="7" ht="15" customFormat="1" customHeight="1" s="381">
      <c r="A7" s="498" t="inlineStr">
        <is>
          <t>GC / LV CONSTRUCTION: MONTHLY BUDGET VS ACTUAL</t>
        </is>
      </c>
    </row>
    <row r="8" ht="15" customFormat="1" customHeight="1" s="381">
      <c r="A8" s="499" t="inlineStr">
        <is>
          <t>Other GC Income</t>
        </is>
      </c>
      <c r="B8" s="500">
        <f>IF(OR(1&gt;$B$3,ISBLANK(Actuals!C8)),"",Actuals!C8)</f>
        <v>116367.35</v>
      </c>
      <c r="C8" s="500">
        <f>Budget!C8</f>
        <v>189686.63</v>
      </c>
      <c r="D8" s="500">
        <f>IF(B8="","",B8-C8)</f>
        <v>-73319.28</v>
      </c>
      <c r="E8" s="500">
        <f>IF(OR(2&gt;$B$3,ISBLANK(Actuals!D8)),"",Actuals!D8)</f>
        <v>138804.22</v>
      </c>
      <c r="F8" s="500">
        <f>Budget!D8</f>
        <v>189686.63</v>
      </c>
      <c r="G8" s="500">
        <f>IF(E8="","",E8-F8)</f>
        <v>-50882.41</v>
      </c>
      <c r="H8" s="500">
        <f>IF(OR(3&gt;$B$3,ISBLANK(Actuals!E8)),"",Actuals!E8)</f>
        <v>219366.88</v>
      </c>
      <c r="I8" s="500">
        <f>Budget!E8</f>
        <v>189686.63</v>
      </c>
      <c r="J8" s="500">
        <f>IF(H8="","",H8-I8)</f>
        <v>29680.25</v>
      </c>
      <c r="K8" s="500">
        <f>IF(OR(4&gt;$B$3,ISBLANK(Actuals!F8)),"",Actuals!F8)</f>
        <v>212079.14</v>
      </c>
      <c r="L8" s="500">
        <f>Budget!F8</f>
        <v>189686.63</v>
      </c>
      <c r="M8" s="500">
        <f>IF(K8="","",K8-L8)</f>
        <v>22392.51</v>
      </c>
      <c r="N8" s="500">
        <f>IF(OR(5&gt;$B$3,ISBLANK(Actuals!G8)),"",Actuals!G8)</f>
        <v>267726.14</v>
      </c>
      <c r="O8" s="500">
        <f>Budget!G8</f>
        <v>293206.86</v>
      </c>
      <c r="P8" s="500">
        <f>IF(N8="","",N8-O8)</f>
        <v>-25480.72</v>
      </c>
      <c r="Q8" s="500">
        <f>IF(OR(6&gt;$B$3,ISBLANK(Actuals!H8)),"",Actuals!H8)</f>
        <v>374773.89</v>
      </c>
      <c r="R8" s="500">
        <f>Budget!H8</f>
        <v>293206.86</v>
      </c>
      <c r="S8" s="500">
        <f>IF(Q8="","",Q8-R8)</f>
        <v>81567.03</v>
      </c>
      <c r="T8" s="500">
        <f>IF(OR(7&gt;$B$3,ISBLANK(Actuals!I8)),"",Actuals!I8)</f>
      </c>
      <c r="U8" s="500">
        <f>Budget!I8</f>
        <v>293206.86</v>
      </c>
      <c r="V8" s="500">
        <f>IF(T8="","",T8-U8)</f>
      </c>
      <c r="W8" s="500">
        <f>IF(OR(8&gt;$B$3,ISBLANK(Actuals!J8)),"",Actuals!J8)</f>
      </c>
      <c r="X8" s="500">
        <f>Budget!J8</f>
        <v>293206.86</v>
      </c>
      <c r="Y8" s="500">
        <f>IF(W8="","",W8-X8)</f>
      </c>
      <c r="Z8" s="500">
        <f>IF(OR(9&gt;$B$3,ISBLANK(Actuals!K8)),"",Actuals!K8)</f>
      </c>
      <c r="AA8" s="500">
        <f>Budget!K8</f>
        <v>293206.86</v>
      </c>
      <c r="AB8" s="500">
        <f>IF(Z8="","",Z8-AA8)</f>
      </c>
      <c r="AC8" s="500">
        <f>IF(OR(10&gt;$B$3,ISBLANK(Actuals!L8)),"",Actuals!L8)</f>
      </c>
      <c r="AD8" s="500">
        <f>Budget!L8</f>
        <v>293206.86</v>
      </c>
      <c r="AE8" s="500">
        <f>IF(AC8="","",AC8-AD8)</f>
      </c>
      <c r="AF8" s="500">
        <f>IF(OR(11&gt;$B$3,ISBLANK(Actuals!M8)),"",Actuals!M8)</f>
      </c>
      <c r="AG8" s="500">
        <f>Budget!M8</f>
        <v>293206.86</v>
      </c>
      <c r="AH8" s="500">
        <f>IF(AF8="","",AF8-AG8)</f>
      </c>
      <c r="AI8" s="500">
        <f>IF(OR(12&gt;$B$3,ISBLANK(Actuals!N8)),"",Actuals!N8)</f>
      </c>
      <c r="AJ8" s="500">
        <f>Budget!N8</f>
        <v>260706.85</v>
      </c>
      <c r="AK8" s="500">
        <f>IF(AI8="","",AI8-AJ8)</f>
      </c>
      <c r="AL8" s="501">
        <f>SUM(Actuals!$C8:INDEX(Actuals!$C8:$N8,$B$3))</f>
        <v>1329117.62</v>
      </c>
      <c r="AM8" s="501">
        <f>SUM(Budget!$C8:INDEX(Budget!$C8:$N8,$B$3))</f>
        <v>1345160.24</v>
      </c>
      <c r="AN8" s="501">
        <f>AL8-AM8</f>
        <v>-16042.6199999996</v>
      </c>
    </row>
    <row r="9" ht="15" customFormat="1" customHeight="1" s="381">
      <c r="A9" s="499" t="inlineStr">
        <is>
          <t>Project Supervision Revenue</t>
        </is>
      </c>
      <c r="B9" s="500">
        <f>IF(OR(1&gt;$B$3,ISBLANK(Actuals!C9)),"",Actuals!C9)</f>
        <v>0</v>
      </c>
      <c r="C9" s="500">
        <f>Budget!C9</f>
        <v>0</v>
      </c>
      <c r="D9" s="500">
        <f>IF(B9="","",B9-C9)</f>
        <v>0</v>
      </c>
      <c r="E9" s="500">
        <f>IF(OR(2&gt;$B$3,ISBLANK(Actuals!D9)),"",Actuals!D9)</f>
        <v>0</v>
      </c>
      <c r="F9" s="500">
        <f>Budget!D9</f>
        <v>0</v>
      </c>
      <c r="G9" s="500">
        <f>IF(E9="","",E9-F9)</f>
        <v>0</v>
      </c>
      <c r="H9" s="500">
        <f>IF(OR(3&gt;$B$3,ISBLANK(Actuals!E9)),"",Actuals!E9)</f>
        <v>0</v>
      </c>
      <c r="I9" s="500">
        <f>Budget!E9</f>
        <v>0</v>
      </c>
      <c r="J9" s="500">
        <f>IF(H9="","",H9-I9)</f>
        <v>0</v>
      </c>
      <c r="K9" s="500">
        <f>IF(OR(4&gt;$B$3,ISBLANK(Actuals!F9)),"",Actuals!F9)</f>
        <v>0</v>
      </c>
      <c r="L9" s="500">
        <f>Budget!F9</f>
        <v>0</v>
      </c>
      <c r="M9" s="500">
        <f>IF(K9="","",K9-L9)</f>
        <v>0</v>
      </c>
      <c r="N9" s="500">
        <f>IF(OR(5&gt;$B$3,ISBLANK(Actuals!G9)),"",Actuals!G9)</f>
        <v>0</v>
      </c>
      <c r="O9" s="500">
        <f>Budget!G9</f>
        <v>0</v>
      </c>
      <c r="P9" s="500">
        <f>IF(N9="","",N9-O9)</f>
        <v>0</v>
      </c>
      <c r="Q9" s="500">
        <f>IF(OR(6&gt;$B$3,ISBLANK(Actuals!H9)),"",Actuals!H9)</f>
        <v>0</v>
      </c>
      <c r="R9" s="500">
        <f>Budget!H9</f>
        <v>0</v>
      </c>
      <c r="S9" s="500">
        <f>IF(Q9="","",Q9-R9)</f>
        <v>0</v>
      </c>
      <c r="T9" s="500">
        <f>IF(OR(7&gt;$B$3,ISBLANK(Actuals!I9)),"",Actuals!I9)</f>
      </c>
      <c r="U9" s="500">
        <f>Budget!I9</f>
        <v>0</v>
      </c>
      <c r="V9" s="500">
        <f>IF(T9="","",T9-U9)</f>
      </c>
      <c r="W9" s="500">
        <f>IF(OR(8&gt;$B$3,ISBLANK(Actuals!J9)),"",Actuals!J9)</f>
      </c>
      <c r="X9" s="500">
        <f>Budget!J9</f>
        <v>0</v>
      </c>
      <c r="Y9" s="500">
        <f>IF(W9="","",W9-X9)</f>
      </c>
      <c r="Z9" s="500">
        <f>IF(OR(9&gt;$B$3,ISBLANK(Actuals!K9)),"",Actuals!K9)</f>
      </c>
      <c r="AA9" s="500">
        <f>Budget!K9</f>
        <v>0</v>
      </c>
      <c r="AB9" s="500">
        <f>IF(Z9="","",Z9-AA9)</f>
      </c>
      <c r="AC9" s="500">
        <f>IF(OR(10&gt;$B$3,ISBLANK(Actuals!L9)),"",Actuals!L9)</f>
      </c>
      <c r="AD9" s="500">
        <f>Budget!L9</f>
        <v>0</v>
      </c>
      <c r="AE9" s="500">
        <f>IF(AC9="","",AC9-AD9)</f>
      </c>
      <c r="AF9" s="500">
        <f>IF(OR(11&gt;$B$3,ISBLANK(Actuals!M9)),"",Actuals!M9)</f>
      </c>
      <c r="AG9" s="500">
        <f>Budget!M9</f>
        <v>0</v>
      </c>
      <c r="AH9" s="500">
        <f>IF(AF9="","",AF9-AG9)</f>
      </c>
      <c r="AI9" s="500">
        <f>IF(OR(12&gt;$B$3,ISBLANK(Actuals!N9)),"",Actuals!N9)</f>
      </c>
      <c r="AJ9" s="500">
        <f>Budget!N9</f>
        <v>0</v>
      </c>
      <c r="AK9" s="500">
        <f>IF(AI9="","",AI9-AJ9)</f>
      </c>
      <c r="AL9" s="501">
        <f>SUM(Actuals!$C9:INDEX(Actuals!$C9:$N9,$B$3))</f>
        <v>0</v>
      </c>
      <c r="AM9" s="501">
        <f>SUM(Budget!$C9:INDEX(Budget!$C9:$N9,$B$3))</f>
        <v>0</v>
      </c>
      <c r="AN9" s="501">
        <f>AL9-AM9</f>
        <v>0</v>
      </c>
    </row>
    <row r="10" ht="15" customFormat="1" customHeight="1" s="381">
      <c r="A10" s="499" t="inlineStr">
        <is>
          <t>GC Fee Income</t>
        </is>
      </c>
      <c r="B10" s="500">
        <f>IF(OR(1&gt;$B$3,ISBLANK(Actuals!C10)),"",Actuals!C10)</f>
        <v>95370.25</v>
      </c>
      <c r="C10" s="500">
        <f>Budget!C10</f>
        <v>134573.26</v>
      </c>
      <c r="D10" s="500">
        <f>IF(B10="","",B10-C10)</f>
        <v>-39203.01</v>
      </c>
      <c r="E10" s="500">
        <f>IF(OR(2&gt;$B$3,ISBLANK(Actuals!D10)),"",Actuals!D10)</f>
        <v>173282.89</v>
      </c>
      <c r="F10" s="500">
        <f>Budget!D10</f>
        <v>149817.92</v>
      </c>
      <c r="G10" s="500">
        <f>IF(E10="","",E10-F10)</f>
        <v>23464.97</v>
      </c>
      <c r="H10" s="500">
        <f>IF(OR(3&gt;$B$3,ISBLANK(Actuals!E10)),"",Actuals!E10)</f>
        <v>50438.85</v>
      </c>
      <c r="I10" s="500">
        <f>Budget!E10</f>
        <v>164993.33</v>
      </c>
      <c r="J10" s="500">
        <f>IF(H10="","",H10-I10)</f>
        <v>-114554.48</v>
      </c>
      <c r="K10" s="500">
        <f>IF(OR(4&gt;$B$3,ISBLANK(Actuals!F10)),"",Actuals!F10)</f>
        <v>167518.85</v>
      </c>
      <c r="L10" s="500">
        <f>Budget!F10</f>
        <v>179495.73</v>
      </c>
      <c r="M10" s="500">
        <f>IF(K10="","",K10-L10)</f>
        <v>-11976.88</v>
      </c>
      <c r="N10" s="500">
        <f>IF(OR(5&gt;$B$3,ISBLANK(Actuals!G10)),"",Actuals!G10)</f>
        <v>209057.26</v>
      </c>
      <c r="O10" s="500">
        <f>Budget!G10</f>
        <v>230135.69</v>
      </c>
      <c r="P10" s="500">
        <f>IF(N10="","",N10-O10)</f>
        <v>-21078.43</v>
      </c>
      <c r="Q10" s="500">
        <f>IF(OR(6&gt;$B$3,ISBLANK(Actuals!H10)),"",Actuals!H10)</f>
        <v>292966.36</v>
      </c>
      <c r="R10" s="500">
        <f>Budget!H10</f>
        <v>246811.27</v>
      </c>
      <c r="S10" s="500">
        <f>IF(Q10="","",Q10-R10)</f>
        <v>46155.09</v>
      </c>
      <c r="T10" s="500">
        <f>IF(OR(7&gt;$B$3,ISBLANK(Actuals!I10)),"",Actuals!I10)</f>
      </c>
      <c r="U10" s="500">
        <f>Budget!I10</f>
        <v>261045.09</v>
      </c>
      <c r="V10" s="500">
        <f>IF(T10="","",T10-U10)</f>
      </c>
      <c r="W10" s="500">
        <f>IF(OR(8&gt;$B$3,ISBLANK(Actuals!J10)),"",Actuals!J10)</f>
      </c>
      <c r="X10" s="500">
        <f>Budget!J10</f>
        <v>272157.23</v>
      </c>
      <c r="Y10" s="500">
        <f>IF(W10="","",W10-X10)</f>
      </c>
      <c r="Z10" s="500">
        <f>IF(OR(9&gt;$B$3,ISBLANK(Actuals!K10)),"",Actuals!K10)</f>
      </c>
      <c r="AA10" s="500">
        <f>Budget!K10</f>
        <v>279616.59</v>
      </c>
      <c r="AB10" s="500">
        <f>IF(Z10="","",Z10-AA10)</f>
      </c>
      <c r="AC10" s="500">
        <f>IF(OR(10&gt;$B$3,ISBLANK(Actuals!L10)),"",Actuals!L10)</f>
      </c>
      <c r="AD10" s="500">
        <f>Budget!L10</f>
        <v>283097.52</v>
      </c>
      <c r="AE10" s="500">
        <f>IF(AC10="","",AC10-AD10)</f>
      </c>
      <c r="AF10" s="500">
        <f>IF(OR(11&gt;$B$3,ISBLANK(Actuals!M10)),"",Actuals!M10)</f>
      </c>
      <c r="AG10" s="500">
        <f>Budget!M10</f>
        <v>282514.62</v>
      </c>
      <c r="AH10" s="500">
        <f>IF(AF10="","",AF10-AG10)</f>
      </c>
      <c r="AI10" s="500">
        <f>IF(OR(12&gt;$B$3,ISBLANK(Actuals!N10)),"",Actuals!N10)</f>
      </c>
      <c r="AJ10" s="500">
        <f>Budget!N10</f>
        <v>266132.31</v>
      </c>
      <c r="AK10" s="500">
        <f>IF(AI10="","",AI10-AJ10)</f>
      </c>
      <c r="AL10" s="501">
        <f>SUM(Actuals!$C10:INDEX(Actuals!$C10:$N10,$B$3))</f>
        <v>988634.46</v>
      </c>
      <c r="AM10" s="501">
        <f>SUM(Budget!$C10:INDEX(Budget!$C10:$N10,$B$3))</f>
        <v>1105827.2</v>
      </c>
      <c r="AN10" s="501">
        <f>AL10-AM10</f>
        <v>-117192.74</v>
      </c>
    </row>
    <row r="11" ht="15" customFormat="1" customHeight="1" s="381">
      <c r="A11" s="499" t="inlineStr">
        <is>
          <t>Project Administration Revenue</t>
        </is>
      </c>
      <c r="B11" s="500">
        <f>IF(OR(1&gt;$B$3,ISBLANK(Actuals!C11)),"",Actuals!C11)</f>
        <v>0</v>
      </c>
      <c r="C11" s="500">
        <f>Budget!C11</f>
        <v>0</v>
      </c>
      <c r="D11" s="500">
        <f>IF(B11="","",B11-C11)</f>
        <v>0</v>
      </c>
      <c r="E11" s="500">
        <f>IF(OR(2&gt;$B$3,ISBLANK(Actuals!D11)),"",Actuals!D11)</f>
        <v>0</v>
      </c>
      <c r="F11" s="500">
        <f>Budget!D11</f>
        <v>0</v>
      </c>
      <c r="G11" s="500">
        <f>IF(E11="","",E11-F11)</f>
        <v>0</v>
      </c>
      <c r="H11" s="500">
        <f>IF(OR(3&gt;$B$3,ISBLANK(Actuals!E11)),"",Actuals!E11)</f>
        <v>0</v>
      </c>
      <c r="I11" s="500">
        <f>Budget!E11</f>
        <v>0</v>
      </c>
      <c r="J11" s="500">
        <f>IF(H11="","",H11-I11)</f>
        <v>0</v>
      </c>
      <c r="K11" s="500">
        <f>IF(OR(4&gt;$B$3,ISBLANK(Actuals!F11)),"",Actuals!F11)</f>
        <v>0</v>
      </c>
      <c r="L11" s="500">
        <f>Budget!F11</f>
        <v>0</v>
      </c>
      <c r="M11" s="500">
        <f>IF(K11="","",K11-L11)</f>
        <v>0</v>
      </c>
      <c r="N11" s="500">
        <f>IF(OR(5&gt;$B$3,ISBLANK(Actuals!G11)),"",Actuals!G11)</f>
        <v>0</v>
      </c>
      <c r="O11" s="500">
        <f>Budget!G11</f>
        <v>0</v>
      </c>
      <c r="P11" s="500">
        <f>IF(N11="","",N11-O11)</f>
        <v>0</v>
      </c>
      <c r="Q11" s="500">
        <f>IF(OR(6&gt;$B$3,ISBLANK(Actuals!H11)),"",Actuals!H11)</f>
        <v>0</v>
      </c>
      <c r="R11" s="500">
        <f>Budget!H11</f>
        <v>0</v>
      </c>
      <c r="S11" s="500">
        <f>IF(Q11="","",Q11-R11)</f>
        <v>0</v>
      </c>
      <c r="T11" s="500">
        <f>IF(OR(7&gt;$B$3,ISBLANK(Actuals!I11)),"",Actuals!I11)</f>
      </c>
      <c r="U11" s="500">
        <f>Budget!I11</f>
        <v>0</v>
      </c>
      <c r="V11" s="500">
        <f>IF(T11="","",T11-U11)</f>
      </c>
      <c r="W11" s="500">
        <f>IF(OR(8&gt;$B$3,ISBLANK(Actuals!J11)),"",Actuals!J11)</f>
      </c>
      <c r="X11" s="500">
        <f>Budget!J11</f>
        <v>0</v>
      </c>
      <c r="Y11" s="500">
        <f>IF(W11="","",W11-X11)</f>
      </c>
      <c r="Z11" s="500">
        <f>IF(OR(9&gt;$B$3,ISBLANK(Actuals!K11)),"",Actuals!K11)</f>
      </c>
      <c r="AA11" s="500">
        <f>Budget!K11</f>
        <v>0</v>
      </c>
      <c r="AB11" s="500">
        <f>IF(Z11="","",Z11-AA11)</f>
      </c>
      <c r="AC11" s="500">
        <f>IF(OR(10&gt;$B$3,ISBLANK(Actuals!L11)),"",Actuals!L11)</f>
      </c>
      <c r="AD11" s="500">
        <f>Budget!L11</f>
        <v>0</v>
      </c>
      <c r="AE11" s="500">
        <f>IF(AC11="","",AC11-AD11)</f>
      </c>
      <c r="AF11" s="500">
        <f>IF(OR(11&gt;$B$3,ISBLANK(Actuals!M11)),"",Actuals!M11)</f>
      </c>
      <c r="AG11" s="500">
        <f>Budget!M11</f>
        <v>0</v>
      </c>
      <c r="AH11" s="500">
        <f>IF(AF11="","",AF11-AG11)</f>
      </c>
      <c r="AI11" s="500">
        <f>IF(OR(12&gt;$B$3,ISBLANK(Actuals!N11)),"",Actuals!N11)</f>
      </c>
      <c r="AJ11" s="500">
        <f>Budget!N11</f>
        <v>0</v>
      </c>
      <c r="AK11" s="500">
        <f>IF(AI11="","",AI11-AJ11)</f>
      </c>
      <c r="AL11" s="501">
        <f>SUM(Actuals!$C11:INDEX(Actuals!$C11:$N11,$B$3))</f>
        <v>0</v>
      </c>
      <c r="AM11" s="501">
        <f>SUM(Budget!$C11:INDEX(Budget!$C11:$N11,$B$3))</f>
        <v>0</v>
      </c>
      <c r="AN11" s="501">
        <f>AL11-AM11</f>
        <v>0</v>
      </c>
    </row>
    <row r="12" ht="15" customFormat="1" customHeight="1" s="381">
      <c r="A12" s="499" t="inlineStr">
        <is>
          <t>Trades and Site Cost Billing</t>
        </is>
      </c>
      <c r="B12" s="500">
        <f>IF(OR(1&gt;$B$3,ISBLANK(Actuals!C12)),"",Actuals!C12)</f>
        <v>1242053.19</v>
      </c>
      <c r="C12" s="500">
        <f>Budget!C12</f>
        <v>2653995.85</v>
      </c>
      <c r="D12" s="500">
        <f>IF(B12="","",B12-C12)</f>
        <v>-1411942.66</v>
      </c>
      <c r="E12" s="500">
        <f>IF(OR(2&gt;$B$3,ISBLANK(Actuals!D12)),"",Actuals!D12)</f>
        <v>2710434.48</v>
      </c>
      <c r="F12" s="500">
        <f>Budget!D12</f>
        <v>2933528.7</v>
      </c>
      <c r="G12" s="500">
        <f>IF(E12="","",E12-F12)</f>
        <v>-223094.22</v>
      </c>
      <c r="H12" s="500">
        <f>IF(OR(3&gt;$B$3,ISBLANK(Actuals!E12)),"",Actuals!E12)</f>
        <v>2402410.43</v>
      </c>
      <c r="I12" s="500">
        <f>Budget!E12</f>
        <v>3209528.94</v>
      </c>
      <c r="J12" s="500">
        <f>IF(H12="","",H12-I12)</f>
        <v>-807118.51</v>
      </c>
      <c r="K12" s="500">
        <f>IF(OR(4&gt;$B$3,ISBLANK(Actuals!F12)),"",Actuals!F12)</f>
        <v>3312759.91</v>
      </c>
      <c r="L12" s="500">
        <f>Budget!F12</f>
        <v>3471205.82</v>
      </c>
      <c r="M12" s="500">
        <f>IF(K12="","",K12-L12)</f>
        <v>-158445.91</v>
      </c>
      <c r="N12" s="500">
        <f>IF(OR(5&gt;$B$3,ISBLANK(Actuals!G12)),"",Actuals!G12)</f>
        <v>3939278.23</v>
      </c>
      <c r="O12" s="500">
        <f>Budget!G12</f>
        <v>4411909.08</v>
      </c>
      <c r="P12" s="500">
        <f>IF(N12="","",N12-O12)</f>
        <v>-472630.85</v>
      </c>
      <c r="Q12" s="500">
        <f>IF(OR(6&gt;$B$3,ISBLANK(Actuals!H12)),"",Actuals!H12)</f>
        <v>5584522.73</v>
      </c>
      <c r="R12" s="500">
        <f>Budget!H12</f>
        <v>4713320.79</v>
      </c>
      <c r="S12" s="500">
        <f>IF(Q12="","",Q12-R12)</f>
        <v>871201.94</v>
      </c>
      <c r="T12" s="500">
        <f>IF(OR(7&gt;$B$3,ISBLANK(Actuals!I12)),"",Actuals!I12)</f>
      </c>
      <c r="U12" s="500">
        <f>Budget!I12</f>
        <v>4969335.52</v>
      </c>
      <c r="V12" s="500">
        <f>IF(T12="","",T12-U12)</f>
      </c>
      <c r="W12" s="500">
        <f>IF(OR(8&gt;$B$3,ISBLANK(Actuals!J12)),"",Actuals!J12)</f>
      </c>
      <c r="X12" s="500">
        <f>Budget!J12</f>
        <v>5167809.94</v>
      </c>
      <c r="Y12" s="500">
        <f>IF(W12="","",W12-X12)</f>
      </c>
      <c r="Z12" s="500">
        <f>IF(OR(9&gt;$B$3,ISBLANK(Actuals!K12)),"",Actuals!K12)</f>
      </c>
      <c r="AA12" s="500">
        <f>Budget!K12</f>
        <v>5299239.86</v>
      </c>
      <c r="AB12" s="500">
        <f>IF(Z12="","",Z12-AA12)</f>
      </c>
      <c r="AC12" s="500">
        <f>IF(OR(10&gt;$B$3,ISBLANK(Actuals!L12)),"",Actuals!L12)</f>
      </c>
      <c r="AD12" s="500">
        <f>Budget!L12</f>
        <v>5357779.86</v>
      </c>
      <c r="AE12" s="500">
        <f>IF(AC12="","",AC12-AD12)</f>
      </c>
      <c r="AF12" s="500">
        <f>IF(OR(11&gt;$B$3,ISBLANK(Actuals!M12)),"",Actuals!M12)</f>
      </c>
      <c r="AG12" s="500">
        <f>Budget!M12</f>
        <v>5341883.63</v>
      </c>
      <c r="AH12" s="500">
        <f>IF(AF12="","",AF12-AG12)</f>
      </c>
      <c r="AI12" s="500">
        <f>IF(OR(12&gt;$B$3,ISBLANK(Actuals!N12)),"",Actuals!N12)</f>
      </c>
      <c r="AJ12" s="500">
        <f>Budget!N12</f>
        <v>4998563.51</v>
      </c>
      <c r="AK12" s="500">
        <f>IF(AI12="","",AI12-AJ12)</f>
      </c>
      <c r="AL12" s="501">
        <f>SUM(Actuals!$C12:INDEX(Actuals!$C12:$N12,$B$3))</f>
        <v>19191458.97</v>
      </c>
      <c r="AM12" s="501">
        <f>SUM(Budget!$C12:INDEX(Budget!$C12:$N12,$B$3))</f>
        <v>21393489.18</v>
      </c>
      <c r="AN12" s="501">
        <f>AL12-AM12</f>
        <v>-2202030.21</v>
      </c>
    </row>
    <row r="13" ht="15" customFormat="1" customHeight="1" s="381">
      <c r="A13" s="502" t="inlineStr">
        <is>
          <t>Total Revenues</t>
        </is>
      </c>
      <c r="B13" s="501">
        <f>IF(OR(1&gt;$B$3,ISBLANK(Actuals!C13)),"",Actuals!C13)</f>
        <v>1453790.79</v>
      </c>
      <c r="C13" s="501">
        <f>Budget!C13</f>
        <v>2978255.74</v>
      </c>
      <c r="D13" s="501">
        <f>IF(B13="","",B13-C13)</f>
        <v>-1524464.95</v>
      </c>
      <c r="E13" s="501">
        <f>IF(OR(2&gt;$B$3,ISBLANK(Actuals!D13)),"",Actuals!D13)</f>
        <v>3022521.59</v>
      </c>
      <c r="F13" s="501">
        <f>Budget!D13</f>
        <v>3273033.25</v>
      </c>
      <c r="G13" s="501">
        <f>IF(E13="","",E13-F13)</f>
        <v>-250511.66</v>
      </c>
      <c r="H13" s="501">
        <f>IF(OR(3&gt;$B$3,ISBLANK(Actuals!E13)),"",Actuals!E13)</f>
        <v>2672216.16</v>
      </c>
      <c r="I13" s="501">
        <f>Budget!E13</f>
        <v>3564208.9</v>
      </c>
      <c r="J13" s="501">
        <f>IF(H13="","",H13-I13)</f>
        <v>-891992.74</v>
      </c>
      <c r="K13" s="501">
        <f>IF(OR(4&gt;$B$3,ISBLANK(Actuals!F13)),"",Actuals!F13)</f>
        <v>3692357.9</v>
      </c>
      <c r="L13" s="501">
        <f>Budget!F13</f>
        <v>3840388.18</v>
      </c>
      <c r="M13" s="501">
        <f>IF(K13="","",K13-L13)</f>
        <v>-148030.28</v>
      </c>
      <c r="N13" s="501">
        <f>IF(OR(5&gt;$B$3,ISBLANK(Actuals!G13)),"",Actuals!G13)</f>
        <v>4416061.63</v>
      </c>
      <c r="O13" s="501">
        <f>Budget!G13</f>
        <v>4935251.63</v>
      </c>
      <c r="P13" s="501">
        <f>IF(N13="","",N13-O13)</f>
        <v>-519190</v>
      </c>
      <c r="Q13" s="501">
        <f>IF(OR(6&gt;$B$3,ISBLANK(Actuals!H13)),"",Actuals!H13)</f>
        <v>6252262.98</v>
      </c>
      <c r="R13" s="501">
        <f>Budget!H13</f>
        <v>5253338.92</v>
      </c>
      <c r="S13" s="501">
        <f>IF(Q13="","",Q13-R13)</f>
        <v>998924.060000001</v>
      </c>
      <c r="T13" s="501">
        <f>IF(OR(7&gt;$B$3,ISBLANK(Actuals!I13)),"",Actuals!I13)</f>
      </c>
      <c r="U13" s="501">
        <f>Budget!I13</f>
        <v>5523587.47</v>
      </c>
      <c r="V13" s="501">
        <f>IF(T13="","",T13-U13)</f>
      </c>
      <c r="W13" s="501">
        <f>IF(OR(8&gt;$B$3,ISBLANK(Actuals!J13)),"",Actuals!J13)</f>
      </c>
      <c r="X13" s="501">
        <f>Budget!J13</f>
        <v>5733174.03</v>
      </c>
      <c r="Y13" s="501">
        <f>IF(W13="","",W13-X13)</f>
      </c>
      <c r="Z13" s="501">
        <f>IF(OR(9&gt;$B$3,ISBLANK(Actuals!K13)),"",Actuals!K13)</f>
      </c>
      <c r="AA13" s="501">
        <f>Budget!K13</f>
        <v>5872063.31</v>
      </c>
      <c r="AB13" s="501">
        <f>IF(Z13="","",Z13-AA13)</f>
      </c>
      <c r="AC13" s="501">
        <f>IF(OR(10&gt;$B$3,ISBLANK(Actuals!L13)),"",Actuals!L13)</f>
      </c>
      <c r="AD13" s="501">
        <f>Budget!L13</f>
        <v>5934084.24</v>
      </c>
      <c r="AE13" s="501">
        <f>IF(AC13="","",AC13-AD13)</f>
      </c>
      <c r="AF13" s="501">
        <f>IF(OR(11&gt;$B$3,ISBLANK(Actuals!M13)),"",Actuals!M13)</f>
      </c>
      <c r="AG13" s="501">
        <f>Budget!M13</f>
        <v>5917605.11</v>
      </c>
      <c r="AH13" s="501">
        <f>IF(AF13="","",AF13-AG13)</f>
      </c>
      <c r="AI13" s="501">
        <f>IF(OR(12&gt;$B$3,ISBLANK(Actuals!N13)),"",Actuals!N13)</f>
      </c>
      <c r="AJ13" s="501">
        <f>Budget!N13</f>
        <v>5525402.67</v>
      </c>
      <c r="AK13" s="501">
        <f>IF(AI13="","",AI13-AJ13)</f>
      </c>
      <c r="AL13" s="501">
        <f>SUM(Actuals!$C13:INDEX(Actuals!$C13:$N13,$B$3))</f>
        <v>21509211.05</v>
      </c>
      <c r="AM13" s="501">
        <f>SUM(Budget!$C13:INDEX(Budget!$C13:$N13,$B$3))</f>
        <v>23844476.62</v>
      </c>
      <c r="AN13" s="501">
        <f>AL13-AM13</f>
        <v>-2335265.57</v>
      </c>
    </row>
    <row r="14" ht="15" customFormat="1" customHeight="1" s="381">
      <c r="A14" s="499" t="inlineStr">
        <is>
          <t>COGS — Trades &amp; Site Costs</t>
        </is>
      </c>
      <c r="B14" s="500">
        <f>IF(OR(1&gt;$B$3,ISBLANK(Actuals!C14)),"",Actuals!C14)</f>
        <v>-1233067.43</v>
      </c>
      <c r="C14" s="500">
        <f>Budget!C14</f>
        <v>-2653995.85</v>
      </c>
      <c r="D14" s="500">
        <f>IF(B14="","",B14-C14)</f>
        <v>1420928.42</v>
      </c>
      <c r="E14" s="500">
        <f>IF(OR(2&gt;$B$3,ISBLANK(Actuals!D14)),"",Actuals!D14)</f>
        <v>-3073522.36</v>
      </c>
      <c r="F14" s="500">
        <f>Budget!D14</f>
        <v>-2933528.7</v>
      </c>
      <c r="G14" s="500">
        <f>IF(E14="","",E14-F14)</f>
        <v>-139993.66</v>
      </c>
      <c r="H14" s="500">
        <f>IF(OR(3&gt;$B$3,ISBLANK(Actuals!E14)),"",Actuals!E14)</f>
        <v>-2078031.64</v>
      </c>
      <c r="I14" s="500">
        <f>Budget!E14</f>
        <v>-3209528.94</v>
      </c>
      <c r="J14" s="500">
        <f>IF(H14="","",H14-I14)</f>
        <v>1131497.3</v>
      </c>
      <c r="K14" s="500">
        <f>IF(OR(4&gt;$B$3,ISBLANK(Actuals!F14)),"",Actuals!F14)</f>
        <v>-3244999.65</v>
      </c>
      <c r="L14" s="500">
        <f>Budget!F14</f>
        <v>-3471205.82</v>
      </c>
      <c r="M14" s="500">
        <f>IF(K14="","",K14-L14)</f>
        <v>226206.17</v>
      </c>
      <c r="N14" s="500">
        <f>IF(OR(5&gt;$B$3,ISBLANK(Actuals!G14)),"",Actuals!G14)</f>
        <v>-3950524.93</v>
      </c>
      <c r="O14" s="500">
        <f>Budget!G14</f>
        <v>-4411909.08</v>
      </c>
      <c r="P14" s="500">
        <f>IF(N14="","",N14-O14)</f>
        <v>461384.15</v>
      </c>
      <c r="Q14" s="500">
        <f>IF(OR(6&gt;$B$3,ISBLANK(Actuals!H14)),"",Actuals!H14)</f>
        <v>-5610911.85</v>
      </c>
      <c r="R14" s="500">
        <f>Budget!H14</f>
        <v>-4713320.79</v>
      </c>
      <c r="S14" s="500">
        <f>IF(Q14="","",Q14-R14)</f>
        <v>-897591.06</v>
      </c>
      <c r="T14" s="500">
        <f>IF(OR(7&gt;$B$3,ISBLANK(Actuals!I14)),"",Actuals!I14)</f>
      </c>
      <c r="U14" s="500">
        <f>Budget!I14</f>
        <v>-4969335.52</v>
      </c>
      <c r="V14" s="500">
        <f>IF(T14="","",T14-U14)</f>
      </c>
      <c r="W14" s="500">
        <f>IF(OR(8&gt;$B$3,ISBLANK(Actuals!J14)),"",Actuals!J14)</f>
      </c>
      <c r="X14" s="500">
        <f>Budget!J14</f>
        <v>-5167809.94</v>
      </c>
      <c r="Y14" s="500">
        <f>IF(W14="","",W14-X14)</f>
      </c>
      <c r="Z14" s="500">
        <f>IF(OR(9&gt;$B$3,ISBLANK(Actuals!K14)),"",Actuals!K14)</f>
      </c>
      <c r="AA14" s="500">
        <f>Budget!K14</f>
        <v>-5299239.86</v>
      </c>
      <c r="AB14" s="500">
        <f>IF(Z14="","",Z14-AA14)</f>
      </c>
      <c r="AC14" s="500">
        <f>IF(OR(10&gt;$B$3,ISBLANK(Actuals!L14)),"",Actuals!L14)</f>
      </c>
      <c r="AD14" s="500">
        <f>Budget!L14</f>
        <v>-5357779.86</v>
      </c>
      <c r="AE14" s="500">
        <f>IF(AC14="","",AC14-AD14)</f>
      </c>
      <c r="AF14" s="500">
        <f>IF(OR(11&gt;$B$3,ISBLANK(Actuals!M14)),"",Actuals!M14)</f>
      </c>
      <c r="AG14" s="500">
        <f>Budget!M14</f>
        <v>-5341883.63</v>
      </c>
      <c r="AH14" s="500">
        <f>IF(AF14="","",AF14-AG14)</f>
      </c>
      <c r="AI14" s="500">
        <f>IF(OR(12&gt;$B$3,ISBLANK(Actuals!N14)),"",Actuals!N14)</f>
      </c>
      <c r="AJ14" s="500">
        <f>Budget!N14</f>
        <v>-4998563.51</v>
      </c>
      <c r="AK14" s="500">
        <f>IF(AI14="","",AI14-AJ14)</f>
      </c>
      <c r="AL14" s="501">
        <f>SUM(Actuals!$C14:INDEX(Actuals!$C14:$N14,$B$3))</f>
        <v>-19191057.86</v>
      </c>
      <c r="AM14" s="501">
        <f>SUM(Budget!$C14:INDEX(Budget!$C14:$N14,$B$3))</f>
        <v>-21393489.18</v>
      </c>
      <c r="AN14" s="501">
        <f>AL14-AM14</f>
        <v>2202431.32</v>
      </c>
    </row>
    <row r="15" ht="15" customFormat="1" customHeight="1" s="381">
      <c r="A15" s="499" t="inlineStr">
        <is>
          <t>Bonding Revenue</t>
        </is>
      </c>
      <c r="B15" s="500">
        <f>IF(OR(1&gt;$B$3,ISBLANK(Actuals!C15)),"",Actuals!C15)</f>
        <v>0</v>
      </c>
      <c r="C15" s="500">
        <f>Budget!C15</f>
        <v>0</v>
      </c>
      <c r="D15" s="500">
        <f>IF(B15="","",B15-C15)</f>
        <v>0</v>
      </c>
      <c r="E15" s="500">
        <f>IF(OR(2&gt;$B$3,ISBLANK(Actuals!D15)),"",Actuals!D15)</f>
        <v>0</v>
      </c>
      <c r="F15" s="500">
        <f>Budget!D15</f>
        <v>0</v>
      </c>
      <c r="G15" s="500">
        <f>IF(E15="","",E15-F15)</f>
        <v>0</v>
      </c>
      <c r="H15" s="500">
        <f>IF(OR(3&gt;$B$3,ISBLANK(Actuals!E15)),"",Actuals!E15)</f>
        <v>0</v>
      </c>
      <c r="I15" s="500">
        <f>Budget!E15</f>
        <v>0</v>
      </c>
      <c r="J15" s="500">
        <f>IF(H15="","",H15-I15)</f>
        <v>0</v>
      </c>
      <c r="K15" s="500">
        <f>IF(OR(4&gt;$B$3,ISBLANK(Actuals!F15)),"",Actuals!F15)</f>
        <v>0</v>
      </c>
      <c r="L15" s="500">
        <f>Budget!F15</f>
        <v>0</v>
      </c>
      <c r="M15" s="500">
        <f>IF(K15="","",K15-L15)</f>
        <v>0</v>
      </c>
      <c r="N15" s="500">
        <f>IF(OR(5&gt;$B$3,ISBLANK(Actuals!G15)),"",Actuals!G15)</f>
        <v>0</v>
      </c>
      <c r="O15" s="500">
        <f>Budget!G15</f>
        <v>0</v>
      </c>
      <c r="P15" s="500">
        <f>IF(N15="","",N15-O15)</f>
        <v>0</v>
      </c>
      <c r="Q15" s="500">
        <f>IF(OR(6&gt;$B$3,ISBLANK(Actuals!H15)),"",Actuals!H15)</f>
        <v>0</v>
      </c>
      <c r="R15" s="500">
        <f>Budget!H15</f>
        <v>0</v>
      </c>
      <c r="S15" s="500">
        <f>IF(Q15="","",Q15-R15)</f>
        <v>0</v>
      </c>
      <c r="T15" s="500">
        <f>IF(OR(7&gt;$B$3,ISBLANK(Actuals!I15)),"",Actuals!I15)</f>
      </c>
      <c r="U15" s="500">
        <f>Budget!I15</f>
        <v>0</v>
      </c>
      <c r="V15" s="500">
        <f>IF(T15="","",T15-U15)</f>
      </c>
      <c r="W15" s="500">
        <f>IF(OR(8&gt;$B$3,ISBLANK(Actuals!J15)),"",Actuals!J15)</f>
      </c>
      <c r="X15" s="500">
        <f>Budget!J15</f>
        <v>0</v>
      </c>
      <c r="Y15" s="500">
        <f>IF(W15="","",W15-X15)</f>
      </c>
      <c r="Z15" s="500">
        <f>IF(OR(9&gt;$B$3,ISBLANK(Actuals!K15)),"",Actuals!K15)</f>
      </c>
      <c r="AA15" s="500">
        <f>Budget!K15</f>
        <v>0</v>
      </c>
      <c r="AB15" s="500">
        <f>IF(Z15="","",Z15-AA15)</f>
      </c>
      <c r="AC15" s="500">
        <f>IF(OR(10&gt;$B$3,ISBLANK(Actuals!L15)),"",Actuals!L15)</f>
      </c>
      <c r="AD15" s="500">
        <f>Budget!L15</f>
        <v>0</v>
      </c>
      <c r="AE15" s="500">
        <f>IF(AC15="","",AC15-AD15)</f>
      </c>
      <c r="AF15" s="500">
        <f>IF(OR(11&gt;$B$3,ISBLANK(Actuals!M15)),"",Actuals!M15)</f>
      </c>
      <c r="AG15" s="500">
        <f>Budget!M15</f>
        <v>0</v>
      </c>
      <c r="AH15" s="500">
        <f>IF(AF15="","",AF15-AG15)</f>
      </c>
      <c r="AI15" s="500">
        <f>IF(OR(12&gt;$B$3,ISBLANK(Actuals!N15)),"",Actuals!N15)</f>
      </c>
      <c r="AJ15" s="500">
        <f>Budget!N15</f>
        <v>0</v>
      </c>
      <c r="AK15" s="500">
        <f>IF(AI15="","",AI15-AJ15)</f>
      </c>
      <c r="AL15" s="501">
        <f>SUM(Actuals!$C15:INDEX(Actuals!$C15:$N15,$B$3))</f>
        <v>0</v>
      </c>
      <c r="AM15" s="501">
        <f>SUM(Budget!$C15:INDEX(Budget!$C15:$N15,$B$3))</f>
        <v>0</v>
      </c>
      <c r="AN15" s="501">
        <f>AL15-AM15</f>
        <v>0</v>
      </c>
    </row>
    <row r="16" ht="15" customFormat="1" customHeight="1" s="381">
      <c r="A16" s="499" t="inlineStr">
        <is>
          <t>Bonding Costs</t>
        </is>
      </c>
      <c r="B16" s="500">
        <f>IF(OR(1&gt;$B$3,ISBLANK(Actuals!C16)),"",Actuals!C16)</f>
        <v>-1966.5</v>
      </c>
      <c r="C16" s="500">
        <f>Budget!C16</f>
        <v>0</v>
      </c>
      <c r="D16" s="500">
        <f>IF(B16="","",B16-C16)</f>
        <v>-1966.5</v>
      </c>
      <c r="E16" s="500">
        <f>IF(OR(2&gt;$B$3,ISBLANK(Actuals!D16)),"",Actuals!D16)</f>
        <v>0</v>
      </c>
      <c r="F16" s="500">
        <f>Budget!D16</f>
        <v>0</v>
      </c>
      <c r="G16" s="500">
        <f>IF(E16="","",E16-F16)</f>
        <v>0</v>
      </c>
      <c r="H16" s="500">
        <f>IF(OR(3&gt;$B$3,ISBLANK(Actuals!E16)),"",Actuals!E16)</f>
        <v>0</v>
      </c>
      <c r="I16" s="500">
        <f>Budget!E16</f>
        <v>0</v>
      </c>
      <c r="J16" s="500">
        <f>IF(H16="","",H16-I16)</f>
        <v>0</v>
      </c>
      <c r="K16" s="500">
        <f>IF(OR(4&gt;$B$3,ISBLANK(Actuals!F16)),"",Actuals!F16)</f>
        <v>0</v>
      </c>
      <c r="L16" s="500">
        <f>Budget!F16</f>
        <v>0</v>
      </c>
      <c r="M16" s="500">
        <f>IF(K16="","",K16-L16)</f>
        <v>0</v>
      </c>
      <c r="N16" s="500">
        <f>IF(OR(5&gt;$B$3,ISBLANK(Actuals!G16)),"",Actuals!G16)</f>
        <v>0</v>
      </c>
      <c r="O16" s="500">
        <f>Budget!G16</f>
        <v>0</v>
      </c>
      <c r="P16" s="500">
        <f>IF(N16="","",N16-O16)</f>
        <v>0</v>
      </c>
      <c r="Q16" s="500">
        <f>IF(OR(6&gt;$B$3,ISBLANK(Actuals!H16)),"",Actuals!H16)</f>
        <v>0</v>
      </c>
      <c r="R16" s="500">
        <f>Budget!H16</f>
        <v>0</v>
      </c>
      <c r="S16" s="500">
        <f>IF(Q16="","",Q16-R16)</f>
        <v>0</v>
      </c>
      <c r="T16" s="500">
        <f>IF(OR(7&gt;$B$3,ISBLANK(Actuals!I16)),"",Actuals!I16)</f>
      </c>
      <c r="U16" s="500">
        <f>Budget!I16</f>
        <v>0</v>
      </c>
      <c r="V16" s="500">
        <f>IF(T16="","",T16-U16)</f>
      </c>
      <c r="W16" s="500">
        <f>IF(OR(8&gt;$B$3,ISBLANK(Actuals!J16)),"",Actuals!J16)</f>
      </c>
      <c r="X16" s="500">
        <f>Budget!J16</f>
        <v>0</v>
      </c>
      <c r="Y16" s="500">
        <f>IF(W16="","",W16-X16)</f>
      </c>
      <c r="Z16" s="500">
        <f>IF(OR(9&gt;$B$3,ISBLANK(Actuals!K16)),"",Actuals!K16)</f>
      </c>
      <c r="AA16" s="500">
        <f>Budget!K16</f>
        <v>0</v>
      </c>
      <c r="AB16" s="500">
        <f>IF(Z16="","",Z16-AA16)</f>
      </c>
      <c r="AC16" s="500">
        <f>IF(OR(10&gt;$B$3,ISBLANK(Actuals!L16)),"",Actuals!L16)</f>
      </c>
      <c r="AD16" s="500">
        <f>Budget!L16</f>
        <v>0</v>
      </c>
      <c r="AE16" s="500">
        <f>IF(AC16="","",AC16-AD16)</f>
      </c>
      <c r="AF16" s="500">
        <f>IF(OR(11&gt;$B$3,ISBLANK(Actuals!M16)),"",Actuals!M16)</f>
      </c>
      <c r="AG16" s="500">
        <f>Budget!M16</f>
        <v>0</v>
      </c>
      <c r="AH16" s="500">
        <f>IF(AF16="","",AF16-AG16)</f>
      </c>
      <c r="AI16" s="500">
        <f>IF(OR(12&gt;$B$3,ISBLANK(Actuals!N16)),"",Actuals!N16)</f>
      </c>
      <c r="AJ16" s="500">
        <f>Budget!N16</f>
        <v>0</v>
      </c>
      <c r="AK16" s="500">
        <f>IF(AI16="","",AI16-AJ16)</f>
      </c>
      <c r="AL16" s="501">
        <f>SUM(Actuals!$C16:INDEX(Actuals!$C16:$N16,$B$3))</f>
        <v>-1966.5</v>
      </c>
      <c r="AM16" s="501">
        <f>SUM(Budget!$C16:INDEX(Budget!$C16:$N16,$B$3))</f>
        <v>0</v>
      </c>
      <c r="AN16" s="501">
        <f>AL16-AM16</f>
        <v>-1966.5</v>
      </c>
    </row>
    <row r="17" ht="15" customFormat="1" customHeight="1" s="381">
      <c r="A17" s="502" t="inlineStr">
        <is>
          <t>Gross Profit</t>
        </is>
      </c>
      <c r="B17" s="501">
        <f>IF(OR(1&gt;$B$3,ISBLANK(Actuals!C17)),"",Actuals!C17)</f>
        <v>218756.86</v>
      </c>
      <c r="C17" s="501">
        <f>Budget!C17</f>
        <v>324259.89</v>
      </c>
      <c r="D17" s="501">
        <f>IF(B17="","",B17-C17)</f>
        <v>-105503.03</v>
      </c>
      <c r="E17" s="501">
        <f>IF(OR(2&gt;$B$3,ISBLANK(Actuals!D17)),"",Actuals!D17)</f>
        <v>-51000.77</v>
      </c>
      <c r="F17" s="501">
        <f>Budget!D17</f>
        <v>339504.55</v>
      </c>
      <c r="G17" s="501">
        <f>IF(E17="","",E17-F17)</f>
        <v>-390505.32</v>
      </c>
      <c r="H17" s="501">
        <f>IF(OR(3&gt;$B$3,ISBLANK(Actuals!E17)),"",Actuals!E17)</f>
        <v>594184.52</v>
      </c>
      <c r="I17" s="501">
        <f>Budget!E17</f>
        <v>354679.96</v>
      </c>
      <c r="J17" s="501">
        <f>IF(H17="","",H17-I17)</f>
        <v>239504.56</v>
      </c>
      <c r="K17" s="501">
        <f>IF(OR(4&gt;$B$3,ISBLANK(Actuals!F17)),"",Actuals!F17)</f>
        <v>447358.25</v>
      </c>
      <c r="L17" s="501">
        <f>Budget!F17</f>
        <v>369182.36</v>
      </c>
      <c r="M17" s="501">
        <f>IF(K17="","",K17-L17)</f>
        <v>78175.8900000005</v>
      </c>
      <c r="N17" s="501">
        <f>IF(OR(5&gt;$B$3,ISBLANK(Actuals!G17)),"",Actuals!G17)</f>
        <v>465536.7</v>
      </c>
      <c r="O17" s="501">
        <f>Budget!G17</f>
        <v>523342.55</v>
      </c>
      <c r="P17" s="501">
        <f>IF(N17="","",N17-O17)</f>
        <v>-57805.8500000003</v>
      </c>
      <c r="Q17" s="501">
        <f>IF(OR(6&gt;$B$3,ISBLANK(Actuals!H17)),"",Actuals!H17)</f>
        <v>641351.130000001</v>
      </c>
      <c r="R17" s="501">
        <f>Budget!H17</f>
        <v>540018.13</v>
      </c>
      <c r="S17" s="501">
        <f>IF(Q17="","",Q17-R17)</f>
        <v>101333.000000001</v>
      </c>
      <c r="T17" s="501">
        <f>IF(OR(7&gt;$B$3,ISBLANK(Actuals!I17)),"",Actuals!I17)</f>
      </c>
      <c r="U17" s="501">
        <f>Budget!I17</f>
        <v>554251.95</v>
      </c>
      <c r="V17" s="501">
        <f>IF(T17="","",T17-U17)</f>
      </c>
      <c r="W17" s="501">
        <f>IF(OR(8&gt;$B$3,ISBLANK(Actuals!J17)),"",Actuals!J17)</f>
      </c>
      <c r="X17" s="501">
        <f>Budget!J17</f>
        <v>565364.09</v>
      </c>
      <c r="Y17" s="501">
        <f>IF(W17="","",W17-X17)</f>
      </c>
      <c r="Z17" s="501">
        <f>IF(OR(9&gt;$B$3,ISBLANK(Actuals!K17)),"",Actuals!K17)</f>
      </c>
      <c r="AA17" s="501">
        <f>Budget!K17</f>
        <v>572823.45</v>
      </c>
      <c r="AB17" s="501">
        <f>IF(Z17="","",Z17-AA17)</f>
      </c>
      <c r="AC17" s="501">
        <f>IF(OR(10&gt;$B$3,ISBLANK(Actuals!L17)),"",Actuals!L17)</f>
      </c>
      <c r="AD17" s="501">
        <f>Budget!L17</f>
        <v>576304.38</v>
      </c>
      <c r="AE17" s="501">
        <f>IF(AC17="","",AC17-AD17)</f>
      </c>
      <c r="AF17" s="501">
        <f>IF(OR(11&gt;$B$3,ISBLANK(Actuals!M17)),"",Actuals!M17)</f>
      </c>
      <c r="AG17" s="501">
        <f>Budget!M17</f>
        <v>575721.48</v>
      </c>
      <c r="AH17" s="501">
        <f>IF(AF17="","",AF17-AG17)</f>
      </c>
      <c r="AI17" s="501">
        <f>IF(OR(12&gt;$B$3,ISBLANK(Actuals!N17)),"",Actuals!N17)</f>
      </c>
      <c r="AJ17" s="501">
        <f>Budget!N17</f>
        <v>526839.16</v>
      </c>
      <c r="AK17" s="501">
        <f>IF(AI17="","",AI17-AJ17)</f>
      </c>
      <c r="AL17" s="501">
        <f>SUM(Actuals!$C17:INDEX(Actuals!$C17:$N17,$B$3))</f>
        <v>2316186.69</v>
      </c>
      <c r="AM17" s="501">
        <f>SUM(Budget!$C17:INDEX(Budget!$C17:$N17,$B$3))</f>
        <v>2450987.44</v>
      </c>
      <c r="AN17" s="501">
        <f>AL17-AM17</f>
        <v>-134800.749999999</v>
      </c>
    </row>
    <row r="18" ht="15" customFormat="1" customHeight="1" s="381">
      <c r="A18" s="499" t="inlineStr">
        <is>
          <t>GC Gross Profit Margin %</t>
        </is>
      </c>
      <c r="B18" s="500">
        <f>IF(OR(1&gt;$B$3,ISBLANK(Actuals!C18)),"",Actuals!C18)</f>
        <v>0.150473411652305</v>
      </c>
      <c r="C18" s="500">
        <f>Budget!C18</f>
        <v>0.11</v>
      </c>
      <c r="D18" s="500">
        <f>IF(B18="","",B18-C18)</f>
        <v>0.0404734116523053</v>
      </c>
      <c r="E18" s="500">
        <f>IF(OR(2&gt;$B$3,ISBLANK(Actuals!D18)),"",Actuals!D18)</f>
        <v>-0.0168735833579273</v>
      </c>
      <c r="F18" s="500">
        <f>Budget!D18</f>
        <v>0.1</v>
      </c>
      <c r="G18" s="500">
        <f>IF(E18="","",E18-F18)</f>
        <v>-0.116873583357927</v>
      </c>
      <c r="H18" s="500">
        <f>IF(OR(3&gt;$B$3,ISBLANK(Actuals!E18)),"",Actuals!E18)</f>
        <v>0.222356457869786</v>
      </c>
      <c r="I18" s="500">
        <f>Budget!E18</f>
        <v>0.1</v>
      </c>
      <c r="J18" s="500">
        <f>IF(H18="","",H18-I18)</f>
        <v>0.122356457869786</v>
      </c>
      <c r="K18" s="500">
        <f>IF(OR(4&gt;$B$3,ISBLANK(Actuals!F18)),"",Actuals!F18)</f>
        <v>0.121157878546931</v>
      </c>
      <c r="L18" s="500">
        <f>Budget!F18</f>
        <v>0.1</v>
      </c>
      <c r="M18" s="500">
        <f>IF(K18="","",K18-L18)</f>
        <v>0.0211578785469308</v>
      </c>
      <c r="N18" s="500">
        <f>IF(OR(5&gt;$B$3,ISBLANK(Actuals!G18)),"",Actuals!G18)</f>
        <v>0.105418977135063</v>
      </c>
      <c r="O18" s="500">
        <f>Budget!G18</f>
        <v>0.11</v>
      </c>
      <c r="P18" s="500">
        <f>IF(N18="","",N18-O18)</f>
        <v>-0.00458102286493685</v>
      </c>
      <c r="Q18" s="500">
        <f>IF(OR(6&gt;$B$3,ISBLANK(Actuals!H18)),"",Actuals!H18)</f>
        <v>0.1025790393097</v>
      </c>
      <c r="R18" s="500">
        <f>Budget!H18</f>
        <v>0.1</v>
      </c>
      <c r="S18" s="500">
        <f>IF(Q18="","",Q18-R18)</f>
        <v>0.00257903930969979</v>
      </c>
      <c r="T18" s="500">
        <f>IF(OR(7&gt;$B$3,ISBLANK(Actuals!I18)),"",Actuals!I18)</f>
      </c>
      <c r="U18" s="500">
        <f>Budget!I18</f>
        <v>0.1</v>
      </c>
      <c r="V18" s="500">
        <f>IF(T18="","",T18-U18)</f>
      </c>
      <c r="W18" s="500">
        <f>IF(OR(8&gt;$B$3,ISBLANK(Actuals!J18)),"",Actuals!J18)</f>
      </c>
      <c r="X18" s="500">
        <f>Budget!J18</f>
        <v>0.1</v>
      </c>
      <c r="Y18" s="500">
        <f>IF(W18="","",W18-X18)</f>
      </c>
      <c r="Z18" s="500">
        <f>IF(OR(9&gt;$B$3,ISBLANK(Actuals!K18)),"",Actuals!K18)</f>
      </c>
      <c r="AA18" s="500">
        <f>Budget!K18</f>
        <v>0.1</v>
      </c>
      <c r="AB18" s="500">
        <f>IF(Z18="","",Z18-AA18)</f>
      </c>
      <c r="AC18" s="500">
        <f>IF(OR(10&gt;$B$3,ISBLANK(Actuals!L18)),"",Actuals!L18)</f>
      </c>
      <c r="AD18" s="500">
        <f>Budget!L18</f>
        <v>0.1</v>
      </c>
      <c r="AE18" s="500">
        <f>IF(AC18="","",AC18-AD18)</f>
      </c>
      <c r="AF18" s="500">
        <f>IF(OR(11&gt;$B$3,ISBLANK(Actuals!M18)),"",Actuals!M18)</f>
      </c>
      <c r="AG18" s="500">
        <f>Budget!M18</f>
        <v>0.1</v>
      </c>
      <c r="AH18" s="500">
        <f>IF(AF18="","",AF18-AG18)</f>
      </c>
      <c r="AI18" s="500">
        <f>IF(OR(12&gt;$B$3,ISBLANK(Actuals!N18)),"",Actuals!N18)</f>
      </c>
      <c r="AJ18" s="500">
        <f>Budget!N18</f>
        <v>0.1</v>
      </c>
      <c r="AK18" s="500">
        <f>IF(AI18="","",AI18-AJ18)</f>
      </c>
      <c r="AL18" s="501">
        <f>SUM(Actuals!$C18:INDEX(Actuals!$C18:$N18,$B$3))</f>
        <v>0.685112181155857</v>
      </c>
      <c r="AM18" s="501">
        <f>SUM(Budget!$C18:INDEX(Budget!$C18:$N18,$B$3))</f>
        <v>0.62</v>
      </c>
      <c r="AN18" s="501">
        <f>AL18-AM18</f>
        <v>0.0651121811558573</v>
      </c>
    </row>
    <row r="21" ht="15" customFormat="1" customHeight="1" s="381">
      <c r="A21" s="499" t="inlineStr">
        <is>
          <t>5000-1000 Payroll</t>
        </is>
      </c>
      <c r="B21" s="500">
        <f>IF(OR(1&gt;$B$3,ISBLANK(Actuals!C21)),"",Actuals!C21)</f>
        <v>-144550.9</v>
      </c>
      <c r="C21" s="500">
        <f>Budget!C21</f>
        <v>-176250.01</v>
      </c>
      <c r="D21" s="500">
        <f>IF(B21="","",B21-C21)</f>
        <v>31699.11</v>
      </c>
      <c r="E21" s="500">
        <f>IF(OR(2&gt;$B$3,ISBLANK(Actuals!D21)),"",Actuals!D21)</f>
        <v>-150672.84</v>
      </c>
      <c r="F21" s="500">
        <f>Budget!D21</f>
        <v>-176250.01</v>
      </c>
      <c r="G21" s="500">
        <f>IF(E21="","",E21-F21)</f>
        <v>25577.17</v>
      </c>
      <c r="H21" s="500">
        <f>IF(OR(3&gt;$B$3,ISBLANK(Actuals!E21)),"",Actuals!E21)</f>
        <v>-178867.86</v>
      </c>
      <c r="I21" s="500">
        <f>Budget!E21</f>
        <v>-176250.01</v>
      </c>
      <c r="J21" s="500">
        <f>IF(H21="","",H21-I21)</f>
        <v>-2617.84999999998</v>
      </c>
      <c r="K21" s="500">
        <f>IF(OR(4&gt;$B$3,ISBLANK(Actuals!F21)),"",Actuals!F21)</f>
        <v>-187693.63</v>
      </c>
      <c r="L21" s="500">
        <f>Budget!F21</f>
        <v>-176250.01</v>
      </c>
      <c r="M21" s="500">
        <f>IF(K21="","",K21-L21)</f>
        <v>-11443.62</v>
      </c>
      <c r="N21" s="500">
        <f>IF(OR(5&gt;$B$3,ISBLANK(Actuals!G21)),"",Actuals!G21)</f>
        <v>-295949.1</v>
      </c>
      <c r="O21" s="500">
        <f>Budget!G21</f>
        <v>-176250.01</v>
      </c>
      <c r="P21" s="500">
        <f>IF(N21="","",N21-O21)</f>
        <v>-119699.09</v>
      </c>
      <c r="Q21" s="500">
        <f>IF(OR(6&gt;$B$3,ISBLANK(Actuals!H21)),"",Actuals!H21)</f>
        <v>-198645.92</v>
      </c>
      <c r="R21" s="500">
        <f>Budget!H21</f>
        <v>-176250.01</v>
      </c>
      <c r="S21" s="500">
        <f>IF(Q21="","",Q21-R21)</f>
        <v>-22395.91</v>
      </c>
      <c r="T21" s="500">
        <f>IF(OR(7&gt;$B$3,ISBLANK(Actuals!I21)),"",Actuals!I21)</f>
      </c>
      <c r="U21" s="500">
        <f>Budget!I21</f>
        <v>-176250.01</v>
      </c>
      <c r="V21" s="500">
        <f>IF(T21="","",T21-U21)</f>
      </c>
      <c r="W21" s="500">
        <f>IF(OR(8&gt;$B$3,ISBLANK(Actuals!J21)),"",Actuals!J21)</f>
      </c>
      <c r="X21" s="500">
        <f>Budget!J21</f>
        <v>-176250.01</v>
      </c>
      <c r="Y21" s="500">
        <f>IF(W21="","",W21-X21)</f>
      </c>
      <c r="Z21" s="500">
        <f>IF(OR(9&gt;$B$3,ISBLANK(Actuals!K21)),"",Actuals!K21)</f>
      </c>
      <c r="AA21" s="500">
        <f>Budget!K21</f>
        <v>-176250.01</v>
      </c>
      <c r="AB21" s="500">
        <f>IF(Z21="","",Z21-AA21)</f>
      </c>
      <c r="AC21" s="500">
        <f>IF(OR(10&gt;$B$3,ISBLANK(Actuals!L21)),"",Actuals!L21)</f>
      </c>
      <c r="AD21" s="500">
        <f>Budget!L21</f>
        <v>-176250.01</v>
      </c>
      <c r="AE21" s="500">
        <f>IF(AC21="","",AC21-AD21)</f>
      </c>
      <c r="AF21" s="500">
        <f>IF(OR(11&gt;$B$3,ISBLANK(Actuals!M21)),"",Actuals!M21)</f>
      </c>
      <c r="AG21" s="500">
        <f>Budget!M21</f>
        <v>-176250.01</v>
      </c>
      <c r="AH21" s="500">
        <f>IF(AF21="","",AF21-AG21)</f>
      </c>
      <c r="AI21" s="500">
        <f>IF(OR(12&gt;$B$3,ISBLANK(Actuals!N21)),"",Actuals!N21)</f>
      </c>
      <c r="AJ21" s="500">
        <f>Budget!N21</f>
        <v>-176250.01</v>
      </c>
      <c r="AK21" s="500">
        <f>IF(AI21="","",AI21-AJ21)</f>
      </c>
      <c r="AL21" s="501">
        <f>SUM(Actuals!$C21:INDEX(Actuals!$C21:$N21,$B$3))</f>
        <v>-1156380.25</v>
      </c>
      <c r="AM21" s="501">
        <f>SUM(Budget!$C21:INDEX(Budget!$C21:$N21,$B$3))</f>
        <v>-1057500.06</v>
      </c>
      <c r="AN21" s="501">
        <f>AL21-AM21</f>
        <v>-98880.1899999999</v>
      </c>
    </row>
    <row r="22" ht="15" customFormat="1" customHeight="1" s="381">
      <c r="A22" s="499" t="inlineStr">
        <is>
          <t>5000-1001 Payroll Taxes</t>
        </is>
      </c>
      <c r="B22" s="500">
        <f>IF(OR(1&gt;$B$3,ISBLANK(Actuals!C22)),"",Actuals!C22)</f>
        <v>-7450.37</v>
      </c>
      <c r="C22" s="500">
        <f>Budget!C22</f>
        <v>-26437.5</v>
      </c>
      <c r="D22" s="500">
        <f>IF(B22="","",B22-C22)</f>
        <v>18987.13</v>
      </c>
      <c r="E22" s="500">
        <f>IF(OR(2&gt;$B$3,ISBLANK(Actuals!D22)),"",Actuals!D22)</f>
        <v>-10567.2</v>
      </c>
      <c r="F22" s="500">
        <f>Budget!D22</f>
        <v>-26437.5</v>
      </c>
      <c r="G22" s="500">
        <f>IF(E22="","",E22-F22)</f>
        <v>15870.3</v>
      </c>
      <c r="H22" s="500">
        <f>IF(OR(3&gt;$B$3,ISBLANK(Actuals!E22)),"",Actuals!E22)</f>
        <v>-17033.3</v>
      </c>
      <c r="I22" s="500">
        <f>Budget!E22</f>
        <v>-26437.5</v>
      </c>
      <c r="J22" s="500">
        <f>IF(H22="","",H22-I22)</f>
        <v>9404.2</v>
      </c>
      <c r="K22" s="500">
        <f>IF(OR(4&gt;$B$3,ISBLANK(Actuals!F22)),"",Actuals!F22)</f>
        <v>-14599.57</v>
      </c>
      <c r="L22" s="500">
        <f>Budget!F22</f>
        <v>-26437.5</v>
      </c>
      <c r="M22" s="500">
        <f>IF(K22="","",K22-L22)</f>
        <v>11837.93</v>
      </c>
      <c r="N22" s="500">
        <f>IF(OR(5&gt;$B$3,ISBLANK(Actuals!G22)),"",Actuals!G22)</f>
        <v>-23689.02</v>
      </c>
      <c r="O22" s="500">
        <f>Budget!G22</f>
        <v>-26437.5</v>
      </c>
      <c r="P22" s="500">
        <f>IF(N22="","",N22-O22)</f>
        <v>2748.48</v>
      </c>
      <c r="Q22" s="500">
        <f>IF(OR(6&gt;$B$3,ISBLANK(Actuals!H22)),"",Actuals!H22)</f>
        <v>-14793.67</v>
      </c>
      <c r="R22" s="500">
        <f>Budget!H22</f>
        <v>-26437.5</v>
      </c>
      <c r="S22" s="500">
        <f>IF(Q22="","",Q22-R22)</f>
        <v>11643.83</v>
      </c>
      <c r="T22" s="500">
        <f>IF(OR(7&gt;$B$3,ISBLANK(Actuals!I22)),"",Actuals!I22)</f>
      </c>
      <c r="U22" s="500">
        <f>Budget!I22</f>
        <v>-26437.5</v>
      </c>
      <c r="V22" s="500">
        <f>IF(T22="","",T22-U22)</f>
      </c>
      <c r="W22" s="500">
        <f>IF(OR(8&gt;$B$3,ISBLANK(Actuals!J22)),"",Actuals!J22)</f>
      </c>
      <c r="X22" s="500">
        <f>Budget!J22</f>
        <v>-26437.5</v>
      </c>
      <c r="Y22" s="500">
        <f>IF(W22="","",W22-X22)</f>
      </c>
      <c r="Z22" s="500">
        <f>IF(OR(9&gt;$B$3,ISBLANK(Actuals!K22)),"",Actuals!K22)</f>
      </c>
      <c r="AA22" s="500">
        <f>Budget!K22</f>
        <v>-26437.5</v>
      </c>
      <c r="AB22" s="500">
        <f>IF(Z22="","",Z22-AA22)</f>
      </c>
      <c r="AC22" s="500">
        <f>IF(OR(10&gt;$B$3,ISBLANK(Actuals!L22)),"",Actuals!L22)</f>
      </c>
      <c r="AD22" s="500">
        <f>Budget!L22</f>
        <v>-26437.5</v>
      </c>
      <c r="AE22" s="500">
        <f>IF(AC22="","",AC22-AD22)</f>
      </c>
      <c r="AF22" s="500">
        <f>IF(OR(11&gt;$B$3,ISBLANK(Actuals!M22)),"",Actuals!M22)</f>
      </c>
      <c r="AG22" s="500">
        <f>Budget!M22</f>
        <v>-26437.5</v>
      </c>
      <c r="AH22" s="500">
        <f>IF(AF22="","",AF22-AG22)</f>
      </c>
      <c r="AI22" s="500">
        <f>IF(OR(12&gt;$B$3,ISBLANK(Actuals!N22)),"",Actuals!N22)</f>
      </c>
      <c r="AJ22" s="500">
        <f>Budget!N22</f>
        <v>-26437.5</v>
      </c>
      <c r="AK22" s="500">
        <f>IF(AI22="","",AI22-AJ22)</f>
      </c>
      <c r="AL22" s="501">
        <f>SUM(Actuals!$C22:INDEX(Actuals!$C22:$N22,$B$3))</f>
        <v>-88133.13</v>
      </c>
      <c r="AM22" s="501">
        <f>SUM(Budget!$C22:INDEX(Budget!$C22:$N22,$B$3))</f>
        <v>-158625</v>
      </c>
      <c r="AN22" s="501">
        <f>AL22-AM22</f>
        <v>70491.87</v>
      </c>
    </row>
    <row r="23" ht="15" customFormat="1" customHeight="1" s="381">
      <c r="A23" s="499" t="inlineStr">
        <is>
          <t>SP Allocated to LV</t>
        </is>
      </c>
      <c r="B23" s="500">
        <f>IF(OR(1&gt;$B$3,ISBLANK(Actuals!C23)),"",Actuals!C23)</f>
      </c>
      <c r="C23" s="500">
        <f>Budget!C23</f>
        <v>-58683.33</v>
      </c>
      <c r="D23" s="500">
        <f>IF(B23="","",B23-C23)</f>
      </c>
      <c r="E23" s="500">
        <f>IF(OR(2&gt;$B$3,ISBLANK(Actuals!D23)),"",Actuals!D23)</f>
      </c>
      <c r="F23" s="500">
        <f>Budget!D23</f>
        <v>-58683.33</v>
      </c>
      <c r="G23" s="500">
        <f>IF(E23="","",E23-F23)</f>
      </c>
      <c r="H23" s="500">
        <f>IF(OR(3&gt;$B$3,ISBLANK(Actuals!E23)),"",Actuals!E23)</f>
      </c>
      <c r="I23" s="500">
        <f>Budget!E23</f>
        <v>-58683.33</v>
      </c>
      <c r="J23" s="500">
        <f>IF(H23="","",H23-I23)</f>
      </c>
      <c r="K23" s="500">
        <f>IF(OR(4&gt;$B$3,ISBLANK(Actuals!F23)),"",Actuals!F23)</f>
        <v>0</v>
      </c>
      <c r="L23" s="500">
        <f>Budget!F23</f>
        <v>-58683.33</v>
      </c>
      <c r="M23" s="500">
        <f>IF(K23="","",K23-L23)</f>
        <v>58683.33</v>
      </c>
      <c r="N23" s="500">
        <f>IF(OR(5&gt;$B$3,ISBLANK(Actuals!G23)),"",Actuals!G23)</f>
        <v>0</v>
      </c>
      <c r="O23" s="500">
        <f>Budget!G23</f>
        <v>-58683.33</v>
      </c>
      <c r="P23" s="500">
        <f>IF(N23="","",N23-O23)</f>
        <v>58683.33</v>
      </c>
      <c r="Q23" s="500">
        <f>IF(OR(6&gt;$B$3,ISBLANK(Actuals!H23)),"",Actuals!H23)</f>
        <v>0</v>
      </c>
      <c r="R23" s="500">
        <f>Budget!H23</f>
        <v>-58683.33</v>
      </c>
      <c r="S23" s="500">
        <f>IF(Q23="","",Q23-R23)</f>
        <v>58683.33</v>
      </c>
      <c r="T23" s="500">
        <f>IF(OR(7&gt;$B$3,ISBLANK(Actuals!I23)),"",Actuals!I23)</f>
      </c>
      <c r="U23" s="500">
        <f>Budget!I23</f>
        <v>-58683.33</v>
      </c>
      <c r="V23" s="500">
        <f>IF(T23="","",T23-U23)</f>
      </c>
      <c r="W23" s="500">
        <f>IF(OR(8&gt;$B$3,ISBLANK(Actuals!J23)),"",Actuals!J23)</f>
      </c>
      <c r="X23" s="500">
        <f>Budget!J23</f>
        <v>-58683.33</v>
      </c>
      <c r="Y23" s="500">
        <f>IF(W23="","",W23-X23)</f>
      </c>
      <c r="Z23" s="500">
        <f>IF(OR(9&gt;$B$3,ISBLANK(Actuals!K23)),"",Actuals!K23)</f>
      </c>
      <c r="AA23" s="500">
        <f>Budget!K23</f>
        <v>-58683.33</v>
      </c>
      <c r="AB23" s="500">
        <f>IF(Z23="","",Z23-AA23)</f>
      </c>
      <c r="AC23" s="500">
        <f>IF(OR(10&gt;$B$3,ISBLANK(Actuals!L23)),"",Actuals!L23)</f>
      </c>
      <c r="AD23" s="500">
        <f>Budget!L23</f>
        <v>-58683.33</v>
      </c>
      <c r="AE23" s="500">
        <f>IF(AC23="","",AC23-AD23)</f>
      </c>
      <c r="AF23" s="500">
        <f>IF(OR(11&gt;$B$3,ISBLANK(Actuals!M23)),"",Actuals!M23)</f>
      </c>
      <c r="AG23" s="500">
        <f>Budget!M23</f>
        <v>-58683.33</v>
      </c>
      <c r="AH23" s="500">
        <f>IF(AF23="","",AF23-AG23)</f>
      </c>
      <c r="AI23" s="500">
        <f>IF(OR(12&gt;$B$3,ISBLANK(Actuals!N23)),"",Actuals!N23)</f>
      </c>
      <c r="AJ23" s="500">
        <f>Budget!N23</f>
        <v>-58683.33</v>
      </c>
      <c r="AK23" s="500">
        <f>IF(AI23="","",AI23-AJ23)</f>
      </c>
      <c r="AL23" s="501">
        <f>SUM(Actuals!$C23:INDEX(Actuals!$C23:$N23,$B$3))</f>
        <v>0</v>
      </c>
      <c r="AM23" s="501">
        <f>SUM(Budget!$C23:INDEX(Budget!$C23:$N23,$B$3))</f>
        <v>-352099.98</v>
      </c>
      <c r="AN23" s="501">
        <f>AL23-AM23</f>
        <v>352099.98</v>
      </c>
    </row>
    <row r="24" ht="15" customFormat="1" customHeight="1" s="381">
      <c r="A24" s="499" t="inlineStr">
        <is>
          <t>5000-1002 Employee Benefits</t>
        </is>
      </c>
      <c r="B24" s="500">
        <f>IF(OR(1&gt;$B$3,ISBLANK(Actuals!C24)),"",Actuals!C24)</f>
        <v>-9482.97</v>
      </c>
      <c r="C24" s="500">
        <f>Budget!C24</f>
        <v>-25071.7</v>
      </c>
      <c r="D24" s="500">
        <f>IF(B24="","",B24-C24)</f>
        <v>15588.73</v>
      </c>
      <c r="E24" s="500">
        <f>IF(OR(2&gt;$B$3,ISBLANK(Actuals!D24)),"",Actuals!D24)</f>
        <v>-10343.29</v>
      </c>
      <c r="F24" s="500">
        <f>Budget!D24</f>
        <v>-25071.7</v>
      </c>
      <c r="G24" s="500">
        <f>IF(E24="","",E24-F24)</f>
        <v>14728.41</v>
      </c>
      <c r="H24" s="500">
        <f>IF(OR(3&gt;$B$3,ISBLANK(Actuals!E24)),"",Actuals!E24)</f>
        <v>-3729.48</v>
      </c>
      <c r="I24" s="500">
        <f>Budget!E24</f>
        <v>-25071.7</v>
      </c>
      <c r="J24" s="500">
        <f>IF(H24="","",H24-I24)</f>
        <v>21342.22</v>
      </c>
      <c r="K24" s="500">
        <f>IF(OR(4&gt;$B$3,ISBLANK(Actuals!F24)),"",Actuals!F24)</f>
        <v>-3206.79</v>
      </c>
      <c r="L24" s="500">
        <f>Budget!F24</f>
        <v>-25071.7</v>
      </c>
      <c r="M24" s="500">
        <f>IF(K24="","",K24-L24)</f>
        <v>21864.91</v>
      </c>
      <c r="N24" s="500">
        <f>IF(OR(5&gt;$B$3,ISBLANK(Actuals!G24)),"",Actuals!G24)</f>
        <v>10942.55</v>
      </c>
      <c r="O24" s="500">
        <f>Budget!G24</f>
        <v>-25071.7</v>
      </c>
      <c r="P24" s="500">
        <f>IF(N24="","",N24-O24)</f>
        <v>36014.25</v>
      </c>
      <c r="Q24" s="500">
        <f>IF(OR(6&gt;$B$3,ISBLANK(Actuals!H24)),"",Actuals!H24)</f>
        <v>-8982.91</v>
      </c>
      <c r="R24" s="500">
        <f>Budget!H24</f>
        <v>-25071.7</v>
      </c>
      <c r="S24" s="500">
        <f>IF(Q24="","",Q24-R24)</f>
        <v>16088.79</v>
      </c>
      <c r="T24" s="500">
        <f>IF(OR(7&gt;$B$3,ISBLANK(Actuals!I24)),"",Actuals!I24)</f>
      </c>
      <c r="U24" s="500">
        <f>Budget!I24</f>
        <v>-25071.7</v>
      </c>
      <c r="V24" s="500">
        <f>IF(T24="","",T24-U24)</f>
      </c>
      <c r="W24" s="500">
        <f>IF(OR(8&gt;$B$3,ISBLANK(Actuals!J24)),"",Actuals!J24)</f>
      </c>
      <c r="X24" s="500">
        <f>Budget!J24</f>
        <v>-25071.7</v>
      </c>
      <c r="Y24" s="500">
        <f>IF(W24="","",W24-X24)</f>
      </c>
      <c r="Z24" s="500">
        <f>IF(OR(9&gt;$B$3,ISBLANK(Actuals!K24)),"",Actuals!K24)</f>
      </c>
      <c r="AA24" s="500">
        <f>Budget!K24</f>
        <v>-25071.7</v>
      </c>
      <c r="AB24" s="500">
        <f>IF(Z24="","",Z24-AA24)</f>
      </c>
      <c r="AC24" s="500">
        <f>IF(OR(10&gt;$B$3,ISBLANK(Actuals!L24)),"",Actuals!L24)</f>
      </c>
      <c r="AD24" s="500">
        <f>Budget!L24</f>
        <v>-25071.7</v>
      </c>
      <c r="AE24" s="500">
        <f>IF(AC24="","",AC24-AD24)</f>
      </c>
      <c r="AF24" s="500">
        <f>IF(OR(11&gt;$B$3,ISBLANK(Actuals!M24)),"",Actuals!M24)</f>
      </c>
      <c r="AG24" s="500">
        <f>Budget!M24</f>
        <v>-25071.7</v>
      </c>
      <c r="AH24" s="500">
        <f>IF(AF24="","",AF24-AG24)</f>
      </c>
      <c r="AI24" s="500">
        <f>IF(OR(12&gt;$B$3,ISBLANK(Actuals!N24)),"",Actuals!N24)</f>
      </c>
      <c r="AJ24" s="500">
        <f>Budget!N24</f>
        <v>-25071.7</v>
      </c>
      <c r="AK24" s="500">
        <f>IF(AI24="","",AI24-AJ24)</f>
      </c>
      <c r="AL24" s="501">
        <f>SUM(Actuals!$C24:INDEX(Actuals!$C24:$N24,$B$3))</f>
        <v>-24802.89</v>
      </c>
      <c r="AM24" s="501">
        <f>SUM(Budget!$C24:INDEX(Budget!$C24:$N24,$B$3))</f>
        <v>-150430.2</v>
      </c>
      <c r="AN24" s="501">
        <f>AL24-AM24</f>
        <v>125627.31</v>
      </c>
    </row>
    <row r="25" ht="15" customFormat="1" customHeight="1" s="381">
      <c r="A25" s="499" t="inlineStr">
        <is>
          <t>5000-1003 Workers Comp</t>
        </is>
      </c>
      <c r="B25" s="500">
        <f>IF(OR(1&gt;$B$3,ISBLANK(Actuals!C25)),"",Actuals!C25)</f>
        <v>-2542.47</v>
      </c>
      <c r="C25" s="500">
        <f>Budget!C25</f>
        <v>-1731.41</v>
      </c>
      <c r="D25" s="500">
        <f>IF(B25="","",B25-C25)</f>
        <v>-811.06</v>
      </c>
      <c r="E25" s="500">
        <f>IF(OR(2&gt;$B$3,ISBLANK(Actuals!D25)),"",Actuals!D25)</f>
        <v>-1618.75</v>
      </c>
      <c r="F25" s="500">
        <f>Budget!D25</f>
        <v>-1731.41</v>
      </c>
      <c r="G25" s="500">
        <f>IF(E25="","",E25-F25)</f>
        <v>112.66</v>
      </c>
      <c r="H25" s="500">
        <f>IF(OR(3&gt;$B$3,ISBLANK(Actuals!E25)),"",Actuals!E25)</f>
        <v>3406.77</v>
      </c>
      <c r="I25" s="500">
        <f>Budget!E25</f>
        <v>-1731.41</v>
      </c>
      <c r="J25" s="500">
        <f>IF(H25="","",H25-I25)</f>
        <v>5138.18</v>
      </c>
      <c r="K25" s="500">
        <f>IF(OR(4&gt;$B$3,ISBLANK(Actuals!F25)),"",Actuals!F25)</f>
        <v>2575.42</v>
      </c>
      <c r="L25" s="500">
        <f>Budget!F25</f>
        <v>-1731.41</v>
      </c>
      <c r="M25" s="500">
        <f>IF(K25="","",K25-L25)</f>
        <v>4306.83</v>
      </c>
      <c r="N25" s="500">
        <f>IF(OR(5&gt;$B$3,ISBLANK(Actuals!G25)),"",Actuals!G25)</f>
        <v>-1896.11</v>
      </c>
      <c r="O25" s="500">
        <f>Budget!G25</f>
        <v>-1731.41</v>
      </c>
      <c r="P25" s="500">
        <f>IF(N25="","",N25-O25)</f>
        <v>-164.7</v>
      </c>
      <c r="Q25" s="500">
        <f>IF(OR(6&gt;$B$3,ISBLANK(Actuals!H25)),"",Actuals!H25)</f>
        <v>-2888.37</v>
      </c>
      <c r="R25" s="500">
        <f>Budget!H25</f>
        <v>-1731.41</v>
      </c>
      <c r="S25" s="500">
        <f>IF(Q25="","",Q25-R25)</f>
        <v>-1156.96</v>
      </c>
      <c r="T25" s="500">
        <f>IF(OR(7&gt;$B$3,ISBLANK(Actuals!I25)),"",Actuals!I25)</f>
      </c>
      <c r="U25" s="500">
        <f>Budget!I25</f>
        <v>-1731.41</v>
      </c>
      <c r="V25" s="500">
        <f>IF(T25="","",T25-U25)</f>
      </c>
      <c r="W25" s="500">
        <f>IF(OR(8&gt;$B$3,ISBLANK(Actuals!J25)),"",Actuals!J25)</f>
      </c>
      <c r="X25" s="500">
        <f>Budget!J25</f>
        <v>-1731.41</v>
      </c>
      <c r="Y25" s="500">
        <f>IF(W25="","",W25-X25)</f>
      </c>
      <c r="Z25" s="500">
        <f>IF(OR(9&gt;$B$3,ISBLANK(Actuals!K25)),"",Actuals!K25)</f>
      </c>
      <c r="AA25" s="500">
        <f>Budget!K25</f>
        <v>-1731.41</v>
      </c>
      <c r="AB25" s="500">
        <f>IF(Z25="","",Z25-AA25)</f>
      </c>
      <c r="AC25" s="500">
        <f>IF(OR(10&gt;$B$3,ISBLANK(Actuals!L25)),"",Actuals!L25)</f>
      </c>
      <c r="AD25" s="500">
        <f>Budget!L25</f>
        <v>-1731.41</v>
      </c>
      <c r="AE25" s="500">
        <f>IF(AC25="","",AC25-AD25)</f>
      </c>
      <c r="AF25" s="500">
        <f>IF(OR(11&gt;$B$3,ISBLANK(Actuals!M25)),"",Actuals!M25)</f>
      </c>
      <c r="AG25" s="500">
        <f>Budget!M25</f>
        <v>-1731.41</v>
      </c>
      <c r="AH25" s="500">
        <f>IF(AF25="","",AF25-AG25)</f>
      </c>
      <c r="AI25" s="500">
        <f>IF(OR(12&gt;$B$3,ISBLANK(Actuals!N25)),"",Actuals!N25)</f>
      </c>
      <c r="AJ25" s="500">
        <f>Budget!N25</f>
        <v>-1731.41</v>
      </c>
      <c r="AK25" s="500">
        <f>IF(AI25="","",AI25-AJ25)</f>
      </c>
      <c r="AL25" s="501">
        <f>SUM(Actuals!$C25:INDEX(Actuals!$C25:$N25,$B$3))</f>
        <v>-2963.51</v>
      </c>
      <c r="AM25" s="501">
        <f>SUM(Budget!$C25:INDEX(Budget!$C25:$N25,$B$3))</f>
        <v>-10388.46</v>
      </c>
      <c r="AN25" s="501">
        <f>AL25-AM25</f>
        <v>7424.95</v>
      </c>
    </row>
    <row r="26" ht="15" customFormat="1" customHeight="1" s="381">
      <c r="A26" s="499" t="inlineStr">
        <is>
          <t>5000-1005 Payroll Servicing Fees</t>
        </is>
      </c>
      <c r="B26" s="500">
        <f>IF(OR(1&gt;$B$3,ISBLANK(Actuals!C26)),"",Actuals!C26)</f>
        <v>-195</v>
      </c>
      <c r="C26" s="500">
        <f>Budget!C26</f>
        <v>-1008</v>
      </c>
      <c r="D26" s="500">
        <f>IF(B26="","",B26-C26)</f>
        <v>813</v>
      </c>
      <c r="E26" s="500">
        <f>IF(OR(2&gt;$B$3,ISBLANK(Actuals!D26)),"",Actuals!D26)</f>
        <v>-200</v>
      </c>
      <c r="F26" s="500">
        <f>Budget!D26</f>
        <v>-1008</v>
      </c>
      <c r="G26" s="500">
        <f>IF(E26="","",E26-F26)</f>
        <v>808</v>
      </c>
      <c r="H26" s="500">
        <f>IF(OR(3&gt;$B$3,ISBLANK(Actuals!E26)),"",Actuals!E26)</f>
        <v>0</v>
      </c>
      <c r="I26" s="500">
        <f>Budget!E26</f>
        <v>-1008</v>
      </c>
      <c r="J26" s="500">
        <f>IF(H26="","",H26-I26)</f>
        <v>1008</v>
      </c>
      <c r="K26" s="500">
        <f>IF(OR(4&gt;$B$3,ISBLANK(Actuals!F26)),"",Actuals!F26)</f>
        <v>0</v>
      </c>
      <c r="L26" s="500">
        <f>Budget!F26</f>
        <v>-1008</v>
      </c>
      <c r="M26" s="500">
        <f>IF(K26="","",K26-L26)</f>
        <v>1008</v>
      </c>
      <c r="N26" s="500">
        <f>IF(OR(5&gt;$B$3,ISBLANK(Actuals!G26)),"",Actuals!G26)</f>
        <v>0</v>
      </c>
      <c r="O26" s="500">
        <f>Budget!G26</f>
        <v>-1008</v>
      </c>
      <c r="P26" s="500">
        <f>IF(N26="","",N26-O26)</f>
        <v>1008</v>
      </c>
      <c r="Q26" s="500">
        <f>IF(OR(6&gt;$B$3,ISBLANK(Actuals!H26)),"",Actuals!H26)</f>
        <v>0</v>
      </c>
      <c r="R26" s="500">
        <f>Budget!H26</f>
        <v>-1008</v>
      </c>
      <c r="S26" s="500">
        <f>IF(Q26="","",Q26-R26)</f>
        <v>1008</v>
      </c>
      <c r="T26" s="500">
        <f>IF(OR(7&gt;$B$3,ISBLANK(Actuals!I26)),"",Actuals!I26)</f>
      </c>
      <c r="U26" s="500">
        <f>Budget!I26</f>
        <v>-1008</v>
      </c>
      <c r="V26" s="500">
        <f>IF(T26="","",T26-U26)</f>
      </c>
      <c r="W26" s="500">
        <f>IF(OR(8&gt;$B$3,ISBLANK(Actuals!J26)),"",Actuals!J26)</f>
      </c>
      <c r="X26" s="500">
        <f>Budget!J26</f>
        <v>-1008</v>
      </c>
      <c r="Y26" s="500">
        <f>IF(W26="","",W26-X26)</f>
      </c>
      <c r="Z26" s="500">
        <f>IF(OR(9&gt;$B$3,ISBLANK(Actuals!K26)),"",Actuals!K26)</f>
      </c>
      <c r="AA26" s="500">
        <f>Budget!K26</f>
        <v>-1008</v>
      </c>
      <c r="AB26" s="500">
        <f>IF(Z26="","",Z26-AA26)</f>
      </c>
      <c r="AC26" s="500">
        <f>IF(OR(10&gt;$B$3,ISBLANK(Actuals!L26)),"",Actuals!L26)</f>
      </c>
      <c r="AD26" s="500">
        <f>Budget!L26</f>
        <v>-1008</v>
      </c>
      <c r="AE26" s="500">
        <f>IF(AC26="","",AC26-AD26)</f>
      </c>
      <c r="AF26" s="500">
        <f>IF(OR(11&gt;$B$3,ISBLANK(Actuals!M26)),"",Actuals!M26)</f>
      </c>
      <c r="AG26" s="500">
        <f>Budget!M26</f>
        <v>-1008</v>
      </c>
      <c r="AH26" s="500">
        <f>IF(AF26="","",AF26-AG26)</f>
      </c>
      <c r="AI26" s="500">
        <f>IF(OR(12&gt;$B$3,ISBLANK(Actuals!N26)),"",Actuals!N26)</f>
      </c>
      <c r="AJ26" s="500">
        <f>Budget!N26</f>
        <v>-1008</v>
      </c>
      <c r="AK26" s="500">
        <f>IF(AI26="","",AI26-AJ26)</f>
      </c>
      <c r="AL26" s="501">
        <f>SUM(Actuals!$C26:INDEX(Actuals!$C26:$N26,$B$3))</f>
        <v>-395</v>
      </c>
      <c r="AM26" s="501">
        <f>SUM(Budget!$C26:INDEX(Budget!$C26:$N26,$B$3))</f>
        <v>-6048</v>
      </c>
      <c r="AN26" s="501">
        <f>AL26-AM26</f>
        <v>5653</v>
      </c>
    </row>
    <row r="27" ht="15" customFormat="1" customHeight="1" s="381">
      <c r="A27" s="499" t="inlineStr">
        <is>
          <t>5000-1007 Payroll - Consultants</t>
        </is>
      </c>
      <c r="B27" s="500">
        <f>IF(OR(1&gt;$B$3,ISBLANK(Actuals!C27)),"",Actuals!C27)</f>
        <v>-33002.28</v>
      </c>
      <c r="C27" s="500">
        <f>Budget!C27</f>
        <v>0</v>
      </c>
      <c r="D27" s="500">
        <f>IF(B27="","",B27-C27)</f>
        <v>-33002.28</v>
      </c>
      <c r="E27" s="500">
        <f>IF(OR(2&gt;$B$3,ISBLANK(Actuals!D27)),"",Actuals!D27)</f>
        <v>-29166.66</v>
      </c>
      <c r="F27" s="500">
        <f>Budget!D27</f>
        <v>0</v>
      </c>
      <c r="G27" s="500">
        <f>IF(E27="","",E27-F27)</f>
        <v>-29166.66</v>
      </c>
      <c r="H27" s="500">
        <f>IF(OR(3&gt;$B$3,ISBLANK(Actuals!E27)),"",Actuals!E27)</f>
        <v>-41666.66</v>
      </c>
      <c r="I27" s="500">
        <f>Budget!E27</f>
        <v>0</v>
      </c>
      <c r="J27" s="500">
        <f>IF(H27="","",H27-I27)</f>
        <v>-41666.66</v>
      </c>
      <c r="K27" s="500">
        <f>IF(OR(4&gt;$B$3,ISBLANK(Actuals!F27)),"",Actuals!F27)</f>
        <v>-29166.66</v>
      </c>
      <c r="L27" s="500">
        <f>Budget!F27</f>
        <v>0</v>
      </c>
      <c r="M27" s="500">
        <f>IF(K27="","",K27-L27)</f>
        <v>-29166.66</v>
      </c>
      <c r="N27" s="500">
        <f>IF(OR(5&gt;$B$3,ISBLANK(Actuals!G27)),"",Actuals!G27)</f>
        <v>-29166.66</v>
      </c>
      <c r="O27" s="500">
        <f>Budget!G27</f>
        <v>0</v>
      </c>
      <c r="P27" s="500">
        <f>IF(N27="","",N27-O27)</f>
        <v>-29166.66</v>
      </c>
      <c r="Q27" s="500">
        <f>IF(OR(6&gt;$B$3,ISBLANK(Actuals!H27)),"",Actuals!H27)</f>
        <v>-29166.66</v>
      </c>
      <c r="R27" s="500">
        <f>Budget!H27</f>
        <v>0</v>
      </c>
      <c r="S27" s="500">
        <f>IF(Q27="","",Q27-R27)</f>
        <v>-29166.66</v>
      </c>
      <c r="T27" s="500">
        <f>IF(OR(7&gt;$B$3,ISBLANK(Actuals!I27)),"",Actuals!I27)</f>
      </c>
      <c r="U27" s="500">
        <f>Budget!I27</f>
        <v>0</v>
      </c>
      <c r="V27" s="500">
        <f>IF(T27="","",T27-U27)</f>
      </c>
      <c r="W27" s="500">
        <f>IF(OR(8&gt;$B$3,ISBLANK(Actuals!J27)),"",Actuals!J27)</f>
      </c>
      <c r="X27" s="500">
        <f>Budget!J27</f>
        <v>0</v>
      </c>
      <c r="Y27" s="500">
        <f>IF(W27="","",W27-X27)</f>
      </c>
      <c r="Z27" s="500">
        <f>IF(OR(9&gt;$B$3,ISBLANK(Actuals!K27)),"",Actuals!K27)</f>
      </c>
      <c r="AA27" s="500">
        <f>Budget!K27</f>
        <v>0</v>
      </c>
      <c r="AB27" s="500">
        <f>IF(Z27="","",Z27-AA27)</f>
      </c>
      <c r="AC27" s="500">
        <f>IF(OR(10&gt;$B$3,ISBLANK(Actuals!L27)),"",Actuals!L27)</f>
      </c>
      <c r="AD27" s="500">
        <f>Budget!L27</f>
        <v>0</v>
      </c>
      <c r="AE27" s="500">
        <f>IF(AC27="","",AC27-AD27)</f>
      </c>
      <c r="AF27" s="500">
        <f>IF(OR(11&gt;$B$3,ISBLANK(Actuals!M27)),"",Actuals!M27)</f>
      </c>
      <c r="AG27" s="500">
        <f>Budget!M27</f>
        <v>0</v>
      </c>
      <c r="AH27" s="500">
        <f>IF(AF27="","",AF27-AG27)</f>
      </c>
      <c r="AI27" s="500">
        <f>IF(OR(12&gt;$B$3,ISBLANK(Actuals!N27)),"",Actuals!N27)</f>
      </c>
      <c r="AJ27" s="500">
        <f>Budget!N27</f>
        <v>0</v>
      </c>
      <c r="AK27" s="500">
        <f>IF(AI27="","",AI27-AJ27)</f>
      </c>
      <c r="AL27" s="501">
        <f>SUM(Actuals!$C27:INDEX(Actuals!$C27:$N27,$B$3))</f>
        <v>-191335.58</v>
      </c>
      <c r="AM27" s="501">
        <f>SUM(Budget!$C27:INDEX(Budget!$C27:$N27,$B$3))</f>
        <v>0</v>
      </c>
      <c r="AN27" s="501">
        <f>AL27-AM27</f>
        <v>-191335.58</v>
      </c>
    </row>
    <row r="28" ht="15" customFormat="1" customHeight="1" s="381">
      <c r="A28" s="499" t="inlineStr">
        <is>
          <t>5000-1018 Payroll - Self Performed Trades</t>
        </is>
      </c>
      <c r="B28" s="500">
        <f>IF(OR(1&gt;$B$3,ISBLANK(Actuals!C28)),"",Actuals!C28)</f>
        <v>0</v>
      </c>
      <c r="C28" s="500">
        <f>Budget!C28</f>
        <v>0</v>
      </c>
      <c r="D28" s="500">
        <f>IF(B28="","",B28-C28)</f>
        <v>0</v>
      </c>
      <c r="E28" s="500">
        <f>IF(OR(2&gt;$B$3,ISBLANK(Actuals!D28)),"",Actuals!D28)</f>
        <v>0</v>
      </c>
      <c r="F28" s="500">
        <f>Budget!D28</f>
        <v>0</v>
      </c>
      <c r="G28" s="500">
        <f>IF(E28="","",E28-F28)</f>
        <v>0</v>
      </c>
      <c r="H28" s="500">
        <f>IF(OR(3&gt;$B$3,ISBLANK(Actuals!E28)),"",Actuals!E28)</f>
        <v>0</v>
      </c>
      <c r="I28" s="500">
        <f>Budget!E28</f>
        <v>0</v>
      </c>
      <c r="J28" s="500">
        <f>IF(H28="","",H28-I28)</f>
        <v>0</v>
      </c>
      <c r="K28" s="500">
        <f>IF(OR(4&gt;$B$3,ISBLANK(Actuals!F28)),"",Actuals!F28)</f>
        <v>251304.48</v>
      </c>
      <c r="L28" s="500">
        <f>Budget!F28</f>
        <v>0</v>
      </c>
      <c r="M28" s="500">
        <f>IF(K28="","",K28-L28)</f>
        <v>251304.48</v>
      </c>
      <c r="N28" s="500">
        <f>IF(OR(5&gt;$B$3,ISBLANK(Actuals!G28)),"",Actuals!G28)</f>
        <v>81510</v>
      </c>
      <c r="O28" s="500">
        <f>Budget!G28</f>
        <v>0</v>
      </c>
      <c r="P28" s="500">
        <f>IF(N28="","",N28-O28)</f>
        <v>81510</v>
      </c>
      <c r="Q28" s="500">
        <f>IF(OR(6&gt;$B$3,ISBLANK(Actuals!H28)),"",Actuals!H28)</f>
        <v>0</v>
      </c>
      <c r="R28" s="500">
        <f>Budget!H28</f>
        <v>0</v>
      </c>
      <c r="S28" s="500">
        <f>IF(Q28="","",Q28-R28)</f>
        <v>0</v>
      </c>
      <c r="T28" s="500">
        <f>IF(OR(7&gt;$B$3,ISBLANK(Actuals!I28)),"",Actuals!I28)</f>
      </c>
      <c r="U28" s="500">
        <f>Budget!I28</f>
        <v>0</v>
      </c>
      <c r="V28" s="500">
        <f>IF(T28="","",T28-U28)</f>
      </c>
      <c r="W28" s="500">
        <f>IF(OR(8&gt;$B$3,ISBLANK(Actuals!J28)),"",Actuals!J28)</f>
      </c>
      <c r="X28" s="500">
        <f>Budget!J28</f>
        <v>0</v>
      </c>
      <c r="Y28" s="500">
        <f>IF(W28="","",W28-X28)</f>
      </c>
      <c r="Z28" s="500">
        <f>IF(OR(9&gt;$B$3,ISBLANK(Actuals!K28)),"",Actuals!K28)</f>
      </c>
      <c r="AA28" s="500">
        <f>Budget!K28</f>
        <v>0</v>
      </c>
      <c r="AB28" s="500">
        <f>IF(Z28="","",Z28-AA28)</f>
      </c>
      <c r="AC28" s="500">
        <f>IF(OR(10&gt;$B$3,ISBLANK(Actuals!L28)),"",Actuals!L28)</f>
      </c>
      <c r="AD28" s="500">
        <f>Budget!L28</f>
        <v>0</v>
      </c>
      <c r="AE28" s="500">
        <f>IF(AC28="","",AC28-AD28)</f>
      </c>
      <c r="AF28" s="500">
        <f>IF(OR(11&gt;$B$3,ISBLANK(Actuals!M28)),"",Actuals!M28)</f>
      </c>
      <c r="AG28" s="500">
        <f>Budget!M28</f>
        <v>0</v>
      </c>
      <c r="AH28" s="500">
        <f>IF(AF28="","",AF28-AG28)</f>
      </c>
      <c r="AI28" s="500">
        <f>IF(OR(12&gt;$B$3,ISBLANK(Actuals!N28)),"",Actuals!N28)</f>
      </c>
      <c r="AJ28" s="500">
        <f>Budget!N28</f>
        <v>0</v>
      </c>
      <c r="AK28" s="500">
        <f>IF(AI28="","",AI28-AJ28)</f>
      </c>
      <c r="AL28" s="501">
        <f>SUM(Actuals!$C28:INDEX(Actuals!$C28:$N28,$B$3))</f>
        <v>332814.48</v>
      </c>
      <c r="AM28" s="501">
        <f>SUM(Budget!$C28:INDEX(Budget!$C28:$N28,$B$3))</f>
        <v>0</v>
      </c>
      <c r="AN28" s="501">
        <f>AL28-AM28</f>
        <v>332814.48</v>
      </c>
    </row>
    <row r="29" ht="15" customFormat="1" customHeight="1" s="381">
      <c r="A29" s="499" t="inlineStr">
        <is>
          <t>5100-1000 Rent Expense</t>
        </is>
      </c>
      <c r="B29" s="500">
        <f>IF(OR(1&gt;$B$3,ISBLANK(Actuals!C29)),"",Actuals!C29)</f>
        <v>-10400</v>
      </c>
      <c r="C29" s="500">
        <f>Budget!C29</f>
        <v>-10000</v>
      </c>
      <c r="D29" s="500">
        <f>IF(B29="","",B29-C29)</f>
        <v>-400</v>
      </c>
      <c r="E29" s="500">
        <f>IF(OR(2&gt;$B$3,ISBLANK(Actuals!D29)),"",Actuals!D29)</f>
        <v>-10400</v>
      </c>
      <c r="F29" s="500">
        <f>Budget!D29</f>
        <v>-10000</v>
      </c>
      <c r="G29" s="500">
        <f>IF(E29="","",E29-F29)</f>
        <v>-400</v>
      </c>
      <c r="H29" s="500">
        <f>IF(OR(3&gt;$B$3,ISBLANK(Actuals!E29)),"",Actuals!E29)</f>
        <v>-400</v>
      </c>
      <c r="I29" s="500">
        <f>Budget!E29</f>
        <v>-10000</v>
      </c>
      <c r="J29" s="500">
        <f>IF(H29="","",H29-I29)</f>
        <v>9600</v>
      </c>
      <c r="K29" s="500">
        <f>IF(OR(4&gt;$B$3,ISBLANK(Actuals!F29)),"",Actuals!F29)</f>
        <v>-10400</v>
      </c>
      <c r="L29" s="500">
        <f>Budget!F29</f>
        <v>-10000</v>
      </c>
      <c r="M29" s="500">
        <f>IF(K29="","",K29-L29)</f>
        <v>-400</v>
      </c>
      <c r="N29" s="500">
        <f>IF(OR(5&gt;$B$3,ISBLANK(Actuals!G29)),"",Actuals!G29)</f>
        <v>-20400</v>
      </c>
      <c r="O29" s="500">
        <f>Budget!G29</f>
        <v>-10000</v>
      </c>
      <c r="P29" s="500">
        <f>IF(N29="","",N29-O29)</f>
        <v>-10400</v>
      </c>
      <c r="Q29" s="500">
        <f>IF(OR(6&gt;$B$3,ISBLANK(Actuals!H29)),"",Actuals!H29)</f>
        <v>-20405</v>
      </c>
      <c r="R29" s="500">
        <f>Budget!H29</f>
        <v>-10000</v>
      </c>
      <c r="S29" s="500">
        <f>IF(Q29="","",Q29-R29)</f>
        <v>-10405</v>
      </c>
      <c r="T29" s="500">
        <f>IF(OR(7&gt;$B$3,ISBLANK(Actuals!I29)),"",Actuals!I29)</f>
      </c>
      <c r="U29" s="500">
        <f>Budget!I29</f>
        <v>-10200</v>
      </c>
      <c r="V29" s="500">
        <f>IF(T29="","",T29-U29)</f>
      </c>
      <c r="W29" s="500">
        <f>IF(OR(8&gt;$B$3,ISBLANK(Actuals!J29)),"",Actuals!J29)</f>
      </c>
      <c r="X29" s="500">
        <f>Budget!J29</f>
        <v>-10200</v>
      </c>
      <c r="Y29" s="500">
        <f>IF(W29="","",W29-X29)</f>
      </c>
      <c r="Z29" s="500">
        <f>IF(OR(9&gt;$B$3,ISBLANK(Actuals!K29)),"",Actuals!K29)</f>
      </c>
      <c r="AA29" s="500">
        <f>Budget!K29</f>
        <v>-10200</v>
      </c>
      <c r="AB29" s="500">
        <f>IF(Z29="","",Z29-AA29)</f>
      </c>
      <c r="AC29" s="500">
        <f>IF(OR(10&gt;$B$3,ISBLANK(Actuals!L29)),"",Actuals!L29)</f>
      </c>
      <c r="AD29" s="500">
        <f>Budget!L29</f>
        <v>-10200</v>
      </c>
      <c r="AE29" s="500">
        <f>IF(AC29="","",AC29-AD29)</f>
      </c>
      <c r="AF29" s="500">
        <f>IF(OR(11&gt;$B$3,ISBLANK(Actuals!M29)),"",Actuals!M29)</f>
      </c>
      <c r="AG29" s="500">
        <f>Budget!M29</f>
        <v>-10200</v>
      </c>
      <c r="AH29" s="500">
        <f>IF(AF29="","",AF29-AG29)</f>
      </c>
      <c r="AI29" s="500">
        <f>IF(OR(12&gt;$B$3,ISBLANK(Actuals!N29)),"",Actuals!N29)</f>
      </c>
      <c r="AJ29" s="500">
        <f>Budget!N29</f>
        <v>-10200</v>
      </c>
      <c r="AK29" s="500">
        <f>IF(AI29="","",AI29-AJ29)</f>
      </c>
      <c r="AL29" s="501">
        <f>SUM(Actuals!$C29:INDEX(Actuals!$C29:$N29,$B$3))</f>
        <v>-72405</v>
      </c>
      <c r="AM29" s="501">
        <f>SUM(Budget!$C29:INDEX(Budget!$C29:$N29,$B$3))</f>
        <v>-60000</v>
      </c>
      <c r="AN29" s="501">
        <f>AL29-AM29</f>
        <v>-12405</v>
      </c>
    </row>
    <row r="30" ht="15" customFormat="1" customHeight="1" s="381">
      <c r="A30" s="499" t="inlineStr">
        <is>
          <t>5200-1000 Office Supplies and Expenses</t>
        </is>
      </c>
      <c r="B30" s="500">
        <f>IF(OR(1&gt;$B$3,ISBLANK(Actuals!C30)),"",Actuals!C30)</f>
        <v>-1988</v>
      </c>
      <c r="C30" s="500">
        <f>Budget!C30</f>
        <v>-2800</v>
      </c>
      <c r="D30" s="500">
        <f>IF(B30="","",B30-C30)</f>
        <v>812</v>
      </c>
      <c r="E30" s="500">
        <f>IF(OR(2&gt;$B$3,ISBLANK(Actuals!D30)),"",Actuals!D30)</f>
        <v>-955.32</v>
      </c>
      <c r="F30" s="500">
        <f>Budget!D30</f>
        <v>-2800</v>
      </c>
      <c r="G30" s="500">
        <f>IF(E30="","",E30-F30)</f>
        <v>1844.68</v>
      </c>
      <c r="H30" s="500">
        <f>IF(OR(3&gt;$B$3,ISBLANK(Actuals!E30)),"",Actuals!E30)</f>
        <v>-9130.61</v>
      </c>
      <c r="I30" s="500">
        <f>Budget!E30</f>
        <v>-2800</v>
      </c>
      <c r="J30" s="500">
        <f>IF(H30="","",H30-I30)</f>
        <v>-6330.61</v>
      </c>
      <c r="K30" s="500">
        <f>IF(OR(4&gt;$B$3,ISBLANK(Actuals!F30)),"",Actuals!F30)</f>
        <v>-1028.89</v>
      </c>
      <c r="L30" s="500">
        <f>Budget!F30</f>
        <v>-2800</v>
      </c>
      <c r="M30" s="500">
        <f>IF(K30="","",K30-L30)</f>
        <v>1771.11</v>
      </c>
      <c r="N30" s="500">
        <f>IF(OR(5&gt;$B$3,ISBLANK(Actuals!G30)),"",Actuals!G30)</f>
        <v>-7005.14</v>
      </c>
      <c r="O30" s="500">
        <f>Budget!G30</f>
        <v>-2800</v>
      </c>
      <c r="P30" s="500">
        <f>IF(N30="","",N30-O30)</f>
        <v>-4205.14</v>
      </c>
      <c r="Q30" s="500">
        <f>IF(OR(6&gt;$B$3,ISBLANK(Actuals!H30)),"",Actuals!H30)</f>
        <v>-4121.06</v>
      </c>
      <c r="R30" s="500">
        <f>Budget!H30</f>
        <v>-2800</v>
      </c>
      <c r="S30" s="500">
        <f>IF(Q30="","",Q30-R30)</f>
        <v>-1321.06</v>
      </c>
      <c r="T30" s="500">
        <f>IF(OR(7&gt;$B$3,ISBLANK(Actuals!I30)),"",Actuals!I30)</f>
      </c>
      <c r="U30" s="500">
        <f>Budget!I30</f>
        <v>-2856</v>
      </c>
      <c r="V30" s="500">
        <f>IF(T30="","",T30-U30)</f>
      </c>
      <c r="W30" s="500">
        <f>IF(OR(8&gt;$B$3,ISBLANK(Actuals!J30)),"",Actuals!J30)</f>
      </c>
      <c r="X30" s="500">
        <f>Budget!J30</f>
        <v>-2856</v>
      </c>
      <c r="Y30" s="500">
        <f>IF(W30="","",W30-X30)</f>
      </c>
      <c r="Z30" s="500">
        <f>IF(OR(9&gt;$B$3,ISBLANK(Actuals!K30)),"",Actuals!K30)</f>
      </c>
      <c r="AA30" s="500">
        <f>Budget!K30</f>
        <v>-2856</v>
      </c>
      <c r="AB30" s="500">
        <f>IF(Z30="","",Z30-AA30)</f>
      </c>
      <c r="AC30" s="500">
        <f>IF(OR(10&gt;$B$3,ISBLANK(Actuals!L30)),"",Actuals!L30)</f>
      </c>
      <c r="AD30" s="500">
        <f>Budget!L30</f>
        <v>-2856</v>
      </c>
      <c r="AE30" s="500">
        <f>IF(AC30="","",AC30-AD30)</f>
      </c>
      <c r="AF30" s="500">
        <f>IF(OR(11&gt;$B$3,ISBLANK(Actuals!M30)),"",Actuals!M30)</f>
      </c>
      <c r="AG30" s="500">
        <f>Budget!M30</f>
        <v>-2856</v>
      </c>
      <c r="AH30" s="500">
        <f>IF(AF30="","",AF30-AG30)</f>
      </c>
      <c r="AI30" s="500">
        <f>IF(OR(12&gt;$B$3,ISBLANK(Actuals!N30)),"",Actuals!N30)</f>
      </c>
      <c r="AJ30" s="500">
        <f>Budget!N30</f>
        <v>-2856</v>
      </c>
      <c r="AK30" s="500">
        <f>IF(AI30="","",AI30-AJ30)</f>
      </c>
      <c r="AL30" s="501">
        <f>SUM(Actuals!$C30:INDEX(Actuals!$C30:$N30,$B$3))</f>
        <v>-24229.02</v>
      </c>
      <c r="AM30" s="501">
        <f>SUM(Budget!$C30:INDEX(Budget!$C30:$N30,$B$3))</f>
        <v>-16800</v>
      </c>
      <c r="AN30" s="501">
        <f>AL30-AM30</f>
        <v>-7429.02</v>
      </c>
    </row>
    <row r="31" ht="15" customFormat="1" customHeight="1" s="381">
      <c r="A31" s="499" t="inlineStr">
        <is>
          <t>5200-1002 Printing and Reproduction</t>
        </is>
      </c>
      <c r="B31" s="500">
        <f>IF(OR(1&gt;$B$3,ISBLANK(Actuals!C31)),"",Actuals!C31)</f>
        <v>0</v>
      </c>
      <c r="C31" s="500">
        <f>Budget!C31</f>
        <v>0</v>
      </c>
      <c r="D31" s="500">
        <f>IF(B31="","",B31-C31)</f>
        <v>0</v>
      </c>
      <c r="E31" s="500">
        <f>IF(OR(2&gt;$B$3,ISBLANK(Actuals!D31)),"",Actuals!D31)</f>
        <v>0</v>
      </c>
      <c r="F31" s="500">
        <f>Budget!D31</f>
        <v>0</v>
      </c>
      <c r="G31" s="500">
        <f>IF(E31="","",E31-F31)</f>
        <v>0</v>
      </c>
      <c r="H31" s="500">
        <f>IF(OR(3&gt;$B$3,ISBLANK(Actuals!E31)),"",Actuals!E31)</f>
        <v>-1077.38</v>
      </c>
      <c r="I31" s="500">
        <f>Budget!E31</f>
        <v>0</v>
      </c>
      <c r="J31" s="500">
        <f>IF(H31="","",H31-I31)</f>
        <v>-1077.38</v>
      </c>
      <c r="K31" s="500">
        <f>IF(OR(4&gt;$B$3,ISBLANK(Actuals!F31)),"",Actuals!F31)</f>
        <v>-211.28</v>
      </c>
      <c r="L31" s="500">
        <f>Budget!F31</f>
        <v>0</v>
      </c>
      <c r="M31" s="500">
        <f>IF(K31="","",K31-L31)</f>
        <v>-211.28</v>
      </c>
      <c r="N31" s="500">
        <f>IF(OR(5&gt;$B$3,ISBLANK(Actuals!G31)),"",Actuals!G31)</f>
        <v>-1254.17</v>
      </c>
      <c r="O31" s="500">
        <f>Budget!G31</f>
        <v>0</v>
      </c>
      <c r="P31" s="500">
        <f>IF(N31="","",N31-O31)</f>
        <v>-1254.17</v>
      </c>
      <c r="Q31" s="500">
        <f>IF(OR(6&gt;$B$3,ISBLANK(Actuals!H31)),"",Actuals!H31)</f>
        <v>0</v>
      </c>
      <c r="R31" s="500">
        <f>Budget!H31</f>
        <v>0</v>
      </c>
      <c r="S31" s="500">
        <f>IF(Q31="","",Q31-R31)</f>
        <v>0</v>
      </c>
      <c r="T31" s="500">
        <f>IF(OR(7&gt;$B$3,ISBLANK(Actuals!I31)),"",Actuals!I31)</f>
      </c>
      <c r="U31" s="500">
        <f>Budget!I31</f>
        <v>0</v>
      </c>
      <c r="V31" s="500">
        <f>IF(T31="","",T31-U31)</f>
      </c>
      <c r="W31" s="500">
        <f>IF(OR(8&gt;$B$3,ISBLANK(Actuals!J31)),"",Actuals!J31)</f>
      </c>
      <c r="X31" s="500">
        <f>Budget!J31</f>
        <v>0</v>
      </c>
      <c r="Y31" s="500">
        <f>IF(W31="","",W31-X31)</f>
      </c>
      <c r="Z31" s="500">
        <f>IF(OR(9&gt;$B$3,ISBLANK(Actuals!K31)),"",Actuals!K31)</f>
      </c>
      <c r="AA31" s="500">
        <f>Budget!K31</f>
        <v>0</v>
      </c>
      <c r="AB31" s="500">
        <f>IF(Z31="","",Z31-AA31)</f>
      </c>
      <c r="AC31" s="500">
        <f>IF(OR(10&gt;$B$3,ISBLANK(Actuals!L31)),"",Actuals!L31)</f>
      </c>
      <c r="AD31" s="500">
        <f>Budget!L31</f>
        <v>0</v>
      </c>
      <c r="AE31" s="500">
        <f>IF(AC31="","",AC31-AD31)</f>
      </c>
      <c r="AF31" s="500">
        <f>IF(OR(11&gt;$B$3,ISBLANK(Actuals!M31)),"",Actuals!M31)</f>
      </c>
      <c r="AG31" s="500">
        <f>Budget!M31</f>
        <v>0</v>
      </c>
      <c r="AH31" s="500">
        <f>IF(AF31="","",AF31-AG31)</f>
      </c>
      <c r="AI31" s="500">
        <f>IF(OR(12&gt;$B$3,ISBLANK(Actuals!N31)),"",Actuals!N31)</f>
      </c>
      <c r="AJ31" s="500">
        <f>Budget!N31</f>
        <v>0</v>
      </c>
      <c r="AK31" s="500">
        <f>IF(AI31="","",AI31-AJ31)</f>
      </c>
      <c r="AL31" s="501">
        <f>SUM(Actuals!$C31:INDEX(Actuals!$C31:$N31,$B$3))</f>
        <v>-2542.83</v>
      </c>
      <c r="AM31" s="501">
        <f>SUM(Budget!$C31:INDEX(Budget!$C31:$N31,$B$3))</f>
        <v>0</v>
      </c>
      <c r="AN31" s="501">
        <f>AL31-AM31</f>
        <v>-2542.83</v>
      </c>
    </row>
    <row r="32" ht="15" customFormat="1" customHeight="1" s="381">
      <c r="A32" s="499" t="inlineStr">
        <is>
          <t>5200-1050 Computer and IT Expenses</t>
        </is>
      </c>
      <c r="B32" s="500">
        <f>IF(OR(1&gt;$B$3,ISBLANK(Actuals!C32)),"",Actuals!C32)</f>
        <v>-79</v>
      </c>
      <c r="C32" s="500">
        <f>Budget!C32</f>
        <v>-3300</v>
      </c>
      <c r="D32" s="500">
        <f>IF(B32="","",B32-C32)</f>
        <v>3221</v>
      </c>
      <c r="E32" s="500">
        <f>IF(OR(2&gt;$B$3,ISBLANK(Actuals!D32)),"",Actuals!D32)</f>
        <v>0</v>
      </c>
      <c r="F32" s="500">
        <f>Budget!D32</f>
        <v>-3300</v>
      </c>
      <c r="G32" s="500">
        <f>IF(E32="","",E32-F32)</f>
        <v>3300</v>
      </c>
      <c r="H32" s="500">
        <f>IF(OR(3&gt;$B$3,ISBLANK(Actuals!E32)),"",Actuals!E32)</f>
        <v>0</v>
      </c>
      <c r="I32" s="500">
        <f>Budget!E32</f>
        <v>-3300</v>
      </c>
      <c r="J32" s="500">
        <f>IF(H32="","",H32-I32)</f>
        <v>3300</v>
      </c>
      <c r="K32" s="500">
        <f>IF(OR(4&gt;$B$3,ISBLANK(Actuals!F32)),"",Actuals!F32)</f>
        <v>0</v>
      </c>
      <c r="L32" s="500">
        <f>Budget!F32</f>
        <v>-3300</v>
      </c>
      <c r="M32" s="500">
        <f>IF(K32="","",K32-L32)</f>
        <v>3300</v>
      </c>
      <c r="N32" s="500">
        <f>IF(OR(5&gt;$B$3,ISBLANK(Actuals!G32)),"",Actuals!G32)</f>
        <v>0</v>
      </c>
      <c r="O32" s="500">
        <f>Budget!G32</f>
        <v>-3300</v>
      </c>
      <c r="P32" s="500">
        <f>IF(N32="","",N32-O32)</f>
        <v>3300</v>
      </c>
      <c r="Q32" s="500">
        <f>IF(OR(6&gt;$B$3,ISBLANK(Actuals!H32)),"",Actuals!H32)</f>
        <v>0</v>
      </c>
      <c r="R32" s="500">
        <f>Budget!H32</f>
        <v>-3300</v>
      </c>
      <c r="S32" s="500">
        <f>IF(Q32="","",Q32-R32)</f>
        <v>3300</v>
      </c>
      <c r="T32" s="500">
        <f>IF(OR(7&gt;$B$3,ISBLANK(Actuals!I32)),"",Actuals!I32)</f>
      </c>
      <c r="U32" s="500">
        <f>Budget!I32</f>
        <v>-3366</v>
      </c>
      <c r="V32" s="500">
        <f>IF(T32="","",T32-U32)</f>
      </c>
      <c r="W32" s="500">
        <f>IF(OR(8&gt;$B$3,ISBLANK(Actuals!J32)),"",Actuals!J32)</f>
      </c>
      <c r="X32" s="500">
        <f>Budget!J32</f>
        <v>-3366</v>
      </c>
      <c r="Y32" s="500">
        <f>IF(W32="","",W32-X32)</f>
      </c>
      <c r="Z32" s="500">
        <f>IF(OR(9&gt;$B$3,ISBLANK(Actuals!K32)),"",Actuals!K32)</f>
      </c>
      <c r="AA32" s="500">
        <f>Budget!K32</f>
        <v>-3366</v>
      </c>
      <c r="AB32" s="500">
        <f>IF(Z32="","",Z32-AA32)</f>
      </c>
      <c r="AC32" s="500">
        <f>IF(OR(10&gt;$B$3,ISBLANK(Actuals!L32)),"",Actuals!L32)</f>
      </c>
      <c r="AD32" s="500">
        <f>Budget!L32</f>
        <v>-3366</v>
      </c>
      <c r="AE32" s="500">
        <f>IF(AC32="","",AC32-AD32)</f>
      </c>
      <c r="AF32" s="500">
        <f>IF(OR(11&gt;$B$3,ISBLANK(Actuals!M32)),"",Actuals!M32)</f>
      </c>
      <c r="AG32" s="500">
        <f>Budget!M32</f>
        <v>-3366</v>
      </c>
      <c r="AH32" s="500">
        <f>IF(AF32="","",AF32-AG32)</f>
      </c>
      <c r="AI32" s="500">
        <f>IF(OR(12&gt;$B$3,ISBLANK(Actuals!N32)),"",Actuals!N32)</f>
      </c>
      <c r="AJ32" s="500">
        <f>Budget!N32</f>
        <v>-3366</v>
      </c>
      <c r="AK32" s="500">
        <f>IF(AI32="","",AI32-AJ32)</f>
      </c>
      <c r="AL32" s="501">
        <f>SUM(Actuals!$C32:INDEX(Actuals!$C32:$N32,$B$3))</f>
        <v>-79</v>
      </c>
      <c r="AM32" s="501">
        <f>SUM(Budget!$C32:INDEX(Budget!$C32:$N32,$B$3))</f>
        <v>-19800</v>
      </c>
      <c r="AN32" s="501">
        <f>AL32-AM32</f>
        <v>19721</v>
      </c>
    </row>
    <row r="33" ht="15" customFormat="1" customHeight="1" s="381">
      <c r="A33" s="499" t="inlineStr">
        <is>
          <t>5200-1053 IT Software and Subscriptions</t>
        </is>
      </c>
      <c r="B33" s="500">
        <f>IF(OR(1&gt;$B$3,ISBLANK(Actuals!C33)),"",Actuals!C33)</f>
        <v>-3405.64</v>
      </c>
      <c r="C33" s="500">
        <f>Budget!C33</f>
        <v>0</v>
      </c>
      <c r="D33" s="500">
        <f>IF(B33="","",B33-C33)</f>
        <v>-3405.64</v>
      </c>
      <c r="E33" s="500">
        <f>IF(OR(2&gt;$B$3,ISBLANK(Actuals!D33)),"",Actuals!D33)</f>
        <v>-5015.38</v>
      </c>
      <c r="F33" s="500">
        <f>Budget!D33</f>
        <v>0</v>
      </c>
      <c r="G33" s="500">
        <f>IF(E33="","",E33-F33)</f>
        <v>-5015.38</v>
      </c>
      <c r="H33" s="500">
        <f>IF(OR(3&gt;$B$3,ISBLANK(Actuals!E33)),"",Actuals!E33)</f>
        <v>-7481.39</v>
      </c>
      <c r="I33" s="500">
        <f>Budget!E33</f>
        <v>0</v>
      </c>
      <c r="J33" s="500">
        <f>IF(H33="","",H33-I33)</f>
        <v>-7481.39</v>
      </c>
      <c r="K33" s="500">
        <f>IF(OR(4&gt;$B$3,ISBLANK(Actuals!F33)),"",Actuals!F33)</f>
        <v>-5111.12</v>
      </c>
      <c r="L33" s="500">
        <f>Budget!F33</f>
        <v>0</v>
      </c>
      <c r="M33" s="500">
        <f>IF(K33="","",K33-L33)</f>
        <v>-5111.12</v>
      </c>
      <c r="N33" s="500">
        <f>IF(OR(5&gt;$B$3,ISBLANK(Actuals!G33)),"",Actuals!G33)</f>
        <v>-4038.48</v>
      </c>
      <c r="O33" s="500">
        <f>Budget!G33</f>
        <v>0</v>
      </c>
      <c r="P33" s="500">
        <f>IF(N33="","",N33-O33)</f>
        <v>-4038.48</v>
      </c>
      <c r="Q33" s="500">
        <f>IF(OR(6&gt;$B$3,ISBLANK(Actuals!H33)),"",Actuals!H33)</f>
        <v>-6114.98</v>
      </c>
      <c r="R33" s="500">
        <f>Budget!H33</f>
        <v>0</v>
      </c>
      <c r="S33" s="500">
        <f>IF(Q33="","",Q33-R33)</f>
        <v>-6114.98</v>
      </c>
      <c r="T33" s="500">
        <f>IF(OR(7&gt;$B$3,ISBLANK(Actuals!I33)),"",Actuals!I33)</f>
      </c>
      <c r="U33" s="500">
        <f>Budget!I33</f>
        <v>0</v>
      </c>
      <c r="V33" s="500">
        <f>IF(T33="","",T33-U33)</f>
      </c>
      <c r="W33" s="500">
        <f>IF(OR(8&gt;$B$3,ISBLANK(Actuals!J33)),"",Actuals!J33)</f>
      </c>
      <c r="X33" s="500">
        <f>Budget!J33</f>
        <v>0</v>
      </c>
      <c r="Y33" s="500">
        <f>IF(W33="","",W33-X33)</f>
      </c>
      <c r="Z33" s="500">
        <f>IF(OR(9&gt;$B$3,ISBLANK(Actuals!K33)),"",Actuals!K33)</f>
      </c>
      <c r="AA33" s="500">
        <f>Budget!K33</f>
        <v>0</v>
      </c>
      <c r="AB33" s="500">
        <f>IF(Z33="","",Z33-AA33)</f>
      </c>
      <c r="AC33" s="500">
        <f>IF(OR(10&gt;$B$3,ISBLANK(Actuals!L33)),"",Actuals!L33)</f>
      </c>
      <c r="AD33" s="500">
        <f>Budget!L33</f>
        <v>0</v>
      </c>
      <c r="AE33" s="500">
        <f>IF(AC33="","",AC33-AD33)</f>
      </c>
      <c r="AF33" s="500">
        <f>IF(OR(11&gt;$B$3,ISBLANK(Actuals!M33)),"",Actuals!M33)</f>
      </c>
      <c r="AG33" s="500">
        <f>Budget!M33</f>
        <v>0</v>
      </c>
      <c r="AH33" s="500">
        <f>IF(AF33="","",AF33-AG33)</f>
      </c>
      <c r="AI33" s="500">
        <f>IF(OR(12&gt;$B$3,ISBLANK(Actuals!N33)),"",Actuals!N33)</f>
      </c>
      <c r="AJ33" s="500">
        <f>Budget!N33</f>
        <v>0</v>
      </c>
      <c r="AK33" s="500">
        <f>IF(AI33="","",AI33-AJ33)</f>
      </c>
      <c r="AL33" s="501">
        <f>SUM(Actuals!$C33:INDEX(Actuals!$C33:$N33,$B$3))</f>
        <v>-31166.99</v>
      </c>
      <c r="AM33" s="501">
        <f>SUM(Budget!$C33:INDEX(Budget!$C33:$N33,$B$3))</f>
        <v>0</v>
      </c>
      <c r="AN33" s="501">
        <f>AL33-AM33</f>
        <v>-31166.99</v>
      </c>
    </row>
    <row r="34" ht="15" customFormat="1" customHeight="1" s="381">
      <c r="A34" s="499" t="inlineStr">
        <is>
          <t>5200-1054 Telephone Expenses</t>
        </is>
      </c>
      <c r="B34" s="500">
        <f>IF(OR(1&gt;$B$3,ISBLANK(Actuals!C34)),"",Actuals!C34)</f>
        <v>0</v>
      </c>
      <c r="C34" s="500">
        <f>Budget!C34</f>
        <v>-300</v>
      </c>
      <c r="D34" s="500">
        <f>IF(B34="","",B34-C34)</f>
        <v>300</v>
      </c>
      <c r="E34" s="500">
        <f>IF(OR(2&gt;$B$3,ISBLANK(Actuals!D34)),"",Actuals!D34)</f>
        <v>-1766.48</v>
      </c>
      <c r="F34" s="500">
        <f>Budget!D34</f>
        <v>-300</v>
      </c>
      <c r="G34" s="500">
        <f>IF(E34="","",E34-F34)</f>
        <v>-1466.48</v>
      </c>
      <c r="H34" s="500">
        <f>IF(OR(3&gt;$B$3,ISBLANK(Actuals!E34)),"",Actuals!E34)</f>
        <v>-441.62</v>
      </c>
      <c r="I34" s="500">
        <f>Budget!E34</f>
        <v>-300</v>
      </c>
      <c r="J34" s="500">
        <f>IF(H34="","",H34-I34)</f>
        <v>-141.62</v>
      </c>
      <c r="K34" s="500">
        <f>IF(OR(4&gt;$B$3,ISBLANK(Actuals!F34)),"",Actuals!F34)</f>
        <v>-441.62</v>
      </c>
      <c r="L34" s="500">
        <f>Budget!F34</f>
        <v>-300</v>
      </c>
      <c r="M34" s="500">
        <f>IF(K34="","",K34-L34)</f>
        <v>-141.62</v>
      </c>
      <c r="N34" s="500">
        <f>IF(OR(5&gt;$B$3,ISBLANK(Actuals!G34)),"",Actuals!G34)</f>
        <v>-578.62</v>
      </c>
      <c r="O34" s="500">
        <f>Budget!G34</f>
        <v>-300</v>
      </c>
      <c r="P34" s="500">
        <f>IF(N34="","",N34-O34)</f>
        <v>-278.62</v>
      </c>
      <c r="Q34" s="500">
        <f>IF(OR(6&gt;$B$3,ISBLANK(Actuals!H34)),"",Actuals!H34)</f>
        <v>-491.62</v>
      </c>
      <c r="R34" s="500">
        <f>Budget!H34</f>
        <v>-300</v>
      </c>
      <c r="S34" s="500">
        <f>IF(Q34="","",Q34-R34)</f>
        <v>-191.62</v>
      </c>
      <c r="T34" s="500">
        <f>IF(OR(7&gt;$B$3,ISBLANK(Actuals!I34)),"",Actuals!I34)</f>
      </c>
      <c r="U34" s="500">
        <f>Budget!I34</f>
        <v>-306</v>
      </c>
      <c r="V34" s="500">
        <f>IF(T34="","",T34-U34)</f>
      </c>
      <c r="W34" s="500">
        <f>IF(OR(8&gt;$B$3,ISBLANK(Actuals!J34)),"",Actuals!J34)</f>
      </c>
      <c r="X34" s="500">
        <f>Budget!J34</f>
        <v>-306</v>
      </c>
      <c r="Y34" s="500">
        <f>IF(W34="","",W34-X34)</f>
      </c>
      <c r="Z34" s="500">
        <f>IF(OR(9&gt;$B$3,ISBLANK(Actuals!K34)),"",Actuals!K34)</f>
      </c>
      <c r="AA34" s="500">
        <f>Budget!K34</f>
        <v>-306</v>
      </c>
      <c r="AB34" s="500">
        <f>IF(Z34="","",Z34-AA34)</f>
      </c>
      <c r="AC34" s="500">
        <f>IF(OR(10&gt;$B$3,ISBLANK(Actuals!L34)),"",Actuals!L34)</f>
      </c>
      <c r="AD34" s="500">
        <f>Budget!L34</f>
        <v>-306</v>
      </c>
      <c r="AE34" s="500">
        <f>IF(AC34="","",AC34-AD34)</f>
      </c>
      <c r="AF34" s="500">
        <f>IF(OR(11&gt;$B$3,ISBLANK(Actuals!M34)),"",Actuals!M34)</f>
      </c>
      <c r="AG34" s="500">
        <f>Budget!M34</f>
        <v>-306</v>
      </c>
      <c r="AH34" s="500">
        <f>IF(AF34="","",AF34-AG34)</f>
      </c>
      <c r="AI34" s="500">
        <f>IF(OR(12&gt;$B$3,ISBLANK(Actuals!N34)),"",Actuals!N34)</f>
      </c>
      <c r="AJ34" s="500">
        <f>Budget!N34</f>
        <v>-306</v>
      </c>
      <c r="AK34" s="500">
        <f>IF(AI34="","",AI34-AJ34)</f>
      </c>
      <c r="AL34" s="501">
        <f>SUM(Actuals!$C34:INDEX(Actuals!$C34:$N34,$B$3))</f>
        <v>-3719.96</v>
      </c>
      <c r="AM34" s="501">
        <f>SUM(Budget!$C34:INDEX(Budget!$C34:$N34,$B$3))</f>
        <v>-1800</v>
      </c>
      <c r="AN34" s="501">
        <f>AL34-AM34</f>
        <v>-1919.96</v>
      </c>
    </row>
    <row r="35" ht="15" customFormat="1" customHeight="1" s="381">
      <c r="A35" s="499" t="inlineStr">
        <is>
          <t>5300-1050 Meals and Entertainment</t>
        </is>
      </c>
      <c r="B35" s="500">
        <f>IF(OR(1&gt;$B$3,ISBLANK(Actuals!C35)),"",Actuals!C35)</f>
        <v>-681.77</v>
      </c>
      <c r="C35" s="500">
        <f>Budget!C35</f>
        <v>-1500</v>
      </c>
      <c r="D35" s="500">
        <f>IF(B35="","",B35-C35)</f>
        <v>818.23</v>
      </c>
      <c r="E35" s="500">
        <f>IF(OR(2&gt;$B$3,ISBLANK(Actuals!D35)),"",Actuals!D35)</f>
        <v>-600.14</v>
      </c>
      <c r="F35" s="500">
        <f>Budget!D35</f>
        <v>-1500</v>
      </c>
      <c r="G35" s="500">
        <f>IF(E35="","",E35-F35)</f>
        <v>899.86</v>
      </c>
      <c r="H35" s="500">
        <f>IF(OR(3&gt;$B$3,ISBLANK(Actuals!E35)),"",Actuals!E35)</f>
        <v>-2121.95</v>
      </c>
      <c r="I35" s="500">
        <f>Budget!E35</f>
        <v>-1500</v>
      </c>
      <c r="J35" s="500">
        <f>IF(H35="","",H35-I35)</f>
        <v>-621.95</v>
      </c>
      <c r="K35" s="500">
        <f>IF(OR(4&gt;$B$3,ISBLANK(Actuals!F35)),"",Actuals!F35)</f>
        <v>-840.49</v>
      </c>
      <c r="L35" s="500">
        <f>Budget!F35</f>
        <v>-1500</v>
      </c>
      <c r="M35" s="500">
        <f>IF(K35="","",K35-L35)</f>
        <v>659.51</v>
      </c>
      <c r="N35" s="500">
        <f>IF(OR(5&gt;$B$3,ISBLANK(Actuals!G35)),"",Actuals!G35)</f>
        <v>-847.85</v>
      </c>
      <c r="O35" s="500">
        <f>Budget!G35</f>
        <v>-1500</v>
      </c>
      <c r="P35" s="500">
        <f>IF(N35="","",N35-O35)</f>
        <v>652.15</v>
      </c>
      <c r="Q35" s="500">
        <f>IF(OR(6&gt;$B$3,ISBLANK(Actuals!H35)),"",Actuals!H35)</f>
        <v>-486.63</v>
      </c>
      <c r="R35" s="500">
        <f>Budget!H35</f>
        <v>-1500</v>
      </c>
      <c r="S35" s="500">
        <f>IF(Q35="","",Q35-R35)</f>
        <v>1013.37</v>
      </c>
      <c r="T35" s="500">
        <f>IF(OR(7&gt;$B$3,ISBLANK(Actuals!I35)),"",Actuals!I35)</f>
      </c>
      <c r="U35" s="500">
        <f>Budget!I35</f>
        <v>-1530</v>
      </c>
      <c r="V35" s="500">
        <f>IF(T35="","",T35-U35)</f>
      </c>
      <c r="W35" s="500">
        <f>IF(OR(8&gt;$B$3,ISBLANK(Actuals!J35)),"",Actuals!J35)</f>
      </c>
      <c r="X35" s="500">
        <f>Budget!J35</f>
        <v>-1530</v>
      </c>
      <c r="Y35" s="500">
        <f>IF(W35="","",W35-X35)</f>
      </c>
      <c r="Z35" s="500">
        <f>IF(OR(9&gt;$B$3,ISBLANK(Actuals!K35)),"",Actuals!K35)</f>
      </c>
      <c r="AA35" s="500">
        <f>Budget!K35</f>
        <v>-1530</v>
      </c>
      <c r="AB35" s="500">
        <f>IF(Z35="","",Z35-AA35)</f>
      </c>
      <c r="AC35" s="500">
        <f>IF(OR(10&gt;$B$3,ISBLANK(Actuals!L35)),"",Actuals!L35)</f>
      </c>
      <c r="AD35" s="500">
        <f>Budget!L35</f>
        <v>-1530</v>
      </c>
      <c r="AE35" s="500">
        <f>IF(AC35="","",AC35-AD35)</f>
      </c>
      <c r="AF35" s="500">
        <f>IF(OR(11&gt;$B$3,ISBLANK(Actuals!M35)),"",Actuals!M35)</f>
      </c>
      <c r="AG35" s="500">
        <f>Budget!M35</f>
        <v>-1530</v>
      </c>
      <c r="AH35" s="500">
        <f>IF(AF35="","",AF35-AG35)</f>
      </c>
      <c r="AI35" s="500">
        <f>IF(OR(12&gt;$B$3,ISBLANK(Actuals!N35)),"",Actuals!N35)</f>
      </c>
      <c r="AJ35" s="500">
        <f>Budget!N35</f>
        <v>-1530</v>
      </c>
      <c r="AK35" s="500">
        <f>IF(AI35="","",AI35-AJ35)</f>
      </c>
      <c r="AL35" s="501">
        <f>SUM(Actuals!$C35:INDEX(Actuals!$C35:$N35,$B$3))</f>
        <v>-5578.83</v>
      </c>
      <c r="AM35" s="501">
        <f>SUM(Budget!$C35:INDEX(Budget!$C35:$N35,$B$3))</f>
        <v>-9000</v>
      </c>
      <c r="AN35" s="501">
        <f>AL35-AM35</f>
        <v>3421.17</v>
      </c>
    </row>
    <row r="36" ht="15" customFormat="1" customHeight="1" s="381">
      <c r="A36" s="499" t="inlineStr">
        <is>
          <t>5500-1000 Legal and Professional Fees</t>
        </is>
      </c>
      <c r="B36" s="500">
        <f>IF(OR(1&gt;$B$3,ISBLANK(Actuals!C36)),"",Actuals!C36)</f>
        <v>-2187.5</v>
      </c>
      <c r="C36" s="500">
        <f>Budget!C36</f>
        <v>-1000</v>
      </c>
      <c r="D36" s="500">
        <f>IF(B36="","",B36-C36)</f>
        <v>-1187.5</v>
      </c>
      <c r="E36" s="500">
        <f>IF(OR(2&gt;$B$3,ISBLANK(Actuals!D36)),"",Actuals!D36)</f>
        <v>0</v>
      </c>
      <c r="F36" s="500">
        <f>Budget!D36</f>
        <v>-1000</v>
      </c>
      <c r="G36" s="500">
        <f>IF(E36="","",E36-F36)</f>
        <v>1000</v>
      </c>
      <c r="H36" s="500">
        <f>IF(OR(3&gt;$B$3,ISBLANK(Actuals!E36)),"",Actuals!E36)</f>
        <v>-1625</v>
      </c>
      <c r="I36" s="500">
        <f>Budget!E36</f>
        <v>-1000</v>
      </c>
      <c r="J36" s="500">
        <f>IF(H36="","",H36-I36)</f>
        <v>-625</v>
      </c>
      <c r="K36" s="500">
        <f>IF(OR(4&gt;$B$3,ISBLANK(Actuals!F36)),"",Actuals!F36)</f>
        <v>0</v>
      </c>
      <c r="L36" s="500">
        <f>Budget!F36</f>
        <v>-1000</v>
      </c>
      <c r="M36" s="500">
        <f>IF(K36="","",K36-L36)</f>
        <v>1000</v>
      </c>
      <c r="N36" s="500">
        <f>IF(OR(5&gt;$B$3,ISBLANK(Actuals!G36)),"",Actuals!G36)</f>
        <v>0</v>
      </c>
      <c r="O36" s="500">
        <f>Budget!G36</f>
        <v>-1000</v>
      </c>
      <c r="P36" s="500">
        <f>IF(N36="","",N36-O36)</f>
        <v>1000</v>
      </c>
      <c r="Q36" s="500">
        <f>IF(OR(6&gt;$B$3,ISBLANK(Actuals!H36)),"",Actuals!H36)</f>
        <v>0</v>
      </c>
      <c r="R36" s="500">
        <f>Budget!H36</f>
        <v>-1000</v>
      </c>
      <c r="S36" s="500">
        <f>IF(Q36="","",Q36-R36)</f>
        <v>1000</v>
      </c>
      <c r="T36" s="500">
        <f>IF(OR(7&gt;$B$3,ISBLANK(Actuals!I36)),"",Actuals!I36)</f>
      </c>
      <c r="U36" s="500">
        <f>Budget!I36</f>
        <v>-1020</v>
      </c>
      <c r="V36" s="500">
        <f>IF(T36="","",T36-U36)</f>
      </c>
      <c r="W36" s="500">
        <f>IF(OR(8&gt;$B$3,ISBLANK(Actuals!J36)),"",Actuals!J36)</f>
      </c>
      <c r="X36" s="500">
        <f>Budget!J36</f>
        <v>-1020</v>
      </c>
      <c r="Y36" s="500">
        <f>IF(W36="","",W36-X36)</f>
      </c>
      <c r="Z36" s="500">
        <f>IF(OR(9&gt;$B$3,ISBLANK(Actuals!K36)),"",Actuals!K36)</f>
      </c>
      <c r="AA36" s="500">
        <f>Budget!K36</f>
        <v>-1020</v>
      </c>
      <c r="AB36" s="500">
        <f>IF(Z36="","",Z36-AA36)</f>
      </c>
      <c r="AC36" s="500">
        <f>IF(OR(10&gt;$B$3,ISBLANK(Actuals!L36)),"",Actuals!L36)</f>
      </c>
      <c r="AD36" s="500">
        <f>Budget!L36</f>
        <v>-1020</v>
      </c>
      <c r="AE36" s="500">
        <f>IF(AC36="","",AC36-AD36)</f>
      </c>
      <c r="AF36" s="500">
        <f>IF(OR(11&gt;$B$3,ISBLANK(Actuals!M36)),"",Actuals!M36)</f>
      </c>
      <c r="AG36" s="500">
        <f>Budget!M36</f>
        <v>-1020</v>
      </c>
      <c r="AH36" s="500">
        <f>IF(AF36="","",AF36-AG36)</f>
      </c>
      <c r="AI36" s="500">
        <f>IF(OR(12&gt;$B$3,ISBLANK(Actuals!N36)),"",Actuals!N36)</f>
      </c>
      <c r="AJ36" s="500">
        <f>Budget!N36</f>
        <v>-1020</v>
      </c>
      <c r="AK36" s="500">
        <f>IF(AI36="","",AI36-AJ36)</f>
      </c>
      <c r="AL36" s="501">
        <f>SUM(Actuals!$C36:INDEX(Actuals!$C36:$N36,$B$3))</f>
        <v>-3812.5</v>
      </c>
      <c r="AM36" s="501">
        <f>SUM(Budget!$C36:INDEX(Budget!$C36:$N36,$B$3))</f>
        <v>-6000</v>
      </c>
      <c r="AN36" s="501">
        <f>AL36-AM36</f>
        <v>2187.5</v>
      </c>
    </row>
    <row r="37" ht="15" customFormat="1" customHeight="1" s="381">
      <c r="A37" s="499" t="inlineStr">
        <is>
          <t>5500-1002 Accounting Consulting and Overhead</t>
        </is>
      </c>
      <c r="B37" s="500">
        <f>IF(OR(1&gt;$B$3,ISBLANK(Actuals!C37)),"",Actuals!C37)</f>
        <v>0</v>
      </c>
      <c r="C37" s="500">
        <f>Budget!C37</f>
        <v>-1000</v>
      </c>
      <c r="D37" s="500">
        <f>IF(B37="","",B37-C37)</f>
        <v>1000</v>
      </c>
      <c r="E37" s="500">
        <f>IF(OR(2&gt;$B$3,ISBLANK(Actuals!D37)),"",Actuals!D37)</f>
        <v>-12349</v>
      </c>
      <c r="F37" s="500">
        <f>Budget!D37</f>
        <v>-1000</v>
      </c>
      <c r="G37" s="500">
        <f>IF(E37="","",E37-F37)</f>
        <v>-11349</v>
      </c>
      <c r="H37" s="500">
        <f>IF(OR(3&gt;$B$3,ISBLANK(Actuals!E37)),"",Actuals!E37)</f>
        <v>-5400</v>
      </c>
      <c r="I37" s="500">
        <f>Budget!E37</f>
        <v>-1000</v>
      </c>
      <c r="J37" s="500">
        <f>IF(H37="","",H37-I37)</f>
        <v>-4400</v>
      </c>
      <c r="K37" s="500">
        <f>IF(OR(4&gt;$B$3,ISBLANK(Actuals!F37)),"",Actuals!F37)</f>
        <v>-4377</v>
      </c>
      <c r="L37" s="500">
        <f>Budget!F37</f>
        <v>-1000</v>
      </c>
      <c r="M37" s="500">
        <f>IF(K37="","",K37-L37)</f>
        <v>-3377</v>
      </c>
      <c r="N37" s="500">
        <f>IF(OR(5&gt;$B$3,ISBLANK(Actuals!G37)),"",Actuals!G37)</f>
        <v>-11750</v>
      </c>
      <c r="O37" s="500">
        <f>Budget!G37</f>
        <v>-1000</v>
      </c>
      <c r="P37" s="500">
        <f>IF(N37="","",N37-O37)</f>
        <v>-10750</v>
      </c>
      <c r="Q37" s="500">
        <f>IF(OR(6&gt;$B$3,ISBLANK(Actuals!H37)),"",Actuals!H37)</f>
        <v>0</v>
      </c>
      <c r="R37" s="500">
        <f>Budget!H37</f>
        <v>-1000</v>
      </c>
      <c r="S37" s="500">
        <f>IF(Q37="","",Q37-R37)</f>
        <v>1000</v>
      </c>
      <c r="T37" s="500">
        <f>IF(OR(7&gt;$B$3,ISBLANK(Actuals!I37)),"",Actuals!I37)</f>
      </c>
      <c r="U37" s="500">
        <f>Budget!I37</f>
        <v>-1020</v>
      </c>
      <c r="V37" s="500">
        <f>IF(T37="","",T37-U37)</f>
      </c>
      <c r="W37" s="500">
        <f>IF(OR(8&gt;$B$3,ISBLANK(Actuals!J37)),"",Actuals!J37)</f>
      </c>
      <c r="X37" s="500">
        <f>Budget!J37</f>
        <v>-1020</v>
      </c>
      <c r="Y37" s="500">
        <f>IF(W37="","",W37-X37)</f>
      </c>
      <c r="Z37" s="500">
        <f>IF(OR(9&gt;$B$3,ISBLANK(Actuals!K37)),"",Actuals!K37)</f>
      </c>
      <c r="AA37" s="500">
        <f>Budget!K37</f>
        <v>-1020</v>
      </c>
      <c r="AB37" s="500">
        <f>IF(Z37="","",Z37-AA37)</f>
      </c>
      <c r="AC37" s="500">
        <f>IF(OR(10&gt;$B$3,ISBLANK(Actuals!L37)),"",Actuals!L37)</f>
      </c>
      <c r="AD37" s="500">
        <f>Budget!L37</f>
        <v>-1020</v>
      </c>
      <c r="AE37" s="500">
        <f>IF(AC37="","",AC37-AD37)</f>
      </c>
      <c r="AF37" s="500">
        <f>IF(OR(11&gt;$B$3,ISBLANK(Actuals!M37)),"",Actuals!M37)</f>
      </c>
      <c r="AG37" s="500">
        <f>Budget!M37</f>
        <v>-1020</v>
      </c>
      <c r="AH37" s="500">
        <f>IF(AF37="","",AF37-AG37)</f>
      </c>
      <c r="AI37" s="500">
        <f>IF(OR(12&gt;$B$3,ISBLANK(Actuals!N37)),"",Actuals!N37)</f>
      </c>
      <c r="AJ37" s="500">
        <f>Budget!N37</f>
        <v>-1020</v>
      </c>
      <c r="AK37" s="500">
        <f>IF(AI37="","",AI37-AJ37)</f>
      </c>
      <c r="AL37" s="501">
        <f>SUM(Actuals!$C37:INDEX(Actuals!$C37:$N37,$B$3))</f>
        <v>-33876</v>
      </c>
      <c r="AM37" s="501">
        <f>SUM(Budget!$C37:INDEX(Budget!$C37:$N37,$B$3))</f>
        <v>-6000</v>
      </c>
      <c r="AN37" s="501">
        <f>AL37-AM37</f>
        <v>-27876</v>
      </c>
    </row>
    <row r="38" ht="15" customFormat="1" customHeight="1" s="381">
      <c r="A38" s="499" t="inlineStr">
        <is>
          <t>5500-1004 Consultants and Other Professional Expenses</t>
        </is>
      </c>
      <c r="B38" s="500">
        <f>IF(OR(1&gt;$B$3,ISBLANK(Actuals!C38)),"",Actuals!C38)</f>
        <v>0</v>
      </c>
      <c r="C38" s="500">
        <f>Budget!C38</f>
        <v>0</v>
      </c>
      <c r="D38" s="500">
        <f>IF(B38="","",B38-C38)</f>
        <v>0</v>
      </c>
      <c r="E38" s="500">
        <f>IF(OR(2&gt;$B$3,ISBLANK(Actuals!D38)),"",Actuals!D38)</f>
        <v>0</v>
      </c>
      <c r="F38" s="500">
        <f>Budget!D38</f>
        <v>0</v>
      </c>
      <c r="G38" s="500">
        <f>IF(E38="","",E38-F38)</f>
        <v>0</v>
      </c>
      <c r="H38" s="500">
        <f>IF(OR(3&gt;$B$3,ISBLANK(Actuals!E38)),"",Actuals!E38)</f>
        <v>-750.4</v>
      </c>
      <c r="I38" s="500">
        <f>Budget!E38</f>
        <v>0</v>
      </c>
      <c r="J38" s="500">
        <f>IF(H38="","",H38-I38)</f>
        <v>-750.4</v>
      </c>
      <c r="K38" s="500">
        <f>IF(OR(4&gt;$B$3,ISBLANK(Actuals!F38)),"",Actuals!F38)</f>
        <v>0</v>
      </c>
      <c r="L38" s="500">
        <f>Budget!F38</f>
        <v>0</v>
      </c>
      <c r="M38" s="500">
        <f>IF(K38="","",K38-L38)</f>
        <v>0</v>
      </c>
      <c r="N38" s="500">
        <f>IF(OR(5&gt;$B$3,ISBLANK(Actuals!G38)),"",Actuals!G38)</f>
        <v>0</v>
      </c>
      <c r="O38" s="500">
        <f>Budget!G38</f>
        <v>0</v>
      </c>
      <c r="P38" s="500">
        <f>IF(N38="","",N38-O38)</f>
        <v>0</v>
      </c>
      <c r="Q38" s="500">
        <f>IF(OR(6&gt;$B$3,ISBLANK(Actuals!H38)),"",Actuals!H38)</f>
        <v>0</v>
      </c>
      <c r="R38" s="500">
        <f>Budget!H38</f>
        <v>0</v>
      </c>
      <c r="S38" s="500">
        <f>IF(Q38="","",Q38-R38)</f>
        <v>0</v>
      </c>
      <c r="T38" s="500">
        <f>IF(OR(7&gt;$B$3,ISBLANK(Actuals!I38)),"",Actuals!I38)</f>
      </c>
      <c r="U38" s="500">
        <f>Budget!I38</f>
        <v>0</v>
      </c>
      <c r="V38" s="500">
        <f>IF(T38="","",T38-U38)</f>
      </c>
      <c r="W38" s="500">
        <f>IF(OR(8&gt;$B$3,ISBLANK(Actuals!J38)),"",Actuals!J38)</f>
      </c>
      <c r="X38" s="500">
        <f>Budget!J38</f>
        <v>0</v>
      </c>
      <c r="Y38" s="500">
        <f>IF(W38="","",W38-X38)</f>
      </c>
      <c r="Z38" s="500">
        <f>IF(OR(9&gt;$B$3,ISBLANK(Actuals!K38)),"",Actuals!K38)</f>
      </c>
      <c r="AA38" s="500">
        <f>Budget!K38</f>
        <v>0</v>
      </c>
      <c r="AB38" s="500">
        <f>IF(Z38="","",Z38-AA38)</f>
      </c>
      <c r="AC38" s="500">
        <f>IF(OR(10&gt;$B$3,ISBLANK(Actuals!L38)),"",Actuals!L38)</f>
      </c>
      <c r="AD38" s="500">
        <f>Budget!L38</f>
        <v>0</v>
      </c>
      <c r="AE38" s="500">
        <f>IF(AC38="","",AC38-AD38)</f>
      </c>
      <c r="AF38" s="500">
        <f>IF(OR(11&gt;$B$3,ISBLANK(Actuals!M38)),"",Actuals!M38)</f>
      </c>
      <c r="AG38" s="500">
        <f>Budget!M38</f>
        <v>0</v>
      </c>
      <c r="AH38" s="500">
        <f>IF(AF38="","",AF38-AG38)</f>
      </c>
      <c r="AI38" s="500">
        <f>IF(OR(12&gt;$B$3,ISBLANK(Actuals!N38)),"",Actuals!N38)</f>
      </c>
      <c r="AJ38" s="500">
        <f>Budget!N38</f>
        <v>0</v>
      </c>
      <c r="AK38" s="500">
        <f>IF(AI38="","",AI38-AJ38)</f>
      </c>
      <c r="AL38" s="501">
        <f>SUM(Actuals!$C38:INDEX(Actuals!$C38:$N38,$B$3))</f>
        <v>-750.4</v>
      </c>
      <c r="AM38" s="501">
        <f>SUM(Budget!$C38:INDEX(Budget!$C38:$N38,$B$3))</f>
        <v>0</v>
      </c>
      <c r="AN38" s="501">
        <f>AL38-AM38</f>
        <v>-750.4</v>
      </c>
    </row>
    <row r="39" ht="15" customFormat="1" customHeight="1" s="381">
      <c r="A39" s="499" t="inlineStr">
        <is>
          <t>5500-1050 General Insurance</t>
        </is>
      </c>
      <c r="B39" s="500">
        <f>IF(OR(1&gt;$B$3,ISBLANK(Actuals!C39)),"",Actuals!C39)</f>
        <v>-1474.63</v>
      </c>
      <c r="C39" s="500">
        <f>Budget!C39</f>
        <v>-1666.67</v>
      </c>
      <c r="D39" s="500">
        <f>IF(B39="","",B39-C39)</f>
        <v>192.04</v>
      </c>
      <c r="E39" s="500">
        <f>IF(OR(2&gt;$B$3,ISBLANK(Actuals!D39)),"",Actuals!D39)</f>
        <v>-1449.33</v>
      </c>
      <c r="F39" s="500">
        <f>Budget!D39</f>
        <v>-1666.67</v>
      </c>
      <c r="G39" s="500">
        <f>IF(E39="","",E39-F39)</f>
        <v>217.34</v>
      </c>
      <c r="H39" s="500">
        <f>IF(OR(3&gt;$B$3,ISBLANK(Actuals!E39)),"",Actuals!E39)</f>
        <v>-2328.76</v>
      </c>
      <c r="I39" s="500">
        <f>Budget!E39</f>
        <v>-1666.67</v>
      </c>
      <c r="J39" s="500">
        <f>IF(H39="","",H39-I39)</f>
        <v>-662.09</v>
      </c>
      <c r="K39" s="500">
        <f>IF(OR(4&gt;$B$3,ISBLANK(Actuals!F39)),"",Actuals!F39)</f>
        <v>-2249.56</v>
      </c>
      <c r="L39" s="500">
        <f>Budget!F39</f>
        <v>-1666.67</v>
      </c>
      <c r="M39" s="500">
        <f>IF(K39="","",K39-L39)</f>
        <v>-582.89</v>
      </c>
      <c r="N39" s="500">
        <f>IF(OR(5&gt;$B$3,ISBLANK(Actuals!G39)),"",Actuals!G39)</f>
        <v>-2759.48</v>
      </c>
      <c r="O39" s="500">
        <f>Budget!G39</f>
        <v>-1666.67</v>
      </c>
      <c r="P39" s="500">
        <f>IF(N39="","",N39-O39)</f>
        <v>-1092.81</v>
      </c>
      <c r="Q39" s="500">
        <f>IF(OR(6&gt;$B$3,ISBLANK(Actuals!H39)),"",Actuals!H39)</f>
        <v>-2749.12</v>
      </c>
      <c r="R39" s="500">
        <f>Budget!H39</f>
        <v>-1666.67</v>
      </c>
      <c r="S39" s="500">
        <f>IF(Q39="","",Q39-R39)</f>
        <v>-1082.45</v>
      </c>
      <c r="T39" s="500">
        <f>IF(OR(7&gt;$B$3,ISBLANK(Actuals!I39)),"",Actuals!I39)</f>
      </c>
      <c r="U39" s="500">
        <f>Budget!I39</f>
        <v>-1700</v>
      </c>
      <c r="V39" s="500">
        <f>IF(T39="","",T39-U39)</f>
      </c>
      <c r="W39" s="500">
        <f>IF(OR(8&gt;$B$3,ISBLANK(Actuals!J39)),"",Actuals!J39)</f>
      </c>
      <c r="X39" s="500">
        <f>Budget!J39</f>
        <v>-1700</v>
      </c>
      <c r="Y39" s="500">
        <f>IF(W39="","",W39-X39)</f>
      </c>
      <c r="Z39" s="500">
        <f>IF(OR(9&gt;$B$3,ISBLANK(Actuals!K39)),"",Actuals!K39)</f>
      </c>
      <c r="AA39" s="500">
        <f>Budget!K39</f>
        <v>-1700</v>
      </c>
      <c r="AB39" s="500">
        <f>IF(Z39="","",Z39-AA39)</f>
      </c>
      <c r="AC39" s="500">
        <f>IF(OR(10&gt;$B$3,ISBLANK(Actuals!L39)),"",Actuals!L39)</f>
      </c>
      <c r="AD39" s="500">
        <f>Budget!L39</f>
        <v>-1700</v>
      </c>
      <c r="AE39" s="500">
        <f>IF(AC39="","",AC39-AD39)</f>
      </c>
      <c r="AF39" s="500">
        <f>IF(OR(11&gt;$B$3,ISBLANK(Actuals!M39)),"",Actuals!M39)</f>
      </c>
      <c r="AG39" s="500">
        <f>Budget!M39</f>
        <v>-1700</v>
      </c>
      <c r="AH39" s="500">
        <f>IF(AF39="","",AF39-AG39)</f>
      </c>
      <c r="AI39" s="500">
        <f>IF(OR(12&gt;$B$3,ISBLANK(Actuals!N39)),"",Actuals!N39)</f>
      </c>
      <c r="AJ39" s="500">
        <f>Budget!N39</f>
        <v>-1700</v>
      </c>
      <c r="AK39" s="500">
        <f>IF(AI39="","",AI39-AJ39)</f>
      </c>
      <c r="AL39" s="501">
        <f>SUM(Actuals!$C39:INDEX(Actuals!$C39:$N39,$B$3))</f>
        <v>-13010.88</v>
      </c>
      <c r="AM39" s="501">
        <f>SUM(Budget!$C39:INDEX(Budget!$C39:$N39,$B$3))</f>
        <v>-10000.02</v>
      </c>
      <c r="AN39" s="501">
        <f>AL39-AM39</f>
        <v>-3010.86</v>
      </c>
    </row>
    <row r="40" ht="15" customFormat="1" customHeight="1" s="381">
      <c r="A40" s="499" t="inlineStr">
        <is>
          <t>5700-1003 Other Utilities</t>
        </is>
      </c>
      <c r="B40" s="500">
        <f>IF(OR(1&gt;$B$3,ISBLANK(Actuals!C40)),"",Actuals!C40)</f>
        <v>-1417.61</v>
      </c>
      <c r="C40" s="500">
        <f>Budget!C40</f>
        <v>-1000</v>
      </c>
      <c r="D40" s="500">
        <f>IF(B40="","",B40-C40)</f>
        <v>-417.61</v>
      </c>
      <c r="E40" s="500">
        <f>IF(OR(2&gt;$B$3,ISBLANK(Actuals!D40)),"",Actuals!D40)</f>
        <v>-2730.36</v>
      </c>
      <c r="F40" s="500">
        <f>Budget!D40</f>
        <v>-1000</v>
      </c>
      <c r="G40" s="500">
        <f>IF(E40="","",E40-F40)</f>
        <v>-1730.36</v>
      </c>
      <c r="H40" s="500">
        <f>IF(OR(3&gt;$B$3,ISBLANK(Actuals!E40)),"",Actuals!E40)</f>
        <v>-1818.05</v>
      </c>
      <c r="I40" s="500">
        <f>Budget!E40</f>
        <v>-1000</v>
      </c>
      <c r="J40" s="500">
        <f>IF(H40="","",H40-I40)</f>
        <v>-818.05</v>
      </c>
      <c r="K40" s="500">
        <f>IF(OR(4&gt;$B$3,ISBLANK(Actuals!F40)),"",Actuals!F40)</f>
        <v>-3307.74</v>
      </c>
      <c r="L40" s="500">
        <f>Budget!F40</f>
        <v>-1000</v>
      </c>
      <c r="M40" s="500">
        <f>IF(K40="","",K40-L40)</f>
        <v>-2307.74</v>
      </c>
      <c r="N40" s="500">
        <f>IF(OR(5&gt;$B$3,ISBLANK(Actuals!G40)),"",Actuals!G40)</f>
        <v>-1257.74</v>
      </c>
      <c r="O40" s="500">
        <f>Budget!G40</f>
        <v>-1000</v>
      </c>
      <c r="P40" s="500">
        <f>IF(N40="","",N40-O40)</f>
        <v>-257.74</v>
      </c>
      <c r="Q40" s="500">
        <f>IF(OR(6&gt;$B$3,ISBLANK(Actuals!H40)),"",Actuals!H40)</f>
        <v>-3372.74</v>
      </c>
      <c r="R40" s="500">
        <f>Budget!H40</f>
        <v>-1000</v>
      </c>
      <c r="S40" s="500">
        <f>IF(Q40="","",Q40-R40)</f>
        <v>-2372.74</v>
      </c>
      <c r="T40" s="500">
        <f>IF(OR(7&gt;$B$3,ISBLANK(Actuals!I40)),"",Actuals!I40)</f>
      </c>
      <c r="U40" s="500">
        <f>Budget!I40</f>
        <v>-1020</v>
      </c>
      <c r="V40" s="500">
        <f>IF(T40="","",T40-U40)</f>
      </c>
      <c r="W40" s="500">
        <f>IF(OR(8&gt;$B$3,ISBLANK(Actuals!J40)),"",Actuals!J40)</f>
      </c>
      <c r="X40" s="500">
        <f>Budget!J40</f>
        <v>-1020</v>
      </c>
      <c r="Y40" s="500">
        <f>IF(W40="","",W40-X40)</f>
      </c>
      <c r="Z40" s="500">
        <f>IF(OR(9&gt;$B$3,ISBLANK(Actuals!K40)),"",Actuals!K40)</f>
      </c>
      <c r="AA40" s="500">
        <f>Budget!K40</f>
        <v>-1020</v>
      </c>
      <c r="AB40" s="500">
        <f>IF(Z40="","",Z40-AA40)</f>
      </c>
      <c r="AC40" s="500">
        <f>IF(OR(10&gt;$B$3,ISBLANK(Actuals!L40)),"",Actuals!L40)</f>
      </c>
      <c r="AD40" s="500">
        <f>Budget!L40</f>
        <v>-1020</v>
      </c>
      <c r="AE40" s="500">
        <f>IF(AC40="","",AC40-AD40)</f>
      </c>
      <c r="AF40" s="500">
        <f>IF(OR(11&gt;$B$3,ISBLANK(Actuals!M40)),"",Actuals!M40)</f>
      </c>
      <c r="AG40" s="500">
        <f>Budget!M40</f>
        <v>-1020</v>
      </c>
      <c r="AH40" s="500">
        <f>IF(AF40="","",AF40-AG40)</f>
      </c>
      <c r="AI40" s="500">
        <f>IF(OR(12&gt;$B$3,ISBLANK(Actuals!N40)),"",Actuals!N40)</f>
      </c>
      <c r="AJ40" s="500">
        <f>Budget!N40</f>
        <v>-1020</v>
      </c>
      <c r="AK40" s="500">
        <f>IF(AI40="","",AI40-AJ40)</f>
      </c>
      <c r="AL40" s="501">
        <f>SUM(Actuals!$C40:INDEX(Actuals!$C40:$N40,$B$3))</f>
        <v>-13904.24</v>
      </c>
      <c r="AM40" s="501">
        <f>SUM(Budget!$C40:INDEX(Budget!$C40:$N40,$B$3))</f>
        <v>-6000</v>
      </c>
      <c r="AN40" s="501">
        <f>AL40-AM40</f>
        <v>-7904.24</v>
      </c>
    </row>
    <row r="41" ht="15" customFormat="1" customHeight="1" s="381">
      <c r="A41" s="499" t="inlineStr">
        <is>
          <t>5800-1003 Consulting Fee</t>
        </is>
      </c>
      <c r="B41" s="500">
        <f>IF(OR(1&gt;$B$3,ISBLANK(Actuals!C41)),"",Actuals!C41)</f>
        <v>0</v>
      </c>
      <c r="C41" s="500">
        <f>Budget!C41</f>
        <v>0</v>
      </c>
      <c r="D41" s="500">
        <f>IF(B41="","",B41-C41)</f>
        <v>0</v>
      </c>
      <c r="E41" s="500">
        <f>IF(OR(2&gt;$B$3,ISBLANK(Actuals!D41)),"",Actuals!D41)</f>
        <v>0</v>
      </c>
      <c r="F41" s="500">
        <f>Budget!D41</f>
        <v>0</v>
      </c>
      <c r="G41" s="500">
        <f>IF(E41="","",E41-F41)</f>
        <v>0</v>
      </c>
      <c r="H41" s="500">
        <f>IF(OR(3&gt;$B$3,ISBLANK(Actuals!E41)),"",Actuals!E41)</f>
        <v>-41990</v>
      </c>
      <c r="I41" s="500">
        <f>Budget!E41</f>
        <v>0</v>
      </c>
      <c r="J41" s="500">
        <f>IF(H41="","",H41-I41)</f>
        <v>-41990</v>
      </c>
      <c r="K41" s="500">
        <f>IF(OR(4&gt;$B$3,ISBLANK(Actuals!F41)),"",Actuals!F41)</f>
        <v>-42500</v>
      </c>
      <c r="L41" s="500">
        <f>Budget!F41</f>
        <v>0</v>
      </c>
      <c r="M41" s="500">
        <f>IF(K41="","",K41-L41)</f>
        <v>-42500</v>
      </c>
      <c r="N41" s="500">
        <f>IF(OR(5&gt;$B$3,ISBLANK(Actuals!G41)),"",Actuals!G41)</f>
        <v>-21000</v>
      </c>
      <c r="O41" s="500">
        <f>Budget!G41</f>
        <v>0</v>
      </c>
      <c r="P41" s="500">
        <f>IF(N41="","",N41-O41)</f>
        <v>-21000</v>
      </c>
      <c r="Q41" s="500">
        <f>IF(OR(6&gt;$B$3,ISBLANK(Actuals!H41)),"",Actuals!H41)</f>
        <v>0</v>
      </c>
      <c r="R41" s="500">
        <f>Budget!H41</f>
        <v>0</v>
      </c>
      <c r="S41" s="500">
        <f>IF(Q41="","",Q41-R41)</f>
        <v>0</v>
      </c>
      <c r="T41" s="500">
        <f>IF(OR(7&gt;$B$3,ISBLANK(Actuals!I41)),"",Actuals!I41)</f>
      </c>
      <c r="U41" s="500">
        <f>Budget!I41</f>
        <v>0</v>
      </c>
      <c r="V41" s="500">
        <f>IF(T41="","",T41-U41)</f>
      </c>
      <c r="W41" s="500">
        <f>IF(OR(8&gt;$B$3,ISBLANK(Actuals!J41)),"",Actuals!J41)</f>
      </c>
      <c r="X41" s="500">
        <f>Budget!J41</f>
        <v>0</v>
      </c>
      <c r="Y41" s="500">
        <f>IF(W41="","",W41-X41)</f>
      </c>
      <c r="Z41" s="500">
        <f>IF(OR(9&gt;$B$3,ISBLANK(Actuals!K41)),"",Actuals!K41)</f>
      </c>
      <c r="AA41" s="500">
        <f>Budget!K41</f>
        <v>0</v>
      </c>
      <c r="AB41" s="500">
        <f>IF(Z41="","",Z41-AA41)</f>
      </c>
      <c r="AC41" s="500">
        <f>IF(OR(10&gt;$B$3,ISBLANK(Actuals!L41)),"",Actuals!L41)</f>
      </c>
      <c r="AD41" s="500">
        <f>Budget!L41</f>
        <v>0</v>
      </c>
      <c r="AE41" s="500">
        <f>IF(AC41="","",AC41-AD41)</f>
      </c>
      <c r="AF41" s="500">
        <f>IF(OR(11&gt;$B$3,ISBLANK(Actuals!M41)),"",Actuals!M41)</f>
      </c>
      <c r="AG41" s="500">
        <f>Budget!M41</f>
        <v>0</v>
      </c>
      <c r="AH41" s="500">
        <f>IF(AF41="","",AF41-AG41)</f>
      </c>
      <c r="AI41" s="500">
        <f>IF(OR(12&gt;$B$3,ISBLANK(Actuals!N41)),"",Actuals!N41)</f>
      </c>
      <c r="AJ41" s="500">
        <f>Budget!N41</f>
        <v>0</v>
      </c>
      <c r="AK41" s="500">
        <f>IF(AI41="","",AI41-AJ41)</f>
      </c>
      <c r="AL41" s="501">
        <f>SUM(Actuals!$C41:INDEX(Actuals!$C41:$N41,$B$3))</f>
        <v>-105490</v>
      </c>
      <c r="AM41" s="501">
        <f>SUM(Budget!$C41:INDEX(Budget!$C41:$N41,$B$3))</f>
        <v>0</v>
      </c>
      <c r="AN41" s="501">
        <f>AL41-AM41</f>
        <v>-105490</v>
      </c>
    </row>
    <row r="42" ht="15" customFormat="1" customHeight="1" s="381">
      <c r="A42" s="499" t="inlineStr">
        <is>
          <t>5900-1000 Security Monitoring</t>
        </is>
      </c>
      <c r="B42" s="500">
        <f>IF(OR(1&gt;$B$3,ISBLANK(Actuals!C42)),"",Actuals!C42)</f>
        <v>-165</v>
      </c>
      <c r="C42" s="500">
        <f>Budget!C42</f>
        <v>0</v>
      </c>
      <c r="D42" s="500">
        <f>IF(B42="","",B42-C42)</f>
        <v>-165</v>
      </c>
      <c r="E42" s="500">
        <f>IF(OR(2&gt;$B$3,ISBLANK(Actuals!D42)),"",Actuals!D42)</f>
        <v>0</v>
      </c>
      <c r="F42" s="500">
        <f>Budget!D42</f>
        <v>0</v>
      </c>
      <c r="G42" s="500">
        <f>IF(E42="","",E42-F42)</f>
        <v>0</v>
      </c>
      <c r="H42" s="500">
        <f>IF(OR(3&gt;$B$3,ISBLANK(Actuals!E42)),"",Actuals!E42)</f>
        <v>0</v>
      </c>
      <c r="I42" s="500">
        <f>Budget!E42</f>
        <v>0</v>
      </c>
      <c r="J42" s="500">
        <f>IF(H42="","",H42-I42)</f>
        <v>0</v>
      </c>
      <c r="K42" s="500">
        <f>IF(OR(4&gt;$B$3,ISBLANK(Actuals!F42)),"",Actuals!F42)</f>
        <v>-165</v>
      </c>
      <c r="L42" s="500">
        <f>Budget!F42</f>
        <v>0</v>
      </c>
      <c r="M42" s="500">
        <f>IF(K42="","",K42-L42)</f>
        <v>-165</v>
      </c>
      <c r="N42" s="500">
        <f>IF(OR(5&gt;$B$3,ISBLANK(Actuals!G42)),"",Actuals!G42)</f>
        <v>0</v>
      </c>
      <c r="O42" s="500">
        <f>Budget!G42</f>
        <v>0</v>
      </c>
      <c r="P42" s="500">
        <f>IF(N42="","",N42-O42)</f>
        <v>0</v>
      </c>
      <c r="Q42" s="500">
        <f>IF(OR(6&gt;$B$3,ISBLANK(Actuals!H42)),"",Actuals!H42)</f>
        <v>-165</v>
      </c>
      <c r="R42" s="500">
        <f>Budget!H42</f>
        <v>0</v>
      </c>
      <c r="S42" s="500">
        <f>IF(Q42="","",Q42-R42)</f>
        <v>-165</v>
      </c>
      <c r="T42" s="500">
        <f>IF(OR(7&gt;$B$3,ISBLANK(Actuals!I42)),"",Actuals!I42)</f>
      </c>
      <c r="U42" s="500">
        <f>Budget!I42</f>
        <v>0</v>
      </c>
      <c r="V42" s="500">
        <f>IF(T42="","",T42-U42)</f>
      </c>
      <c r="W42" s="500">
        <f>IF(OR(8&gt;$B$3,ISBLANK(Actuals!J42)),"",Actuals!J42)</f>
      </c>
      <c r="X42" s="500">
        <f>Budget!J42</f>
        <v>0</v>
      </c>
      <c r="Y42" s="500">
        <f>IF(W42="","",W42-X42)</f>
      </c>
      <c r="Z42" s="500">
        <f>IF(OR(9&gt;$B$3,ISBLANK(Actuals!K42)),"",Actuals!K42)</f>
      </c>
      <c r="AA42" s="500">
        <f>Budget!K42</f>
        <v>0</v>
      </c>
      <c r="AB42" s="500">
        <f>IF(Z42="","",Z42-AA42)</f>
      </c>
      <c r="AC42" s="500">
        <f>IF(OR(10&gt;$B$3,ISBLANK(Actuals!L42)),"",Actuals!L42)</f>
      </c>
      <c r="AD42" s="500">
        <f>Budget!L42</f>
        <v>0</v>
      </c>
      <c r="AE42" s="500">
        <f>IF(AC42="","",AC42-AD42)</f>
      </c>
      <c r="AF42" s="500">
        <f>IF(OR(11&gt;$B$3,ISBLANK(Actuals!M42)),"",Actuals!M42)</f>
      </c>
      <c r="AG42" s="500">
        <f>Budget!M42</f>
        <v>0</v>
      </c>
      <c r="AH42" s="500">
        <f>IF(AF42="","",AF42-AG42)</f>
      </c>
      <c r="AI42" s="500">
        <f>IF(OR(12&gt;$B$3,ISBLANK(Actuals!N42)),"",Actuals!N42)</f>
      </c>
      <c r="AJ42" s="500">
        <f>Budget!N42</f>
        <v>0</v>
      </c>
      <c r="AK42" s="500">
        <f>IF(AI42="","",AI42-AJ42)</f>
      </c>
      <c r="AL42" s="501">
        <f>SUM(Actuals!$C42:INDEX(Actuals!$C42:$N42,$B$3))</f>
        <v>-495</v>
      </c>
      <c r="AM42" s="501">
        <f>SUM(Budget!$C42:INDEX(Budget!$C42:$N42,$B$3))</f>
        <v>0</v>
      </c>
      <c r="AN42" s="501">
        <f>AL42-AM42</f>
        <v>-495</v>
      </c>
    </row>
    <row r="43" ht="15" customFormat="1" customHeight="1" s="381">
      <c r="A43" s="499" t="inlineStr">
        <is>
          <t>5900-1002 Repairs and Maintenance</t>
        </is>
      </c>
      <c r="B43" s="500">
        <f>IF(OR(1&gt;$B$3,ISBLANK(Actuals!C43)),"",Actuals!C43)</f>
        <v>0</v>
      </c>
      <c r="C43" s="500">
        <f>Budget!C43</f>
        <v>0</v>
      </c>
      <c r="D43" s="500">
        <f>IF(B43="","",B43-C43)</f>
        <v>0</v>
      </c>
      <c r="E43" s="500">
        <f>IF(OR(2&gt;$B$3,ISBLANK(Actuals!D43)),"",Actuals!D43)</f>
        <v>0</v>
      </c>
      <c r="F43" s="500">
        <f>Budget!D43</f>
        <v>0</v>
      </c>
      <c r="G43" s="500">
        <f>IF(E43="","",E43-F43)</f>
        <v>0</v>
      </c>
      <c r="H43" s="500">
        <f>IF(OR(3&gt;$B$3,ISBLANK(Actuals!E43)),"",Actuals!E43)</f>
        <v>0</v>
      </c>
      <c r="I43" s="500">
        <f>Budget!E43</f>
        <v>0</v>
      </c>
      <c r="J43" s="500">
        <f>IF(H43="","",H43-I43)</f>
        <v>0</v>
      </c>
      <c r="K43" s="500">
        <f>IF(OR(4&gt;$B$3,ISBLANK(Actuals!F43)),"",Actuals!F43)</f>
        <v>-1036.49</v>
      </c>
      <c r="L43" s="500">
        <f>Budget!F43</f>
        <v>0</v>
      </c>
      <c r="M43" s="500">
        <f>IF(K43="","",K43-L43)</f>
        <v>-1036.49</v>
      </c>
      <c r="N43" s="500">
        <f>IF(OR(5&gt;$B$3,ISBLANK(Actuals!G43)),"",Actuals!G43)</f>
        <v>0</v>
      </c>
      <c r="O43" s="500">
        <f>Budget!G43</f>
        <v>0</v>
      </c>
      <c r="P43" s="500">
        <f>IF(N43="","",N43-O43)</f>
        <v>0</v>
      </c>
      <c r="Q43" s="500">
        <f>IF(OR(6&gt;$B$3,ISBLANK(Actuals!H43)),"",Actuals!H43)</f>
        <v>-4308.58</v>
      </c>
      <c r="R43" s="500">
        <f>Budget!H43</f>
        <v>0</v>
      </c>
      <c r="S43" s="500">
        <f>IF(Q43="","",Q43-R43)</f>
        <v>-4308.58</v>
      </c>
      <c r="T43" s="500">
        <f>IF(OR(7&gt;$B$3,ISBLANK(Actuals!I43)),"",Actuals!I43)</f>
      </c>
      <c r="U43" s="500">
        <f>Budget!I43</f>
        <v>0</v>
      </c>
      <c r="V43" s="500">
        <f>IF(T43="","",T43-U43)</f>
      </c>
      <c r="W43" s="500">
        <f>IF(OR(8&gt;$B$3,ISBLANK(Actuals!J43)),"",Actuals!J43)</f>
      </c>
      <c r="X43" s="500">
        <f>Budget!J43</f>
        <v>0</v>
      </c>
      <c r="Y43" s="500">
        <f>IF(W43="","",W43-X43)</f>
      </c>
      <c r="Z43" s="500">
        <f>IF(OR(9&gt;$B$3,ISBLANK(Actuals!K43)),"",Actuals!K43)</f>
      </c>
      <c r="AA43" s="500">
        <f>Budget!K43</f>
        <v>0</v>
      </c>
      <c r="AB43" s="500">
        <f>IF(Z43="","",Z43-AA43)</f>
      </c>
      <c r="AC43" s="500">
        <f>IF(OR(10&gt;$B$3,ISBLANK(Actuals!L43)),"",Actuals!L43)</f>
      </c>
      <c r="AD43" s="500">
        <f>Budget!L43</f>
        <v>0</v>
      </c>
      <c r="AE43" s="500">
        <f>IF(AC43="","",AC43-AD43)</f>
      </c>
      <c r="AF43" s="500">
        <f>IF(OR(11&gt;$B$3,ISBLANK(Actuals!M43)),"",Actuals!M43)</f>
      </c>
      <c r="AG43" s="500">
        <f>Budget!M43</f>
        <v>0</v>
      </c>
      <c r="AH43" s="500">
        <f>IF(AF43="","",AF43-AG43)</f>
      </c>
      <c r="AI43" s="500">
        <f>IF(OR(12&gt;$B$3,ISBLANK(Actuals!N43)),"",Actuals!N43)</f>
      </c>
      <c r="AJ43" s="500">
        <f>Budget!N43</f>
        <v>0</v>
      </c>
      <c r="AK43" s="500">
        <f>IF(AI43="","",AI43-AJ43)</f>
      </c>
      <c r="AL43" s="501">
        <f>SUM(Actuals!$C43:INDEX(Actuals!$C43:$N43,$B$3))</f>
        <v>-5345.07</v>
      </c>
      <c r="AM43" s="501">
        <f>SUM(Budget!$C43:INDEX(Budget!$C43:$N43,$B$3))</f>
        <v>0</v>
      </c>
      <c r="AN43" s="501">
        <f>AL43-AM43</f>
        <v>-5345.07</v>
      </c>
    </row>
    <row r="44" ht="15" customFormat="1" customHeight="1" s="381">
      <c r="A44" s="499" t="inlineStr">
        <is>
          <t>5900-1003 Janitorial and Cleaning Expenses</t>
        </is>
      </c>
      <c r="B44" s="500">
        <f>IF(OR(1&gt;$B$3,ISBLANK(Actuals!C44)),"",Actuals!C44)</f>
        <v>-550</v>
      </c>
      <c r="C44" s="500">
        <f>Budget!C44</f>
        <v>0</v>
      </c>
      <c r="D44" s="500">
        <f>IF(B44="","",B44-C44)</f>
        <v>-550</v>
      </c>
      <c r="E44" s="500">
        <f>IF(OR(2&gt;$B$3,ISBLANK(Actuals!D44)),"",Actuals!D44)</f>
        <v>-550</v>
      </c>
      <c r="F44" s="500">
        <f>Budget!D44</f>
        <v>0</v>
      </c>
      <c r="G44" s="500">
        <f>IF(E44="","",E44-F44)</f>
        <v>-550</v>
      </c>
      <c r="H44" s="500">
        <f>IF(OR(3&gt;$B$3,ISBLANK(Actuals!E44)),"",Actuals!E44)</f>
        <v>-550</v>
      </c>
      <c r="I44" s="500">
        <f>Budget!E44</f>
        <v>0</v>
      </c>
      <c r="J44" s="500">
        <f>IF(H44="","",H44-I44)</f>
        <v>-550</v>
      </c>
      <c r="K44" s="500">
        <f>IF(OR(4&gt;$B$3,ISBLANK(Actuals!F44)),"",Actuals!F44)</f>
        <v>-600</v>
      </c>
      <c r="L44" s="500">
        <f>Budget!F44</f>
        <v>0</v>
      </c>
      <c r="M44" s="500">
        <f>IF(K44="","",K44-L44)</f>
        <v>-600</v>
      </c>
      <c r="N44" s="500">
        <f>IF(OR(5&gt;$B$3,ISBLANK(Actuals!G44)),"",Actuals!G44)</f>
        <v>-650</v>
      </c>
      <c r="O44" s="500">
        <f>Budget!G44</f>
        <v>0</v>
      </c>
      <c r="P44" s="500">
        <f>IF(N44="","",N44-O44)</f>
        <v>-650</v>
      </c>
      <c r="Q44" s="500">
        <f>IF(OR(6&gt;$B$3,ISBLANK(Actuals!H44)),"",Actuals!H44)</f>
        <v>-575</v>
      </c>
      <c r="R44" s="500">
        <f>Budget!H44</f>
        <v>0</v>
      </c>
      <c r="S44" s="500">
        <f>IF(Q44="","",Q44-R44)</f>
        <v>-575</v>
      </c>
      <c r="T44" s="500">
        <f>IF(OR(7&gt;$B$3,ISBLANK(Actuals!I44)),"",Actuals!I44)</f>
      </c>
      <c r="U44" s="500">
        <f>Budget!I44</f>
        <v>0</v>
      </c>
      <c r="V44" s="500">
        <f>IF(T44="","",T44-U44)</f>
      </c>
      <c r="W44" s="500">
        <f>IF(OR(8&gt;$B$3,ISBLANK(Actuals!J44)),"",Actuals!J44)</f>
      </c>
      <c r="X44" s="500">
        <f>Budget!J44</f>
        <v>0</v>
      </c>
      <c r="Y44" s="500">
        <f>IF(W44="","",W44-X44)</f>
      </c>
      <c r="Z44" s="500">
        <f>IF(OR(9&gt;$B$3,ISBLANK(Actuals!K44)),"",Actuals!K44)</f>
      </c>
      <c r="AA44" s="500">
        <f>Budget!K44</f>
        <v>0</v>
      </c>
      <c r="AB44" s="500">
        <f>IF(Z44="","",Z44-AA44)</f>
      </c>
      <c r="AC44" s="500">
        <f>IF(OR(10&gt;$B$3,ISBLANK(Actuals!L44)),"",Actuals!L44)</f>
      </c>
      <c r="AD44" s="500">
        <f>Budget!L44</f>
        <v>0</v>
      </c>
      <c r="AE44" s="500">
        <f>IF(AC44="","",AC44-AD44)</f>
      </c>
      <c r="AF44" s="500">
        <f>IF(OR(11&gt;$B$3,ISBLANK(Actuals!M44)),"",Actuals!M44)</f>
      </c>
      <c r="AG44" s="500">
        <f>Budget!M44</f>
        <v>0</v>
      </c>
      <c r="AH44" s="500">
        <f>IF(AF44="","",AF44-AG44)</f>
      </c>
      <c r="AI44" s="500">
        <f>IF(OR(12&gt;$B$3,ISBLANK(Actuals!N44)),"",Actuals!N44)</f>
      </c>
      <c r="AJ44" s="500">
        <f>Budget!N44</f>
        <v>0</v>
      </c>
      <c r="AK44" s="500">
        <f>IF(AI44="","",AI44-AJ44)</f>
      </c>
      <c r="AL44" s="501">
        <f>SUM(Actuals!$C44:INDEX(Actuals!$C44:$N44,$B$3))</f>
        <v>-3475</v>
      </c>
      <c r="AM44" s="501">
        <f>SUM(Budget!$C44:INDEX(Budget!$C44:$N44,$B$3))</f>
        <v>0</v>
      </c>
      <c r="AN44" s="501">
        <f>AL44-AM44</f>
        <v>-3475</v>
      </c>
    </row>
    <row r="45" ht="15" customFormat="1" customHeight="1" s="381">
      <c r="A45" s="499" t="inlineStr">
        <is>
          <t>5900-1005 Supplies and Other Job Site Overhead</t>
        </is>
      </c>
      <c r="B45" s="500">
        <f>IF(OR(1&gt;$B$3,ISBLANK(Actuals!C45)),"",Actuals!C45)</f>
        <v>-19223.75</v>
      </c>
      <c r="C45" s="500">
        <f>Budget!C45</f>
        <v>-4166.67</v>
      </c>
      <c r="D45" s="500">
        <f>IF(B45="","",B45-C45)</f>
        <v>-15057.08</v>
      </c>
      <c r="E45" s="500">
        <f>IF(OR(2&gt;$B$3,ISBLANK(Actuals!D45)),"",Actuals!D45)</f>
        <v>-13381.97</v>
      </c>
      <c r="F45" s="500">
        <f>Budget!D45</f>
        <v>-4166.67</v>
      </c>
      <c r="G45" s="500">
        <f>IF(E45="","",E45-F45)</f>
        <v>-9215.3</v>
      </c>
      <c r="H45" s="500">
        <f>IF(OR(3&gt;$B$3,ISBLANK(Actuals!E45)),"",Actuals!E45)</f>
        <v>-20308.69</v>
      </c>
      <c r="I45" s="500">
        <f>Budget!E45</f>
        <v>-4166.67</v>
      </c>
      <c r="J45" s="500">
        <f>IF(H45="","",H45-I45)</f>
        <v>-16142.02</v>
      </c>
      <c r="K45" s="500">
        <f>IF(OR(4&gt;$B$3,ISBLANK(Actuals!F45)),"",Actuals!F45)</f>
        <v>-16948.76</v>
      </c>
      <c r="L45" s="500">
        <f>Budget!F45</f>
        <v>-4166.67</v>
      </c>
      <c r="M45" s="500">
        <f>IF(K45="","",K45-L45)</f>
        <v>-12782.09</v>
      </c>
      <c r="N45" s="500">
        <f>IF(OR(5&gt;$B$3,ISBLANK(Actuals!G45)),"",Actuals!G45)</f>
        <v>-29716.98</v>
      </c>
      <c r="O45" s="500">
        <f>Budget!G45</f>
        <v>-4166.67</v>
      </c>
      <c r="P45" s="500">
        <f>IF(N45="","",N45-O45)</f>
        <v>-25550.31</v>
      </c>
      <c r="Q45" s="500">
        <f>IF(OR(6&gt;$B$3,ISBLANK(Actuals!H45)),"",Actuals!H45)</f>
        <v>-11335.64</v>
      </c>
      <c r="R45" s="500">
        <f>Budget!H45</f>
        <v>-4166.67</v>
      </c>
      <c r="S45" s="500">
        <f>IF(Q45="","",Q45-R45)</f>
        <v>-7168.97</v>
      </c>
      <c r="T45" s="500">
        <f>IF(OR(7&gt;$B$3,ISBLANK(Actuals!I45)),"",Actuals!I45)</f>
      </c>
      <c r="U45" s="500">
        <f>Budget!I45</f>
        <v>-4250</v>
      </c>
      <c r="V45" s="500">
        <f>IF(T45="","",T45-U45)</f>
      </c>
      <c r="W45" s="500">
        <f>IF(OR(8&gt;$B$3,ISBLANK(Actuals!J45)),"",Actuals!J45)</f>
      </c>
      <c r="X45" s="500">
        <f>Budget!J45</f>
        <v>-4250</v>
      </c>
      <c r="Y45" s="500">
        <f>IF(W45="","",W45-X45)</f>
      </c>
      <c r="Z45" s="500">
        <f>IF(OR(9&gt;$B$3,ISBLANK(Actuals!K45)),"",Actuals!K45)</f>
      </c>
      <c r="AA45" s="500">
        <f>Budget!K45</f>
        <v>-4250</v>
      </c>
      <c r="AB45" s="500">
        <f>IF(Z45="","",Z45-AA45)</f>
      </c>
      <c r="AC45" s="500">
        <f>IF(OR(10&gt;$B$3,ISBLANK(Actuals!L45)),"",Actuals!L45)</f>
      </c>
      <c r="AD45" s="500">
        <f>Budget!L45</f>
        <v>-4250</v>
      </c>
      <c r="AE45" s="500">
        <f>IF(AC45="","",AC45-AD45)</f>
      </c>
      <c r="AF45" s="500">
        <f>IF(OR(11&gt;$B$3,ISBLANK(Actuals!M45)),"",Actuals!M45)</f>
      </c>
      <c r="AG45" s="500">
        <f>Budget!M45</f>
        <v>-4250</v>
      </c>
      <c r="AH45" s="500">
        <f>IF(AF45="","",AF45-AG45)</f>
      </c>
      <c r="AI45" s="500">
        <f>IF(OR(12&gt;$B$3,ISBLANK(Actuals!N45)),"",Actuals!N45)</f>
      </c>
      <c r="AJ45" s="500">
        <f>Budget!N45</f>
        <v>-4250</v>
      </c>
      <c r="AK45" s="500">
        <f>IF(AI45="","",AI45-AJ45)</f>
      </c>
      <c r="AL45" s="501">
        <f>SUM(Actuals!$C45:INDEX(Actuals!$C45:$N45,$B$3))</f>
        <v>-110915.79</v>
      </c>
      <c r="AM45" s="501">
        <f>SUM(Budget!$C45:INDEX(Budget!$C45:$N45,$B$3))</f>
        <v>-25000.02</v>
      </c>
      <c r="AN45" s="501">
        <f>AL45-AM45</f>
        <v>-85915.77</v>
      </c>
    </row>
    <row r="46" ht="15" customFormat="1" customHeight="1" s="381">
      <c r="A46" s="499" t="inlineStr">
        <is>
          <t>5900-1006 Auto and Truck Expense</t>
        </is>
      </c>
      <c r="B46" s="500">
        <f>IF(OR(1&gt;$B$3,ISBLANK(Actuals!C46)),"",Actuals!C46)</f>
        <v>-1909.98</v>
      </c>
      <c r="C46" s="500">
        <f>Budget!C46</f>
        <v>-1000</v>
      </c>
      <c r="D46" s="500">
        <f>IF(B46="","",B46-C46)</f>
        <v>-909.98</v>
      </c>
      <c r="E46" s="500">
        <f>IF(OR(2&gt;$B$3,ISBLANK(Actuals!D46)),"",Actuals!D46)</f>
        <v>-190.1</v>
      </c>
      <c r="F46" s="500">
        <f>Budget!D46</f>
        <v>-1000</v>
      </c>
      <c r="G46" s="500">
        <f>IF(E46="","",E46-F46)</f>
        <v>809.9</v>
      </c>
      <c r="H46" s="500">
        <f>IF(OR(3&gt;$B$3,ISBLANK(Actuals!E46)),"",Actuals!E46)</f>
        <v>-2166.92</v>
      </c>
      <c r="I46" s="500">
        <f>Budget!E46</f>
        <v>-1000</v>
      </c>
      <c r="J46" s="500">
        <f>IF(H46="","",H46-I46)</f>
        <v>-1166.92</v>
      </c>
      <c r="K46" s="500">
        <f>IF(OR(4&gt;$B$3,ISBLANK(Actuals!F46)),"",Actuals!F46)</f>
        <v>-1816.95</v>
      </c>
      <c r="L46" s="500">
        <f>Budget!F46</f>
        <v>-1000</v>
      </c>
      <c r="M46" s="500">
        <f>IF(K46="","",K46-L46)</f>
        <v>-816.95</v>
      </c>
      <c r="N46" s="500">
        <f>IF(OR(5&gt;$B$3,ISBLANK(Actuals!G46)),"",Actuals!G46)</f>
        <v>-1452.9</v>
      </c>
      <c r="O46" s="500">
        <f>Budget!G46</f>
        <v>-1000</v>
      </c>
      <c r="P46" s="500">
        <f>IF(N46="","",N46-O46)</f>
        <v>-452.9</v>
      </c>
      <c r="Q46" s="500">
        <f>IF(OR(6&gt;$B$3,ISBLANK(Actuals!H46)),"",Actuals!H46)</f>
        <v>-13918.31</v>
      </c>
      <c r="R46" s="500">
        <f>Budget!H46</f>
        <v>-1000</v>
      </c>
      <c r="S46" s="500">
        <f>IF(Q46="","",Q46-R46)</f>
        <v>-12918.31</v>
      </c>
      <c r="T46" s="500">
        <f>IF(OR(7&gt;$B$3,ISBLANK(Actuals!I46)),"",Actuals!I46)</f>
      </c>
      <c r="U46" s="500">
        <f>Budget!I46</f>
        <v>-1020</v>
      </c>
      <c r="V46" s="500">
        <f>IF(T46="","",T46-U46)</f>
      </c>
      <c r="W46" s="500">
        <f>IF(OR(8&gt;$B$3,ISBLANK(Actuals!J46)),"",Actuals!J46)</f>
      </c>
      <c r="X46" s="500">
        <f>Budget!J46</f>
        <v>-1020</v>
      </c>
      <c r="Y46" s="500">
        <f>IF(W46="","",W46-X46)</f>
      </c>
      <c r="Z46" s="500">
        <f>IF(OR(9&gt;$B$3,ISBLANK(Actuals!K46)),"",Actuals!K46)</f>
      </c>
      <c r="AA46" s="500">
        <f>Budget!K46</f>
        <v>-1020</v>
      </c>
      <c r="AB46" s="500">
        <f>IF(Z46="","",Z46-AA46)</f>
      </c>
      <c r="AC46" s="500">
        <f>IF(OR(10&gt;$B$3,ISBLANK(Actuals!L46)),"",Actuals!L46)</f>
      </c>
      <c r="AD46" s="500">
        <f>Budget!L46</f>
        <v>-1020</v>
      </c>
      <c r="AE46" s="500">
        <f>IF(AC46="","",AC46-AD46)</f>
      </c>
      <c r="AF46" s="500">
        <f>IF(OR(11&gt;$B$3,ISBLANK(Actuals!M46)),"",Actuals!M46)</f>
      </c>
      <c r="AG46" s="500">
        <f>Budget!M46</f>
        <v>-1020</v>
      </c>
      <c r="AH46" s="500">
        <f>IF(AF46="","",AF46-AG46)</f>
      </c>
      <c r="AI46" s="500">
        <f>IF(OR(12&gt;$B$3,ISBLANK(Actuals!N46)),"",Actuals!N46)</f>
      </c>
      <c r="AJ46" s="500">
        <f>Budget!N46</f>
        <v>-1020</v>
      </c>
      <c r="AK46" s="500">
        <f>IF(AI46="","",AI46-AJ46)</f>
      </c>
      <c r="AL46" s="501">
        <f>SUM(Actuals!$C46:INDEX(Actuals!$C46:$N46,$B$3))</f>
        <v>-21455.16</v>
      </c>
      <c r="AM46" s="501">
        <f>SUM(Budget!$C46:INDEX(Budget!$C46:$N46,$B$3))</f>
        <v>-6000</v>
      </c>
      <c r="AN46" s="501">
        <f>AL46-AM46</f>
        <v>-15455.16</v>
      </c>
    </row>
    <row r="47" ht="15" customFormat="1" customHeight="1" s="381">
      <c r="A47" s="499" t="inlineStr">
        <is>
          <t>5900-1007 Landscaping</t>
        </is>
      </c>
      <c r="B47" s="500">
        <f>IF(OR(1&gt;$B$3,ISBLANK(Actuals!C47)),"",Actuals!C47)</f>
        <v>-320</v>
      </c>
      <c r="C47" s="500">
        <f>Budget!C47</f>
        <v>0</v>
      </c>
      <c r="D47" s="500">
        <f>IF(B47="","",B47-C47)</f>
        <v>-320</v>
      </c>
      <c r="E47" s="500">
        <f>IF(OR(2&gt;$B$3,ISBLANK(Actuals!D47)),"",Actuals!D47)</f>
        <v>-160</v>
      </c>
      <c r="F47" s="500">
        <f>Budget!D47</f>
        <v>0</v>
      </c>
      <c r="G47" s="500">
        <f>IF(E47="","",E47-F47)</f>
        <v>-160</v>
      </c>
      <c r="H47" s="500">
        <f>IF(OR(3&gt;$B$3,ISBLANK(Actuals!E47)),"",Actuals!E47)</f>
        <v>0</v>
      </c>
      <c r="I47" s="500">
        <f>Budget!E47</f>
        <v>0</v>
      </c>
      <c r="J47" s="500">
        <f>IF(H47="","",H47-I47)</f>
        <v>0</v>
      </c>
      <c r="K47" s="500">
        <f>IF(OR(4&gt;$B$3,ISBLANK(Actuals!F47)),"",Actuals!F47)</f>
        <v>0</v>
      </c>
      <c r="L47" s="500">
        <f>Budget!F47</f>
        <v>0</v>
      </c>
      <c r="M47" s="500">
        <f>IF(K47="","",K47-L47)</f>
        <v>0</v>
      </c>
      <c r="N47" s="500">
        <f>IF(OR(5&gt;$B$3,ISBLANK(Actuals!G47)),"",Actuals!G47)</f>
        <v>-320</v>
      </c>
      <c r="O47" s="500">
        <f>Budget!G47</f>
        <v>0</v>
      </c>
      <c r="P47" s="500">
        <f>IF(N47="","",N47-O47)</f>
        <v>-320</v>
      </c>
      <c r="Q47" s="500">
        <f>IF(OR(6&gt;$B$3,ISBLANK(Actuals!H47)),"",Actuals!H47)</f>
        <v>-320</v>
      </c>
      <c r="R47" s="500">
        <f>Budget!H47</f>
        <v>0</v>
      </c>
      <c r="S47" s="500">
        <f>IF(Q47="","",Q47-R47)</f>
        <v>-320</v>
      </c>
      <c r="T47" s="500">
        <f>IF(OR(7&gt;$B$3,ISBLANK(Actuals!I47)),"",Actuals!I47)</f>
      </c>
      <c r="U47" s="500">
        <f>Budget!I47</f>
        <v>0</v>
      </c>
      <c r="V47" s="500">
        <f>IF(T47="","",T47-U47)</f>
      </c>
      <c r="W47" s="500">
        <f>IF(OR(8&gt;$B$3,ISBLANK(Actuals!J47)),"",Actuals!J47)</f>
      </c>
      <c r="X47" s="500">
        <f>Budget!J47</f>
        <v>0</v>
      </c>
      <c r="Y47" s="500">
        <f>IF(W47="","",W47-X47)</f>
      </c>
      <c r="Z47" s="500">
        <f>IF(OR(9&gt;$B$3,ISBLANK(Actuals!K47)),"",Actuals!K47)</f>
      </c>
      <c r="AA47" s="500">
        <f>Budget!K47</f>
        <v>0</v>
      </c>
      <c r="AB47" s="500">
        <f>IF(Z47="","",Z47-AA47)</f>
      </c>
      <c r="AC47" s="500">
        <f>IF(OR(10&gt;$B$3,ISBLANK(Actuals!L47)),"",Actuals!L47)</f>
      </c>
      <c r="AD47" s="500">
        <f>Budget!L47</f>
        <v>0</v>
      </c>
      <c r="AE47" s="500">
        <f>IF(AC47="","",AC47-AD47)</f>
      </c>
      <c r="AF47" s="500">
        <f>IF(OR(11&gt;$B$3,ISBLANK(Actuals!M47)),"",Actuals!M47)</f>
      </c>
      <c r="AG47" s="500">
        <f>Budget!M47</f>
        <v>0</v>
      </c>
      <c r="AH47" s="500">
        <f>IF(AF47="","",AF47-AG47)</f>
      </c>
      <c r="AI47" s="500">
        <f>IF(OR(12&gt;$B$3,ISBLANK(Actuals!N47)),"",Actuals!N47)</f>
      </c>
      <c r="AJ47" s="500">
        <f>Budget!N47</f>
        <v>0</v>
      </c>
      <c r="AK47" s="500">
        <f>IF(AI47="","",AI47-AJ47)</f>
      </c>
      <c r="AL47" s="501">
        <f>SUM(Actuals!$C47:INDEX(Actuals!$C47:$N47,$B$3))</f>
        <v>-1120</v>
      </c>
      <c r="AM47" s="501">
        <f>SUM(Budget!$C47:INDEX(Budget!$C47:$N47,$B$3))</f>
        <v>0</v>
      </c>
      <c r="AN47" s="501">
        <f>AL47-AM47</f>
        <v>-1120</v>
      </c>
    </row>
    <row r="48" ht="15" customFormat="1" customHeight="1" s="381">
      <c r="A48" s="499" t="inlineStr">
        <is>
          <t>5900-1040 Warranty and Other Job Adjustments</t>
        </is>
      </c>
      <c r="B48" s="500">
        <f>IF(OR(1&gt;$B$3,ISBLANK(Actuals!C48)),"",Actuals!C48)</f>
        <v>-17660.72</v>
      </c>
      <c r="C48" s="500">
        <f>Budget!C48</f>
        <v>-4166.67</v>
      </c>
      <c r="D48" s="500">
        <f>IF(B48="","",B48-C48)</f>
        <v>-13494.05</v>
      </c>
      <c r="E48" s="500">
        <f>IF(OR(2&gt;$B$3,ISBLANK(Actuals!D48)),"",Actuals!D48)</f>
        <v>-5799</v>
      </c>
      <c r="F48" s="500">
        <f>Budget!D48</f>
        <v>-4166.67</v>
      </c>
      <c r="G48" s="500">
        <f>IF(E48="","",E48-F48)</f>
        <v>-1632.33</v>
      </c>
      <c r="H48" s="500">
        <f>IF(OR(3&gt;$B$3,ISBLANK(Actuals!E48)),"",Actuals!E48)</f>
        <v>-3432.18</v>
      </c>
      <c r="I48" s="500">
        <f>Budget!E48</f>
        <v>-4166.67</v>
      </c>
      <c r="J48" s="500">
        <f>IF(H48="","",H48-I48)</f>
        <v>734.49</v>
      </c>
      <c r="K48" s="500">
        <f>IF(OR(4&gt;$B$3,ISBLANK(Actuals!F48)),"",Actuals!F48)</f>
        <v>0</v>
      </c>
      <c r="L48" s="500">
        <f>Budget!F48</f>
        <v>-4166.67</v>
      </c>
      <c r="M48" s="500">
        <f>IF(K48="","",K48-L48)</f>
        <v>4166.67</v>
      </c>
      <c r="N48" s="500">
        <f>IF(OR(5&gt;$B$3,ISBLANK(Actuals!G48)),"",Actuals!G48)</f>
        <v>-73874.29</v>
      </c>
      <c r="O48" s="500">
        <f>Budget!G48</f>
        <v>-4166.67</v>
      </c>
      <c r="P48" s="500">
        <f>IF(N48="","",N48-O48)</f>
        <v>-69707.62</v>
      </c>
      <c r="Q48" s="500">
        <f>IF(OR(6&gt;$B$3,ISBLANK(Actuals!H48)),"",Actuals!H48)</f>
        <v>0</v>
      </c>
      <c r="R48" s="500">
        <f>Budget!H48</f>
        <v>-4166.67</v>
      </c>
      <c r="S48" s="500">
        <f>IF(Q48="","",Q48-R48)</f>
        <v>4166.67</v>
      </c>
      <c r="T48" s="500">
        <f>IF(OR(7&gt;$B$3,ISBLANK(Actuals!I48)),"",Actuals!I48)</f>
      </c>
      <c r="U48" s="500">
        <f>Budget!I48</f>
        <v>-4250</v>
      </c>
      <c r="V48" s="500">
        <f>IF(T48="","",T48-U48)</f>
      </c>
      <c r="W48" s="500">
        <f>IF(OR(8&gt;$B$3,ISBLANK(Actuals!J48)),"",Actuals!J48)</f>
      </c>
      <c r="X48" s="500">
        <f>Budget!J48</f>
        <v>-4250</v>
      </c>
      <c r="Y48" s="500">
        <f>IF(W48="","",W48-X48)</f>
      </c>
      <c r="Z48" s="500">
        <f>IF(OR(9&gt;$B$3,ISBLANK(Actuals!K48)),"",Actuals!K48)</f>
      </c>
      <c r="AA48" s="500">
        <f>Budget!K48</f>
        <v>-4250</v>
      </c>
      <c r="AB48" s="500">
        <f>IF(Z48="","",Z48-AA48)</f>
      </c>
      <c r="AC48" s="500">
        <f>IF(OR(10&gt;$B$3,ISBLANK(Actuals!L48)),"",Actuals!L48)</f>
      </c>
      <c r="AD48" s="500">
        <f>Budget!L48</f>
        <v>-4250</v>
      </c>
      <c r="AE48" s="500">
        <f>IF(AC48="","",AC48-AD48)</f>
      </c>
      <c r="AF48" s="500">
        <f>IF(OR(11&gt;$B$3,ISBLANK(Actuals!M48)),"",Actuals!M48)</f>
      </c>
      <c r="AG48" s="500">
        <f>Budget!M48</f>
        <v>-4250</v>
      </c>
      <c r="AH48" s="500">
        <f>IF(AF48="","",AF48-AG48)</f>
      </c>
      <c r="AI48" s="500">
        <f>IF(OR(12&gt;$B$3,ISBLANK(Actuals!N48)),"",Actuals!N48)</f>
      </c>
      <c r="AJ48" s="500">
        <f>Budget!N48</f>
        <v>-4250</v>
      </c>
      <c r="AK48" s="500">
        <f>IF(AI48="","",AI48-AJ48)</f>
      </c>
      <c r="AL48" s="501">
        <f>SUM(Actuals!$C48:INDEX(Actuals!$C48:$N48,$B$3))</f>
        <v>-100766.19</v>
      </c>
      <c r="AM48" s="501">
        <f>SUM(Budget!$C48:INDEX(Budget!$C48:$N48,$B$3))</f>
        <v>-25000.02</v>
      </c>
      <c r="AN48" s="501">
        <f>AL48-AM48</f>
        <v>-75766.17</v>
      </c>
    </row>
    <row r="49" ht="15" customFormat="1" customHeight="1" s="381">
      <c r="A49" s="499" t="inlineStr">
        <is>
          <t>5900-1075 Miscellaneous Expense</t>
        </is>
      </c>
      <c r="B49" s="500">
        <f>IF(OR(1&gt;$B$3,ISBLANK(Actuals!C49)),"",Actuals!C49)</f>
        <v>-1913.91</v>
      </c>
      <c r="C49" s="500">
        <f>Budget!C49</f>
        <v>0</v>
      </c>
      <c r="D49" s="500">
        <f>IF(B49="","",B49-C49)</f>
        <v>-1913.91</v>
      </c>
      <c r="E49" s="500">
        <f>IF(OR(2&gt;$B$3,ISBLANK(Actuals!D49)),"",Actuals!D49)</f>
        <v>-2254.72</v>
      </c>
      <c r="F49" s="500">
        <f>Budget!D49</f>
        <v>0</v>
      </c>
      <c r="G49" s="500">
        <f>IF(E49="","",E49-F49)</f>
        <v>-2254.72</v>
      </c>
      <c r="H49" s="500">
        <f>IF(OR(3&gt;$B$3,ISBLANK(Actuals!E49)),"",Actuals!E49)</f>
        <v>-1913.91</v>
      </c>
      <c r="I49" s="500">
        <f>Budget!E49</f>
        <v>0</v>
      </c>
      <c r="J49" s="500">
        <f>IF(H49="","",H49-I49)</f>
        <v>-1913.91</v>
      </c>
      <c r="K49" s="500">
        <f>IF(OR(4&gt;$B$3,ISBLANK(Actuals!F49)),"",Actuals!F49)</f>
        <v>-1609.91</v>
      </c>
      <c r="L49" s="500">
        <f>Budget!F49</f>
        <v>0</v>
      </c>
      <c r="M49" s="500">
        <f>IF(K49="","",K49-L49)</f>
        <v>-1609.91</v>
      </c>
      <c r="N49" s="500">
        <f>IF(OR(5&gt;$B$3,ISBLANK(Actuals!G49)),"",Actuals!G49)</f>
        <v>-2760.86</v>
      </c>
      <c r="O49" s="500">
        <f>Budget!G49</f>
        <v>0</v>
      </c>
      <c r="P49" s="500">
        <f>IF(N49="","",N49-O49)</f>
        <v>-2760.86</v>
      </c>
      <c r="Q49" s="500">
        <f>IF(OR(6&gt;$B$3,ISBLANK(Actuals!H49)),"",Actuals!H49)</f>
        <v>0</v>
      </c>
      <c r="R49" s="500">
        <f>Budget!H49</f>
        <v>0</v>
      </c>
      <c r="S49" s="500">
        <f>IF(Q49="","",Q49-R49)</f>
        <v>0</v>
      </c>
      <c r="T49" s="500">
        <f>IF(OR(7&gt;$B$3,ISBLANK(Actuals!I49)),"",Actuals!I49)</f>
      </c>
      <c r="U49" s="500">
        <f>Budget!I49</f>
        <v>0</v>
      </c>
      <c r="V49" s="500">
        <f>IF(T49="","",T49-U49)</f>
      </c>
      <c r="W49" s="500">
        <f>IF(OR(8&gt;$B$3,ISBLANK(Actuals!J49)),"",Actuals!J49)</f>
      </c>
      <c r="X49" s="500">
        <f>Budget!J49</f>
        <v>0</v>
      </c>
      <c r="Y49" s="500">
        <f>IF(W49="","",W49-X49)</f>
      </c>
      <c r="Z49" s="500">
        <f>IF(OR(9&gt;$B$3,ISBLANK(Actuals!K49)),"",Actuals!K49)</f>
      </c>
      <c r="AA49" s="500">
        <f>Budget!K49</f>
        <v>0</v>
      </c>
      <c r="AB49" s="500">
        <f>IF(Z49="","",Z49-AA49)</f>
      </c>
      <c r="AC49" s="500">
        <f>IF(OR(10&gt;$B$3,ISBLANK(Actuals!L49)),"",Actuals!L49)</f>
      </c>
      <c r="AD49" s="500">
        <f>Budget!L49</f>
        <v>0</v>
      </c>
      <c r="AE49" s="500">
        <f>IF(AC49="","",AC49-AD49)</f>
      </c>
      <c r="AF49" s="500">
        <f>IF(OR(11&gt;$B$3,ISBLANK(Actuals!M49)),"",Actuals!M49)</f>
      </c>
      <c r="AG49" s="500">
        <f>Budget!M49</f>
        <v>0</v>
      </c>
      <c r="AH49" s="500">
        <f>IF(AF49="","",AF49-AG49)</f>
      </c>
      <c r="AI49" s="500">
        <f>IF(OR(12&gt;$B$3,ISBLANK(Actuals!N49)),"",Actuals!N49)</f>
      </c>
      <c r="AJ49" s="500">
        <f>Budget!N49</f>
        <v>0</v>
      </c>
      <c r="AK49" s="500">
        <f>IF(AI49="","",AI49-AJ49)</f>
      </c>
      <c r="AL49" s="501">
        <f>SUM(Actuals!$C49:INDEX(Actuals!$C49:$N49,$B$3))</f>
        <v>-10453.31</v>
      </c>
      <c r="AM49" s="501">
        <f>SUM(Budget!$C49:INDEX(Budget!$C49:$N49,$B$3))</f>
        <v>0</v>
      </c>
      <c r="AN49" s="501">
        <f>AL49-AM49</f>
        <v>-10453.31</v>
      </c>
    </row>
    <row r="50" ht="15" customFormat="1" customHeight="1" s="381">
      <c r="A50" s="499" t="inlineStr">
        <is>
          <t>5900-1080 Bank Service Charges</t>
        </is>
      </c>
      <c r="B50" s="500">
        <f>IF(OR(1&gt;$B$3,ISBLANK(Actuals!C50)),"",Actuals!C50)</f>
        <v>0</v>
      </c>
      <c r="C50" s="500">
        <f>Budget!C50</f>
        <v>-166.67</v>
      </c>
      <c r="D50" s="500">
        <f>IF(B50="","",B50-C50)</f>
        <v>166.67</v>
      </c>
      <c r="E50" s="500">
        <f>IF(OR(2&gt;$B$3,ISBLANK(Actuals!D50)),"",Actuals!D50)</f>
        <v>-75</v>
      </c>
      <c r="F50" s="500">
        <f>Budget!D50</f>
        <v>-166.67</v>
      </c>
      <c r="G50" s="500">
        <f>IF(E50="","",E50-F50)</f>
        <v>91.67</v>
      </c>
      <c r="H50" s="500">
        <f>IF(OR(3&gt;$B$3,ISBLANK(Actuals!E50)),"",Actuals!E50)</f>
        <v>-5</v>
      </c>
      <c r="I50" s="500">
        <f>Budget!E50</f>
        <v>-166.67</v>
      </c>
      <c r="J50" s="500">
        <f>IF(H50="","",H50-I50)</f>
        <v>161.67</v>
      </c>
      <c r="K50" s="500">
        <f>IF(OR(4&gt;$B$3,ISBLANK(Actuals!F50)),"",Actuals!F50)</f>
        <v>0</v>
      </c>
      <c r="L50" s="500">
        <f>Budget!F50</f>
        <v>-166.67</v>
      </c>
      <c r="M50" s="500">
        <f>IF(K50="","",K50-L50)</f>
        <v>166.67</v>
      </c>
      <c r="N50" s="500">
        <f>IF(OR(5&gt;$B$3,ISBLANK(Actuals!G50)),"",Actuals!G50)</f>
        <v>0</v>
      </c>
      <c r="O50" s="500">
        <f>Budget!G50</f>
        <v>-166.67</v>
      </c>
      <c r="P50" s="500">
        <f>IF(N50="","",N50-O50)</f>
        <v>166.67</v>
      </c>
      <c r="Q50" s="500">
        <f>IF(OR(6&gt;$B$3,ISBLANK(Actuals!H50)),"",Actuals!H50)</f>
        <v>0</v>
      </c>
      <c r="R50" s="500">
        <f>Budget!H50</f>
        <v>-166.67</v>
      </c>
      <c r="S50" s="500">
        <f>IF(Q50="","",Q50-R50)</f>
        <v>166.67</v>
      </c>
      <c r="T50" s="500">
        <f>IF(OR(7&gt;$B$3,ISBLANK(Actuals!I50)),"",Actuals!I50)</f>
      </c>
      <c r="U50" s="500">
        <f>Budget!I50</f>
        <v>-170</v>
      </c>
      <c r="V50" s="500">
        <f>IF(T50="","",T50-U50)</f>
      </c>
      <c r="W50" s="500">
        <f>IF(OR(8&gt;$B$3,ISBLANK(Actuals!J50)),"",Actuals!J50)</f>
      </c>
      <c r="X50" s="500">
        <f>Budget!J50</f>
        <v>-170</v>
      </c>
      <c r="Y50" s="500">
        <f>IF(W50="","",W50-X50)</f>
      </c>
      <c r="Z50" s="500">
        <f>IF(OR(9&gt;$B$3,ISBLANK(Actuals!K50)),"",Actuals!K50)</f>
      </c>
      <c r="AA50" s="500">
        <f>Budget!K50</f>
        <v>-170</v>
      </c>
      <c r="AB50" s="500">
        <f>IF(Z50="","",Z50-AA50)</f>
      </c>
      <c r="AC50" s="500">
        <f>IF(OR(10&gt;$B$3,ISBLANK(Actuals!L50)),"",Actuals!L50)</f>
      </c>
      <c r="AD50" s="500">
        <f>Budget!L50</f>
        <v>-170</v>
      </c>
      <c r="AE50" s="500">
        <f>IF(AC50="","",AC50-AD50)</f>
      </c>
      <c r="AF50" s="500">
        <f>IF(OR(11&gt;$B$3,ISBLANK(Actuals!M50)),"",Actuals!M50)</f>
      </c>
      <c r="AG50" s="500">
        <f>Budget!M50</f>
        <v>-170</v>
      </c>
      <c r="AH50" s="500">
        <f>IF(AF50="","",AF50-AG50)</f>
      </c>
      <c r="AI50" s="500">
        <f>IF(OR(12&gt;$B$3,ISBLANK(Actuals!N50)),"",Actuals!N50)</f>
      </c>
      <c r="AJ50" s="500">
        <f>Budget!N50</f>
        <v>-170</v>
      </c>
      <c r="AK50" s="500">
        <f>IF(AI50="","",AI50-AJ50)</f>
      </c>
      <c r="AL50" s="501">
        <f>SUM(Actuals!$C50:INDEX(Actuals!$C50:$N50,$B$3))</f>
        <v>-80</v>
      </c>
      <c r="AM50" s="501">
        <f>SUM(Budget!$C50:INDEX(Budget!$C50:$N50,$B$3))</f>
        <v>-1000.02</v>
      </c>
      <c r="AN50" s="501">
        <f>AL50-AM50</f>
        <v>920.02</v>
      </c>
    </row>
    <row r="51" ht="15" customFormat="1" customHeight="1" s="381">
      <c r="A51" s="499" t="inlineStr">
        <is>
          <t>5900-3000 Charitable Contribution</t>
        </is>
      </c>
      <c r="B51" s="500">
        <f>IF(OR(1&gt;$B$3,ISBLANK(Actuals!C51)),"",Actuals!C51)</f>
        <v>0</v>
      </c>
      <c r="C51" s="500">
        <f>Budget!C51</f>
        <v>0</v>
      </c>
      <c r="D51" s="500">
        <f>IF(B51="","",B51-C51)</f>
        <v>0</v>
      </c>
      <c r="E51" s="500">
        <f>IF(OR(2&gt;$B$3,ISBLANK(Actuals!D51)),"",Actuals!D51)</f>
        <v>-63</v>
      </c>
      <c r="F51" s="500">
        <f>Budget!D51</f>
        <v>0</v>
      </c>
      <c r="G51" s="500">
        <f>IF(E51="","",E51-F51)</f>
        <v>-63</v>
      </c>
      <c r="H51" s="500">
        <f>IF(OR(3&gt;$B$3,ISBLANK(Actuals!E51)),"",Actuals!E51)</f>
        <v>0</v>
      </c>
      <c r="I51" s="500">
        <f>Budget!E51</f>
        <v>0</v>
      </c>
      <c r="J51" s="500">
        <f>IF(H51="","",H51-I51)</f>
        <v>0</v>
      </c>
      <c r="K51" s="500">
        <f>IF(OR(4&gt;$B$3,ISBLANK(Actuals!F51)),"",Actuals!F51)</f>
        <v>0</v>
      </c>
      <c r="L51" s="500">
        <f>Budget!F51</f>
        <v>0</v>
      </c>
      <c r="M51" s="500">
        <f>IF(K51="","",K51-L51)</f>
        <v>0</v>
      </c>
      <c r="N51" s="500">
        <f>IF(OR(5&gt;$B$3,ISBLANK(Actuals!G51)),"",Actuals!G51)</f>
        <v>0</v>
      </c>
      <c r="O51" s="500">
        <f>Budget!G51</f>
        <v>0</v>
      </c>
      <c r="P51" s="500">
        <f>IF(N51="","",N51-O51)</f>
        <v>0</v>
      </c>
      <c r="Q51" s="500">
        <f>IF(OR(6&gt;$B$3,ISBLANK(Actuals!H51)),"",Actuals!H51)</f>
        <v>0</v>
      </c>
      <c r="R51" s="500">
        <f>Budget!H51</f>
        <v>0</v>
      </c>
      <c r="S51" s="500">
        <f>IF(Q51="","",Q51-R51)</f>
        <v>0</v>
      </c>
      <c r="T51" s="500">
        <f>IF(OR(7&gt;$B$3,ISBLANK(Actuals!I51)),"",Actuals!I51)</f>
      </c>
      <c r="U51" s="500">
        <f>Budget!I51</f>
        <v>0</v>
      </c>
      <c r="V51" s="500">
        <f>IF(T51="","",T51-U51)</f>
      </c>
      <c r="W51" s="500">
        <f>IF(OR(8&gt;$B$3,ISBLANK(Actuals!J51)),"",Actuals!J51)</f>
      </c>
      <c r="X51" s="500">
        <f>Budget!J51</f>
        <v>0</v>
      </c>
      <c r="Y51" s="500">
        <f>IF(W51="","",W51-X51)</f>
      </c>
      <c r="Z51" s="500">
        <f>IF(OR(9&gt;$B$3,ISBLANK(Actuals!K51)),"",Actuals!K51)</f>
      </c>
      <c r="AA51" s="500">
        <f>Budget!K51</f>
        <v>0</v>
      </c>
      <c r="AB51" s="500">
        <f>IF(Z51="","",Z51-AA51)</f>
      </c>
      <c r="AC51" s="500">
        <f>IF(OR(10&gt;$B$3,ISBLANK(Actuals!L51)),"",Actuals!L51)</f>
      </c>
      <c r="AD51" s="500">
        <f>Budget!L51</f>
        <v>0</v>
      </c>
      <c r="AE51" s="500">
        <f>IF(AC51="","",AC51-AD51)</f>
      </c>
      <c r="AF51" s="500">
        <f>IF(OR(11&gt;$B$3,ISBLANK(Actuals!M51)),"",Actuals!M51)</f>
      </c>
      <c r="AG51" s="500">
        <f>Budget!M51</f>
        <v>0</v>
      </c>
      <c r="AH51" s="500">
        <f>IF(AF51="","",AF51-AG51)</f>
      </c>
      <c r="AI51" s="500">
        <f>IF(OR(12&gt;$B$3,ISBLANK(Actuals!N51)),"",Actuals!N51)</f>
      </c>
      <c r="AJ51" s="500">
        <f>Budget!N51</f>
        <v>0</v>
      </c>
      <c r="AK51" s="500">
        <f>IF(AI51="","",AI51-AJ51)</f>
      </c>
      <c r="AL51" s="501">
        <f>SUM(Actuals!$C51:INDEX(Actuals!$C51:$N51,$B$3))</f>
        <v>-63</v>
      </c>
      <c r="AM51" s="501">
        <f>SUM(Budget!$C51:INDEX(Budget!$C51:$N51,$B$3))</f>
        <v>0</v>
      </c>
      <c r="AN51" s="501">
        <f>AL51-AM51</f>
        <v>-63</v>
      </c>
    </row>
    <row r="52" ht="15" customFormat="1" customHeight="1" s="381">
      <c r="A52" s="499" t="inlineStr">
        <is>
          <t>BD Commission</t>
        </is>
      </c>
      <c r="B52" s="500">
        <f>IF(OR(1&gt;$B$3,ISBLANK(Actuals!C52)),"",Actuals!C52)</f>
      </c>
      <c r="C52" s="500">
        <f>Budget!C52</f>
        <v>0</v>
      </c>
      <c r="D52" s="500">
        <f>IF(B52="","",B52-C52)</f>
      </c>
      <c r="E52" s="500">
        <f>IF(OR(2&gt;$B$3,ISBLANK(Actuals!D52)),"",Actuals!D52)</f>
      </c>
      <c r="F52" s="500">
        <f>Budget!D52</f>
        <v>0</v>
      </c>
      <c r="G52" s="500">
        <f>IF(E52="","",E52-F52)</f>
      </c>
      <c r="H52" s="500">
        <f>IF(OR(3&gt;$B$3,ISBLANK(Actuals!E52)),"",Actuals!E52)</f>
      </c>
      <c r="I52" s="500">
        <f>Budget!E52</f>
        <v>0</v>
      </c>
      <c r="J52" s="500">
        <f>IF(H52="","",H52-I52)</f>
      </c>
      <c r="K52" s="500">
        <f>IF(OR(4&gt;$B$3,ISBLANK(Actuals!F52)),"",Actuals!F52)</f>
      </c>
      <c r="L52" s="500">
        <f>Budget!F52</f>
        <v>0</v>
      </c>
      <c r="M52" s="500">
        <f>IF(K52="","",K52-L52)</f>
      </c>
      <c r="N52" s="500">
        <f>IF(OR(5&gt;$B$3,ISBLANK(Actuals!G52)),"",Actuals!G52)</f>
      </c>
      <c r="O52" s="500">
        <f>Budget!G52</f>
        <v>0</v>
      </c>
      <c r="P52" s="500">
        <f>IF(N52="","",N52-O52)</f>
      </c>
      <c r="Q52" s="500">
        <f>IF(OR(6&gt;$B$3,ISBLANK(Actuals!H52)),"",Actuals!H52)</f>
      </c>
      <c r="R52" s="500">
        <f>Budget!H52</f>
        <v>0</v>
      </c>
      <c r="S52" s="500">
        <f>IF(Q52="","",Q52-R52)</f>
      </c>
      <c r="T52" s="500">
        <f>IF(OR(7&gt;$B$3,ISBLANK(Actuals!I52)),"",Actuals!I52)</f>
      </c>
      <c r="U52" s="500">
        <f>Budget!I52</f>
        <v>0</v>
      </c>
      <c r="V52" s="500">
        <f>IF(T52="","",T52-U52)</f>
      </c>
      <c r="W52" s="500">
        <f>IF(OR(8&gt;$B$3,ISBLANK(Actuals!J52)),"",Actuals!J52)</f>
      </c>
      <c r="X52" s="500">
        <f>Budget!J52</f>
        <v>0</v>
      </c>
      <c r="Y52" s="500">
        <f>IF(W52="","",W52-X52)</f>
      </c>
      <c r="Z52" s="500">
        <f>IF(OR(9&gt;$B$3,ISBLANK(Actuals!K52)),"",Actuals!K52)</f>
      </c>
      <c r="AA52" s="500">
        <f>Budget!K52</f>
        <v>0</v>
      </c>
      <c r="AB52" s="500">
        <f>IF(Z52="","",Z52-AA52)</f>
      </c>
      <c r="AC52" s="500">
        <f>IF(OR(10&gt;$B$3,ISBLANK(Actuals!L52)),"",Actuals!L52)</f>
      </c>
      <c r="AD52" s="500">
        <f>Budget!L52</f>
        <v>0</v>
      </c>
      <c r="AE52" s="500">
        <f>IF(AC52="","",AC52-AD52)</f>
      </c>
      <c r="AF52" s="500">
        <f>IF(OR(11&gt;$B$3,ISBLANK(Actuals!M52)),"",Actuals!M52)</f>
      </c>
      <c r="AG52" s="500">
        <f>Budget!M52</f>
        <v>0</v>
      </c>
      <c r="AH52" s="500">
        <f>IF(AF52="","",AF52-AG52)</f>
      </c>
      <c r="AI52" s="500">
        <f>IF(OR(12&gt;$B$3,ISBLANK(Actuals!N52)),"",Actuals!N52)</f>
      </c>
      <c r="AJ52" s="500">
        <f>Budget!N52</f>
        <v>0</v>
      </c>
      <c r="AK52" s="500">
        <f>IF(AI52="","",AI52-AJ52)</f>
      </c>
      <c r="AL52" s="501">
        <f>SUM(Actuals!$C52:INDEX(Actuals!$C52:$N52,$B$3))</f>
        <v>0</v>
      </c>
      <c r="AM52" s="501">
        <f>SUM(Budget!$C52:INDEX(Budget!$C52:$N52,$B$3))</f>
        <v>0</v>
      </c>
      <c r="AN52" s="501">
        <f>AL52-AM52</f>
        <v>0</v>
      </c>
    </row>
    <row r="53" ht="15" customFormat="1" customHeight="1" s="381">
      <c r="A53" s="499" t="inlineStr">
        <is>
          <t>8200-2000 State Tax and Fees</t>
        </is>
      </c>
      <c r="B53" s="500">
        <f>IF(OR(1&gt;$B$3,ISBLANK(Actuals!C53)),"",Actuals!C53)</f>
        <v>0</v>
      </c>
      <c r="C53" s="500">
        <f>Budget!C53</f>
        <v>-416.67</v>
      </c>
      <c r="D53" s="500">
        <f>IF(B53="","",B53-C53)</f>
        <v>416.67</v>
      </c>
      <c r="E53" s="500">
        <f>IF(OR(2&gt;$B$3,ISBLANK(Actuals!D53)),"",Actuals!D53)</f>
        <v>0</v>
      </c>
      <c r="F53" s="500">
        <f>Budget!D53</f>
        <v>-416.67</v>
      </c>
      <c r="G53" s="500">
        <f>IF(E53="","",E53-F53)</f>
        <v>416.67</v>
      </c>
      <c r="H53" s="500">
        <f>IF(OR(3&gt;$B$3,ISBLANK(Actuals!E53)),"",Actuals!E53)</f>
        <v>-11105.35</v>
      </c>
      <c r="I53" s="500">
        <f>Budget!E53</f>
        <v>-416.67</v>
      </c>
      <c r="J53" s="500">
        <f>IF(H53="","",H53-I53)</f>
        <v>-10688.68</v>
      </c>
      <c r="K53" s="500">
        <f>IF(OR(4&gt;$B$3,ISBLANK(Actuals!F53)),"",Actuals!F53)</f>
        <v>0</v>
      </c>
      <c r="L53" s="500">
        <f>Budget!F53</f>
        <v>-416.67</v>
      </c>
      <c r="M53" s="500">
        <f>IF(K53="","",K53-L53)</f>
        <v>416.67</v>
      </c>
      <c r="N53" s="500">
        <f>IF(OR(5&gt;$B$3,ISBLANK(Actuals!G53)),"",Actuals!G53)</f>
        <v>0</v>
      </c>
      <c r="O53" s="500">
        <f>Budget!G53</f>
        <v>-416.67</v>
      </c>
      <c r="P53" s="500">
        <f>IF(N53="","",N53-O53)</f>
        <v>416.67</v>
      </c>
      <c r="Q53" s="500">
        <f>IF(OR(6&gt;$B$3,ISBLANK(Actuals!H53)),"",Actuals!H53)</f>
        <v>0</v>
      </c>
      <c r="R53" s="500">
        <f>Budget!H53</f>
        <v>-416.67</v>
      </c>
      <c r="S53" s="500">
        <f>IF(Q53="","",Q53-R53)</f>
        <v>416.67</v>
      </c>
      <c r="T53" s="500">
        <f>IF(OR(7&gt;$B$3,ISBLANK(Actuals!I53)),"",Actuals!I53)</f>
      </c>
      <c r="U53" s="500">
        <f>Budget!I53</f>
        <v>-425</v>
      </c>
      <c r="V53" s="500">
        <f>IF(T53="","",T53-U53)</f>
      </c>
      <c r="W53" s="500">
        <f>IF(OR(8&gt;$B$3,ISBLANK(Actuals!J53)),"",Actuals!J53)</f>
      </c>
      <c r="X53" s="500">
        <f>Budget!J53</f>
        <v>-425</v>
      </c>
      <c r="Y53" s="500">
        <f>IF(W53="","",W53-X53)</f>
      </c>
      <c r="Z53" s="500">
        <f>IF(OR(9&gt;$B$3,ISBLANK(Actuals!K53)),"",Actuals!K53)</f>
      </c>
      <c r="AA53" s="500">
        <f>Budget!K53</f>
        <v>-425</v>
      </c>
      <c r="AB53" s="500">
        <f>IF(Z53="","",Z53-AA53)</f>
      </c>
      <c r="AC53" s="500">
        <f>IF(OR(10&gt;$B$3,ISBLANK(Actuals!L53)),"",Actuals!L53)</f>
      </c>
      <c r="AD53" s="500">
        <f>Budget!L53</f>
        <v>-425</v>
      </c>
      <c r="AE53" s="500">
        <f>IF(AC53="","",AC53-AD53)</f>
      </c>
      <c r="AF53" s="500">
        <f>IF(OR(11&gt;$B$3,ISBLANK(Actuals!M53)),"",Actuals!M53)</f>
      </c>
      <c r="AG53" s="500">
        <f>Budget!M53</f>
        <v>-425</v>
      </c>
      <c r="AH53" s="500">
        <f>IF(AF53="","",AF53-AG53)</f>
      </c>
      <c r="AI53" s="500">
        <f>IF(OR(12&gt;$B$3,ISBLANK(Actuals!N53)),"",Actuals!N53)</f>
      </c>
      <c r="AJ53" s="500">
        <f>Budget!N53</f>
        <v>-425</v>
      </c>
      <c r="AK53" s="500">
        <f>IF(AI53="","",AI53-AJ53)</f>
      </c>
      <c r="AL53" s="501">
        <f>SUM(Actuals!$C53:INDEX(Actuals!$C53:$N53,$B$3))</f>
        <v>-11105.35</v>
      </c>
      <c r="AM53" s="501">
        <f>SUM(Budget!$C53:INDEX(Budget!$C53:$N53,$B$3))</f>
        <v>-2500.02</v>
      </c>
      <c r="AN53" s="501">
        <f>AL53-AM53</f>
        <v>-8605.33</v>
      </c>
    </row>
    <row r="54" ht="15" customFormat="1" customHeight="1" s="381">
      <c r="A54" s="499" t="inlineStr">
        <is>
          <t>Equip. Rental + D&amp;A (P&amp;L true-up)</t>
        </is>
      </c>
      <c r="B54" s="500">
        <f>IF(OR(1&gt;$B$3,ISBLANK(Actuals!C54)),"",Actuals!C54)</f>
      </c>
      <c r="C54" s="500">
        <f>Budget!C54</f>
        <v>0</v>
      </c>
      <c r="D54" s="500">
        <f>IF(B54="","",B54-C54)</f>
      </c>
      <c r="E54" s="500">
        <f>IF(OR(2&gt;$B$3,ISBLANK(Actuals!D54)),"",Actuals!D54)</f>
      </c>
      <c r="F54" s="500">
        <f>Budget!D54</f>
        <v>0</v>
      </c>
      <c r="G54" s="500">
        <f>IF(E54="","",E54-F54)</f>
      </c>
      <c r="H54" s="500">
        <f>IF(OR(3&gt;$B$3,ISBLANK(Actuals!E54)),"",Actuals!E54)</f>
      </c>
      <c r="I54" s="500">
        <f>Budget!E54</f>
        <v>0</v>
      </c>
      <c r="J54" s="500">
        <f>IF(H54="","",H54-I54)</f>
      </c>
      <c r="K54" s="500">
        <f>IF(OR(4&gt;$B$3,ISBLANK(Actuals!F54)),"",Actuals!F54)</f>
      </c>
      <c r="L54" s="500">
        <f>Budget!F54</f>
        <v>0</v>
      </c>
      <c r="M54" s="500">
        <f>IF(K54="","",K54-L54)</f>
      </c>
      <c r="N54" s="500">
        <f>IF(OR(5&gt;$B$3,ISBLANK(Actuals!G54)),"",Actuals!G54)</f>
      </c>
      <c r="O54" s="500">
        <f>Budget!G54</f>
        <v>0</v>
      </c>
      <c r="P54" s="500">
        <f>IF(N54="","",N54-O54)</f>
      </c>
      <c r="Q54" s="500">
        <f>IF(OR(6&gt;$B$3,ISBLANK(Actuals!H54)),"",Actuals!H54)</f>
        <v>-612.68</v>
      </c>
      <c r="R54" s="500">
        <f>Budget!H54</f>
        <v>0</v>
      </c>
      <c r="S54" s="500">
        <f>IF(Q54="","",Q54-R54)</f>
        <v>-612.68</v>
      </c>
      <c r="T54" s="500">
        <f>IF(OR(7&gt;$B$3,ISBLANK(Actuals!I54)),"",Actuals!I54)</f>
      </c>
      <c r="U54" s="500">
        <f>Budget!I54</f>
        <v>0</v>
      </c>
      <c r="V54" s="500">
        <f>IF(T54="","",T54-U54)</f>
      </c>
      <c r="W54" s="500">
        <f>IF(OR(8&gt;$B$3,ISBLANK(Actuals!J54)),"",Actuals!J54)</f>
      </c>
      <c r="X54" s="500">
        <f>Budget!J54</f>
        <v>0</v>
      </c>
      <c r="Y54" s="500">
        <f>IF(W54="","",W54-X54)</f>
      </c>
      <c r="Z54" s="500">
        <f>IF(OR(9&gt;$B$3,ISBLANK(Actuals!K54)),"",Actuals!K54)</f>
      </c>
      <c r="AA54" s="500">
        <f>Budget!K54</f>
        <v>0</v>
      </c>
      <c r="AB54" s="500">
        <f>IF(Z54="","",Z54-AA54)</f>
      </c>
      <c r="AC54" s="500">
        <f>IF(OR(10&gt;$B$3,ISBLANK(Actuals!L54)),"",Actuals!L54)</f>
      </c>
      <c r="AD54" s="500">
        <f>Budget!L54</f>
        <v>0</v>
      </c>
      <c r="AE54" s="500">
        <f>IF(AC54="","",AC54-AD54)</f>
      </c>
      <c r="AF54" s="500">
        <f>IF(OR(11&gt;$B$3,ISBLANK(Actuals!M54)),"",Actuals!M54)</f>
      </c>
      <c r="AG54" s="500">
        <f>Budget!M54</f>
        <v>0</v>
      </c>
      <c r="AH54" s="500">
        <f>IF(AF54="","",AF54-AG54)</f>
      </c>
      <c r="AI54" s="500">
        <f>IF(OR(12&gt;$B$3,ISBLANK(Actuals!N54)),"",Actuals!N54)</f>
      </c>
      <c r="AJ54" s="500">
        <f>Budget!N54</f>
        <v>0</v>
      </c>
      <c r="AK54" s="500">
        <f>IF(AI54="","",AI54-AJ54)</f>
      </c>
      <c r="AL54" s="501">
        <f>SUM(Actuals!$C54:INDEX(Actuals!$C54:$N54,$B$3))</f>
        <v>-612.68</v>
      </c>
      <c r="AM54" s="501">
        <f>SUM(Budget!$C54:INDEX(Budget!$C54:$N54,$B$3))</f>
        <v>0</v>
      </c>
      <c r="AN54" s="501">
        <f>AL54-AM54</f>
        <v>-612.68</v>
      </c>
    </row>
    <row r="55" ht="15" customFormat="1" customHeight="1" s="381">
      <c r="A55" s="502" t="inlineStr">
        <is>
          <t>Total GC Costs</t>
        </is>
      </c>
      <c r="B55" s="501">
        <f>IF(OR(1&gt;$B$3,ISBLANK(Actuals!C55)),"",Actuals!C55)</f>
        <v>-260601.5</v>
      </c>
      <c r="C55" s="501">
        <f>Budget!C55</f>
        <v>-321665.3</v>
      </c>
      <c r="D55" s="501">
        <f>IF(B55="","",B55-C55)</f>
        <v>61063.8</v>
      </c>
      <c r="E55" s="501">
        <f>IF(OR(2&gt;$B$3,ISBLANK(Actuals!D55)),"",Actuals!D55)</f>
        <v>-260308.54</v>
      </c>
      <c r="F55" s="501">
        <f>Budget!D55</f>
        <v>-321665.3</v>
      </c>
      <c r="G55" s="501">
        <f>IF(E55="","",E55-F55)</f>
        <v>61356.76</v>
      </c>
      <c r="H55" s="501">
        <f>IF(OR(3&gt;$B$3,ISBLANK(Actuals!E55)),"",Actuals!E55)</f>
        <v>-351937.74</v>
      </c>
      <c r="I55" s="501">
        <f>Budget!E55</f>
        <v>-321665.3</v>
      </c>
      <c r="J55" s="501">
        <f>IF(H55="","",H55-I55)</f>
        <v>-30272.44</v>
      </c>
      <c r="K55" s="501">
        <f>IF(OR(4&gt;$B$3,ISBLANK(Actuals!F55)),"",Actuals!F55)</f>
        <v>-73431.56</v>
      </c>
      <c r="L55" s="501">
        <f>Budget!F55</f>
        <v>-321665.3</v>
      </c>
      <c r="M55" s="501">
        <f>IF(K55="","",K55-L55)</f>
        <v>248233.74</v>
      </c>
      <c r="N55" s="501">
        <f>IF(OR(5&gt;$B$3,ISBLANK(Actuals!G55)),"",Actuals!G55)</f>
        <v>-437914.85</v>
      </c>
      <c r="O55" s="501">
        <f>Budget!G55</f>
        <v>-321665.3</v>
      </c>
      <c r="P55" s="501">
        <f>IF(N55="","",N55-O55)</f>
        <v>-116249.55</v>
      </c>
      <c r="Q55" s="501">
        <f>IF(OR(6&gt;$B$3,ISBLANK(Actuals!H55)),"",Actuals!H55)</f>
        <v>-323453.89</v>
      </c>
      <c r="R55" s="501">
        <f>Budget!H55</f>
        <v>-321665.3</v>
      </c>
      <c r="S55" s="501">
        <f>IF(Q55="","",Q55-R55)</f>
        <v>-1788.59000000003</v>
      </c>
      <c r="T55" s="501">
        <f>IF(OR(7&gt;$B$3,ISBLANK(Actuals!I55)),"",Actuals!I55)</f>
      </c>
      <c r="U55" s="501">
        <f>Budget!I55</f>
        <v>-322314.95</v>
      </c>
      <c r="V55" s="501">
        <f>IF(T55="","",T55-U55)</f>
      </c>
      <c r="W55" s="501">
        <f>IF(OR(8&gt;$B$3,ISBLANK(Actuals!J55)),"",Actuals!J55)</f>
      </c>
      <c r="X55" s="501">
        <f>Budget!J55</f>
        <v>-322314.95</v>
      </c>
      <c r="Y55" s="501">
        <f>IF(W55="","",W55-X55)</f>
      </c>
      <c r="Z55" s="501">
        <f>IF(OR(9&gt;$B$3,ISBLANK(Actuals!K55)),"",Actuals!K55)</f>
      </c>
      <c r="AA55" s="501">
        <f>Budget!K55</f>
        <v>-322314.95</v>
      </c>
      <c r="AB55" s="501">
        <f>IF(Z55="","",Z55-AA55)</f>
      </c>
      <c r="AC55" s="501">
        <f>IF(OR(10&gt;$B$3,ISBLANK(Actuals!L55)),"",Actuals!L55)</f>
      </c>
      <c r="AD55" s="501">
        <f>Budget!L55</f>
        <v>-322314.95</v>
      </c>
      <c r="AE55" s="501">
        <f>IF(AC55="","",AC55-AD55)</f>
      </c>
      <c r="AF55" s="501">
        <f>IF(OR(11&gt;$B$3,ISBLANK(Actuals!M55)),"",Actuals!M55)</f>
      </c>
      <c r="AG55" s="501">
        <f>Budget!M55</f>
        <v>-322314.95</v>
      </c>
      <c r="AH55" s="501">
        <f>IF(AF55="","",AF55-AG55)</f>
      </c>
      <c r="AI55" s="501">
        <f>IF(OR(12&gt;$B$3,ISBLANK(Actuals!N55)),"",Actuals!N55)</f>
      </c>
      <c r="AJ55" s="501">
        <f>Budget!N55</f>
        <v>-322314.95</v>
      </c>
      <c r="AK55" s="501">
        <f>IF(AI55="","",AI55-AJ55)</f>
      </c>
      <c r="AL55" s="501">
        <f>SUM(Actuals!$C55:INDEX(Actuals!$C55:$N55,$B$3))</f>
        <v>-1707648.08</v>
      </c>
      <c r="AM55" s="501">
        <f>SUM(Budget!$C55:INDEX(Budget!$C55:$N55,$B$3))</f>
        <v>-1929991.8</v>
      </c>
      <c r="AN55" s="501">
        <f>AL55-AM55</f>
        <v>222343.72</v>
      </c>
    </row>
    <row r="57" ht="15" customFormat="1" customHeight="1" s="381">
      <c r="A57" s="502" t="inlineStr">
        <is>
          <t>GC Net Income</t>
        </is>
      </c>
      <c r="B57" s="503">
        <f>IF(OR(1&gt;$B$3,ISBLANK(Actuals!C57)),"",Actuals!C57)</f>
        <v>-41844.6399999999</v>
      </c>
      <c r="C57" s="503">
        <f>Budget!C57</f>
        <v>2594.59</v>
      </c>
      <c r="D57" s="503">
        <f>IF(B57="","",B57-C57)</f>
        <v>-44439.2299999999</v>
      </c>
      <c r="E57" s="503">
        <f>IF(OR(2&gt;$B$3,ISBLANK(Actuals!D57)),"",Actuals!D57)</f>
        <v>-311309.31</v>
      </c>
      <c r="F57" s="503">
        <f>Budget!D57</f>
        <v>17839.25</v>
      </c>
      <c r="G57" s="503">
        <f>IF(E57="","",E57-F57)</f>
        <v>-329148.56</v>
      </c>
      <c r="H57" s="503">
        <f>IF(OR(3&gt;$B$3,ISBLANK(Actuals!E57)),"",Actuals!E57)</f>
        <v>242246.78</v>
      </c>
      <c r="I57" s="503">
        <f>Budget!E57</f>
        <v>33014.66</v>
      </c>
      <c r="J57" s="503">
        <f>IF(H57="","",H57-I57)</f>
        <v>209232.12</v>
      </c>
      <c r="K57" s="503">
        <f>IF(OR(4&gt;$B$3,ISBLANK(Actuals!F57)),"",Actuals!F57)</f>
        <v>373926.69</v>
      </c>
      <c r="L57" s="503">
        <f>Budget!F57</f>
        <v>47517.06</v>
      </c>
      <c r="M57" s="503">
        <f>IF(K57="","",K57-L57)</f>
        <v>326409.63</v>
      </c>
      <c r="N57" s="503">
        <f>IF(OR(5&gt;$B$3,ISBLANK(Actuals!G57)),"",Actuals!G57)</f>
        <v>27621.8499999997</v>
      </c>
      <c r="O57" s="503">
        <f>Budget!G57</f>
        <v>201677.25</v>
      </c>
      <c r="P57" s="503">
        <f>IF(N57="","",N57-O57)</f>
        <v>-174055.4</v>
      </c>
      <c r="Q57" s="503">
        <f>IF(OR(6&gt;$B$3,ISBLANK(Actuals!H57)),"",Actuals!H57)</f>
        <v>317897.240000001</v>
      </c>
      <c r="R57" s="503">
        <f>Budget!H57</f>
        <v>218352.83</v>
      </c>
      <c r="S57" s="503">
        <f>IF(Q57="","",Q57-R57)</f>
        <v>99544.4100000008</v>
      </c>
      <c r="T57" s="503">
        <f>IF(OR(7&gt;$B$3,ISBLANK(Actuals!I57)),"",Actuals!I57)</f>
      </c>
      <c r="U57" s="503">
        <f>Budget!I57</f>
        <v>231937</v>
      </c>
      <c r="V57" s="503">
        <f>IF(T57="","",T57-U57)</f>
      </c>
      <c r="W57" s="503">
        <f>IF(OR(8&gt;$B$3,ISBLANK(Actuals!J57)),"",Actuals!J57)</f>
      </c>
      <c r="X57" s="503">
        <f>Budget!J57</f>
        <v>243049.14</v>
      </c>
      <c r="Y57" s="503">
        <f>IF(W57="","",W57-X57)</f>
      </c>
      <c r="Z57" s="503">
        <f>IF(OR(9&gt;$B$3,ISBLANK(Actuals!K57)),"",Actuals!K57)</f>
      </c>
      <c r="AA57" s="503">
        <f>Budget!K57</f>
        <v>250508.5</v>
      </c>
      <c r="AB57" s="503">
        <f>IF(Z57="","",Z57-AA57)</f>
      </c>
      <c r="AC57" s="503">
        <f>IF(OR(10&gt;$B$3,ISBLANK(Actuals!L57)),"",Actuals!L57)</f>
      </c>
      <c r="AD57" s="503">
        <f>Budget!L57</f>
        <v>253989.43</v>
      </c>
      <c r="AE57" s="503">
        <f>IF(AC57="","",AC57-AD57)</f>
      </c>
      <c r="AF57" s="503">
        <f>IF(OR(11&gt;$B$3,ISBLANK(Actuals!M57)),"",Actuals!M57)</f>
      </c>
      <c r="AG57" s="503">
        <f>Budget!M57</f>
        <v>253406.53</v>
      </c>
      <c r="AH57" s="503">
        <f>IF(AF57="","",AF57-AG57)</f>
      </c>
      <c r="AI57" s="503">
        <f>IF(OR(12&gt;$B$3,ISBLANK(Actuals!N57)),"",Actuals!N57)</f>
      </c>
      <c r="AJ57" s="503">
        <f>Budget!N57</f>
        <v>204524.21</v>
      </c>
      <c r="AK57" s="503">
        <f>IF(AI57="","",AI57-AJ57)</f>
      </c>
      <c r="AL57" s="503">
        <f>SUM(Actuals!$C57:INDEX(Actuals!$C57:$N57,$B$3))</f>
        <v>608538.610000001</v>
      </c>
      <c r="AM57" s="503">
        <f>SUM(Budget!$C57:INDEX(Budget!$C57:$N57,$B$3))</f>
        <v>520995.64</v>
      </c>
      <c r="AN57" s="503">
        <f>AL57-AM57</f>
        <v>87542.9700000013</v>
      </c>
    </row>
    <row r="58" ht="15" customFormat="1" customHeight="1" s="381">
      <c r="A58" s="499" t="inlineStr">
        <is>
          <t>GC Net Profit Margin %</t>
        </is>
      </c>
      <c r="B58" s="500">
        <f>IF(OR(1&gt;$B$3,ISBLANK(Actuals!C58)),"",Actuals!C58)</f>
        <v>-0.0287831236019867</v>
      </c>
      <c r="C58" s="500">
        <f>Budget!C58</f>
        <v>0</v>
      </c>
      <c r="D58" s="500">
        <f>IF(B58="","",B58-C58)</f>
        <v>-0.0287831236019867</v>
      </c>
      <c r="E58" s="500">
        <f>IF(OR(2&gt;$B$3,ISBLANK(Actuals!D58)),"",Actuals!D58)</f>
        <v>-0.102996554608564</v>
      </c>
      <c r="F58" s="500">
        <f>Budget!D58</f>
        <v>0.01</v>
      </c>
      <c r="G58" s="500">
        <f>IF(E58="","",E58-F58)</f>
        <v>-0.112996554608564</v>
      </c>
      <c r="H58" s="500">
        <f>IF(OR(3&gt;$B$3,ISBLANK(Actuals!E58)),"",Actuals!E58)</f>
        <v>0.0906538863233281</v>
      </c>
      <c r="I58" s="500">
        <f>Budget!E58</f>
        <v>0.01</v>
      </c>
      <c r="J58" s="500">
        <f>IF(H58="","",H58-I58)</f>
        <v>0.0806538863233281</v>
      </c>
      <c r="K58" s="500">
        <f>IF(OR(4&gt;$B$3,ISBLANK(Actuals!F58)),"",Actuals!F58)</f>
        <v>0.101270434808067</v>
      </c>
      <c r="L58" s="500">
        <f>Budget!F58</f>
        <v>0.01</v>
      </c>
      <c r="M58" s="500">
        <f>IF(K58="","",K58-L58)</f>
        <v>0.0912704348080668</v>
      </c>
      <c r="N58" s="500">
        <f>IF(OR(5&gt;$B$3,ISBLANK(Actuals!G58)),"",Actuals!G58)</f>
        <v>0.00625486062340116</v>
      </c>
      <c r="O58" s="500">
        <f>Budget!G58</f>
        <v>0.04</v>
      </c>
      <c r="P58" s="500">
        <f>IF(N58="","",N58-O58)</f>
        <v>-0.0337451393765988</v>
      </c>
      <c r="Q58" s="500">
        <f>IF(OR(6&gt;$B$3,ISBLANK(Actuals!H58)),"",Actuals!H58)</f>
        <v>0.0508451485513171</v>
      </c>
      <c r="R58" s="500">
        <f>Budget!H58</f>
        <v>0.04</v>
      </c>
      <c r="S58" s="500">
        <f>IF(Q58="","",Q58-R58)</f>
        <v>0.0108451485513171</v>
      </c>
      <c r="T58" s="500">
        <f>IF(OR(7&gt;$B$3,ISBLANK(Actuals!I58)),"",Actuals!I58)</f>
      </c>
      <c r="U58" s="500">
        <f>Budget!I58</f>
        <v>0.04</v>
      </c>
      <c r="V58" s="500">
        <f>IF(T58="","",T58-U58)</f>
      </c>
      <c r="W58" s="500">
        <f>IF(OR(8&gt;$B$3,ISBLANK(Actuals!J58)),"",Actuals!J58)</f>
      </c>
      <c r="X58" s="500">
        <f>Budget!J58</f>
        <v>0.04</v>
      </c>
      <c r="Y58" s="500">
        <f>IF(W58="","",W58-X58)</f>
      </c>
      <c r="Z58" s="500">
        <f>IF(OR(9&gt;$B$3,ISBLANK(Actuals!K58)),"",Actuals!K58)</f>
      </c>
      <c r="AA58" s="500">
        <f>Budget!K58</f>
        <v>0.04</v>
      </c>
      <c r="AB58" s="500">
        <f>IF(Z58="","",Z58-AA58)</f>
      </c>
      <c r="AC58" s="500">
        <f>IF(OR(10&gt;$B$3,ISBLANK(Actuals!L58)),"",Actuals!L58)</f>
      </c>
      <c r="AD58" s="500">
        <f>Budget!L58</f>
        <v>0.04</v>
      </c>
      <c r="AE58" s="500">
        <f>IF(AC58="","",AC58-AD58)</f>
      </c>
      <c r="AF58" s="500">
        <f>IF(OR(11&gt;$B$3,ISBLANK(Actuals!M58)),"",Actuals!M58)</f>
      </c>
      <c r="AG58" s="500">
        <f>Budget!M58</f>
        <v>0.04</v>
      </c>
      <c r="AH58" s="500">
        <f>IF(AF58="","",AF58-AG58)</f>
      </c>
      <c r="AI58" s="500">
        <f>IF(OR(12&gt;$B$3,ISBLANK(Actuals!N58)),"",Actuals!N58)</f>
      </c>
      <c r="AJ58" s="500">
        <f>Budget!N58</f>
        <v>0.04</v>
      </c>
      <c r="AK58" s="500">
        <f>IF(AI58="","",AI58-AJ58)</f>
      </c>
      <c r="AL58" s="501">
        <f>SUM(Actuals!$C58:INDEX(Actuals!$C58:$N58,$B$3))</f>
        <v>0.117244652095562</v>
      </c>
      <c r="AM58" s="501">
        <f>SUM(Budget!$C58:INDEX(Budget!$C58:$N58,$B$3))</f>
        <v>0.11</v>
      </c>
      <c r="AN58" s="501">
        <f>AL58-AM58</f>
        <v>0.00724465209556199</v>
      </c>
    </row>
    <row r="62" ht="15" customFormat="1" customHeight="1" s="381">
      <c r="A62" s="498" t="inlineStr">
        <is>
          <t>SIX PEAK CAPITAL: MONTHLY BUDGET VS ACTUAL</t>
        </is>
      </c>
    </row>
    <row r="63" ht="15" customFormat="1" customHeight="1" s="381">
      <c r="A63" s="499" t="inlineStr">
        <is>
          <t>Non-Cash Revenue Items</t>
        </is>
      </c>
      <c r="B63" s="500">
        <f>IF(OR(1&gt;$B$3,ISBLANK(Actuals!C63)),"",Actuals!C63)</f>
      </c>
      <c r="C63" s="500">
        <f>Budget!C63</f>
        <v>0</v>
      </c>
      <c r="D63" s="500">
        <f>IF(B63="","",B63-C63)</f>
      </c>
      <c r="E63" s="500">
        <f>IF(OR(2&gt;$B$3,ISBLANK(Actuals!D63)),"",Actuals!D63)</f>
      </c>
      <c r="F63" s="500">
        <f>Budget!D63</f>
        <v>0</v>
      </c>
      <c r="G63" s="500">
        <f>IF(E63="","",E63-F63)</f>
      </c>
      <c r="H63" s="500">
        <f>IF(OR(3&gt;$B$3,ISBLANK(Actuals!E63)),"",Actuals!E63)</f>
      </c>
      <c r="I63" s="500">
        <f>Budget!E63</f>
        <v>0</v>
      </c>
      <c r="J63" s="500">
        <f>IF(H63="","",H63-I63)</f>
      </c>
      <c r="K63" s="500">
        <f>IF(OR(4&gt;$B$3,ISBLANK(Actuals!F63)),"",Actuals!F63)</f>
      </c>
      <c r="L63" s="500">
        <f>Budget!F63</f>
        <v>0</v>
      </c>
      <c r="M63" s="500">
        <f>IF(K63="","",K63-L63)</f>
      </c>
      <c r="N63" s="500">
        <f>IF(OR(5&gt;$B$3,ISBLANK(Actuals!G63)),"",Actuals!G63)</f>
      </c>
      <c r="O63" s="500">
        <f>Budget!G63</f>
        <v>0</v>
      </c>
      <c r="P63" s="500">
        <f>IF(N63="","",N63-O63)</f>
      </c>
      <c r="Q63" s="500">
        <f>IF(OR(6&gt;$B$3,ISBLANK(Actuals!H63)),"",Actuals!H63)</f>
        <v>299000</v>
      </c>
      <c r="R63" s="500">
        <f>Budget!H63</f>
        <v>0</v>
      </c>
      <c r="S63" s="500">
        <f>IF(Q63="","",Q63-R63)</f>
        <v>299000</v>
      </c>
      <c r="T63" s="500">
        <f>IF(OR(7&gt;$B$3,ISBLANK(Actuals!I63)),"",Actuals!I63)</f>
      </c>
      <c r="U63" s="500">
        <f>Budget!I63</f>
        <v>0</v>
      </c>
      <c r="V63" s="500">
        <f>IF(T63="","",T63-U63)</f>
      </c>
      <c r="W63" s="500">
        <f>IF(OR(8&gt;$B$3,ISBLANK(Actuals!J63)),"",Actuals!J63)</f>
      </c>
      <c r="X63" s="500">
        <f>Budget!J63</f>
        <v>0</v>
      </c>
      <c r="Y63" s="500">
        <f>IF(W63="","",W63-X63)</f>
      </c>
      <c r="Z63" s="500">
        <f>IF(OR(9&gt;$B$3,ISBLANK(Actuals!K63)),"",Actuals!K63)</f>
      </c>
      <c r="AA63" s="500">
        <f>Budget!K63</f>
        <v>0</v>
      </c>
      <c r="AB63" s="500">
        <f>IF(Z63="","",Z63-AA63)</f>
      </c>
      <c r="AC63" s="500">
        <f>IF(OR(10&gt;$B$3,ISBLANK(Actuals!L63)),"",Actuals!L63)</f>
      </c>
      <c r="AD63" s="500">
        <f>Budget!L63</f>
        <v>0</v>
      </c>
      <c r="AE63" s="500">
        <f>IF(AC63="","",AC63-AD63)</f>
      </c>
      <c r="AF63" s="500">
        <f>IF(OR(11&gt;$B$3,ISBLANK(Actuals!M63)),"",Actuals!M63)</f>
      </c>
      <c r="AG63" s="500">
        <f>Budget!M63</f>
        <v>0</v>
      </c>
      <c r="AH63" s="500">
        <f>IF(AF63="","",AF63-AG63)</f>
      </c>
      <c r="AI63" s="500">
        <f>IF(OR(12&gt;$B$3,ISBLANK(Actuals!N63)),"",Actuals!N63)</f>
      </c>
      <c r="AJ63" s="500">
        <f>Budget!N63</f>
        <v>0</v>
      </c>
      <c r="AK63" s="500">
        <f>IF(AI63="","",AI63-AJ63)</f>
      </c>
      <c r="AL63" s="501">
        <f>SUM(Actuals!$C63:INDEX(Actuals!$C63:$N63,$B$3))</f>
        <v>299000</v>
      </c>
      <c r="AM63" s="501">
        <f>SUM(Budget!$C63:INDEX(Budget!$C63:$N63,$B$3))</f>
        <v>0</v>
      </c>
      <c r="AN63" s="501">
        <f>AL63-AM63</f>
        <v>299000</v>
      </c>
    </row>
    <row r="64" ht="15" customFormat="1" customHeight="1" s="381">
      <c r="A64" s="499" t="inlineStr">
        <is>
          <t>Edgemont Management Fee</t>
        </is>
      </c>
      <c r="B64" s="500">
        <f>IF(OR(1&gt;$B$3,ISBLANK(Actuals!C64)),"",Actuals!C64)</f>
        <v>833.33</v>
      </c>
      <c r="C64" s="500">
        <f>Budget!C64</f>
        <v>833.33</v>
      </c>
      <c r="D64" s="500">
        <f>IF(B64="","",B64-C64)</f>
        <v>0</v>
      </c>
      <c r="E64" s="500">
        <f>IF(OR(2&gt;$B$3,ISBLANK(Actuals!D64)),"",Actuals!D64)</f>
        <v>833.33</v>
      </c>
      <c r="F64" s="500">
        <f>Budget!D64</f>
        <v>833.33</v>
      </c>
      <c r="G64" s="500">
        <f>IF(E64="","",E64-F64)</f>
        <v>0</v>
      </c>
      <c r="H64" s="500">
        <f>IF(OR(3&gt;$B$3,ISBLANK(Actuals!E64)),"",Actuals!E64)</f>
        <v>833.33</v>
      </c>
      <c r="I64" s="500">
        <f>Budget!E64</f>
        <v>833.33</v>
      </c>
      <c r="J64" s="500">
        <f>IF(H64="","",H64-I64)</f>
        <v>0</v>
      </c>
      <c r="K64" s="500">
        <f>IF(OR(4&gt;$B$3,ISBLANK(Actuals!F64)),"",Actuals!F64)</f>
        <v>833.33</v>
      </c>
      <c r="L64" s="500">
        <f>Budget!F64</f>
        <v>833.33</v>
      </c>
      <c r="M64" s="500">
        <f>IF(K64="","",K64-L64)</f>
        <v>0</v>
      </c>
      <c r="N64" s="500">
        <f>IF(OR(5&gt;$B$3,ISBLANK(Actuals!G64)),"",Actuals!G64)</f>
        <v>833.33</v>
      </c>
      <c r="O64" s="500">
        <f>Budget!G64</f>
        <v>833.33</v>
      </c>
      <c r="P64" s="500">
        <f>IF(N64="","",N64-O64)</f>
        <v>0</v>
      </c>
      <c r="Q64" s="500">
        <f>IF(OR(6&gt;$B$3,ISBLANK(Actuals!H64)),"",Actuals!H64)</f>
        <v>833.33</v>
      </c>
      <c r="R64" s="500">
        <f>Budget!H64</f>
        <v>833.33</v>
      </c>
      <c r="S64" s="500">
        <f>IF(Q64="","",Q64-R64)</f>
        <v>0</v>
      </c>
      <c r="T64" s="500">
        <f>IF(OR(7&gt;$B$3,ISBLANK(Actuals!I64)),"",Actuals!I64)</f>
      </c>
      <c r="U64" s="500">
        <f>Budget!I64</f>
        <v>833.33</v>
      </c>
      <c r="V64" s="500">
        <f>IF(T64="","",T64-U64)</f>
      </c>
      <c r="W64" s="500">
        <f>IF(OR(8&gt;$B$3,ISBLANK(Actuals!J64)),"",Actuals!J64)</f>
      </c>
      <c r="X64" s="500">
        <f>Budget!J64</f>
        <v>833.33</v>
      </c>
      <c r="Y64" s="500">
        <f>IF(W64="","",W64-X64)</f>
      </c>
      <c r="Z64" s="500">
        <f>IF(OR(9&gt;$B$3,ISBLANK(Actuals!K64)),"",Actuals!K64)</f>
      </c>
      <c r="AA64" s="500">
        <f>Budget!K64</f>
        <v>833.33</v>
      </c>
      <c r="AB64" s="500">
        <f>IF(Z64="","",Z64-AA64)</f>
      </c>
      <c r="AC64" s="500">
        <f>IF(OR(10&gt;$B$3,ISBLANK(Actuals!L64)),"",Actuals!L64)</f>
      </c>
      <c r="AD64" s="500">
        <f>Budget!L64</f>
        <v>833.33</v>
      </c>
      <c r="AE64" s="500">
        <f>IF(AC64="","",AC64-AD64)</f>
      </c>
      <c r="AF64" s="500">
        <f>IF(OR(11&gt;$B$3,ISBLANK(Actuals!M64)),"",Actuals!M64)</f>
      </c>
      <c r="AG64" s="500">
        <f>Budget!M64</f>
        <v>833.33</v>
      </c>
      <c r="AH64" s="500">
        <f>IF(AF64="","",AF64-AG64)</f>
      </c>
      <c r="AI64" s="500">
        <f>IF(OR(12&gt;$B$3,ISBLANK(Actuals!N64)),"",Actuals!N64)</f>
      </c>
      <c r="AJ64" s="500">
        <f>Budget!N64</f>
        <v>833.33</v>
      </c>
      <c r="AK64" s="500">
        <f>IF(AI64="","",AI64-AJ64)</f>
      </c>
      <c r="AL64" s="501">
        <f>SUM(Actuals!$C64:INDEX(Actuals!$C64:$N64,$B$3))</f>
        <v>4999.98</v>
      </c>
      <c r="AM64" s="501">
        <f>SUM(Budget!$C64:INDEX(Budget!$C64:$N64,$B$3))</f>
        <v>4999.98</v>
      </c>
      <c r="AN64" s="501">
        <f>AL64-AM64</f>
        <v>0</v>
      </c>
    </row>
    <row r="65" ht="15" customFormat="1" customHeight="1" s="381">
      <c r="A65" s="499" t="inlineStr">
        <is>
          <t>Ramsgate Dev Fee - Construction</t>
        </is>
      </c>
      <c r="B65" s="500">
        <f>IF(OR(1&gt;$B$3,ISBLANK(Actuals!C65)),"",Actuals!C65)</f>
        <v>23906.25</v>
      </c>
      <c r="C65" s="500">
        <f>Budget!C65</f>
        <v>36538.46</v>
      </c>
      <c r="D65" s="500">
        <f>IF(B65="","",B65-C65)</f>
        <v>-12632.21</v>
      </c>
      <c r="E65" s="500">
        <f>IF(OR(2&gt;$B$3,ISBLANK(Actuals!D65)),"",Actuals!D65)</f>
        <v>23906.25</v>
      </c>
      <c r="F65" s="500">
        <f>Budget!D65</f>
        <v>36538.46</v>
      </c>
      <c r="G65" s="500">
        <f>IF(E65="","",E65-F65)</f>
        <v>-12632.21</v>
      </c>
      <c r="H65" s="500">
        <f>IF(OR(3&gt;$B$3,ISBLANK(Actuals!E65)),"",Actuals!E65)</f>
        <v>23906.25</v>
      </c>
      <c r="I65" s="500">
        <f>Budget!E65</f>
        <v>36538.46</v>
      </c>
      <c r="J65" s="500">
        <f>IF(H65="","",H65-I65)</f>
        <v>-12632.21</v>
      </c>
      <c r="K65" s="500">
        <f>IF(OR(4&gt;$B$3,ISBLANK(Actuals!F65)),"",Actuals!F65)</f>
        <v>23906.25</v>
      </c>
      <c r="L65" s="500">
        <f>Budget!F65</f>
        <v>36538.46</v>
      </c>
      <c r="M65" s="500">
        <f>IF(K65="","",K65-L65)</f>
        <v>-12632.21</v>
      </c>
      <c r="N65" s="500">
        <f>IF(OR(5&gt;$B$3,ISBLANK(Actuals!G65)),"",Actuals!G65)</f>
        <v>23906.25</v>
      </c>
      <c r="O65" s="500">
        <f>Budget!G65</f>
        <v>36538.46</v>
      </c>
      <c r="P65" s="500">
        <f>IF(N65="","",N65-O65)</f>
        <v>-12632.21</v>
      </c>
      <c r="Q65" s="500">
        <f>IF(OR(6&gt;$B$3,ISBLANK(Actuals!H65)),"",Actuals!H65)</f>
        <v>23906.25</v>
      </c>
      <c r="R65" s="500">
        <f>Budget!H65</f>
        <v>36538.46</v>
      </c>
      <c r="S65" s="500">
        <f>IF(Q65="","",Q65-R65)</f>
        <v>-12632.21</v>
      </c>
      <c r="T65" s="500">
        <f>IF(OR(7&gt;$B$3,ISBLANK(Actuals!I65)),"",Actuals!I65)</f>
      </c>
      <c r="U65" s="500">
        <f>Budget!I65</f>
        <v>36538.46</v>
      </c>
      <c r="V65" s="500">
        <f>IF(T65="","",T65-U65)</f>
      </c>
      <c r="W65" s="500">
        <f>IF(OR(8&gt;$B$3,ISBLANK(Actuals!J65)),"",Actuals!J65)</f>
      </c>
      <c r="X65" s="500">
        <f>Budget!J65</f>
        <v>36538.46</v>
      </c>
      <c r="Y65" s="500">
        <f>IF(W65="","",W65-X65)</f>
      </c>
      <c r="Z65" s="500">
        <f>IF(OR(9&gt;$B$3,ISBLANK(Actuals!K65)),"",Actuals!K65)</f>
      </c>
      <c r="AA65" s="500">
        <f>Budget!K65</f>
        <v>36538.46</v>
      </c>
      <c r="AB65" s="500">
        <f>IF(Z65="","",Z65-AA65)</f>
      </c>
      <c r="AC65" s="500">
        <f>IF(OR(10&gt;$B$3,ISBLANK(Actuals!L65)),"",Actuals!L65)</f>
      </c>
      <c r="AD65" s="500">
        <f>Budget!L65</f>
        <v>36538.46</v>
      </c>
      <c r="AE65" s="500">
        <f>IF(AC65="","",AC65-AD65)</f>
      </c>
      <c r="AF65" s="500">
        <f>IF(OR(11&gt;$B$3,ISBLANK(Actuals!M65)),"",Actuals!M65)</f>
      </c>
      <c r="AG65" s="500">
        <f>Budget!M65</f>
        <v>36538.46</v>
      </c>
      <c r="AH65" s="500">
        <f>IF(AF65="","",AF65-AG65)</f>
      </c>
      <c r="AI65" s="500">
        <f>IF(OR(12&gt;$B$3,ISBLANK(Actuals!N65)),"",Actuals!N65)</f>
      </c>
      <c r="AJ65" s="500">
        <f>Budget!N65</f>
        <v>36538.46</v>
      </c>
      <c r="AK65" s="500">
        <f>IF(AI65="","",AI65-AJ65)</f>
      </c>
      <c r="AL65" s="501">
        <f>SUM(Actuals!$C65:INDEX(Actuals!$C65:$N65,$B$3))</f>
        <v>143437.5</v>
      </c>
      <c r="AM65" s="501">
        <f>SUM(Budget!$C65:INDEX(Budget!$C65:$N65,$B$3))</f>
        <v>219230.76</v>
      </c>
      <c r="AN65" s="501">
        <f>AL65-AM65</f>
        <v>-75793.26</v>
      </c>
    </row>
    <row r="66" ht="15" customFormat="1" customHeight="1" s="381">
      <c r="A66" s="499" t="inlineStr">
        <is>
          <t>Ramsgate Dev Fee - 20% Occ</t>
        </is>
      </c>
      <c r="B66" s="500">
        <f>IF(OR(1&gt;$B$3,ISBLANK(Actuals!C66)),"",Actuals!C66)</f>
      </c>
      <c r="C66" s="500">
        <f>Budget!C66</f>
        <v>0</v>
      </c>
      <c r="D66" s="500">
        <f>IF(B66="","",B66-C66)</f>
      </c>
      <c r="E66" s="500">
        <f>IF(OR(2&gt;$B$3,ISBLANK(Actuals!D66)),"",Actuals!D66)</f>
      </c>
      <c r="F66" s="500">
        <f>Budget!D66</f>
        <v>0</v>
      </c>
      <c r="G66" s="500">
        <f>IF(E66="","",E66-F66)</f>
      </c>
      <c r="H66" s="500">
        <f>IF(OR(3&gt;$B$3,ISBLANK(Actuals!E66)),"",Actuals!E66)</f>
      </c>
      <c r="I66" s="500">
        <f>Budget!E66</f>
        <v>0</v>
      </c>
      <c r="J66" s="500">
        <f>IF(H66="","",H66-I66)</f>
      </c>
      <c r="K66" s="500">
        <f>IF(OR(4&gt;$B$3,ISBLANK(Actuals!F66)),"",Actuals!F66)</f>
      </c>
      <c r="L66" s="500">
        <f>Budget!F66</f>
        <v>0</v>
      </c>
      <c r="M66" s="500">
        <f>IF(K66="","",K66-L66)</f>
      </c>
      <c r="N66" s="500">
        <f>IF(OR(5&gt;$B$3,ISBLANK(Actuals!G66)),"",Actuals!G66)</f>
      </c>
      <c r="O66" s="500">
        <f>Budget!G66</f>
        <v>0</v>
      </c>
      <c r="P66" s="500">
        <f>IF(N66="","",N66-O66)</f>
      </c>
      <c r="Q66" s="500">
        <f>IF(OR(6&gt;$B$3,ISBLANK(Actuals!H66)),"",Actuals!H66)</f>
      </c>
      <c r="R66" s="500">
        <f>Budget!H66</f>
        <v>0</v>
      </c>
      <c r="S66" s="500">
        <f>IF(Q66="","",Q66-R66)</f>
      </c>
      <c r="T66" s="500">
        <f>IF(OR(7&gt;$B$3,ISBLANK(Actuals!I66)),"",Actuals!I66)</f>
      </c>
      <c r="U66" s="500">
        <f>Budget!I66</f>
        <v>0</v>
      </c>
      <c r="V66" s="500">
        <f>IF(T66="","",T66-U66)</f>
      </c>
      <c r="W66" s="500">
        <f>IF(OR(8&gt;$B$3,ISBLANK(Actuals!J66)),"",Actuals!J66)</f>
      </c>
      <c r="X66" s="500">
        <f>Budget!J66</f>
        <v>0</v>
      </c>
      <c r="Y66" s="500">
        <f>IF(W66="","",W66-X66)</f>
      </c>
      <c r="Z66" s="500">
        <f>IF(OR(9&gt;$B$3,ISBLANK(Actuals!K66)),"",Actuals!K66)</f>
      </c>
      <c r="AA66" s="500">
        <f>Budget!K66</f>
        <v>0</v>
      </c>
      <c r="AB66" s="500">
        <f>IF(Z66="","",Z66-AA66)</f>
      </c>
      <c r="AC66" s="500">
        <f>IF(OR(10&gt;$B$3,ISBLANK(Actuals!L66)),"",Actuals!L66)</f>
      </c>
      <c r="AD66" s="500">
        <f>Budget!L66</f>
        <v>0</v>
      </c>
      <c r="AE66" s="500">
        <f>IF(AC66="","",AC66-AD66)</f>
      </c>
      <c r="AF66" s="500">
        <f>IF(OR(11&gt;$B$3,ISBLANK(Actuals!M66)),"",Actuals!M66)</f>
      </c>
      <c r="AG66" s="500">
        <f>Budget!M66</f>
        <v>0</v>
      </c>
      <c r="AH66" s="500">
        <f>IF(AF66="","",AF66-AG66)</f>
      </c>
      <c r="AI66" s="500">
        <f>IF(OR(12&gt;$B$3,ISBLANK(Actuals!N66)),"",Actuals!N66)</f>
      </c>
      <c r="AJ66" s="500">
        <f>Budget!N66</f>
        <v>0</v>
      </c>
      <c r="AK66" s="500">
        <f>IF(AI66="","",AI66-AJ66)</f>
      </c>
      <c r="AL66" s="501">
        <f>SUM(Actuals!$C66:INDEX(Actuals!$C66:$N66,$B$3))</f>
        <v>0</v>
      </c>
      <c r="AM66" s="501">
        <f>SUM(Budget!$C66:INDEX(Budget!$C66:$N66,$B$3))</f>
        <v>0</v>
      </c>
      <c r="AN66" s="501">
        <f>AL66-AM66</f>
        <v>0</v>
      </c>
    </row>
    <row r="67" ht="15" customFormat="1" customHeight="1" s="381">
      <c r="A67" s="499" t="inlineStr">
        <is>
          <t>Ramsgate Dev Fee - 50% Occ</t>
        </is>
      </c>
      <c r="B67" s="500">
        <f>IF(OR(1&gt;$B$3,ISBLANK(Actuals!C67)),"",Actuals!C67)</f>
      </c>
      <c r="C67" s="500">
        <f>Budget!C67</f>
        <v>0</v>
      </c>
      <c r="D67" s="500">
        <f>IF(B67="","",B67-C67)</f>
      </c>
      <c r="E67" s="500">
        <f>IF(OR(2&gt;$B$3,ISBLANK(Actuals!D67)),"",Actuals!D67)</f>
      </c>
      <c r="F67" s="500">
        <f>Budget!D67</f>
        <v>0</v>
      </c>
      <c r="G67" s="500">
        <f>IF(E67="","",E67-F67)</f>
      </c>
      <c r="H67" s="500">
        <f>IF(OR(3&gt;$B$3,ISBLANK(Actuals!E67)),"",Actuals!E67)</f>
      </c>
      <c r="I67" s="500">
        <f>Budget!E67</f>
        <v>0</v>
      </c>
      <c r="J67" s="500">
        <f>IF(H67="","",H67-I67)</f>
      </c>
      <c r="K67" s="500">
        <f>IF(OR(4&gt;$B$3,ISBLANK(Actuals!F67)),"",Actuals!F67)</f>
      </c>
      <c r="L67" s="500">
        <f>Budget!F67</f>
        <v>0</v>
      </c>
      <c r="M67" s="500">
        <f>IF(K67="","",K67-L67)</f>
      </c>
      <c r="N67" s="500">
        <f>IF(OR(5&gt;$B$3,ISBLANK(Actuals!G67)),"",Actuals!G67)</f>
      </c>
      <c r="O67" s="500">
        <f>Budget!G67</f>
        <v>0</v>
      </c>
      <c r="P67" s="500">
        <f>IF(N67="","",N67-O67)</f>
      </c>
      <c r="Q67" s="500">
        <f>IF(OR(6&gt;$B$3,ISBLANK(Actuals!H67)),"",Actuals!H67)</f>
      </c>
      <c r="R67" s="500">
        <f>Budget!H67</f>
        <v>0</v>
      </c>
      <c r="S67" s="500">
        <f>IF(Q67="","",Q67-R67)</f>
      </c>
      <c r="T67" s="500">
        <f>IF(OR(7&gt;$B$3,ISBLANK(Actuals!I67)),"",Actuals!I67)</f>
      </c>
      <c r="U67" s="500">
        <f>Budget!I67</f>
        <v>0</v>
      </c>
      <c r="V67" s="500">
        <f>IF(T67="","",T67-U67)</f>
      </c>
      <c r="W67" s="500">
        <f>IF(OR(8&gt;$B$3,ISBLANK(Actuals!J67)),"",Actuals!J67)</f>
      </c>
      <c r="X67" s="500">
        <f>Budget!J67</f>
        <v>0</v>
      </c>
      <c r="Y67" s="500">
        <f>IF(W67="","",W67-X67)</f>
      </c>
      <c r="Z67" s="500">
        <f>IF(OR(9&gt;$B$3,ISBLANK(Actuals!K67)),"",Actuals!K67)</f>
      </c>
      <c r="AA67" s="500">
        <f>Budget!K67</f>
        <v>0</v>
      </c>
      <c r="AB67" s="500">
        <f>IF(Z67="","",Z67-AA67)</f>
      </c>
      <c r="AC67" s="500">
        <f>IF(OR(10&gt;$B$3,ISBLANK(Actuals!L67)),"",Actuals!L67)</f>
      </c>
      <c r="AD67" s="500">
        <f>Budget!L67</f>
        <v>0</v>
      </c>
      <c r="AE67" s="500">
        <f>IF(AC67="","",AC67-AD67)</f>
      </c>
      <c r="AF67" s="500">
        <f>IF(OR(11&gt;$B$3,ISBLANK(Actuals!M67)),"",Actuals!M67)</f>
      </c>
      <c r="AG67" s="500">
        <f>Budget!M67</f>
        <v>0</v>
      </c>
      <c r="AH67" s="500">
        <f>IF(AF67="","",AF67-AG67)</f>
      </c>
      <c r="AI67" s="500">
        <f>IF(OR(12&gt;$B$3,ISBLANK(Actuals!N67)),"",Actuals!N67)</f>
      </c>
      <c r="AJ67" s="500">
        <f>Budget!N67</f>
        <v>0</v>
      </c>
      <c r="AK67" s="500">
        <f>IF(AI67="","",AI67-AJ67)</f>
      </c>
      <c r="AL67" s="501">
        <f>SUM(Actuals!$C67:INDEX(Actuals!$C67:$N67,$B$3))</f>
        <v>0</v>
      </c>
      <c r="AM67" s="501">
        <f>SUM(Budget!$C67:INDEX(Budget!$C67:$N67,$B$3))</f>
        <v>0</v>
      </c>
      <c r="AN67" s="501">
        <f>AL67-AM67</f>
        <v>0</v>
      </c>
    </row>
    <row r="68" ht="15" customFormat="1" customHeight="1" s="381">
      <c r="A68" s="499" t="inlineStr">
        <is>
          <t>Ramsgate Dev Fee - 90% Occ</t>
        </is>
      </c>
      <c r="B68" s="500">
        <f>IF(OR(1&gt;$B$3,ISBLANK(Actuals!C68)),"",Actuals!C68)</f>
      </c>
      <c r="C68" s="500">
        <f>Budget!C68</f>
        <v>0</v>
      </c>
      <c r="D68" s="500">
        <f>IF(B68="","",B68-C68)</f>
      </c>
      <c r="E68" s="500">
        <f>IF(OR(2&gt;$B$3,ISBLANK(Actuals!D68)),"",Actuals!D68)</f>
      </c>
      <c r="F68" s="500">
        <f>Budget!D68</f>
        <v>0</v>
      </c>
      <c r="G68" s="500">
        <f>IF(E68="","",E68-F68)</f>
      </c>
      <c r="H68" s="500">
        <f>IF(OR(3&gt;$B$3,ISBLANK(Actuals!E68)),"",Actuals!E68)</f>
      </c>
      <c r="I68" s="500">
        <f>Budget!E68</f>
        <v>0</v>
      </c>
      <c r="J68" s="500">
        <f>IF(H68="","",H68-I68)</f>
      </c>
      <c r="K68" s="500">
        <f>IF(OR(4&gt;$B$3,ISBLANK(Actuals!F68)),"",Actuals!F68)</f>
      </c>
      <c r="L68" s="500">
        <f>Budget!F68</f>
        <v>0</v>
      </c>
      <c r="M68" s="500">
        <f>IF(K68="","",K68-L68)</f>
      </c>
      <c r="N68" s="500">
        <f>IF(OR(5&gt;$B$3,ISBLANK(Actuals!G68)),"",Actuals!G68)</f>
      </c>
      <c r="O68" s="500">
        <f>Budget!G68</f>
        <v>0</v>
      </c>
      <c r="P68" s="500">
        <f>IF(N68="","",N68-O68)</f>
      </c>
      <c r="Q68" s="500">
        <f>IF(OR(6&gt;$B$3,ISBLANK(Actuals!H68)),"",Actuals!H68)</f>
      </c>
      <c r="R68" s="500">
        <f>Budget!H68</f>
        <v>0</v>
      </c>
      <c r="S68" s="500">
        <f>IF(Q68="","",Q68-R68)</f>
      </c>
      <c r="T68" s="500">
        <f>IF(OR(7&gt;$B$3,ISBLANK(Actuals!I68)),"",Actuals!I68)</f>
      </c>
      <c r="U68" s="500">
        <f>Budget!I68</f>
        <v>0</v>
      </c>
      <c r="V68" s="500">
        <f>IF(T68="","",T68-U68)</f>
      </c>
      <c r="W68" s="500">
        <f>IF(OR(8&gt;$B$3,ISBLANK(Actuals!J68)),"",Actuals!J68)</f>
      </c>
      <c r="X68" s="500">
        <f>Budget!J68</f>
        <v>0</v>
      </c>
      <c r="Y68" s="500">
        <f>IF(W68="","",W68-X68)</f>
      </c>
      <c r="Z68" s="500">
        <f>IF(OR(9&gt;$B$3,ISBLANK(Actuals!K68)),"",Actuals!K68)</f>
      </c>
      <c r="AA68" s="500">
        <f>Budget!K68</f>
        <v>0</v>
      </c>
      <c r="AB68" s="500">
        <f>IF(Z68="","",Z68-AA68)</f>
      </c>
      <c r="AC68" s="500">
        <f>IF(OR(10&gt;$B$3,ISBLANK(Actuals!L68)),"",Actuals!L68)</f>
      </c>
      <c r="AD68" s="500">
        <f>Budget!L68</f>
        <v>0</v>
      </c>
      <c r="AE68" s="500">
        <f>IF(AC68="","",AC68-AD68)</f>
      </c>
      <c r="AF68" s="500">
        <f>IF(OR(11&gt;$B$3,ISBLANK(Actuals!M68)),"",Actuals!M68)</f>
      </c>
      <c r="AG68" s="500">
        <f>Budget!M68</f>
        <v>0</v>
      </c>
      <c r="AH68" s="500">
        <f>IF(AF68="","",AF68-AG68)</f>
      </c>
      <c r="AI68" s="500">
        <f>IF(OR(12&gt;$B$3,ISBLANK(Actuals!N68)),"",Actuals!N68)</f>
      </c>
      <c r="AJ68" s="500">
        <f>Budget!N68</f>
        <v>0</v>
      </c>
      <c r="AK68" s="500">
        <f>IF(AI68="","",AI68-AJ68)</f>
      </c>
      <c r="AL68" s="501">
        <f>SUM(Actuals!$C68:INDEX(Actuals!$C68:$N68,$B$3))</f>
        <v>0</v>
      </c>
      <c r="AM68" s="501">
        <f>SUM(Budget!$C68:INDEX(Budget!$C68:$N68,$B$3))</f>
        <v>0</v>
      </c>
      <c r="AN68" s="501">
        <f>AL68-AM68</f>
        <v>0</v>
      </c>
    </row>
    <row r="69" ht="15" customFormat="1" customHeight="1" s="381">
      <c r="A69" s="499" t="inlineStr">
        <is>
          <t>Crenshaw Development Fee</t>
        </is>
      </c>
      <c r="B69" s="500">
        <f>IF(OR(1&gt;$B$3,ISBLANK(Actuals!C69)),"",Actuals!C69)</f>
        <v>9375</v>
      </c>
      <c r="C69" s="500">
        <f>Budget!C69</f>
        <v>10227.27</v>
      </c>
      <c r="D69" s="500">
        <f>IF(B69="","",B69-C69)</f>
        <v>-852.27</v>
      </c>
      <c r="E69" s="500">
        <f>IF(OR(2&gt;$B$3,ISBLANK(Actuals!D69)),"",Actuals!D69)</f>
        <v>9375</v>
      </c>
      <c r="F69" s="500">
        <f>Budget!D69</f>
        <v>10227.27</v>
      </c>
      <c r="G69" s="500">
        <f>IF(E69="","",E69-F69)</f>
        <v>-852.27</v>
      </c>
      <c r="H69" s="500">
        <f>IF(OR(3&gt;$B$3,ISBLANK(Actuals!E69)),"",Actuals!E69)</f>
        <v>9375</v>
      </c>
      <c r="I69" s="500">
        <f>Budget!E69</f>
        <v>10227.27</v>
      </c>
      <c r="J69" s="500">
        <f>IF(H69="","",H69-I69)</f>
        <v>-852.27</v>
      </c>
      <c r="K69" s="500">
        <f>IF(OR(4&gt;$B$3,ISBLANK(Actuals!F69)),"",Actuals!F69)</f>
        <v>9375</v>
      </c>
      <c r="L69" s="500">
        <f>Budget!F69</f>
        <v>10227.27</v>
      </c>
      <c r="M69" s="500">
        <f>IF(K69="","",K69-L69)</f>
        <v>-852.27</v>
      </c>
      <c r="N69" s="500">
        <f>IF(OR(5&gt;$B$3,ISBLANK(Actuals!G69)),"",Actuals!G69)</f>
        <v>9375</v>
      </c>
      <c r="O69" s="500">
        <f>Budget!G69</f>
        <v>10227.27</v>
      </c>
      <c r="P69" s="500">
        <f>IF(N69="","",N69-O69)</f>
        <v>-852.27</v>
      </c>
      <c r="Q69" s="500">
        <f>IF(OR(6&gt;$B$3,ISBLANK(Actuals!H69)),"",Actuals!H69)</f>
        <v>9375</v>
      </c>
      <c r="R69" s="500">
        <f>Budget!H69</f>
        <v>10227.27</v>
      </c>
      <c r="S69" s="500">
        <f>IF(Q69="","",Q69-R69)</f>
        <v>-852.27</v>
      </c>
      <c r="T69" s="500">
        <f>IF(OR(7&gt;$B$3,ISBLANK(Actuals!I69)),"",Actuals!I69)</f>
      </c>
      <c r="U69" s="500">
        <f>Budget!I69</f>
        <v>10227.27</v>
      </c>
      <c r="V69" s="500">
        <f>IF(T69="","",T69-U69)</f>
      </c>
      <c r="W69" s="500">
        <f>IF(OR(8&gt;$B$3,ISBLANK(Actuals!J69)),"",Actuals!J69)</f>
      </c>
      <c r="X69" s="500">
        <f>Budget!J69</f>
        <v>10227.27</v>
      </c>
      <c r="Y69" s="500">
        <f>IF(W69="","",W69-X69)</f>
      </c>
      <c r="Z69" s="500">
        <f>IF(OR(9&gt;$B$3,ISBLANK(Actuals!K69)),"",Actuals!K69)</f>
      </c>
      <c r="AA69" s="500">
        <f>Budget!K69</f>
        <v>10227.27</v>
      </c>
      <c r="AB69" s="500">
        <f>IF(Z69="","",Z69-AA69)</f>
      </c>
      <c r="AC69" s="500">
        <f>IF(OR(10&gt;$B$3,ISBLANK(Actuals!L69)),"",Actuals!L69)</f>
      </c>
      <c r="AD69" s="500">
        <f>Budget!L69</f>
        <v>0</v>
      </c>
      <c r="AE69" s="500">
        <f>IF(AC69="","",AC69-AD69)</f>
      </c>
      <c r="AF69" s="500">
        <f>IF(OR(11&gt;$B$3,ISBLANK(Actuals!M69)),"",Actuals!M69)</f>
      </c>
      <c r="AG69" s="500">
        <f>Budget!M69</f>
        <v>0</v>
      </c>
      <c r="AH69" s="500">
        <f>IF(AF69="","",AF69-AG69)</f>
      </c>
      <c r="AI69" s="500">
        <f>IF(OR(12&gt;$B$3,ISBLANK(Actuals!N69)),"",Actuals!N69)</f>
      </c>
      <c r="AJ69" s="500">
        <f>Budget!N69</f>
        <v>0</v>
      </c>
      <c r="AK69" s="500">
        <f>IF(AI69="","",AI69-AJ69)</f>
      </c>
      <c r="AL69" s="501">
        <f>SUM(Actuals!$C69:INDEX(Actuals!$C69:$N69,$B$3))</f>
        <v>56250</v>
      </c>
      <c r="AM69" s="501">
        <f>SUM(Budget!$C69:INDEX(Budget!$C69:$N69,$B$3))</f>
        <v>61363.62</v>
      </c>
      <c r="AN69" s="501">
        <f>AL69-AM69</f>
        <v>-5113.62000000001</v>
      </c>
    </row>
    <row r="70" ht="15" customFormat="1" customHeight="1" s="381">
      <c r="A70" s="499" t="inlineStr">
        <is>
          <t>12th &amp; Fir Developer Fee</t>
        </is>
      </c>
      <c r="B70" s="500">
        <f>IF(OR(1&gt;$B$3,ISBLANK(Actuals!C70)),"",Actuals!C70)</f>
      </c>
      <c r="C70" s="500">
        <f>Budget!C70</f>
        <v>0</v>
      </c>
      <c r="D70" s="500">
        <f>IF(B70="","",B70-C70)</f>
      </c>
      <c r="E70" s="500">
        <f>IF(OR(2&gt;$B$3,ISBLANK(Actuals!D70)),"",Actuals!D70)</f>
      </c>
      <c r="F70" s="500">
        <f>Budget!D70</f>
        <v>0</v>
      </c>
      <c r="G70" s="500">
        <f>IF(E70="","",E70-F70)</f>
      </c>
      <c r="H70" s="500">
        <f>IF(OR(3&gt;$B$3,ISBLANK(Actuals!E70)),"",Actuals!E70)</f>
      </c>
      <c r="I70" s="500">
        <f>Budget!E70</f>
        <v>0</v>
      </c>
      <c r="J70" s="500">
        <f>IF(H70="","",H70-I70)</f>
      </c>
      <c r="K70" s="500">
        <f>IF(OR(4&gt;$B$3,ISBLANK(Actuals!F70)),"",Actuals!F70)</f>
      </c>
      <c r="L70" s="500">
        <f>Budget!F70</f>
        <v>11875</v>
      </c>
      <c r="M70" s="500">
        <f>IF(K70="","",K70-L70)</f>
      </c>
      <c r="N70" s="500">
        <f>IF(OR(5&gt;$B$3,ISBLANK(Actuals!G70)),"",Actuals!G70)</f>
      </c>
      <c r="O70" s="500">
        <f>Budget!G70</f>
        <v>11875</v>
      </c>
      <c r="P70" s="500">
        <f>IF(N70="","",N70-O70)</f>
      </c>
      <c r="Q70" s="500">
        <f>IF(OR(6&gt;$B$3,ISBLANK(Actuals!H70)),"",Actuals!H70)</f>
      </c>
      <c r="R70" s="500">
        <f>Budget!H70</f>
        <v>11875</v>
      </c>
      <c r="S70" s="500">
        <f>IF(Q70="","",Q70-R70)</f>
      </c>
      <c r="T70" s="500">
        <f>IF(OR(7&gt;$B$3,ISBLANK(Actuals!I70)),"",Actuals!I70)</f>
      </c>
      <c r="U70" s="500">
        <f>Budget!I70</f>
        <v>11875</v>
      </c>
      <c r="V70" s="500">
        <f>IF(T70="","",T70-U70)</f>
      </c>
      <c r="W70" s="500">
        <f>IF(OR(8&gt;$B$3,ISBLANK(Actuals!J70)),"",Actuals!J70)</f>
      </c>
      <c r="X70" s="500">
        <f>Budget!J70</f>
        <v>11875</v>
      </c>
      <c r="Y70" s="500">
        <f>IF(W70="","",W70-X70)</f>
      </c>
      <c r="Z70" s="500">
        <f>IF(OR(9&gt;$B$3,ISBLANK(Actuals!K70)),"",Actuals!K70)</f>
      </c>
      <c r="AA70" s="500">
        <f>Budget!K70</f>
        <v>11875</v>
      </c>
      <c r="AB70" s="500">
        <f>IF(Z70="","",Z70-AA70)</f>
      </c>
      <c r="AC70" s="500">
        <f>IF(OR(10&gt;$B$3,ISBLANK(Actuals!L70)),"",Actuals!L70)</f>
      </c>
      <c r="AD70" s="500">
        <f>Budget!L70</f>
        <v>11875</v>
      </c>
      <c r="AE70" s="500">
        <f>IF(AC70="","",AC70-AD70)</f>
      </c>
      <c r="AF70" s="500">
        <f>IF(OR(11&gt;$B$3,ISBLANK(Actuals!M70)),"",Actuals!M70)</f>
      </c>
      <c r="AG70" s="500">
        <f>Budget!M70</f>
        <v>11875</v>
      </c>
      <c r="AH70" s="500">
        <f>IF(AF70="","",AF70-AG70)</f>
      </c>
      <c r="AI70" s="500">
        <f>IF(OR(12&gt;$B$3,ISBLANK(Actuals!N70)),"",Actuals!N70)</f>
      </c>
      <c r="AJ70" s="500">
        <f>Budget!N70</f>
        <v>11875</v>
      </c>
      <c r="AK70" s="500">
        <f>IF(AI70="","",AI70-AJ70)</f>
      </c>
      <c r="AL70" s="501">
        <f>SUM(Actuals!$C70:INDEX(Actuals!$C70:$N70,$B$3))</f>
        <v>0</v>
      </c>
      <c r="AM70" s="501">
        <f>SUM(Budget!$C70:INDEX(Budget!$C70:$N70,$B$3))</f>
        <v>35625</v>
      </c>
      <c r="AN70" s="501">
        <f>AL70-AM70</f>
        <v>-35625</v>
      </c>
    </row>
    <row r="71" ht="15" customFormat="1" customHeight="1" s="381">
      <c r="A71" s="499" t="inlineStr">
        <is>
          <t>Klump Accounting Fee</t>
        </is>
      </c>
      <c r="B71" s="500">
        <f>IF(OR(1&gt;$B$3,ISBLANK(Actuals!C71)),"",Actuals!C71)</f>
      </c>
      <c r="C71" s="500">
        <f>Budget!C71</f>
        <v>0</v>
      </c>
      <c r="D71" s="500">
        <f>IF(B71="","",B71-C71)</f>
      </c>
      <c r="E71" s="500">
        <f>IF(OR(2&gt;$B$3,ISBLANK(Actuals!D71)),"",Actuals!D71)</f>
      </c>
      <c r="F71" s="500">
        <f>Budget!D71</f>
        <v>0</v>
      </c>
      <c r="G71" s="500">
        <f>IF(E71="","",E71-F71)</f>
      </c>
      <c r="H71" s="500">
        <f>IF(OR(3&gt;$B$3,ISBLANK(Actuals!E71)),"",Actuals!E71)</f>
      </c>
      <c r="I71" s="500">
        <f>Budget!E71</f>
        <v>0</v>
      </c>
      <c r="J71" s="500">
        <f>IF(H71="","",H71-I71)</f>
      </c>
      <c r="K71" s="500">
        <f>IF(OR(4&gt;$B$3,ISBLANK(Actuals!F71)),"",Actuals!F71)</f>
      </c>
      <c r="L71" s="500">
        <f>Budget!F71</f>
        <v>0</v>
      </c>
      <c r="M71" s="500">
        <f>IF(K71="","",K71-L71)</f>
      </c>
      <c r="N71" s="500">
        <f>IF(OR(5&gt;$B$3,ISBLANK(Actuals!G71)),"",Actuals!G71)</f>
      </c>
      <c r="O71" s="500">
        <f>Budget!G71</f>
        <v>0</v>
      </c>
      <c r="P71" s="500">
        <f>IF(N71="","",N71-O71)</f>
      </c>
      <c r="Q71" s="500">
        <f>IF(OR(6&gt;$B$3,ISBLANK(Actuals!H71)),"",Actuals!H71)</f>
      </c>
      <c r="R71" s="500">
        <f>Budget!H71</f>
        <v>0</v>
      </c>
      <c r="S71" s="500">
        <f>IF(Q71="","",Q71-R71)</f>
      </c>
      <c r="T71" s="500">
        <f>IF(OR(7&gt;$B$3,ISBLANK(Actuals!I71)),"",Actuals!I71)</f>
      </c>
      <c r="U71" s="500">
        <f>Budget!I71</f>
        <v>0</v>
      </c>
      <c r="V71" s="500">
        <f>IF(T71="","",T71-U71)</f>
      </c>
      <c r="W71" s="500">
        <f>IF(OR(8&gt;$B$3,ISBLANK(Actuals!J71)),"",Actuals!J71)</f>
      </c>
      <c r="X71" s="500">
        <f>Budget!J71</f>
        <v>0</v>
      </c>
      <c r="Y71" s="500">
        <f>IF(W71="","",W71-X71)</f>
      </c>
      <c r="Z71" s="500">
        <f>IF(OR(9&gt;$B$3,ISBLANK(Actuals!K71)),"",Actuals!K71)</f>
      </c>
      <c r="AA71" s="500">
        <f>Budget!K71</f>
        <v>0</v>
      </c>
      <c r="AB71" s="500">
        <f>IF(Z71="","",Z71-AA71)</f>
      </c>
      <c r="AC71" s="500">
        <f>IF(OR(10&gt;$B$3,ISBLANK(Actuals!L71)),"",Actuals!L71)</f>
      </c>
      <c r="AD71" s="500">
        <f>Budget!L71</f>
        <v>0</v>
      </c>
      <c r="AE71" s="500">
        <f>IF(AC71="","",AC71-AD71)</f>
      </c>
      <c r="AF71" s="500">
        <f>IF(OR(11&gt;$B$3,ISBLANK(Actuals!M71)),"",Actuals!M71)</f>
      </c>
      <c r="AG71" s="500">
        <f>Budget!M71</f>
        <v>0</v>
      </c>
      <c r="AH71" s="500">
        <f>IF(AF71="","",AF71-AG71)</f>
      </c>
      <c r="AI71" s="500">
        <f>IF(OR(12&gt;$B$3,ISBLANK(Actuals!N71)),"",Actuals!N71)</f>
      </c>
      <c r="AJ71" s="500">
        <f>Budget!N71</f>
        <v>0</v>
      </c>
      <c r="AK71" s="500">
        <f>IF(AI71="","",AI71-AJ71)</f>
      </c>
      <c r="AL71" s="501">
        <f>SUM(Actuals!$C71:INDEX(Actuals!$C71:$N71,$B$3))</f>
        <v>0</v>
      </c>
      <c r="AM71" s="501">
        <f>SUM(Budget!$C71:INDEX(Budget!$C71:$N71,$B$3))</f>
        <v>0</v>
      </c>
      <c r="AN71" s="501">
        <f>AL71-AM71</f>
        <v>0</v>
      </c>
    </row>
    <row r="72" ht="15" customFormat="1" customHeight="1" s="381">
      <c r="A72" s="499" t="inlineStr">
        <is>
          <t>Klump Developer Fee</t>
        </is>
      </c>
      <c r="B72" s="500">
        <f>IF(OR(1&gt;$B$3,ISBLANK(Actuals!C72)),"",Actuals!C72)</f>
      </c>
      <c r="C72" s="500">
        <f>Budget!C72</f>
        <v>0</v>
      </c>
      <c r="D72" s="500">
        <f>IF(B72="","",B72-C72)</f>
      </c>
      <c r="E72" s="500">
        <f>IF(OR(2&gt;$B$3,ISBLANK(Actuals!D72)),"",Actuals!D72)</f>
      </c>
      <c r="F72" s="500">
        <f>Budget!D72</f>
        <v>0</v>
      </c>
      <c r="G72" s="500">
        <f>IF(E72="","",E72-F72)</f>
      </c>
      <c r="H72" s="500">
        <f>IF(OR(3&gt;$B$3,ISBLANK(Actuals!E72)),"",Actuals!E72)</f>
      </c>
      <c r="I72" s="500">
        <f>Budget!E72</f>
        <v>0</v>
      </c>
      <c r="J72" s="500">
        <f>IF(H72="","",H72-I72)</f>
      </c>
      <c r="K72" s="500">
        <f>IF(OR(4&gt;$B$3,ISBLANK(Actuals!F72)),"",Actuals!F72)</f>
      </c>
      <c r="L72" s="500">
        <f>Budget!F72</f>
        <v>0</v>
      </c>
      <c r="M72" s="500">
        <f>IF(K72="","",K72-L72)</f>
      </c>
      <c r="N72" s="500">
        <f>IF(OR(5&gt;$B$3,ISBLANK(Actuals!G72)),"",Actuals!G72)</f>
      </c>
      <c r="O72" s="500">
        <f>Budget!G72</f>
        <v>0</v>
      </c>
      <c r="P72" s="500">
        <f>IF(N72="","",N72-O72)</f>
      </c>
      <c r="Q72" s="500">
        <f>IF(OR(6&gt;$B$3,ISBLANK(Actuals!H72)),"",Actuals!H72)</f>
      </c>
      <c r="R72" s="500">
        <f>Budget!H72</f>
        <v>0</v>
      </c>
      <c r="S72" s="500">
        <f>IF(Q72="","",Q72-R72)</f>
      </c>
      <c r="T72" s="500">
        <f>IF(OR(7&gt;$B$3,ISBLANK(Actuals!I72)),"",Actuals!I72)</f>
      </c>
      <c r="U72" s="500">
        <f>Budget!I72</f>
        <v>0</v>
      </c>
      <c r="V72" s="500">
        <f>IF(T72="","",T72-U72)</f>
      </c>
      <c r="W72" s="500">
        <f>IF(OR(8&gt;$B$3,ISBLANK(Actuals!J72)),"",Actuals!J72)</f>
      </c>
      <c r="X72" s="500">
        <f>Budget!J72</f>
        <v>0</v>
      </c>
      <c r="Y72" s="500">
        <f>IF(W72="","",W72-X72)</f>
      </c>
      <c r="Z72" s="500">
        <f>IF(OR(9&gt;$B$3,ISBLANK(Actuals!K72)),"",Actuals!K72)</f>
      </c>
      <c r="AA72" s="500">
        <f>Budget!K72</f>
        <v>0</v>
      </c>
      <c r="AB72" s="500">
        <f>IF(Z72="","",Z72-AA72)</f>
      </c>
      <c r="AC72" s="500">
        <f>IF(OR(10&gt;$B$3,ISBLANK(Actuals!L72)),"",Actuals!L72)</f>
      </c>
      <c r="AD72" s="500">
        <f>Budget!L72</f>
        <v>0</v>
      </c>
      <c r="AE72" s="500">
        <f>IF(AC72="","",AC72-AD72)</f>
      </c>
      <c r="AF72" s="500">
        <f>IF(OR(11&gt;$B$3,ISBLANK(Actuals!M72)),"",Actuals!M72)</f>
      </c>
      <c r="AG72" s="500">
        <f>Budget!M72</f>
        <v>0</v>
      </c>
      <c r="AH72" s="500">
        <f>IF(AF72="","",AF72-AG72)</f>
      </c>
      <c r="AI72" s="500">
        <f>IF(OR(12&gt;$B$3,ISBLANK(Actuals!N72)),"",Actuals!N72)</f>
      </c>
      <c r="AJ72" s="500">
        <f>Budget!N72</f>
        <v>0</v>
      </c>
      <c r="AK72" s="500">
        <f>IF(AI72="","",AI72-AJ72)</f>
      </c>
      <c r="AL72" s="501">
        <f>SUM(Actuals!$C72:INDEX(Actuals!$C72:$N72,$B$3))</f>
        <v>0</v>
      </c>
      <c r="AM72" s="501">
        <f>SUM(Budget!$C72:INDEX(Budget!$C72:$N72,$B$3))</f>
        <v>0</v>
      </c>
      <c r="AN72" s="501">
        <f>AL72-AM72</f>
        <v>0</v>
      </c>
    </row>
    <row r="73" ht="15" customFormat="1" customHeight="1" s="381">
      <c r="A73" s="499" t="inlineStr">
        <is>
          <t>Klump Guarantee Fee</t>
        </is>
      </c>
      <c r="B73" s="500">
        <f>IF(OR(1&gt;$B$3,ISBLANK(Actuals!C73)),"",Actuals!C73)</f>
      </c>
      <c r="C73" s="500">
        <f>Budget!C73</f>
        <v>0</v>
      </c>
      <c r="D73" s="500">
        <f>IF(B73="","",B73-C73)</f>
      </c>
      <c r="E73" s="500">
        <f>IF(OR(2&gt;$B$3,ISBLANK(Actuals!D73)),"",Actuals!D73)</f>
      </c>
      <c r="F73" s="500">
        <f>Budget!D73</f>
        <v>0</v>
      </c>
      <c r="G73" s="500">
        <f>IF(E73="","",E73-F73)</f>
      </c>
      <c r="H73" s="500">
        <f>IF(OR(3&gt;$B$3,ISBLANK(Actuals!E73)),"",Actuals!E73)</f>
      </c>
      <c r="I73" s="500">
        <f>Budget!E73</f>
        <v>0</v>
      </c>
      <c r="J73" s="500">
        <f>IF(H73="","",H73-I73)</f>
      </c>
      <c r="K73" s="500">
        <f>IF(OR(4&gt;$B$3,ISBLANK(Actuals!F73)),"",Actuals!F73)</f>
      </c>
      <c r="L73" s="500">
        <f>Budget!F73</f>
        <v>0</v>
      </c>
      <c r="M73" s="500">
        <f>IF(K73="","",K73-L73)</f>
      </c>
      <c r="N73" s="500">
        <f>IF(OR(5&gt;$B$3,ISBLANK(Actuals!G73)),"",Actuals!G73)</f>
      </c>
      <c r="O73" s="500">
        <f>Budget!G73</f>
        <v>0</v>
      </c>
      <c r="P73" s="500">
        <f>IF(N73="","",N73-O73)</f>
      </c>
      <c r="Q73" s="500">
        <f>IF(OR(6&gt;$B$3,ISBLANK(Actuals!H73)),"",Actuals!H73)</f>
      </c>
      <c r="R73" s="500">
        <f>Budget!H73</f>
        <v>0</v>
      </c>
      <c r="S73" s="500">
        <f>IF(Q73="","",Q73-R73)</f>
      </c>
      <c r="T73" s="500">
        <f>IF(OR(7&gt;$B$3,ISBLANK(Actuals!I73)),"",Actuals!I73)</f>
      </c>
      <c r="U73" s="500">
        <f>Budget!I73</f>
        <v>0</v>
      </c>
      <c r="V73" s="500">
        <f>IF(T73="","",T73-U73)</f>
      </c>
      <c r="W73" s="500">
        <f>IF(OR(8&gt;$B$3,ISBLANK(Actuals!J73)),"",Actuals!J73)</f>
      </c>
      <c r="X73" s="500">
        <f>Budget!J73</f>
        <v>0</v>
      </c>
      <c r="Y73" s="500">
        <f>IF(W73="","",W73-X73)</f>
      </c>
      <c r="Z73" s="500">
        <f>IF(OR(9&gt;$B$3,ISBLANK(Actuals!K73)),"",Actuals!K73)</f>
      </c>
      <c r="AA73" s="500">
        <f>Budget!K73</f>
        <v>0</v>
      </c>
      <c r="AB73" s="500">
        <f>IF(Z73="","",Z73-AA73)</f>
      </c>
      <c r="AC73" s="500">
        <f>IF(OR(10&gt;$B$3,ISBLANK(Actuals!L73)),"",Actuals!L73)</f>
      </c>
      <c r="AD73" s="500">
        <f>Budget!L73</f>
        <v>0</v>
      </c>
      <c r="AE73" s="500">
        <f>IF(AC73="","",AC73-AD73)</f>
      </c>
      <c r="AF73" s="500">
        <f>IF(OR(11&gt;$B$3,ISBLANK(Actuals!M73)),"",Actuals!M73)</f>
      </c>
      <c r="AG73" s="500">
        <f>Budget!M73</f>
        <v>0</v>
      </c>
      <c r="AH73" s="500">
        <f>IF(AF73="","",AF73-AG73)</f>
      </c>
      <c r="AI73" s="500">
        <f>IF(OR(12&gt;$B$3,ISBLANK(Actuals!N73)),"",Actuals!N73)</f>
      </c>
      <c r="AJ73" s="500">
        <f>Budget!N73</f>
        <v>0</v>
      </c>
      <c r="AK73" s="500">
        <f>IF(AI73="","",AI73-AJ73)</f>
      </c>
      <c r="AL73" s="501">
        <f>SUM(Actuals!$C73:INDEX(Actuals!$C73:$N73,$B$3))</f>
        <v>0</v>
      </c>
      <c r="AM73" s="501">
        <f>SUM(Budget!$C73:INDEX(Budget!$C73:$N73,$B$3))</f>
        <v>0</v>
      </c>
      <c r="AN73" s="501">
        <f>AL73-AM73</f>
        <v>0</v>
      </c>
    </row>
    <row r="74" ht="15" customFormat="1" customHeight="1" s="381">
      <c r="A74" s="499" t="inlineStr">
        <is>
          <t>Scott Accounting Fee</t>
        </is>
      </c>
      <c r="B74" s="500">
        <f>IF(OR(1&gt;$B$3,ISBLANK(Actuals!C74)),"",Actuals!C74)</f>
      </c>
      <c r="C74" s="500">
        <f>Budget!C74</f>
        <v>0</v>
      </c>
      <c r="D74" s="500">
        <f>IF(B74="","",B74-C74)</f>
      </c>
      <c r="E74" s="500">
        <f>IF(OR(2&gt;$B$3,ISBLANK(Actuals!D74)),"",Actuals!D74)</f>
      </c>
      <c r="F74" s="500">
        <f>Budget!D74</f>
        <v>0</v>
      </c>
      <c r="G74" s="500">
        <f>IF(E74="","",E74-F74)</f>
      </c>
      <c r="H74" s="500">
        <f>IF(OR(3&gt;$B$3,ISBLANK(Actuals!E74)),"",Actuals!E74)</f>
      </c>
      <c r="I74" s="500">
        <f>Budget!E74</f>
        <v>0</v>
      </c>
      <c r="J74" s="500">
        <f>IF(H74="","",H74-I74)</f>
      </c>
      <c r="K74" s="500">
        <f>IF(OR(4&gt;$B$3,ISBLANK(Actuals!F74)),"",Actuals!F74)</f>
      </c>
      <c r="L74" s="500">
        <f>Budget!F74</f>
        <v>0</v>
      </c>
      <c r="M74" s="500">
        <f>IF(K74="","",K74-L74)</f>
      </c>
      <c r="N74" s="500">
        <f>IF(OR(5&gt;$B$3,ISBLANK(Actuals!G74)),"",Actuals!G74)</f>
      </c>
      <c r="O74" s="500">
        <f>Budget!G74</f>
        <v>0</v>
      </c>
      <c r="P74" s="500">
        <f>IF(N74="","",N74-O74)</f>
      </c>
      <c r="Q74" s="500">
        <f>IF(OR(6&gt;$B$3,ISBLANK(Actuals!H74)),"",Actuals!H74)</f>
      </c>
      <c r="R74" s="500">
        <f>Budget!H74</f>
        <v>0</v>
      </c>
      <c r="S74" s="500">
        <f>IF(Q74="","",Q74-R74)</f>
      </c>
      <c r="T74" s="500">
        <f>IF(OR(7&gt;$B$3,ISBLANK(Actuals!I74)),"",Actuals!I74)</f>
      </c>
      <c r="U74" s="500">
        <f>Budget!I74</f>
        <v>0</v>
      </c>
      <c r="V74" s="500">
        <f>IF(T74="","",T74-U74)</f>
      </c>
      <c r="W74" s="500">
        <f>IF(OR(8&gt;$B$3,ISBLANK(Actuals!J74)),"",Actuals!J74)</f>
      </c>
      <c r="X74" s="500">
        <f>Budget!J74</f>
        <v>0</v>
      </c>
      <c r="Y74" s="500">
        <f>IF(W74="","",W74-X74)</f>
      </c>
      <c r="Z74" s="500">
        <f>IF(OR(9&gt;$B$3,ISBLANK(Actuals!K74)),"",Actuals!K74)</f>
      </c>
      <c r="AA74" s="500">
        <f>Budget!K74</f>
        <v>0</v>
      </c>
      <c r="AB74" s="500">
        <f>IF(Z74="","",Z74-AA74)</f>
      </c>
      <c r="AC74" s="500">
        <f>IF(OR(10&gt;$B$3,ISBLANK(Actuals!L74)),"",Actuals!L74)</f>
      </c>
      <c r="AD74" s="500">
        <f>Budget!L74</f>
        <v>0</v>
      </c>
      <c r="AE74" s="500">
        <f>IF(AC74="","",AC74-AD74)</f>
      </c>
      <c r="AF74" s="500">
        <f>IF(OR(11&gt;$B$3,ISBLANK(Actuals!M74)),"",Actuals!M74)</f>
      </c>
      <c r="AG74" s="500">
        <f>Budget!M74</f>
        <v>0</v>
      </c>
      <c r="AH74" s="500">
        <f>IF(AF74="","",AF74-AG74)</f>
      </c>
      <c r="AI74" s="500">
        <f>IF(OR(12&gt;$B$3,ISBLANK(Actuals!N74)),"",Actuals!N74)</f>
      </c>
      <c r="AJ74" s="500">
        <f>Budget!N74</f>
        <v>0</v>
      </c>
      <c r="AK74" s="500">
        <f>IF(AI74="","",AI74-AJ74)</f>
      </c>
      <c r="AL74" s="501">
        <f>SUM(Actuals!$C74:INDEX(Actuals!$C74:$N74,$B$3))</f>
        <v>0</v>
      </c>
      <c r="AM74" s="501">
        <f>SUM(Budget!$C74:INDEX(Budget!$C74:$N74,$B$3))</f>
        <v>0</v>
      </c>
      <c r="AN74" s="501">
        <f>AL74-AM74</f>
        <v>0</v>
      </c>
    </row>
    <row r="75" ht="15" customFormat="1" customHeight="1" s="381">
      <c r="A75" s="499" t="inlineStr">
        <is>
          <t>Scott Developer Fee</t>
        </is>
      </c>
      <c r="B75" s="500">
        <f>IF(OR(1&gt;$B$3,ISBLANK(Actuals!C75)),"",Actuals!C75)</f>
      </c>
      <c r="C75" s="500">
        <f>Budget!C75</f>
        <v>0</v>
      </c>
      <c r="D75" s="500">
        <f>IF(B75="","",B75-C75)</f>
      </c>
      <c r="E75" s="500">
        <f>IF(OR(2&gt;$B$3,ISBLANK(Actuals!D75)),"",Actuals!D75)</f>
      </c>
      <c r="F75" s="500">
        <f>Budget!D75</f>
        <v>0</v>
      </c>
      <c r="G75" s="500">
        <f>IF(E75="","",E75-F75)</f>
      </c>
      <c r="H75" s="500">
        <f>IF(OR(3&gt;$B$3,ISBLANK(Actuals!E75)),"",Actuals!E75)</f>
      </c>
      <c r="I75" s="500">
        <f>Budget!E75</f>
        <v>0</v>
      </c>
      <c r="J75" s="500">
        <f>IF(H75="","",H75-I75)</f>
      </c>
      <c r="K75" s="500">
        <f>IF(OR(4&gt;$B$3,ISBLANK(Actuals!F75)),"",Actuals!F75)</f>
      </c>
      <c r="L75" s="500">
        <f>Budget!F75</f>
        <v>0</v>
      </c>
      <c r="M75" s="500">
        <f>IF(K75="","",K75-L75)</f>
      </c>
      <c r="N75" s="500">
        <f>IF(OR(5&gt;$B$3,ISBLANK(Actuals!G75)),"",Actuals!G75)</f>
      </c>
      <c r="O75" s="500">
        <f>Budget!G75</f>
        <v>0</v>
      </c>
      <c r="P75" s="500">
        <f>IF(N75="","",N75-O75)</f>
      </c>
      <c r="Q75" s="500">
        <f>IF(OR(6&gt;$B$3,ISBLANK(Actuals!H75)),"",Actuals!H75)</f>
      </c>
      <c r="R75" s="500">
        <f>Budget!H75</f>
        <v>0</v>
      </c>
      <c r="S75" s="500">
        <f>IF(Q75="","",Q75-R75)</f>
      </c>
      <c r="T75" s="500">
        <f>IF(OR(7&gt;$B$3,ISBLANK(Actuals!I75)),"",Actuals!I75)</f>
      </c>
      <c r="U75" s="500">
        <f>Budget!I75</f>
        <v>0</v>
      </c>
      <c r="V75" s="500">
        <f>IF(T75="","",T75-U75)</f>
      </c>
      <c r="W75" s="500">
        <f>IF(OR(8&gt;$B$3,ISBLANK(Actuals!J75)),"",Actuals!J75)</f>
      </c>
      <c r="X75" s="500">
        <f>Budget!J75</f>
        <v>0</v>
      </c>
      <c r="Y75" s="500">
        <f>IF(W75="","",W75-X75)</f>
      </c>
      <c r="Z75" s="500">
        <f>IF(OR(9&gt;$B$3,ISBLANK(Actuals!K75)),"",Actuals!K75)</f>
      </c>
      <c r="AA75" s="500">
        <f>Budget!K75</f>
        <v>0</v>
      </c>
      <c r="AB75" s="500">
        <f>IF(Z75="","",Z75-AA75)</f>
      </c>
      <c r="AC75" s="500">
        <f>IF(OR(10&gt;$B$3,ISBLANK(Actuals!L75)),"",Actuals!L75)</f>
      </c>
      <c r="AD75" s="500">
        <f>Budget!L75</f>
        <v>0</v>
      </c>
      <c r="AE75" s="500">
        <f>IF(AC75="","",AC75-AD75)</f>
      </c>
      <c r="AF75" s="500">
        <f>IF(OR(11&gt;$B$3,ISBLANK(Actuals!M75)),"",Actuals!M75)</f>
      </c>
      <c r="AG75" s="500">
        <f>Budget!M75</f>
        <v>0</v>
      </c>
      <c r="AH75" s="500">
        <f>IF(AF75="","",AF75-AG75)</f>
      </c>
      <c r="AI75" s="500">
        <f>IF(OR(12&gt;$B$3,ISBLANK(Actuals!N75)),"",Actuals!N75)</f>
      </c>
      <c r="AJ75" s="500">
        <f>Budget!N75</f>
        <v>0</v>
      </c>
      <c r="AK75" s="500">
        <f>IF(AI75="","",AI75-AJ75)</f>
      </c>
      <c r="AL75" s="501">
        <f>SUM(Actuals!$C75:INDEX(Actuals!$C75:$N75,$B$3))</f>
        <v>0</v>
      </c>
      <c r="AM75" s="501">
        <f>SUM(Budget!$C75:INDEX(Budget!$C75:$N75,$B$3))</f>
        <v>0</v>
      </c>
      <c r="AN75" s="501">
        <f>AL75-AM75</f>
        <v>0</v>
      </c>
    </row>
    <row r="76" ht="15" customFormat="1" customHeight="1" s="381">
      <c r="A76" s="499" t="inlineStr">
        <is>
          <t>Scott Guarantee Fee</t>
        </is>
      </c>
      <c r="B76" s="500">
        <f>IF(OR(1&gt;$B$3,ISBLANK(Actuals!C76)),"",Actuals!C76)</f>
      </c>
      <c r="C76" s="500">
        <f>Budget!C76</f>
        <v>0</v>
      </c>
      <c r="D76" s="500">
        <f>IF(B76="","",B76-C76)</f>
      </c>
      <c r="E76" s="500">
        <f>IF(OR(2&gt;$B$3,ISBLANK(Actuals!D76)),"",Actuals!D76)</f>
      </c>
      <c r="F76" s="500">
        <f>Budget!D76</f>
        <v>0</v>
      </c>
      <c r="G76" s="500">
        <f>IF(E76="","",E76-F76)</f>
      </c>
      <c r="H76" s="500">
        <f>IF(OR(3&gt;$B$3,ISBLANK(Actuals!E76)),"",Actuals!E76)</f>
      </c>
      <c r="I76" s="500">
        <f>Budget!E76</f>
        <v>0</v>
      </c>
      <c r="J76" s="500">
        <f>IF(H76="","",H76-I76)</f>
      </c>
      <c r="K76" s="500">
        <f>IF(OR(4&gt;$B$3,ISBLANK(Actuals!F76)),"",Actuals!F76)</f>
      </c>
      <c r="L76" s="500">
        <f>Budget!F76</f>
        <v>0</v>
      </c>
      <c r="M76" s="500">
        <f>IF(K76="","",K76-L76)</f>
      </c>
      <c r="N76" s="500">
        <f>IF(OR(5&gt;$B$3,ISBLANK(Actuals!G76)),"",Actuals!G76)</f>
      </c>
      <c r="O76" s="500">
        <f>Budget!G76</f>
        <v>0</v>
      </c>
      <c r="P76" s="500">
        <f>IF(N76="","",N76-O76)</f>
      </c>
      <c r="Q76" s="500">
        <f>IF(OR(6&gt;$B$3,ISBLANK(Actuals!H76)),"",Actuals!H76)</f>
      </c>
      <c r="R76" s="500">
        <f>Budget!H76</f>
        <v>0</v>
      </c>
      <c r="S76" s="500">
        <f>IF(Q76="","",Q76-R76)</f>
      </c>
      <c r="T76" s="500">
        <f>IF(OR(7&gt;$B$3,ISBLANK(Actuals!I76)),"",Actuals!I76)</f>
      </c>
      <c r="U76" s="500">
        <f>Budget!I76</f>
        <v>0</v>
      </c>
      <c r="V76" s="500">
        <f>IF(T76="","",T76-U76)</f>
      </c>
      <c r="W76" s="500">
        <f>IF(OR(8&gt;$B$3,ISBLANK(Actuals!J76)),"",Actuals!J76)</f>
      </c>
      <c r="X76" s="500">
        <f>Budget!J76</f>
        <v>0</v>
      </c>
      <c r="Y76" s="500">
        <f>IF(W76="","",W76-X76)</f>
      </c>
      <c r="Z76" s="500">
        <f>IF(OR(9&gt;$B$3,ISBLANK(Actuals!K76)),"",Actuals!K76)</f>
      </c>
      <c r="AA76" s="500">
        <f>Budget!K76</f>
        <v>0</v>
      </c>
      <c r="AB76" s="500">
        <f>IF(Z76="","",Z76-AA76)</f>
      </c>
      <c r="AC76" s="500">
        <f>IF(OR(10&gt;$B$3,ISBLANK(Actuals!L76)),"",Actuals!L76)</f>
      </c>
      <c r="AD76" s="500">
        <f>Budget!L76</f>
        <v>0</v>
      </c>
      <c r="AE76" s="500">
        <f>IF(AC76="","",AC76-AD76)</f>
      </c>
      <c r="AF76" s="500">
        <f>IF(OR(11&gt;$B$3,ISBLANK(Actuals!M76)),"",Actuals!M76)</f>
      </c>
      <c r="AG76" s="500">
        <f>Budget!M76</f>
        <v>0</v>
      </c>
      <c r="AH76" s="500">
        <f>IF(AF76="","",AF76-AG76)</f>
      </c>
      <c r="AI76" s="500">
        <f>IF(OR(12&gt;$B$3,ISBLANK(Actuals!N76)),"",Actuals!N76)</f>
      </c>
      <c r="AJ76" s="500">
        <f>Budget!N76</f>
        <v>0</v>
      </c>
      <c r="AK76" s="500">
        <f>IF(AI76="","",AI76-AJ76)</f>
      </c>
      <c r="AL76" s="501">
        <f>SUM(Actuals!$C76:INDEX(Actuals!$C76:$N76,$B$3))</f>
        <v>0</v>
      </c>
      <c r="AM76" s="501">
        <f>SUM(Budget!$C76:INDEX(Budget!$C76:$N76,$B$3))</f>
        <v>0</v>
      </c>
      <c r="AN76" s="501">
        <f>AL76-AM76</f>
        <v>0</v>
      </c>
    </row>
    <row r="77" ht="15" customFormat="1" customHeight="1" s="381">
      <c r="A77" s="499" t="inlineStr">
        <is>
          <t>Francis LIHTC Revenue (SP Share)</t>
        </is>
      </c>
      <c r="B77" s="500">
        <f>IF(OR(1&gt;$B$3,ISBLANK(Actuals!C77)),"",Actuals!C77)</f>
      </c>
      <c r="C77" s="500">
        <f>Budget!C77</f>
        <v>0</v>
      </c>
      <c r="D77" s="500">
        <f>IF(B77="","",B77-C77)</f>
      </c>
      <c r="E77" s="500">
        <f>IF(OR(2&gt;$B$3,ISBLANK(Actuals!D77)),"",Actuals!D77)</f>
      </c>
      <c r="F77" s="500">
        <f>Budget!D77</f>
        <v>0</v>
      </c>
      <c r="G77" s="500">
        <f>IF(E77="","",E77-F77)</f>
      </c>
      <c r="H77" s="500">
        <f>IF(OR(3&gt;$B$3,ISBLANK(Actuals!E77)),"",Actuals!E77)</f>
      </c>
      <c r="I77" s="500">
        <f>Budget!E77</f>
        <v>0</v>
      </c>
      <c r="J77" s="500">
        <f>IF(H77="","",H77-I77)</f>
      </c>
      <c r="K77" s="500">
        <f>IF(OR(4&gt;$B$3,ISBLANK(Actuals!F77)),"",Actuals!F77)</f>
      </c>
      <c r="L77" s="500">
        <f>Budget!F77</f>
        <v>0</v>
      </c>
      <c r="M77" s="500">
        <f>IF(K77="","",K77-L77)</f>
      </c>
      <c r="N77" s="500">
        <f>IF(OR(5&gt;$B$3,ISBLANK(Actuals!G77)),"",Actuals!G77)</f>
      </c>
      <c r="O77" s="500">
        <f>Budget!G77</f>
        <v>0</v>
      </c>
      <c r="P77" s="500">
        <f>IF(N77="","",N77-O77)</f>
      </c>
      <c r="Q77" s="500">
        <f>IF(OR(6&gt;$B$3,ISBLANK(Actuals!H77)),"",Actuals!H77)</f>
      </c>
      <c r="R77" s="500">
        <f>Budget!H77</f>
        <v>0</v>
      </c>
      <c r="S77" s="500">
        <f>IF(Q77="","",Q77-R77)</f>
      </c>
      <c r="T77" s="500">
        <f>IF(OR(7&gt;$B$3,ISBLANK(Actuals!I77)),"",Actuals!I77)</f>
      </c>
      <c r="U77" s="500">
        <f>Budget!I77</f>
        <v>0</v>
      </c>
      <c r="V77" s="500">
        <f>IF(T77="","",T77-U77)</f>
      </c>
      <c r="W77" s="500">
        <f>IF(OR(8&gt;$B$3,ISBLANK(Actuals!J77)),"",Actuals!J77)</f>
      </c>
      <c r="X77" s="500">
        <f>Budget!J77</f>
        <v>0</v>
      </c>
      <c r="Y77" s="500">
        <f>IF(W77="","",W77-X77)</f>
      </c>
      <c r="Z77" s="500">
        <f>IF(OR(9&gt;$B$3,ISBLANK(Actuals!K77)),"",Actuals!K77)</f>
      </c>
      <c r="AA77" s="500">
        <f>Budget!K77</f>
        <v>0</v>
      </c>
      <c r="AB77" s="500">
        <f>IF(Z77="","",Z77-AA77)</f>
      </c>
      <c r="AC77" s="500">
        <f>IF(OR(10&gt;$B$3,ISBLANK(Actuals!L77)),"",Actuals!L77)</f>
      </c>
      <c r="AD77" s="500">
        <f>Budget!L77</f>
        <v>0</v>
      </c>
      <c r="AE77" s="500">
        <f>IF(AC77="","",AC77-AD77)</f>
      </c>
      <c r="AF77" s="500">
        <f>IF(OR(11&gt;$B$3,ISBLANK(Actuals!M77)),"",Actuals!M77)</f>
      </c>
      <c r="AG77" s="500">
        <f>Budget!M77</f>
        <v>0</v>
      </c>
      <c r="AH77" s="500">
        <f>IF(AF77="","",AF77-AG77)</f>
      </c>
      <c r="AI77" s="500">
        <f>IF(OR(12&gt;$B$3,ISBLANK(Actuals!N77)),"",Actuals!N77)</f>
      </c>
      <c r="AJ77" s="500">
        <f>Budget!N77</f>
        <v>0</v>
      </c>
      <c r="AK77" s="500">
        <f>IF(AI77="","",AI77-AJ77)</f>
      </c>
      <c r="AL77" s="501">
        <f>SUM(Actuals!$C77:INDEX(Actuals!$C77:$N77,$B$3))</f>
        <v>0</v>
      </c>
      <c r="AM77" s="501">
        <f>SUM(Budget!$C77:INDEX(Budget!$C77:$N77,$B$3))</f>
        <v>0</v>
      </c>
      <c r="AN77" s="501">
        <f>AL77-AM77</f>
        <v>0</v>
      </c>
    </row>
    <row r="78" ht="15" customFormat="1" customHeight="1" s="381">
      <c r="A78" s="499" t="inlineStr">
        <is>
          <t>Reseda LIHTC Revenue (SP Share)</t>
        </is>
      </c>
      <c r="B78" s="500">
        <f>IF(OR(1&gt;$B$3,ISBLANK(Actuals!C78)),"",Actuals!C78)</f>
      </c>
      <c r="C78" s="500">
        <f>Budget!C78</f>
        <v>0</v>
      </c>
      <c r="D78" s="500">
        <f>IF(B78="","",B78-C78)</f>
      </c>
      <c r="E78" s="500">
        <f>IF(OR(2&gt;$B$3,ISBLANK(Actuals!D78)),"",Actuals!D78)</f>
      </c>
      <c r="F78" s="500">
        <f>Budget!D78</f>
        <v>0</v>
      </c>
      <c r="G78" s="500">
        <f>IF(E78="","",E78-F78)</f>
      </c>
      <c r="H78" s="500">
        <f>IF(OR(3&gt;$B$3,ISBLANK(Actuals!E78)),"",Actuals!E78)</f>
      </c>
      <c r="I78" s="500">
        <f>Budget!E78</f>
        <v>0</v>
      </c>
      <c r="J78" s="500">
        <f>IF(H78="","",H78-I78)</f>
      </c>
      <c r="K78" s="500">
        <f>IF(OR(4&gt;$B$3,ISBLANK(Actuals!F78)),"",Actuals!F78)</f>
      </c>
      <c r="L78" s="500">
        <f>Budget!F78</f>
        <v>0</v>
      </c>
      <c r="M78" s="500">
        <f>IF(K78="","",K78-L78)</f>
      </c>
      <c r="N78" s="500">
        <f>IF(OR(5&gt;$B$3,ISBLANK(Actuals!G78)),"",Actuals!G78)</f>
      </c>
      <c r="O78" s="500">
        <f>Budget!G78</f>
        <v>0</v>
      </c>
      <c r="P78" s="500">
        <f>IF(N78="","",N78-O78)</f>
      </c>
      <c r="Q78" s="500">
        <f>IF(OR(6&gt;$B$3,ISBLANK(Actuals!H78)),"",Actuals!H78)</f>
      </c>
      <c r="R78" s="500">
        <f>Budget!H78</f>
        <v>0</v>
      </c>
      <c r="S78" s="500">
        <f>IF(Q78="","",Q78-R78)</f>
      </c>
      <c r="T78" s="500">
        <f>IF(OR(7&gt;$B$3,ISBLANK(Actuals!I78)),"",Actuals!I78)</f>
      </c>
      <c r="U78" s="500">
        <f>Budget!I78</f>
        <v>0</v>
      </c>
      <c r="V78" s="500">
        <f>IF(T78="","",T78-U78)</f>
      </c>
      <c r="W78" s="500">
        <f>IF(OR(8&gt;$B$3,ISBLANK(Actuals!J78)),"",Actuals!J78)</f>
      </c>
      <c r="X78" s="500">
        <f>Budget!J78</f>
        <v>0</v>
      </c>
      <c r="Y78" s="500">
        <f>IF(W78="","",W78-X78)</f>
      </c>
      <c r="Z78" s="500">
        <f>IF(OR(9&gt;$B$3,ISBLANK(Actuals!K78)),"",Actuals!K78)</f>
      </c>
      <c r="AA78" s="500">
        <f>Budget!K78</f>
        <v>0</v>
      </c>
      <c r="AB78" s="500">
        <f>IF(Z78="","",Z78-AA78)</f>
      </c>
      <c r="AC78" s="500">
        <f>IF(OR(10&gt;$B$3,ISBLANK(Actuals!L78)),"",Actuals!L78)</f>
      </c>
      <c r="AD78" s="500">
        <f>Budget!L78</f>
        <v>0</v>
      </c>
      <c r="AE78" s="500">
        <f>IF(AC78="","",AC78-AD78)</f>
      </c>
      <c r="AF78" s="500">
        <f>IF(OR(11&gt;$B$3,ISBLANK(Actuals!M78)),"",Actuals!M78)</f>
      </c>
      <c r="AG78" s="500">
        <f>Budget!M78</f>
        <v>0</v>
      </c>
      <c r="AH78" s="500">
        <f>IF(AF78="","",AF78-AG78)</f>
      </c>
      <c r="AI78" s="500">
        <f>IF(OR(12&gt;$B$3,ISBLANK(Actuals!N78)),"",Actuals!N78)</f>
      </c>
      <c r="AJ78" s="500">
        <f>Budget!N78</f>
        <v>0</v>
      </c>
      <c r="AK78" s="500">
        <f>IF(AI78="","",AI78-AJ78)</f>
      </c>
      <c r="AL78" s="501">
        <f>SUM(Actuals!$C78:INDEX(Actuals!$C78:$N78,$B$3))</f>
        <v>0</v>
      </c>
      <c r="AM78" s="501">
        <f>SUM(Budget!$C78:INDEX(Budget!$C78:$N78,$B$3))</f>
        <v>0</v>
      </c>
      <c r="AN78" s="501">
        <f>AL78-AM78</f>
        <v>0</v>
      </c>
    </row>
    <row r="79" ht="15" customFormat="1" customHeight="1" s="381">
      <c r="A79" s="499" t="inlineStr">
        <is>
          <t>3rd St LIHTC Revenue (SP Share)</t>
        </is>
      </c>
      <c r="B79" s="500">
        <f>IF(OR(1&gt;$B$3,ISBLANK(Actuals!C79)),"",Actuals!C79)</f>
      </c>
      <c r="C79" s="500">
        <f>Budget!C79</f>
        <v>0</v>
      </c>
      <c r="D79" s="500">
        <f>IF(B79="","",B79-C79)</f>
      </c>
      <c r="E79" s="500">
        <f>IF(OR(2&gt;$B$3,ISBLANK(Actuals!D79)),"",Actuals!D79)</f>
      </c>
      <c r="F79" s="500">
        <f>Budget!D79</f>
        <v>0</v>
      </c>
      <c r="G79" s="500">
        <f>IF(E79="","",E79-F79)</f>
      </c>
      <c r="H79" s="500">
        <f>IF(OR(3&gt;$B$3,ISBLANK(Actuals!E79)),"",Actuals!E79)</f>
      </c>
      <c r="I79" s="500">
        <f>Budget!E79</f>
        <v>0</v>
      </c>
      <c r="J79" s="500">
        <f>IF(H79="","",H79-I79)</f>
      </c>
      <c r="K79" s="500">
        <f>IF(OR(4&gt;$B$3,ISBLANK(Actuals!F79)),"",Actuals!F79)</f>
      </c>
      <c r="L79" s="500">
        <f>Budget!F79</f>
        <v>0</v>
      </c>
      <c r="M79" s="500">
        <f>IF(K79="","",K79-L79)</f>
      </c>
      <c r="N79" s="500">
        <f>IF(OR(5&gt;$B$3,ISBLANK(Actuals!G79)),"",Actuals!G79)</f>
      </c>
      <c r="O79" s="500">
        <f>Budget!G79</f>
        <v>0</v>
      </c>
      <c r="P79" s="500">
        <f>IF(N79="","",N79-O79)</f>
      </c>
      <c r="Q79" s="500">
        <f>IF(OR(6&gt;$B$3,ISBLANK(Actuals!H79)),"",Actuals!H79)</f>
      </c>
      <c r="R79" s="500">
        <f>Budget!H79</f>
        <v>0</v>
      </c>
      <c r="S79" s="500">
        <f>IF(Q79="","",Q79-R79)</f>
      </c>
      <c r="T79" s="500">
        <f>IF(OR(7&gt;$B$3,ISBLANK(Actuals!I79)),"",Actuals!I79)</f>
      </c>
      <c r="U79" s="500">
        <f>Budget!I79</f>
        <v>0</v>
      </c>
      <c r="V79" s="500">
        <f>IF(T79="","",T79-U79)</f>
      </c>
      <c r="W79" s="500">
        <f>IF(OR(8&gt;$B$3,ISBLANK(Actuals!J79)),"",Actuals!J79)</f>
      </c>
      <c r="X79" s="500">
        <f>Budget!J79</f>
        <v>0</v>
      </c>
      <c r="Y79" s="500">
        <f>IF(W79="","",W79-X79)</f>
      </c>
      <c r="Z79" s="500">
        <f>IF(OR(9&gt;$B$3,ISBLANK(Actuals!K79)),"",Actuals!K79)</f>
      </c>
      <c r="AA79" s="500">
        <f>Budget!K79</f>
        <v>0</v>
      </c>
      <c r="AB79" s="500">
        <f>IF(Z79="","",Z79-AA79)</f>
      </c>
      <c r="AC79" s="500">
        <f>IF(OR(10&gt;$B$3,ISBLANK(Actuals!L79)),"",Actuals!L79)</f>
      </c>
      <c r="AD79" s="500">
        <f>Budget!L79</f>
        <v>0</v>
      </c>
      <c r="AE79" s="500">
        <f>IF(AC79="","",AC79-AD79)</f>
      </c>
      <c r="AF79" s="500">
        <f>IF(OR(11&gt;$B$3,ISBLANK(Actuals!M79)),"",Actuals!M79)</f>
      </c>
      <c r="AG79" s="500">
        <f>Budget!M79</f>
        <v>0</v>
      </c>
      <c r="AH79" s="500">
        <f>IF(AF79="","",AF79-AG79)</f>
      </c>
      <c r="AI79" s="500">
        <f>IF(OR(12&gt;$B$3,ISBLANK(Actuals!N79)),"",Actuals!N79)</f>
      </c>
      <c r="AJ79" s="500">
        <f>Budget!N79</f>
        <v>0</v>
      </c>
      <c r="AK79" s="500">
        <f>IF(AI79="","",AI79-AJ79)</f>
      </c>
      <c r="AL79" s="501">
        <f>SUM(Actuals!$C79:INDEX(Actuals!$C79:$N79,$B$3))</f>
        <v>0</v>
      </c>
      <c r="AM79" s="501">
        <f>SUM(Budget!$C79:INDEX(Budget!$C79:$N79,$B$3))</f>
        <v>0</v>
      </c>
      <c r="AN79" s="501">
        <f>AL79-AM79</f>
        <v>0</v>
      </c>
    </row>
    <row r="80" ht="15" customFormat="1" customHeight="1" s="381">
      <c r="A80" s="499" t="inlineStr">
        <is>
          <t>Uplifters Total to SP</t>
        </is>
      </c>
      <c r="B80" s="500">
        <f>IF(OR(1&gt;$B$3,ISBLANK(Actuals!C80)),"",Actuals!C80)</f>
      </c>
      <c r="C80" s="500">
        <f>Budget!C80</f>
        <v>0</v>
      </c>
      <c r="D80" s="500">
        <f>IF(B80="","",B80-C80)</f>
      </c>
      <c r="E80" s="500">
        <f>IF(OR(2&gt;$B$3,ISBLANK(Actuals!D80)),"",Actuals!D80)</f>
      </c>
      <c r="F80" s="500">
        <f>Budget!D80</f>
        <v>0</v>
      </c>
      <c r="G80" s="500">
        <f>IF(E80="","",E80-F80)</f>
      </c>
      <c r="H80" s="500">
        <f>IF(OR(3&gt;$B$3,ISBLANK(Actuals!E80)),"",Actuals!E80)</f>
      </c>
      <c r="I80" s="500">
        <f>Budget!E80</f>
        <v>0</v>
      </c>
      <c r="J80" s="500">
        <f>IF(H80="","",H80-I80)</f>
      </c>
      <c r="K80" s="500">
        <f>IF(OR(4&gt;$B$3,ISBLANK(Actuals!F80)),"",Actuals!F80)</f>
      </c>
      <c r="L80" s="500">
        <f>Budget!F80</f>
        <v>0</v>
      </c>
      <c r="M80" s="500">
        <f>IF(K80="","",K80-L80)</f>
      </c>
      <c r="N80" s="500">
        <f>IF(OR(5&gt;$B$3,ISBLANK(Actuals!G80)),"",Actuals!G80)</f>
      </c>
      <c r="O80" s="500">
        <f>Budget!G80</f>
        <v>0</v>
      </c>
      <c r="P80" s="500">
        <f>IF(N80="","",N80-O80)</f>
      </c>
      <c r="Q80" s="500">
        <f>IF(OR(6&gt;$B$3,ISBLANK(Actuals!H80)),"",Actuals!H80)</f>
      </c>
      <c r="R80" s="500">
        <f>Budget!H80</f>
        <v>0</v>
      </c>
      <c r="S80" s="500">
        <f>IF(Q80="","",Q80-R80)</f>
      </c>
      <c r="T80" s="500">
        <f>IF(OR(7&gt;$B$3,ISBLANK(Actuals!I80)),"",Actuals!I80)</f>
      </c>
      <c r="U80" s="500">
        <f>Budget!I80</f>
        <v>0</v>
      </c>
      <c r="V80" s="500">
        <f>IF(T80="","",T80-U80)</f>
      </c>
      <c r="W80" s="500">
        <f>IF(OR(8&gt;$B$3,ISBLANK(Actuals!J80)),"",Actuals!J80)</f>
      </c>
      <c r="X80" s="500">
        <f>Budget!J80</f>
        <v>0</v>
      </c>
      <c r="Y80" s="500">
        <f>IF(W80="","",W80-X80)</f>
      </c>
      <c r="Z80" s="500">
        <f>IF(OR(9&gt;$B$3,ISBLANK(Actuals!K80)),"",Actuals!K80)</f>
      </c>
      <c r="AA80" s="500">
        <f>Budget!K80</f>
        <v>0</v>
      </c>
      <c r="AB80" s="500">
        <f>IF(Z80="","",Z80-AA80)</f>
      </c>
      <c r="AC80" s="500">
        <f>IF(OR(10&gt;$B$3,ISBLANK(Actuals!L80)),"",Actuals!L80)</f>
      </c>
      <c r="AD80" s="500">
        <f>Budget!L80</f>
        <v>0</v>
      </c>
      <c r="AE80" s="500">
        <f>IF(AC80="","",AC80-AD80)</f>
      </c>
      <c r="AF80" s="500">
        <f>IF(OR(11&gt;$B$3,ISBLANK(Actuals!M80)),"",Actuals!M80)</f>
      </c>
      <c r="AG80" s="500">
        <f>Budget!M80</f>
        <v>0</v>
      </c>
      <c r="AH80" s="500">
        <f>IF(AF80="","",AF80-AG80)</f>
      </c>
      <c r="AI80" s="500">
        <f>IF(OR(12&gt;$B$3,ISBLANK(Actuals!N80)),"",Actuals!N80)</f>
      </c>
      <c r="AJ80" s="500">
        <f>Budget!N80</f>
        <v>0</v>
      </c>
      <c r="AK80" s="500">
        <f>IF(AI80="","",AI80-AJ80)</f>
      </c>
      <c r="AL80" s="501">
        <f>SUM(Actuals!$C80:INDEX(Actuals!$C80:$N80,$B$3))</f>
        <v>0</v>
      </c>
      <c r="AM80" s="501">
        <f>SUM(Budget!$C80:INDEX(Budget!$C80:$N80,$B$3))</f>
        <v>0</v>
      </c>
      <c r="AN80" s="501">
        <f>AL80-AM80</f>
        <v>0</v>
      </c>
    </row>
    <row r="81" ht="15" customFormat="1" customHeight="1" s="381">
      <c r="A81" s="502" t="inlineStr">
        <is>
          <t>Total Six Peak Revenue</t>
        </is>
      </c>
      <c r="B81" s="501">
        <f>IF(OR(1&gt;$B$3,ISBLANK(Actuals!C81)),"",Actuals!C81)</f>
        <v>34114.58</v>
      </c>
      <c r="C81" s="501">
        <f>Budget!C81</f>
        <v>47599.06</v>
      </c>
      <c r="D81" s="501">
        <f>IF(B81="","",B81-C81)</f>
        <v>-13484.48</v>
      </c>
      <c r="E81" s="501">
        <f>IF(OR(2&gt;$B$3,ISBLANK(Actuals!D81)),"",Actuals!D81)</f>
        <v>34114.58</v>
      </c>
      <c r="F81" s="501">
        <f>Budget!D81</f>
        <v>47599.06</v>
      </c>
      <c r="G81" s="501">
        <f>IF(E81="","",E81-F81)</f>
        <v>-13484.48</v>
      </c>
      <c r="H81" s="501">
        <f>IF(OR(3&gt;$B$3,ISBLANK(Actuals!E81)),"",Actuals!E81)</f>
        <v>34114.58</v>
      </c>
      <c r="I81" s="501">
        <f>Budget!E81</f>
        <v>47599.06</v>
      </c>
      <c r="J81" s="501">
        <f>IF(H81="","",H81-I81)</f>
        <v>-13484.48</v>
      </c>
      <c r="K81" s="501">
        <f>IF(OR(4&gt;$B$3,ISBLANK(Actuals!F81)),"",Actuals!F81)</f>
        <v>34114.58</v>
      </c>
      <c r="L81" s="501">
        <f>Budget!F81</f>
        <v>59474.06</v>
      </c>
      <c r="M81" s="501">
        <f>IF(K81="","",K81-L81)</f>
        <v>-25359.48</v>
      </c>
      <c r="N81" s="501">
        <f>IF(OR(5&gt;$B$3,ISBLANK(Actuals!G81)),"",Actuals!G81)</f>
        <v>34114.58</v>
      </c>
      <c r="O81" s="501">
        <f>Budget!G81</f>
        <v>59474.06</v>
      </c>
      <c r="P81" s="501">
        <f>IF(N81="","",N81-O81)</f>
        <v>-25359.48</v>
      </c>
      <c r="Q81" s="501">
        <f>IF(OR(6&gt;$B$3,ISBLANK(Actuals!H81)),"",Actuals!H81)</f>
        <v>333114.58</v>
      </c>
      <c r="R81" s="501">
        <f>Budget!H81</f>
        <v>59474.06</v>
      </c>
      <c r="S81" s="501">
        <f>IF(Q81="","",Q81-R81)</f>
        <v>273640.52</v>
      </c>
      <c r="T81" s="501">
        <f>IF(OR(7&gt;$B$3,ISBLANK(Actuals!I81)),"",Actuals!I81)</f>
      </c>
      <c r="U81" s="501">
        <f>Budget!I81</f>
        <v>59474.06</v>
      </c>
      <c r="V81" s="501">
        <f>IF(T81="","",T81-U81)</f>
      </c>
      <c r="W81" s="501">
        <f>IF(OR(8&gt;$B$3,ISBLANK(Actuals!J81)),"",Actuals!J81)</f>
      </c>
      <c r="X81" s="501">
        <f>Budget!J81</f>
        <v>59474.06</v>
      </c>
      <c r="Y81" s="501">
        <f>IF(W81="","",W81-X81)</f>
      </c>
      <c r="Z81" s="501">
        <f>IF(OR(9&gt;$B$3,ISBLANK(Actuals!K81)),"",Actuals!K81)</f>
      </c>
      <c r="AA81" s="501">
        <f>Budget!K81</f>
        <v>59474.06</v>
      </c>
      <c r="AB81" s="501">
        <f>IF(Z81="","",Z81-AA81)</f>
      </c>
      <c r="AC81" s="501">
        <f>IF(OR(10&gt;$B$3,ISBLANK(Actuals!L81)),"",Actuals!L81)</f>
      </c>
      <c r="AD81" s="501">
        <f>Budget!L81</f>
        <v>49246.79</v>
      </c>
      <c r="AE81" s="501">
        <f>IF(AC81="","",AC81-AD81)</f>
      </c>
      <c r="AF81" s="501">
        <f>IF(OR(11&gt;$B$3,ISBLANK(Actuals!M81)),"",Actuals!M81)</f>
      </c>
      <c r="AG81" s="501">
        <f>Budget!M81</f>
        <v>49246.79</v>
      </c>
      <c r="AH81" s="501">
        <f>IF(AF81="","",AF81-AG81)</f>
      </c>
      <c r="AI81" s="501">
        <f>IF(OR(12&gt;$B$3,ISBLANK(Actuals!N81)),"",Actuals!N81)</f>
      </c>
      <c r="AJ81" s="501">
        <f>Budget!N81</f>
        <v>49246.79</v>
      </c>
      <c r="AK81" s="501">
        <f>IF(AI81="","",AI81-AJ81)</f>
      </c>
      <c r="AL81" s="501">
        <f>SUM(Actuals!$C81:INDEX(Actuals!$C81:$N81,$B$3))</f>
        <v>503687.48</v>
      </c>
      <c r="AM81" s="501">
        <f>SUM(Budget!$C81:INDEX(Budget!$C81:$N81,$B$3))</f>
        <v>321219.36</v>
      </c>
      <c r="AN81" s="501">
        <f>AL81-AM81</f>
        <v>182468.12</v>
      </c>
    </row>
    <row r="83" ht="15" customFormat="1" customHeight="1" s="381">
      <c r="A83" s="499" t="inlineStr">
        <is>
          <t>5000-1000 Payroll</t>
        </is>
      </c>
      <c r="B83" s="500">
        <f>IF(OR(1&gt;$B$3,ISBLANK(Actuals!C83)),"",Actuals!C83)</f>
        <v>-54421</v>
      </c>
      <c r="C83" s="500">
        <f>Budget!C83</f>
        <v>-90233.32</v>
      </c>
      <c r="D83" s="500">
        <f>IF(B83="","",B83-C83)</f>
        <v>35812.32</v>
      </c>
      <c r="E83" s="500">
        <f>IF(OR(2&gt;$B$3,ISBLANK(Actuals!D83)),"",Actuals!D83)</f>
        <v>-54166.68</v>
      </c>
      <c r="F83" s="500">
        <f>Budget!D83</f>
        <v>-90233.32</v>
      </c>
      <c r="G83" s="500">
        <f>IF(E83="","",E83-F83)</f>
        <v>36066.64</v>
      </c>
      <c r="H83" s="500">
        <f>IF(OR(3&gt;$B$3,ISBLANK(Actuals!E83)),"",Actuals!E83)</f>
        <v>-54166.68</v>
      </c>
      <c r="I83" s="500">
        <f>Budget!E83</f>
        <v>-90233.32</v>
      </c>
      <c r="J83" s="500">
        <f>IF(H83="","",H83-I83)</f>
        <v>36066.64</v>
      </c>
      <c r="K83" s="500">
        <f>IF(OR(4&gt;$B$3,ISBLANK(Actuals!F83)),"",Actuals!F83)</f>
        <v>-54166.68</v>
      </c>
      <c r="L83" s="500">
        <f>Budget!F83</f>
        <v>-90233.32</v>
      </c>
      <c r="M83" s="500">
        <f>IF(K83="","",K83-L83)</f>
        <v>36066.64</v>
      </c>
      <c r="N83" s="500">
        <f>IF(OR(5&gt;$B$3,ISBLANK(Actuals!G83)),"",Actuals!G83)</f>
        <v>-54166.68</v>
      </c>
      <c r="O83" s="500">
        <f>Budget!G83</f>
        <v>-90233.32</v>
      </c>
      <c r="P83" s="500">
        <f>IF(N83="","",N83-O83)</f>
        <v>36066.64</v>
      </c>
      <c r="Q83" s="500">
        <f>IF(OR(6&gt;$B$3,ISBLANK(Actuals!H83)),"",Actuals!H83)</f>
        <v>-54166.68</v>
      </c>
      <c r="R83" s="500">
        <f>Budget!H83</f>
        <v>-90233.32</v>
      </c>
      <c r="S83" s="500">
        <f>IF(Q83="","",Q83-R83)</f>
        <v>36066.64</v>
      </c>
      <c r="T83" s="500">
        <f>IF(OR(7&gt;$B$3,ISBLANK(Actuals!I83)),"",Actuals!I83)</f>
      </c>
      <c r="U83" s="500">
        <f>Budget!I83</f>
        <v>-89059.65</v>
      </c>
      <c r="V83" s="500">
        <f>IF(T83="","",T83-U83)</f>
      </c>
      <c r="W83" s="500">
        <f>IF(OR(8&gt;$B$3,ISBLANK(Actuals!J83)),"",Actuals!J83)</f>
      </c>
      <c r="X83" s="500">
        <f>Budget!J83</f>
        <v>-89059.65</v>
      </c>
      <c r="Y83" s="500">
        <f>IF(W83="","",W83-X83)</f>
      </c>
      <c r="Z83" s="500">
        <f>IF(OR(9&gt;$B$3,ISBLANK(Actuals!K83)),"",Actuals!K83)</f>
      </c>
      <c r="AA83" s="500">
        <f>Budget!K83</f>
        <v>-89059.65</v>
      </c>
      <c r="AB83" s="500">
        <f>IF(Z83="","",Z83-AA83)</f>
      </c>
      <c r="AC83" s="500">
        <f>IF(OR(10&gt;$B$3,ISBLANK(Actuals!L83)),"",Actuals!L83)</f>
      </c>
      <c r="AD83" s="500">
        <f>Budget!L83</f>
        <v>-89059.65</v>
      </c>
      <c r="AE83" s="500">
        <f>IF(AC83="","",AC83-AD83)</f>
      </c>
      <c r="AF83" s="500">
        <f>IF(OR(11&gt;$B$3,ISBLANK(Actuals!M83)),"",Actuals!M83)</f>
      </c>
      <c r="AG83" s="500">
        <f>Budget!M83</f>
        <v>-89059.65</v>
      </c>
      <c r="AH83" s="500">
        <f>IF(AF83="","",AF83-AG83)</f>
      </c>
      <c r="AI83" s="500">
        <f>IF(OR(12&gt;$B$3,ISBLANK(Actuals!N83)),"",Actuals!N83)</f>
      </c>
      <c r="AJ83" s="500">
        <f>Budget!N83</f>
        <v>-89059.65</v>
      </c>
      <c r="AK83" s="500">
        <f>IF(AI83="","",AI83-AJ83)</f>
      </c>
      <c r="AL83" s="501">
        <f>SUM(Actuals!$C83:INDEX(Actuals!$C83:$N83,$B$3))</f>
        <v>-325254.4</v>
      </c>
      <c r="AM83" s="501">
        <f>SUM(Budget!$C83:INDEX(Budget!$C83:$N83,$B$3))</f>
        <v>-541399.92</v>
      </c>
      <c r="AN83" s="501">
        <f>AL83-AM83</f>
        <v>216145.52</v>
      </c>
    </row>
    <row r="84" ht="15" customFormat="1" customHeight="1" s="381">
      <c r="A84" s="499" t="inlineStr">
        <is>
          <t>5000-1001 Payroll Taxes</t>
        </is>
      </c>
      <c r="B84" s="500">
        <f>IF(OR(1&gt;$B$3,ISBLANK(Actuals!C84)),"",Actuals!C84)</f>
        <v>-5302</v>
      </c>
      <c r="C84" s="500">
        <f>Budget!C84</f>
        <v>-8125</v>
      </c>
      <c r="D84" s="500">
        <f>IF(B84="","",B84-C84)</f>
        <v>2823</v>
      </c>
      <c r="E84" s="500">
        <f>IF(OR(2&gt;$B$3,ISBLANK(Actuals!D84)),"",Actuals!D84)</f>
        <v>-4279.79</v>
      </c>
      <c r="F84" s="500">
        <f>Budget!D84</f>
        <v>-8125</v>
      </c>
      <c r="G84" s="500">
        <f>IF(E84="","",E84-F84)</f>
        <v>3845.21</v>
      </c>
      <c r="H84" s="500">
        <f>IF(OR(3&gt;$B$3,ISBLANK(Actuals!E84)),"",Actuals!E84)</f>
        <v>-4145.97</v>
      </c>
      <c r="I84" s="500">
        <f>Budget!E84</f>
        <v>-8125</v>
      </c>
      <c r="J84" s="500">
        <f>IF(H84="","",H84-I84)</f>
        <v>3979.03</v>
      </c>
      <c r="K84" s="500">
        <f>IF(OR(4&gt;$B$3,ISBLANK(Actuals!F84)),"",Actuals!F84)</f>
        <v>-4145.96</v>
      </c>
      <c r="L84" s="500">
        <f>Budget!F84</f>
        <v>-8125</v>
      </c>
      <c r="M84" s="500">
        <f>IF(K84="","",K84-L84)</f>
        <v>3979.04</v>
      </c>
      <c r="N84" s="500">
        <f>IF(OR(5&gt;$B$3,ISBLANK(Actuals!G84)),"",Actuals!G84)</f>
        <v>-4145.99</v>
      </c>
      <c r="O84" s="500">
        <f>Budget!G84</f>
        <v>-8125</v>
      </c>
      <c r="P84" s="500">
        <f>IF(N84="","",N84-O84)</f>
        <v>3979.01</v>
      </c>
      <c r="Q84" s="500">
        <f>IF(OR(6&gt;$B$3,ISBLANK(Actuals!H84)),"",Actuals!H84)</f>
        <v>-4145.95</v>
      </c>
      <c r="R84" s="500">
        <f>Budget!H84</f>
        <v>-8125</v>
      </c>
      <c r="S84" s="500">
        <f>IF(Q84="","",Q84-R84)</f>
        <v>3979.05</v>
      </c>
      <c r="T84" s="500">
        <f>IF(OR(7&gt;$B$3,ISBLANK(Actuals!I84)),"",Actuals!I84)</f>
      </c>
      <c r="U84" s="500">
        <f>Budget!I84</f>
        <v>-8125</v>
      </c>
      <c r="V84" s="500">
        <f>IF(T84="","",T84-U84)</f>
      </c>
      <c r="W84" s="500">
        <f>IF(OR(8&gt;$B$3,ISBLANK(Actuals!J84)),"",Actuals!J84)</f>
      </c>
      <c r="X84" s="500">
        <f>Budget!J84</f>
        <v>-8125</v>
      </c>
      <c r="Y84" s="500">
        <f>IF(W84="","",W84-X84)</f>
      </c>
      <c r="Z84" s="500">
        <f>IF(OR(9&gt;$B$3,ISBLANK(Actuals!K84)),"",Actuals!K84)</f>
      </c>
      <c r="AA84" s="500">
        <f>Budget!K84</f>
        <v>-8125</v>
      </c>
      <c r="AB84" s="500">
        <f>IF(Z84="","",Z84-AA84)</f>
      </c>
      <c r="AC84" s="500">
        <f>IF(OR(10&gt;$B$3,ISBLANK(Actuals!L84)),"",Actuals!L84)</f>
      </c>
      <c r="AD84" s="500">
        <f>Budget!L84</f>
        <v>-8125</v>
      </c>
      <c r="AE84" s="500">
        <f>IF(AC84="","",AC84-AD84)</f>
      </c>
      <c r="AF84" s="500">
        <f>IF(OR(11&gt;$B$3,ISBLANK(Actuals!M84)),"",Actuals!M84)</f>
      </c>
      <c r="AG84" s="500">
        <f>Budget!M84</f>
        <v>-8125</v>
      </c>
      <c r="AH84" s="500">
        <f>IF(AF84="","",AF84-AG84)</f>
      </c>
      <c r="AI84" s="500">
        <f>IF(OR(12&gt;$B$3,ISBLANK(Actuals!N84)),"",Actuals!N84)</f>
      </c>
      <c r="AJ84" s="500">
        <f>Budget!N84</f>
        <v>-8125</v>
      </c>
      <c r="AK84" s="500">
        <f>IF(AI84="","",AI84-AJ84)</f>
      </c>
      <c r="AL84" s="501">
        <f>SUM(Actuals!$C84:INDEX(Actuals!$C84:$N84,$B$3))</f>
        <v>-26165.66</v>
      </c>
      <c r="AM84" s="501">
        <f>SUM(Budget!$C84:INDEX(Budget!$C84:$N84,$B$3))</f>
        <v>-48750</v>
      </c>
      <c r="AN84" s="501">
        <f>AL84-AM84</f>
        <v>22584.34</v>
      </c>
    </row>
    <row r="85" ht="15" customFormat="1" customHeight="1" s="381">
      <c r="A85" s="499" t="inlineStr">
        <is>
          <t>5000-1002 Employee Benefits</t>
        </is>
      </c>
      <c r="B85" s="500">
        <f>IF(OR(1&gt;$B$3,ISBLANK(Actuals!C85)),"",Actuals!C85)</f>
        <v>-12137.77</v>
      </c>
      <c r="C85" s="500">
        <f>Budget!C85</f>
        <v>-6554.17</v>
      </c>
      <c r="D85" s="500">
        <f>IF(B85="","",B85-C85)</f>
        <v>-5583.6</v>
      </c>
      <c r="E85" s="500">
        <f>IF(OR(2&gt;$B$3,ISBLANK(Actuals!D85)),"",Actuals!D85)</f>
        <v>-12137.78</v>
      </c>
      <c r="F85" s="500">
        <f>Budget!D85</f>
        <v>-6554.17</v>
      </c>
      <c r="G85" s="500">
        <f>IF(E85="","",E85-F85)</f>
        <v>-5583.61</v>
      </c>
      <c r="H85" s="500">
        <f>IF(OR(3&gt;$B$3,ISBLANK(Actuals!E85)),"",Actuals!E85)</f>
        <v>-12137.78</v>
      </c>
      <c r="I85" s="500">
        <f>Budget!E85</f>
        <v>-6554.17</v>
      </c>
      <c r="J85" s="500">
        <f>IF(H85="","",H85-I85)</f>
        <v>-5583.61</v>
      </c>
      <c r="K85" s="500">
        <f>IF(OR(4&gt;$B$3,ISBLANK(Actuals!F85)),"",Actuals!F85)</f>
        <v>-12137.78</v>
      </c>
      <c r="L85" s="500">
        <f>Budget!F85</f>
        <v>-6554.17</v>
      </c>
      <c r="M85" s="500">
        <f>IF(K85="","",K85-L85)</f>
        <v>-5583.61</v>
      </c>
      <c r="N85" s="500">
        <f>IF(OR(5&gt;$B$3,ISBLANK(Actuals!G85)),"",Actuals!G85)</f>
        <v>-12137.78</v>
      </c>
      <c r="O85" s="500">
        <f>Budget!G85</f>
        <v>-6554.17</v>
      </c>
      <c r="P85" s="500">
        <f>IF(N85="","",N85-O85)</f>
        <v>-5583.61</v>
      </c>
      <c r="Q85" s="500">
        <f>IF(OR(6&gt;$B$3,ISBLANK(Actuals!H85)),"",Actuals!H85)</f>
        <v>-12137.78</v>
      </c>
      <c r="R85" s="500">
        <f>Budget!H85</f>
        <v>-6554.17</v>
      </c>
      <c r="S85" s="500">
        <f>IF(Q85="","",Q85-R85)</f>
        <v>-5583.61</v>
      </c>
      <c r="T85" s="500">
        <f>IF(OR(7&gt;$B$3,ISBLANK(Actuals!I85)),"",Actuals!I85)</f>
      </c>
      <c r="U85" s="500">
        <f>Budget!I85</f>
        <v>-6554.17</v>
      </c>
      <c r="V85" s="500">
        <f>IF(T85="","",T85-U85)</f>
      </c>
      <c r="W85" s="500">
        <f>IF(OR(8&gt;$B$3,ISBLANK(Actuals!J85)),"",Actuals!J85)</f>
      </c>
      <c r="X85" s="500">
        <f>Budget!J85</f>
        <v>-6554.17</v>
      </c>
      <c r="Y85" s="500">
        <f>IF(W85="","",W85-X85)</f>
      </c>
      <c r="Z85" s="500">
        <f>IF(OR(9&gt;$B$3,ISBLANK(Actuals!K85)),"",Actuals!K85)</f>
      </c>
      <c r="AA85" s="500">
        <f>Budget!K85</f>
        <v>-6554.17</v>
      </c>
      <c r="AB85" s="500">
        <f>IF(Z85="","",Z85-AA85)</f>
      </c>
      <c r="AC85" s="500">
        <f>IF(OR(10&gt;$B$3,ISBLANK(Actuals!L85)),"",Actuals!L85)</f>
      </c>
      <c r="AD85" s="500">
        <f>Budget!L85</f>
        <v>-6554.17</v>
      </c>
      <c r="AE85" s="500">
        <f>IF(AC85="","",AC85-AD85)</f>
      </c>
      <c r="AF85" s="500">
        <f>IF(OR(11&gt;$B$3,ISBLANK(Actuals!M85)),"",Actuals!M85)</f>
      </c>
      <c r="AG85" s="500">
        <f>Budget!M85</f>
        <v>-6554.17</v>
      </c>
      <c r="AH85" s="500">
        <f>IF(AF85="","",AF85-AG85)</f>
      </c>
      <c r="AI85" s="500">
        <f>IF(OR(12&gt;$B$3,ISBLANK(Actuals!N85)),"",Actuals!N85)</f>
      </c>
      <c r="AJ85" s="500">
        <f>Budget!N85</f>
        <v>-6554.17</v>
      </c>
      <c r="AK85" s="500">
        <f>IF(AI85="","",AI85-AJ85)</f>
      </c>
      <c r="AL85" s="501">
        <f>SUM(Actuals!$C85:INDEX(Actuals!$C85:$N85,$B$3))</f>
        <v>-72826.67</v>
      </c>
      <c r="AM85" s="501">
        <f>SUM(Budget!$C85:INDEX(Budget!$C85:$N85,$B$3))</f>
        <v>-39325.02</v>
      </c>
      <c r="AN85" s="501">
        <f>AL85-AM85</f>
        <v>-33501.65</v>
      </c>
    </row>
    <row r="86" ht="15" customFormat="1" customHeight="1" s="381">
      <c r="A86" s="499" t="inlineStr">
        <is>
          <t>5000-1003 Workers Comp</t>
        </is>
      </c>
      <c r="B86" s="500">
        <f>IF(OR(1&gt;$B$3,ISBLANK(Actuals!C86)),"",Actuals!C86)</f>
        <v>-475.76</v>
      </c>
      <c r="C86" s="500">
        <f>Budget!C86</f>
        <v>-487.5</v>
      </c>
      <c r="D86" s="500">
        <f>IF(B86="","",B86-C86)</f>
        <v>11.74</v>
      </c>
      <c r="E86" s="500">
        <f>IF(OR(2&gt;$B$3,ISBLANK(Actuals!D86)),"",Actuals!D86)</f>
        <v>-475.76</v>
      </c>
      <c r="F86" s="500">
        <f>Budget!D86</f>
        <v>-487.5</v>
      </c>
      <c r="G86" s="500">
        <f>IF(E86="","",E86-F86)</f>
        <v>11.74</v>
      </c>
      <c r="H86" s="500">
        <f>IF(OR(3&gt;$B$3,ISBLANK(Actuals!E86)),"",Actuals!E86)</f>
        <v>-475.76</v>
      </c>
      <c r="I86" s="500">
        <f>Budget!E86</f>
        <v>-487.5</v>
      </c>
      <c r="J86" s="500">
        <f>IF(H86="","",H86-I86)</f>
        <v>11.74</v>
      </c>
      <c r="K86" s="500">
        <f>IF(OR(4&gt;$B$3,ISBLANK(Actuals!F86)),"",Actuals!F86)</f>
        <v>-475.76</v>
      </c>
      <c r="L86" s="500">
        <f>Budget!F86</f>
        <v>-487.5</v>
      </c>
      <c r="M86" s="500">
        <f>IF(K86="","",K86-L86)</f>
        <v>11.74</v>
      </c>
      <c r="N86" s="500">
        <f>IF(OR(5&gt;$B$3,ISBLANK(Actuals!G86)),"",Actuals!G86)</f>
        <v>-475.76</v>
      </c>
      <c r="O86" s="500">
        <f>Budget!G86</f>
        <v>-487.5</v>
      </c>
      <c r="P86" s="500">
        <f>IF(N86="","",N86-O86)</f>
        <v>11.74</v>
      </c>
      <c r="Q86" s="500">
        <f>IF(OR(6&gt;$B$3,ISBLANK(Actuals!H86)),"",Actuals!H86)</f>
        <v>-475.76</v>
      </c>
      <c r="R86" s="500">
        <f>Budget!H86</f>
        <v>-487.5</v>
      </c>
      <c r="S86" s="500">
        <f>IF(Q86="","",Q86-R86)</f>
        <v>11.74</v>
      </c>
      <c r="T86" s="500">
        <f>IF(OR(7&gt;$B$3,ISBLANK(Actuals!I86)),"",Actuals!I86)</f>
      </c>
      <c r="U86" s="500">
        <f>Budget!I86</f>
        <v>-487.5</v>
      </c>
      <c r="V86" s="500">
        <f>IF(T86="","",T86-U86)</f>
      </c>
      <c r="W86" s="500">
        <f>IF(OR(8&gt;$B$3,ISBLANK(Actuals!J86)),"",Actuals!J86)</f>
      </c>
      <c r="X86" s="500">
        <f>Budget!J86</f>
        <v>-487.5</v>
      </c>
      <c r="Y86" s="500">
        <f>IF(W86="","",W86-X86)</f>
      </c>
      <c r="Z86" s="500">
        <f>IF(OR(9&gt;$B$3,ISBLANK(Actuals!K86)),"",Actuals!K86)</f>
      </c>
      <c r="AA86" s="500">
        <f>Budget!K86</f>
        <v>-487.5</v>
      </c>
      <c r="AB86" s="500">
        <f>IF(Z86="","",Z86-AA86)</f>
      </c>
      <c r="AC86" s="500">
        <f>IF(OR(10&gt;$B$3,ISBLANK(Actuals!L86)),"",Actuals!L86)</f>
      </c>
      <c r="AD86" s="500">
        <f>Budget!L86</f>
        <v>-487.5</v>
      </c>
      <c r="AE86" s="500">
        <f>IF(AC86="","",AC86-AD86)</f>
      </c>
      <c r="AF86" s="500">
        <f>IF(OR(11&gt;$B$3,ISBLANK(Actuals!M86)),"",Actuals!M86)</f>
      </c>
      <c r="AG86" s="500">
        <f>Budget!M86</f>
        <v>-487.5</v>
      </c>
      <c r="AH86" s="500">
        <f>IF(AF86="","",AF86-AG86)</f>
      </c>
      <c r="AI86" s="500">
        <f>IF(OR(12&gt;$B$3,ISBLANK(Actuals!N86)),"",Actuals!N86)</f>
      </c>
      <c r="AJ86" s="500">
        <f>Budget!N86</f>
        <v>-487.5</v>
      </c>
      <c r="AK86" s="500">
        <f>IF(AI86="","",AI86-AJ86)</f>
      </c>
      <c r="AL86" s="501">
        <f>SUM(Actuals!$C86:INDEX(Actuals!$C86:$N86,$B$3))</f>
        <v>-2854.56</v>
      </c>
      <c r="AM86" s="501">
        <f>SUM(Budget!$C86:INDEX(Budget!$C86:$N86,$B$3))</f>
        <v>-2925</v>
      </c>
      <c r="AN86" s="501">
        <f>AL86-AM86</f>
        <v>70.4399999999996</v>
      </c>
    </row>
    <row r="87" ht="15" customFormat="1" customHeight="1" s="381">
      <c r="A87" s="499" t="inlineStr">
        <is>
          <t>5000-1005 Payroll Servicing Fees</t>
        </is>
      </c>
      <c r="B87" s="500">
        <f>IF(OR(1&gt;$B$3,ISBLANK(Actuals!C87)),"",Actuals!C87)</f>
        <v>-2200.12</v>
      </c>
      <c r="C87" s="500">
        <f>Budget!C87</f>
        <v>-270.83</v>
      </c>
      <c r="D87" s="500">
        <f>IF(B87="","",B87-C87)</f>
        <v>-1929.29</v>
      </c>
      <c r="E87" s="500">
        <f>IF(OR(2&gt;$B$3,ISBLANK(Actuals!D87)),"",Actuals!D87)</f>
        <v>-2200.12</v>
      </c>
      <c r="F87" s="500">
        <f>Budget!D87</f>
        <v>-270.83</v>
      </c>
      <c r="G87" s="500">
        <f>IF(E87="","",E87-F87)</f>
        <v>-1929.29</v>
      </c>
      <c r="H87" s="500">
        <f>IF(OR(3&gt;$B$3,ISBLANK(Actuals!E87)),"",Actuals!E87)</f>
        <v>-2200.12</v>
      </c>
      <c r="I87" s="500">
        <f>Budget!E87</f>
        <v>-270.83</v>
      </c>
      <c r="J87" s="500">
        <f>IF(H87="","",H87-I87)</f>
        <v>-1929.29</v>
      </c>
      <c r="K87" s="500">
        <f>IF(OR(4&gt;$B$3,ISBLANK(Actuals!F87)),"",Actuals!F87)</f>
        <v>-2200.12</v>
      </c>
      <c r="L87" s="500">
        <f>Budget!F87</f>
        <v>-270.83</v>
      </c>
      <c r="M87" s="500">
        <f>IF(K87="","",K87-L87)</f>
        <v>-1929.29</v>
      </c>
      <c r="N87" s="500">
        <f>IF(OR(5&gt;$B$3,ISBLANK(Actuals!G87)),"",Actuals!G87)</f>
        <v>-2200.12</v>
      </c>
      <c r="O87" s="500">
        <f>Budget!G87</f>
        <v>-270.83</v>
      </c>
      <c r="P87" s="500">
        <f>IF(N87="","",N87-O87)</f>
        <v>-1929.29</v>
      </c>
      <c r="Q87" s="500">
        <f>IF(OR(6&gt;$B$3,ISBLANK(Actuals!H87)),"",Actuals!H87)</f>
        <v>-2200.12</v>
      </c>
      <c r="R87" s="500">
        <f>Budget!H87</f>
        <v>-270.83</v>
      </c>
      <c r="S87" s="500">
        <f>IF(Q87="","",Q87-R87)</f>
        <v>-1929.29</v>
      </c>
      <c r="T87" s="500">
        <f>IF(OR(7&gt;$B$3,ISBLANK(Actuals!I87)),"",Actuals!I87)</f>
      </c>
      <c r="U87" s="500">
        <f>Budget!I87</f>
        <v>-270.83</v>
      </c>
      <c r="V87" s="500">
        <f>IF(T87="","",T87-U87)</f>
      </c>
      <c r="W87" s="500">
        <f>IF(OR(8&gt;$B$3,ISBLANK(Actuals!J87)),"",Actuals!J87)</f>
      </c>
      <c r="X87" s="500">
        <f>Budget!J87</f>
        <v>-270.83</v>
      </c>
      <c r="Y87" s="500">
        <f>IF(W87="","",W87-X87)</f>
      </c>
      <c r="Z87" s="500">
        <f>IF(OR(9&gt;$B$3,ISBLANK(Actuals!K87)),"",Actuals!K87)</f>
      </c>
      <c r="AA87" s="500">
        <f>Budget!K87</f>
        <v>-270.83</v>
      </c>
      <c r="AB87" s="500">
        <f>IF(Z87="","",Z87-AA87)</f>
      </c>
      <c r="AC87" s="500">
        <f>IF(OR(10&gt;$B$3,ISBLANK(Actuals!L87)),"",Actuals!L87)</f>
      </c>
      <c r="AD87" s="500">
        <f>Budget!L87</f>
        <v>-270.83</v>
      </c>
      <c r="AE87" s="500">
        <f>IF(AC87="","",AC87-AD87)</f>
      </c>
      <c r="AF87" s="500">
        <f>IF(OR(11&gt;$B$3,ISBLANK(Actuals!M87)),"",Actuals!M87)</f>
      </c>
      <c r="AG87" s="500">
        <f>Budget!M87</f>
        <v>-270.83</v>
      </c>
      <c r="AH87" s="500">
        <f>IF(AF87="","",AF87-AG87)</f>
      </c>
      <c r="AI87" s="500">
        <f>IF(OR(12&gt;$B$3,ISBLANK(Actuals!N87)),"",Actuals!N87)</f>
      </c>
      <c r="AJ87" s="500">
        <f>Budget!N87</f>
        <v>-270.83</v>
      </c>
      <c r="AK87" s="500">
        <f>IF(AI87="","",AI87-AJ87)</f>
      </c>
      <c r="AL87" s="501">
        <f>SUM(Actuals!$C87:INDEX(Actuals!$C87:$N87,$B$3))</f>
        <v>-13200.72</v>
      </c>
      <c r="AM87" s="501">
        <f>SUM(Budget!$C87:INDEX(Budget!$C87:$N87,$B$3))</f>
        <v>-1624.98</v>
      </c>
      <c r="AN87" s="501">
        <f>AL87-AM87</f>
        <v>-11575.74</v>
      </c>
    </row>
    <row r="88" ht="15" customFormat="1" customHeight="1" s="381">
      <c r="A88" s="499" t="inlineStr">
        <is>
          <t>5100-1000 Rent Expense</t>
        </is>
      </c>
      <c r="B88" s="500">
        <f>IF(OR(1&gt;$B$3,ISBLANK(Actuals!C88)),"",Actuals!C88)</f>
        <v>-8848.65</v>
      </c>
      <c r="C88" s="500">
        <f>Budget!C88</f>
        <v>-8000</v>
      </c>
      <c r="D88" s="500">
        <f>IF(B88="","",B88-C88)</f>
        <v>-848.65</v>
      </c>
      <c r="E88" s="500">
        <f>IF(OR(2&gt;$B$3,ISBLANK(Actuals!D88)),"",Actuals!D88)</f>
        <v>-8817.63</v>
      </c>
      <c r="F88" s="500">
        <f>Budget!D88</f>
        <v>-8000</v>
      </c>
      <c r="G88" s="500">
        <f>IF(E88="","",E88-F88)</f>
        <v>-817.629999999999</v>
      </c>
      <c r="H88" s="500">
        <f>IF(OR(3&gt;$B$3,ISBLANK(Actuals!E88)),"",Actuals!E88)</f>
        <v>-3775.91</v>
      </c>
      <c r="I88" s="500">
        <f>Budget!E88</f>
        <v>-8000</v>
      </c>
      <c r="J88" s="500">
        <f>IF(H88="","",H88-I88)</f>
        <v>4224.09</v>
      </c>
      <c r="K88" s="500">
        <f>IF(OR(4&gt;$B$3,ISBLANK(Actuals!F88)),"",Actuals!F88)</f>
        <v>-8731.12</v>
      </c>
      <c r="L88" s="500">
        <f>Budget!F88</f>
        <v>-8000</v>
      </c>
      <c r="M88" s="500">
        <f>IF(K88="","",K88-L88)</f>
        <v>-731.120000000001</v>
      </c>
      <c r="N88" s="500">
        <f>IF(OR(5&gt;$B$3,ISBLANK(Actuals!G88)),"",Actuals!G88)</f>
        <v>-8739.17</v>
      </c>
      <c r="O88" s="500">
        <f>Budget!G88</f>
        <v>-8000</v>
      </c>
      <c r="P88" s="500">
        <f>IF(N88="","",N88-O88)</f>
        <v>-739.17</v>
      </c>
      <c r="Q88" s="500">
        <f>IF(OR(6&gt;$B$3,ISBLANK(Actuals!H88)),"",Actuals!H88)</f>
        <v>-8771.99</v>
      </c>
      <c r="R88" s="500">
        <f>Budget!H88</f>
        <v>-8000</v>
      </c>
      <c r="S88" s="500">
        <f>IF(Q88="","",Q88-R88)</f>
        <v>-771.99</v>
      </c>
      <c r="T88" s="500">
        <f>IF(OR(7&gt;$B$3,ISBLANK(Actuals!I88)),"",Actuals!I88)</f>
      </c>
      <c r="U88" s="500">
        <f>Budget!I88</f>
        <v>-8160</v>
      </c>
      <c r="V88" s="500">
        <f>IF(T88="","",T88-U88)</f>
      </c>
      <c r="W88" s="500">
        <f>IF(OR(8&gt;$B$3,ISBLANK(Actuals!J88)),"",Actuals!J88)</f>
      </c>
      <c r="X88" s="500">
        <f>Budget!J88</f>
        <v>-8160</v>
      </c>
      <c r="Y88" s="500">
        <f>IF(W88="","",W88-X88)</f>
      </c>
      <c r="Z88" s="500">
        <f>IF(OR(9&gt;$B$3,ISBLANK(Actuals!K88)),"",Actuals!K88)</f>
      </c>
      <c r="AA88" s="500">
        <f>Budget!K88</f>
        <v>-8160</v>
      </c>
      <c r="AB88" s="500">
        <f>IF(Z88="","",Z88-AA88)</f>
      </c>
      <c r="AC88" s="500">
        <f>IF(OR(10&gt;$B$3,ISBLANK(Actuals!L88)),"",Actuals!L88)</f>
      </c>
      <c r="AD88" s="500">
        <f>Budget!L88</f>
        <v>-8160</v>
      </c>
      <c r="AE88" s="500">
        <f>IF(AC88="","",AC88-AD88)</f>
      </c>
      <c r="AF88" s="500">
        <f>IF(OR(11&gt;$B$3,ISBLANK(Actuals!M88)),"",Actuals!M88)</f>
      </c>
      <c r="AG88" s="500">
        <f>Budget!M88</f>
        <v>-8160</v>
      </c>
      <c r="AH88" s="500">
        <f>IF(AF88="","",AF88-AG88)</f>
      </c>
      <c r="AI88" s="500">
        <f>IF(OR(12&gt;$B$3,ISBLANK(Actuals!N88)),"",Actuals!N88)</f>
      </c>
      <c r="AJ88" s="500">
        <f>Budget!N88</f>
        <v>-8160</v>
      </c>
      <c r="AK88" s="500">
        <f>IF(AI88="","",AI88-AJ88)</f>
      </c>
      <c r="AL88" s="501">
        <f>SUM(Actuals!$C88:INDEX(Actuals!$C88:$N88,$B$3))</f>
        <v>-47684.47</v>
      </c>
      <c r="AM88" s="501">
        <f>SUM(Budget!$C88:INDEX(Budget!$C88:$N88,$B$3))</f>
        <v>-48000</v>
      </c>
      <c r="AN88" s="501">
        <f>AL88-AM88</f>
        <v>315.530000000006</v>
      </c>
    </row>
    <row r="89" ht="15" customFormat="1" customHeight="1" s="381">
      <c r="A89" s="499" t="inlineStr">
        <is>
          <t>5200-1000 Office Supplies and Expenses</t>
        </is>
      </c>
      <c r="B89" s="500">
        <f>IF(OR(1&gt;$B$3,ISBLANK(Actuals!C89)),"",Actuals!C89)</f>
        <v>-1722.9</v>
      </c>
      <c r="C89" s="500">
        <f>Budget!C89</f>
        <v>-183.33</v>
      </c>
      <c r="D89" s="500">
        <f>IF(B89="","",B89-C89)</f>
        <v>-1539.57</v>
      </c>
      <c r="E89" s="500">
        <f>IF(OR(2&gt;$B$3,ISBLANK(Actuals!D89)),"",Actuals!D89)</f>
        <v>0</v>
      </c>
      <c r="F89" s="500">
        <f>Budget!D89</f>
        <v>-183.33</v>
      </c>
      <c r="G89" s="500">
        <f>IF(E89="","",E89-F89)</f>
        <v>183.33</v>
      </c>
      <c r="H89" s="500">
        <f>IF(OR(3&gt;$B$3,ISBLANK(Actuals!E89)),"",Actuals!E89)</f>
        <v>-28.51</v>
      </c>
      <c r="I89" s="500">
        <f>Budget!E89</f>
        <v>-183.33</v>
      </c>
      <c r="J89" s="500">
        <f>IF(H89="","",H89-I89)</f>
        <v>154.82</v>
      </c>
      <c r="K89" s="500">
        <f>IF(OR(4&gt;$B$3,ISBLANK(Actuals!F89)),"",Actuals!F89)</f>
        <v>0</v>
      </c>
      <c r="L89" s="500">
        <f>Budget!F89</f>
        <v>-183.33</v>
      </c>
      <c r="M89" s="500">
        <f>IF(K89="","",K89-L89)</f>
        <v>183.33</v>
      </c>
      <c r="N89" s="500">
        <f>IF(OR(5&gt;$B$3,ISBLANK(Actuals!G89)),"",Actuals!G89)</f>
        <v>-212.12</v>
      </c>
      <c r="O89" s="500">
        <f>Budget!G89</f>
        <v>-183.33</v>
      </c>
      <c r="P89" s="500">
        <f>IF(N89="","",N89-O89)</f>
        <v>-28.79</v>
      </c>
      <c r="Q89" s="500">
        <f>IF(OR(6&gt;$B$3,ISBLANK(Actuals!H89)),"",Actuals!H89)</f>
        <v>-83.92</v>
      </c>
      <c r="R89" s="500">
        <f>Budget!H89</f>
        <v>-183.33</v>
      </c>
      <c r="S89" s="500">
        <f>IF(Q89="","",Q89-R89)</f>
        <v>99.41</v>
      </c>
      <c r="T89" s="500">
        <f>IF(OR(7&gt;$B$3,ISBLANK(Actuals!I89)),"",Actuals!I89)</f>
      </c>
      <c r="U89" s="500">
        <f>Budget!I89</f>
        <v>-187</v>
      </c>
      <c r="V89" s="500">
        <f>IF(T89="","",T89-U89)</f>
      </c>
      <c r="W89" s="500">
        <f>IF(OR(8&gt;$B$3,ISBLANK(Actuals!J89)),"",Actuals!J89)</f>
      </c>
      <c r="X89" s="500">
        <f>Budget!J89</f>
        <v>-187</v>
      </c>
      <c r="Y89" s="500">
        <f>IF(W89="","",W89-X89)</f>
      </c>
      <c r="Z89" s="500">
        <f>IF(OR(9&gt;$B$3,ISBLANK(Actuals!K89)),"",Actuals!K89)</f>
      </c>
      <c r="AA89" s="500">
        <f>Budget!K89</f>
        <v>-187</v>
      </c>
      <c r="AB89" s="500">
        <f>IF(Z89="","",Z89-AA89)</f>
      </c>
      <c r="AC89" s="500">
        <f>IF(OR(10&gt;$B$3,ISBLANK(Actuals!L89)),"",Actuals!L89)</f>
      </c>
      <c r="AD89" s="500">
        <f>Budget!L89</f>
        <v>-187</v>
      </c>
      <c r="AE89" s="500">
        <f>IF(AC89="","",AC89-AD89)</f>
      </c>
      <c r="AF89" s="500">
        <f>IF(OR(11&gt;$B$3,ISBLANK(Actuals!M89)),"",Actuals!M89)</f>
      </c>
      <c r="AG89" s="500">
        <f>Budget!M89</f>
        <v>-187</v>
      </c>
      <c r="AH89" s="500">
        <f>IF(AF89="","",AF89-AG89)</f>
      </c>
      <c r="AI89" s="500">
        <f>IF(OR(12&gt;$B$3,ISBLANK(Actuals!N89)),"",Actuals!N89)</f>
      </c>
      <c r="AJ89" s="500">
        <f>Budget!N89</f>
        <v>-187</v>
      </c>
      <c r="AK89" s="500">
        <f>IF(AI89="","",AI89-AJ89)</f>
      </c>
      <c r="AL89" s="501">
        <f>SUM(Actuals!$C89:INDEX(Actuals!$C89:$N89,$B$3))</f>
        <v>-2047.45</v>
      </c>
      <c r="AM89" s="501">
        <f>SUM(Budget!$C89:INDEX(Budget!$C89:$N89,$B$3))</f>
        <v>-1099.98</v>
      </c>
      <c r="AN89" s="501">
        <f>AL89-AM89</f>
        <v>-947.47</v>
      </c>
    </row>
    <row r="90" ht="15" customFormat="1" customHeight="1" s="381">
      <c r="A90" s="499" t="inlineStr">
        <is>
          <t>5200-1053 IT Software and Subscriptions</t>
        </is>
      </c>
      <c r="B90" s="500">
        <f>IF(OR(1&gt;$B$3,ISBLANK(Actuals!C90)),"",Actuals!C90)</f>
        <v>-246.85</v>
      </c>
      <c r="C90" s="500">
        <f>Budget!C90</f>
        <v>-3000</v>
      </c>
      <c r="D90" s="500">
        <f>IF(B90="","",B90-C90)</f>
        <v>2753.15</v>
      </c>
      <c r="E90" s="500">
        <f>IF(OR(2&gt;$B$3,ISBLANK(Actuals!D90)),"",Actuals!D90)</f>
        <v>0</v>
      </c>
      <c r="F90" s="500">
        <f>Budget!D90</f>
        <v>-3000</v>
      </c>
      <c r="G90" s="500">
        <f>IF(E90="","",E90-F90)</f>
        <v>3000</v>
      </c>
      <c r="H90" s="500">
        <f>IF(OR(3&gt;$B$3,ISBLANK(Actuals!E90)),"",Actuals!E90)</f>
        <v>-4246.73</v>
      </c>
      <c r="I90" s="500">
        <f>Budget!E90</f>
        <v>-3000</v>
      </c>
      <c r="J90" s="500">
        <f>IF(H90="","",H90-I90)</f>
        <v>-1246.73</v>
      </c>
      <c r="K90" s="500">
        <f>IF(OR(4&gt;$B$3,ISBLANK(Actuals!F90)),"",Actuals!F90)</f>
        <v>-3123.87</v>
      </c>
      <c r="L90" s="500">
        <f>Budget!F90</f>
        <v>-3000</v>
      </c>
      <c r="M90" s="500">
        <f>IF(K90="","",K90-L90)</f>
        <v>-123.87</v>
      </c>
      <c r="N90" s="500">
        <f>IF(OR(5&gt;$B$3,ISBLANK(Actuals!G90)),"",Actuals!G90)</f>
        <v>-3184.88</v>
      </c>
      <c r="O90" s="500">
        <f>Budget!G90</f>
        <v>-3000</v>
      </c>
      <c r="P90" s="500">
        <f>IF(N90="","",N90-O90)</f>
        <v>-184.88</v>
      </c>
      <c r="Q90" s="500">
        <f>IF(OR(6&gt;$B$3,ISBLANK(Actuals!H90)),"",Actuals!H90)</f>
        <v>-4015.94</v>
      </c>
      <c r="R90" s="500">
        <f>Budget!H90</f>
        <v>-3000</v>
      </c>
      <c r="S90" s="500">
        <f>IF(Q90="","",Q90-R90)</f>
        <v>-1015.94</v>
      </c>
      <c r="T90" s="500">
        <f>IF(OR(7&gt;$B$3,ISBLANK(Actuals!I90)),"",Actuals!I90)</f>
      </c>
      <c r="U90" s="500">
        <f>Budget!I90</f>
        <v>-3060</v>
      </c>
      <c r="V90" s="500">
        <f>IF(T90="","",T90-U90)</f>
      </c>
      <c r="W90" s="500">
        <f>IF(OR(8&gt;$B$3,ISBLANK(Actuals!J90)),"",Actuals!J90)</f>
      </c>
      <c r="X90" s="500">
        <f>Budget!J90</f>
        <v>-3060</v>
      </c>
      <c r="Y90" s="500">
        <f>IF(W90="","",W90-X90)</f>
      </c>
      <c r="Z90" s="500">
        <f>IF(OR(9&gt;$B$3,ISBLANK(Actuals!K90)),"",Actuals!K90)</f>
      </c>
      <c r="AA90" s="500">
        <f>Budget!K90</f>
        <v>-3060</v>
      </c>
      <c r="AB90" s="500">
        <f>IF(Z90="","",Z90-AA90)</f>
      </c>
      <c r="AC90" s="500">
        <f>IF(OR(10&gt;$B$3,ISBLANK(Actuals!L90)),"",Actuals!L90)</f>
      </c>
      <c r="AD90" s="500">
        <f>Budget!L90</f>
        <v>-3060</v>
      </c>
      <c r="AE90" s="500">
        <f>IF(AC90="","",AC90-AD90)</f>
      </c>
      <c r="AF90" s="500">
        <f>IF(OR(11&gt;$B$3,ISBLANK(Actuals!M90)),"",Actuals!M90)</f>
      </c>
      <c r="AG90" s="500">
        <f>Budget!M90</f>
        <v>-3060</v>
      </c>
      <c r="AH90" s="500">
        <f>IF(AF90="","",AF90-AG90)</f>
      </c>
      <c r="AI90" s="500">
        <f>IF(OR(12&gt;$B$3,ISBLANK(Actuals!N90)),"",Actuals!N90)</f>
      </c>
      <c r="AJ90" s="500">
        <f>Budget!N90</f>
        <v>-3060</v>
      </c>
      <c r="AK90" s="500">
        <f>IF(AI90="","",AI90-AJ90)</f>
      </c>
      <c r="AL90" s="501">
        <f>SUM(Actuals!$C90:INDEX(Actuals!$C90:$N90,$B$3))</f>
        <v>-14818.27</v>
      </c>
      <c r="AM90" s="501">
        <f>SUM(Budget!$C90:INDEX(Budget!$C90:$N90,$B$3))</f>
        <v>-18000</v>
      </c>
      <c r="AN90" s="501">
        <f>AL90-AM90</f>
        <v>3181.73</v>
      </c>
    </row>
    <row r="91" ht="15" customFormat="1" customHeight="1" s="381">
      <c r="A91" s="499" t="inlineStr">
        <is>
          <t>5200-1060 Website Design</t>
        </is>
      </c>
      <c r="B91" s="500">
        <f>IF(OR(1&gt;$B$3,ISBLANK(Actuals!C91)),"",Actuals!C91)</f>
        <v>0</v>
      </c>
      <c r="C91" s="500">
        <f>Budget!C91</f>
        <v>0</v>
      </c>
      <c r="D91" s="500">
        <f>IF(B91="","",B91-C91)</f>
        <v>0</v>
      </c>
      <c r="E91" s="500">
        <f>IF(OR(2&gt;$B$3,ISBLANK(Actuals!D91)),"",Actuals!D91)</f>
        <v>0</v>
      </c>
      <c r="F91" s="500">
        <f>Budget!D91</f>
        <v>0</v>
      </c>
      <c r="G91" s="500">
        <f>IF(E91="","",E91-F91)</f>
        <v>0</v>
      </c>
      <c r="H91" s="500">
        <f>IF(OR(3&gt;$B$3,ISBLANK(Actuals!E91)),"",Actuals!E91)</f>
        <v>-870</v>
      </c>
      <c r="I91" s="500">
        <f>Budget!E91</f>
        <v>0</v>
      </c>
      <c r="J91" s="500">
        <f>IF(H91="","",H91-I91)</f>
        <v>-870</v>
      </c>
      <c r="K91" s="500">
        <f>IF(OR(4&gt;$B$3,ISBLANK(Actuals!F91)),"",Actuals!F91)</f>
        <v>0</v>
      </c>
      <c r="L91" s="500">
        <f>Budget!F91</f>
        <v>0</v>
      </c>
      <c r="M91" s="500">
        <f>IF(K91="","",K91-L91)</f>
        <v>0</v>
      </c>
      <c r="N91" s="500">
        <f>IF(OR(5&gt;$B$3,ISBLANK(Actuals!G91)),"",Actuals!G91)</f>
        <v>0</v>
      </c>
      <c r="O91" s="500">
        <f>Budget!G91</f>
        <v>0</v>
      </c>
      <c r="P91" s="500">
        <f>IF(N91="","",N91-O91)</f>
        <v>0</v>
      </c>
      <c r="Q91" s="500">
        <f>IF(OR(6&gt;$B$3,ISBLANK(Actuals!H91)),"",Actuals!H91)</f>
        <v>0</v>
      </c>
      <c r="R91" s="500">
        <f>Budget!H91</f>
        <v>0</v>
      </c>
      <c r="S91" s="500">
        <f>IF(Q91="","",Q91-R91)</f>
        <v>0</v>
      </c>
      <c r="T91" s="500">
        <f>IF(OR(7&gt;$B$3,ISBLANK(Actuals!I91)),"",Actuals!I91)</f>
      </c>
      <c r="U91" s="500">
        <f>Budget!I91</f>
        <v>0</v>
      </c>
      <c r="V91" s="500">
        <f>IF(T91="","",T91-U91)</f>
      </c>
      <c r="W91" s="500">
        <f>IF(OR(8&gt;$B$3,ISBLANK(Actuals!J91)),"",Actuals!J91)</f>
      </c>
      <c r="X91" s="500">
        <f>Budget!J91</f>
        <v>0</v>
      </c>
      <c r="Y91" s="500">
        <f>IF(W91="","",W91-X91)</f>
      </c>
      <c r="Z91" s="500">
        <f>IF(OR(9&gt;$B$3,ISBLANK(Actuals!K91)),"",Actuals!K91)</f>
      </c>
      <c r="AA91" s="500">
        <f>Budget!K91</f>
        <v>0</v>
      </c>
      <c r="AB91" s="500">
        <f>IF(Z91="","",Z91-AA91)</f>
      </c>
      <c r="AC91" s="500">
        <f>IF(OR(10&gt;$B$3,ISBLANK(Actuals!L91)),"",Actuals!L91)</f>
      </c>
      <c r="AD91" s="500">
        <f>Budget!L91</f>
        <v>0</v>
      </c>
      <c r="AE91" s="500">
        <f>IF(AC91="","",AC91-AD91)</f>
      </c>
      <c r="AF91" s="500">
        <f>IF(OR(11&gt;$B$3,ISBLANK(Actuals!M91)),"",Actuals!M91)</f>
      </c>
      <c r="AG91" s="500">
        <f>Budget!M91</f>
        <v>0</v>
      </c>
      <c r="AH91" s="500">
        <f>IF(AF91="","",AF91-AG91)</f>
      </c>
      <c r="AI91" s="500">
        <f>IF(OR(12&gt;$B$3,ISBLANK(Actuals!N91)),"",Actuals!N91)</f>
      </c>
      <c r="AJ91" s="500">
        <f>Budget!N91</f>
        <v>0</v>
      </c>
      <c r="AK91" s="500">
        <f>IF(AI91="","",AI91-AJ91)</f>
      </c>
      <c r="AL91" s="501">
        <f>SUM(Actuals!$C91:INDEX(Actuals!$C91:$N91,$B$3))</f>
        <v>-870</v>
      </c>
      <c r="AM91" s="501">
        <f>SUM(Budget!$C91:INDEX(Budget!$C91:$N91,$B$3))</f>
        <v>0</v>
      </c>
      <c r="AN91" s="501">
        <f>AL91-AM91</f>
        <v>-870</v>
      </c>
    </row>
    <row r="92" ht="15" customFormat="1" customHeight="1" s="381">
      <c r="A92" s="499" t="inlineStr">
        <is>
          <t>5200-1061 Website Hosting</t>
        </is>
      </c>
      <c r="B92" s="500">
        <f>IF(OR(1&gt;$B$3,ISBLANK(Actuals!C92)),"",Actuals!C92)</f>
        <v>-245</v>
      </c>
      <c r="C92" s="500">
        <f>Budget!C92</f>
        <v>0</v>
      </c>
      <c r="D92" s="500">
        <f>IF(B92="","",B92-C92)</f>
        <v>-245</v>
      </c>
      <c r="E92" s="500">
        <f>IF(OR(2&gt;$B$3,ISBLANK(Actuals!D92)),"",Actuals!D92)</f>
        <v>-245</v>
      </c>
      <c r="F92" s="500">
        <f>Budget!D92</f>
        <v>0</v>
      </c>
      <c r="G92" s="500">
        <f>IF(E92="","",E92-F92)</f>
        <v>-245</v>
      </c>
      <c r="H92" s="500">
        <f>IF(OR(3&gt;$B$3,ISBLANK(Actuals!E92)),"",Actuals!E92)</f>
        <v>-245</v>
      </c>
      <c r="I92" s="500">
        <f>Budget!E92</f>
        <v>0</v>
      </c>
      <c r="J92" s="500">
        <f>IF(H92="","",H92-I92)</f>
        <v>-245</v>
      </c>
      <c r="K92" s="500">
        <f>IF(OR(4&gt;$B$3,ISBLANK(Actuals!F92)),"",Actuals!F92)</f>
        <v>-245</v>
      </c>
      <c r="L92" s="500">
        <f>Budget!F92</f>
        <v>0</v>
      </c>
      <c r="M92" s="500">
        <f>IF(K92="","",K92-L92)</f>
        <v>-245</v>
      </c>
      <c r="N92" s="500">
        <f>IF(OR(5&gt;$B$3,ISBLANK(Actuals!G92)),"",Actuals!G92)</f>
        <v>-245</v>
      </c>
      <c r="O92" s="500">
        <f>Budget!G92</f>
        <v>0</v>
      </c>
      <c r="P92" s="500">
        <f>IF(N92="","",N92-O92)</f>
        <v>-245</v>
      </c>
      <c r="Q92" s="500">
        <f>IF(OR(6&gt;$B$3,ISBLANK(Actuals!H92)),"",Actuals!H92)</f>
        <v>-245</v>
      </c>
      <c r="R92" s="500">
        <f>Budget!H92</f>
        <v>0</v>
      </c>
      <c r="S92" s="500">
        <f>IF(Q92="","",Q92-R92)</f>
        <v>-245</v>
      </c>
      <c r="T92" s="500">
        <f>IF(OR(7&gt;$B$3,ISBLANK(Actuals!I92)),"",Actuals!I92)</f>
      </c>
      <c r="U92" s="500">
        <f>Budget!I92</f>
        <v>0</v>
      </c>
      <c r="V92" s="500">
        <f>IF(T92="","",T92-U92)</f>
      </c>
      <c r="W92" s="500">
        <f>IF(OR(8&gt;$B$3,ISBLANK(Actuals!J92)),"",Actuals!J92)</f>
      </c>
      <c r="X92" s="500">
        <f>Budget!J92</f>
        <v>0</v>
      </c>
      <c r="Y92" s="500">
        <f>IF(W92="","",W92-X92)</f>
      </c>
      <c r="Z92" s="500">
        <f>IF(OR(9&gt;$B$3,ISBLANK(Actuals!K92)),"",Actuals!K92)</f>
      </c>
      <c r="AA92" s="500">
        <f>Budget!K92</f>
        <v>0</v>
      </c>
      <c r="AB92" s="500">
        <f>IF(Z92="","",Z92-AA92)</f>
      </c>
      <c r="AC92" s="500">
        <f>IF(OR(10&gt;$B$3,ISBLANK(Actuals!L92)),"",Actuals!L92)</f>
      </c>
      <c r="AD92" s="500">
        <f>Budget!L92</f>
        <v>0</v>
      </c>
      <c r="AE92" s="500">
        <f>IF(AC92="","",AC92-AD92)</f>
      </c>
      <c r="AF92" s="500">
        <f>IF(OR(11&gt;$B$3,ISBLANK(Actuals!M92)),"",Actuals!M92)</f>
      </c>
      <c r="AG92" s="500">
        <f>Budget!M92</f>
        <v>0</v>
      </c>
      <c r="AH92" s="500">
        <f>IF(AF92="","",AF92-AG92)</f>
      </c>
      <c r="AI92" s="500">
        <f>IF(OR(12&gt;$B$3,ISBLANK(Actuals!N92)),"",Actuals!N92)</f>
      </c>
      <c r="AJ92" s="500">
        <f>Budget!N92</f>
        <v>0</v>
      </c>
      <c r="AK92" s="500">
        <f>IF(AI92="","",AI92-AJ92)</f>
      </c>
      <c r="AL92" s="501">
        <f>SUM(Actuals!$C92:INDEX(Actuals!$C92:$N92,$B$3))</f>
        <v>-1470</v>
      </c>
      <c r="AM92" s="501">
        <f>SUM(Budget!$C92:INDEX(Budget!$C92:$N92,$B$3))</f>
        <v>0</v>
      </c>
      <c r="AN92" s="501">
        <f>AL92-AM92</f>
        <v>-1470</v>
      </c>
    </row>
    <row r="93" ht="15" customFormat="1" customHeight="1" s="381">
      <c r="A93" s="499" t="inlineStr">
        <is>
          <t>5300-1000 Travel and Lodging</t>
        </is>
      </c>
      <c r="B93" s="500">
        <f>IF(OR(1&gt;$B$3,ISBLANK(Actuals!C93)),"",Actuals!C93)</f>
        <v>-986.57</v>
      </c>
      <c r="C93" s="500">
        <f>Budget!C93</f>
        <v>-3000</v>
      </c>
      <c r="D93" s="500">
        <f>IF(B93="","",B93-C93)</f>
        <v>2013.43</v>
      </c>
      <c r="E93" s="500">
        <f>IF(OR(2&gt;$B$3,ISBLANK(Actuals!D93)),"",Actuals!D93)</f>
        <v>-1254.61</v>
      </c>
      <c r="F93" s="500">
        <f>Budget!D93</f>
        <v>-3000</v>
      </c>
      <c r="G93" s="500">
        <f>IF(E93="","",E93-F93)</f>
        <v>1745.39</v>
      </c>
      <c r="H93" s="500">
        <f>IF(OR(3&gt;$B$3,ISBLANK(Actuals!E93)),"",Actuals!E93)</f>
        <v>-1297.31</v>
      </c>
      <c r="I93" s="500">
        <f>Budget!E93</f>
        <v>-3000</v>
      </c>
      <c r="J93" s="500">
        <f>IF(H93="","",H93-I93)</f>
        <v>1702.69</v>
      </c>
      <c r="K93" s="500">
        <f>IF(OR(4&gt;$B$3,ISBLANK(Actuals!F93)),"",Actuals!F93)</f>
        <v>-48.78</v>
      </c>
      <c r="L93" s="500">
        <f>Budget!F93</f>
        <v>-3000</v>
      </c>
      <c r="M93" s="500">
        <f>IF(K93="","",K93-L93)</f>
        <v>2951.22</v>
      </c>
      <c r="N93" s="500">
        <f>IF(OR(5&gt;$B$3,ISBLANK(Actuals!G93)),"",Actuals!G93)</f>
        <v>-4199.86</v>
      </c>
      <c r="O93" s="500">
        <f>Budget!G93</f>
        <v>-3000</v>
      </c>
      <c r="P93" s="500">
        <f>IF(N93="","",N93-O93)</f>
        <v>-1199.86</v>
      </c>
      <c r="Q93" s="500">
        <f>IF(OR(6&gt;$B$3,ISBLANK(Actuals!H93)),"",Actuals!H93)</f>
        <v>-3433.39</v>
      </c>
      <c r="R93" s="500">
        <f>Budget!H93</f>
        <v>-3000</v>
      </c>
      <c r="S93" s="500">
        <f>IF(Q93="","",Q93-R93)</f>
        <v>-433.39</v>
      </c>
      <c r="T93" s="500">
        <f>IF(OR(7&gt;$B$3,ISBLANK(Actuals!I93)),"",Actuals!I93)</f>
      </c>
      <c r="U93" s="500">
        <f>Budget!I93</f>
        <v>-3060</v>
      </c>
      <c r="V93" s="500">
        <f>IF(T93="","",T93-U93)</f>
      </c>
      <c r="W93" s="500">
        <f>IF(OR(8&gt;$B$3,ISBLANK(Actuals!J93)),"",Actuals!J93)</f>
      </c>
      <c r="X93" s="500">
        <f>Budget!J93</f>
        <v>-3060</v>
      </c>
      <c r="Y93" s="500">
        <f>IF(W93="","",W93-X93)</f>
      </c>
      <c r="Z93" s="500">
        <f>IF(OR(9&gt;$B$3,ISBLANK(Actuals!K93)),"",Actuals!K93)</f>
      </c>
      <c r="AA93" s="500">
        <f>Budget!K93</f>
        <v>-3060</v>
      </c>
      <c r="AB93" s="500">
        <f>IF(Z93="","",Z93-AA93)</f>
      </c>
      <c r="AC93" s="500">
        <f>IF(OR(10&gt;$B$3,ISBLANK(Actuals!L93)),"",Actuals!L93)</f>
      </c>
      <c r="AD93" s="500">
        <f>Budget!L93</f>
        <v>-3060</v>
      </c>
      <c r="AE93" s="500">
        <f>IF(AC93="","",AC93-AD93)</f>
      </c>
      <c r="AF93" s="500">
        <f>IF(OR(11&gt;$B$3,ISBLANK(Actuals!M93)),"",Actuals!M93)</f>
      </c>
      <c r="AG93" s="500">
        <f>Budget!M93</f>
        <v>-3060</v>
      </c>
      <c r="AH93" s="500">
        <f>IF(AF93="","",AF93-AG93)</f>
      </c>
      <c r="AI93" s="500">
        <f>IF(OR(12&gt;$B$3,ISBLANK(Actuals!N93)),"",Actuals!N93)</f>
      </c>
      <c r="AJ93" s="500">
        <f>Budget!N93</f>
        <v>-3060</v>
      </c>
      <c r="AK93" s="500">
        <f>IF(AI93="","",AI93-AJ93)</f>
      </c>
      <c r="AL93" s="501">
        <f>SUM(Actuals!$C93:INDEX(Actuals!$C93:$N93,$B$3))</f>
        <v>-11220.52</v>
      </c>
      <c r="AM93" s="501">
        <f>SUM(Budget!$C93:INDEX(Budget!$C93:$N93,$B$3))</f>
        <v>-18000</v>
      </c>
      <c r="AN93" s="501">
        <f>AL93-AM93</f>
        <v>6779.48</v>
      </c>
    </row>
    <row r="94" ht="15" customFormat="1" customHeight="1" s="381">
      <c r="A94" s="499" t="inlineStr">
        <is>
          <t>5300-1001 Public Transportation</t>
        </is>
      </c>
      <c r="B94" s="500">
        <f>IF(OR(1&gt;$B$3,ISBLANK(Actuals!C94)),"",Actuals!C94)</f>
        <v>-588.66</v>
      </c>
      <c r="C94" s="500">
        <f>Budget!C94</f>
        <v>-833.33</v>
      </c>
      <c r="D94" s="500">
        <f>IF(B94="","",B94-C94)</f>
        <v>244.67</v>
      </c>
      <c r="E94" s="500">
        <f>IF(OR(2&gt;$B$3,ISBLANK(Actuals!D94)),"",Actuals!D94)</f>
        <v>-22.94</v>
      </c>
      <c r="F94" s="500">
        <f>Budget!D94</f>
        <v>-833.33</v>
      </c>
      <c r="G94" s="500">
        <f>IF(E94="","",E94-F94)</f>
        <v>810.39</v>
      </c>
      <c r="H94" s="500">
        <f>IF(OR(3&gt;$B$3,ISBLANK(Actuals!E94)),"",Actuals!E94)</f>
        <v>-487.3</v>
      </c>
      <c r="I94" s="500">
        <f>Budget!E94</f>
        <v>-833.33</v>
      </c>
      <c r="J94" s="500">
        <f>IF(H94="","",H94-I94)</f>
        <v>346.03</v>
      </c>
      <c r="K94" s="500">
        <f>IF(OR(4&gt;$B$3,ISBLANK(Actuals!F94)),"",Actuals!F94)</f>
        <v>-399.98</v>
      </c>
      <c r="L94" s="500">
        <f>Budget!F94</f>
        <v>-833.33</v>
      </c>
      <c r="M94" s="500">
        <f>IF(K94="","",K94-L94)</f>
        <v>433.35</v>
      </c>
      <c r="N94" s="500">
        <f>IF(OR(5&gt;$B$3,ISBLANK(Actuals!G94)),"",Actuals!G94)</f>
        <v>-216.15</v>
      </c>
      <c r="O94" s="500">
        <f>Budget!G94</f>
        <v>-833.33</v>
      </c>
      <c r="P94" s="500">
        <f>IF(N94="","",N94-O94)</f>
        <v>617.18</v>
      </c>
      <c r="Q94" s="500">
        <f>IF(OR(6&gt;$B$3,ISBLANK(Actuals!H94)),"",Actuals!H94)</f>
        <v>-936.05</v>
      </c>
      <c r="R94" s="500">
        <f>Budget!H94</f>
        <v>-833.33</v>
      </c>
      <c r="S94" s="500">
        <f>IF(Q94="","",Q94-R94)</f>
        <v>-102.72</v>
      </c>
      <c r="T94" s="500">
        <f>IF(OR(7&gt;$B$3,ISBLANK(Actuals!I94)),"",Actuals!I94)</f>
      </c>
      <c r="U94" s="500">
        <f>Budget!I94</f>
        <v>-850</v>
      </c>
      <c r="V94" s="500">
        <f>IF(T94="","",T94-U94)</f>
      </c>
      <c r="W94" s="500">
        <f>IF(OR(8&gt;$B$3,ISBLANK(Actuals!J94)),"",Actuals!J94)</f>
      </c>
      <c r="X94" s="500">
        <f>Budget!J94</f>
        <v>-850</v>
      </c>
      <c r="Y94" s="500">
        <f>IF(W94="","",W94-X94)</f>
      </c>
      <c r="Z94" s="500">
        <f>IF(OR(9&gt;$B$3,ISBLANK(Actuals!K94)),"",Actuals!K94)</f>
      </c>
      <c r="AA94" s="500">
        <f>Budget!K94</f>
        <v>-850</v>
      </c>
      <c r="AB94" s="500">
        <f>IF(Z94="","",Z94-AA94)</f>
      </c>
      <c r="AC94" s="500">
        <f>IF(OR(10&gt;$B$3,ISBLANK(Actuals!L94)),"",Actuals!L94)</f>
      </c>
      <c r="AD94" s="500">
        <f>Budget!L94</f>
        <v>-850</v>
      </c>
      <c r="AE94" s="500">
        <f>IF(AC94="","",AC94-AD94)</f>
      </c>
      <c r="AF94" s="500">
        <f>IF(OR(11&gt;$B$3,ISBLANK(Actuals!M94)),"",Actuals!M94)</f>
      </c>
      <c r="AG94" s="500">
        <f>Budget!M94</f>
        <v>-850</v>
      </c>
      <c r="AH94" s="500">
        <f>IF(AF94="","",AF94-AG94)</f>
      </c>
      <c r="AI94" s="500">
        <f>IF(OR(12&gt;$B$3,ISBLANK(Actuals!N94)),"",Actuals!N94)</f>
      </c>
      <c r="AJ94" s="500">
        <f>Budget!N94</f>
        <v>-850</v>
      </c>
      <c r="AK94" s="500">
        <f>IF(AI94="","",AI94-AJ94)</f>
      </c>
      <c r="AL94" s="501">
        <f>SUM(Actuals!$C94:INDEX(Actuals!$C94:$N94,$B$3))</f>
        <v>-2651.08</v>
      </c>
      <c r="AM94" s="501">
        <f>SUM(Budget!$C94:INDEX(Budget!$C94:$N94,$B$3))</f>
        <v>-4999.98</v>
      </c>
      <c r="AN94" s="501">
        <f>AL94-AM94</f>
        <v>2348.9</v>
      </c>
    </row>
    <row r="95" ht="15" customFormat="1" customHeight="1" s="381">
      <c r="A95" s="499" t="inlineStr">
        <is>
          <t>5300-1002 Parking</t>
        </is>
      </c>
      <c r="B95" s="500">
        <f>IF(OR(1&gt;$B$3,ISBLANK(Actuals!C95)),"",Actuals!C95)</f>
        <v>0</v>
      </c>
      <c r="C95" s="500">
        <f>Budget!C95</f>
        <v>0</v>
      </c>
      <c r="D95" s="500">
        <f>IF(B95="","",B95-C95)</f>
        <v>0</v>
      </c>
      <c r="E95" s="500">
        <f>IF(OR(2&gt;$B$3,ISBLANK(Actuals!D95)),"",Actuals!D95)</f>
        <v>-92.75</v>
      </c>
      <c r="F95" s="500">
        <f>Budget!D95</f>
        <v>0</v>
      </c>
      <c r="G95" s="500">
        <f>IF(E95="","",E95-F95)</f>
        <v>-92.75</v>
      </c>
      <c r="H95" s="500">
        <f>IF(OR(3&gt;$B$3,ISBLANK(Actuals!E95)),"",Actuals!E95)</f>
        <v>-57.46</v>
      </c>
      <c r="I95" s="500">
        <f>Budget!E95</f>
        <v>0</v>
      </c>
      <c r="J95" s="500">
        <f>IF(H95="","",H95-I95)</f>
        <v>-57.46</v>
      </c>
      <c r="K95" s="500">
        <f>IF(OR(4&gt;$B$3,ISBLANK(Actuals!F95)),"",Actuals!F95)</f>
        <v>0</v>
      </c>
      <c r="L95" s="500">
        <f>Budget!F95</f>
        <v>0</v>
      </c>
      <c r="M95" s="500">
        <f>IF(K95="","",K95-L95)</f>
        <v>0</v>
      </c>
      <c r="N95" s="500">
        <f>IF(OR(5&gt;$B$3,ISBLANK(Actuals!G95)),"",Actuals!G95)</f>
        <v>-24.3</v>
      </c>
      <c r="O95" s="500">
        <f>Budget!G95</f>
        <v>0</v>
      </c>
      <c r="P95" s="500">
        <f>IF(N95="","",N95-O95)</f>
        <v>-24.3</v>
      </c>
      <c r="Q95" s="500">
        <f>IF(OR(6&gt;$B$3,ISBLANK(Actuals!H95)),"",Actuals!H95)</f>
        <v>-917.7</v>
      </c>
      <c r="R95" s="500">
        <f>Budget!H95</f>
        <v>0</v>
      </c>
      <c r="S95" s="500">
        <f>IF(Q95="","",Q95-R95)</f>
        <v>-917.7</v>
      </c>
      <c r="T95" s="500">
        <f>IF(OR(7&gt;$B$3,ISBLANK(Actuals!I95)),"",Actuals!I95)</f>
      </c>
      <c r="U95" s="500">
        <f>Budget!I95</f>
        <v>0</v>
      </c>
      <c r="V95" s="500">
        <f>IF(T95="","",T95-U95)</f>
      </c>
      <c r="W95" s="500">
        <f>IF(OR(8&gt;$B$3,ISBLANK(Actuals!J95)),"",Actuals!J95)</f>
      </c>
      <c r="X95" s="500">
        <f>Budget!J95</f>
        <v>0</v>
      </c>
      <c r="Y95" s="500">
        <f>IF(W95="","",W95-X95)</f>
      </c>
      <c r="Z95" s="500">
        <f>IF(OR(9&gt;$B$3,ISBLANK(Actuals!K95)),"",Actuals!K95)</f>
      </c>
      <c r="AA95" s="500">
        <f>Budget!K95</f>
        <v>0</v>
      </c>
      <c r="AB95" s="500">
        <f>IF(Z95="","",Z95-AA95)</f>
      </c>
      <c r="AC95" s="500">
        <f>IF(OR(10&gt;$B$3,ISBLANK(Actuals!L95)),"",Actuals!L95)</f>
      </c>
      <c r="AD95" s="500">
        <f>Budget!L95</f>
        <v>0</v>
      </c>
      <c r="AE95" s="500">
        <f>IF(AC95="","",AC95-AD95)</f>
      </c>
      <c r="AF95" s="500">
        <f>IF(OR(11&gt;$B$3,ISBLANK(Actuals!M95)),"",Actuals!M95)</f>
      </c>
      <c r="AG95" s="500">
        <f>Budget!M95</f>
        <v>0</v>
      </c>
      <c r="AH95" s="500">
        <f>IF(AF95="","",AF95-AG95)</f>
      </c>
      <c r="AI95" s="500">
        <f>IF(OR(12&gt;$B$3,ISBLANK(Actuals!N95)),"",Actuals!N95)</f>
      </c>
      <c r="AJ95" s="500">
        <f>Budget!N95</f>
        <v>0</v>
      </c>
      <c r="AK95" s="500">
        <f>IF(AI95="","",AI95-AJ95)</f>
      </c>
      <c r="AL95" s="501">
        <f>SUM(Actuals!$C95:INDEX(Actuals!$C95:$N95,$B$3))</f>
        <v>-1092.21</v>
      </c>
      <c r="AM95" s="501">
        <f>SUM(Budget!$C95:INDEX(Budget!$C95:$N95,$B$3))</f>
        <v>0</v>
      </c>
      <c r="AN95" s="501">
        <f>AL95-AM95</f>
        <v>-1092.21</v>
      </c>
    </row>
    <row r="96" ht="15" customFormat="1" customHeight="1" s="381">
      <c r="A96" s="499" t="inlineStr">
        <is>
          <t>5300-1050 Meals and Entertainment</t>
        </is>
      </c>
      <c r="B96" s="500">
        <f>IF(OR(1&gt;$B$3,ISBLANK(Actuals!C96)),"",Actuals!C96)</f>
        <v>-640.88</v>
      </c>
      <c r="C96" s="500">
        <f>Budget!C96</f>
        <v>-3000</v>
      </c>
      <c r="D96" s="500">
        <f>IF(B96="","",B96-C96)</f>
        <v>2359.12</v>
      </c>
      <c r="E96" s="500">
        <f>IF(OR(2&gt;$B$3,ISBLANK(Actuals!D96)),"",Actuals!D96)</f>
        <v>-872.64</v>
      </c>
      <c r="F96" s="500">
        <f>Budget!D96</f>
        <v>-3000</v>
      </c>
      <c r="G96" s="500">
        <f>IF(E96="","",E96-F96)</f>
        <v>2127.36</v>
      </c>
      <c r="H96" s="500">
        <f>IF(OR(3&gt;$B$3,ISBLANK(Actuals!E96)),"",Actuals!E96)</f>
        <v>-1175.78</v>
      </c>
      <c r="I96" s="500">
        <f>Budget!E96</f>
        <v>-3000</v>
      </c>
      <c r="J96" s="500">
        <f>IF(H96="","",H96-I96)</f>
        <v>1824.22</v>
      </c>
      <c r="K96" s="500">
        <f>IF(OR(4&gt;$B$3,ISBLANK(Actuals!F96)),"",Actuals!F96)</f>
        <v>-471.38</v>
      </c>
      <c r="L96" s="500">
        <f>Budget!F96</f>
        <v>-3000</v>
      </c>
      <c r="M96" s="500">
        <f>IF(K96="","",K96-L96)</f>
        <v>2528.62</v>
      </c>
      <c r="N96" s="500">
        <f>IF(OR(5&gt;$B$3,ISBLANK(Actuals!G96)),"",Actuals!G96)</f>
        <v>-1307.57</v>
      </c>
      <c r="O96" s="500">
        <f>Budget!G96</f>
        <v>-3000</v>
      </c>
      <c r="P96" s="500">
        <f>IF(N96="","",N96-O96)</f>
        <v>1692.43</v>
      </c>
      <c r="Q96" s="500">
        <f>IF(OR(6&gt;$B$3,ISBLANK(Actuals!H96)),"",Actuals!H96)</f>
        <v>-3067.11</v>
      </c>
      <c r="R96" s="500">
        <f>Budget!H96</f>
        <v>-3000</v>
      </c>
      <c r="S96" s="500">
        <f>IF(Q96="","",Q96-R96)</f>
        <v>-67.1100000000001</v>
      </c>
      <c r="T96" s="500">
        <f>IF(OR(7&gt;$B$3,ISBLANK(Actuals!I96)),"",Actuals!I96)</f>
      </c>
      <c r="U96" s="500">
        <f>Budget!I96</f>
        <v>-3060</v>
      </c>
      <c r="V96" s="500">
        <f>IF(T96="","",T96-U96)</f>
      </c>
      <c r="W96" s="500">
        <f>IF(OR(8&gt;$B$3,ISBLANK(Actuals!J96)),"",Actuals!J96)</f>
      </c>
      <c r="X96" s="500">
        <f>Budget!J96</f>
        <v>-3060</v>
      </c>
      <c r="Y96" s="500">
        <f>IF(W96="","",W96-X96)</f>
      </c>
      <c r="Z96" s="500">
        <f>IF(OR(9&gt;$B$3,ISBLANK(Actuals!K96)),"",Actuals!K96)</f>
      </c>
      <c r="AA96" s="500">
        <f>Budget!K96</f>
        <v>-3060</v>
      </c>
      <c r="AB96" s="500">
        <f>IF(Z96="","",Z96-AA96)</f>
      </c>
      <c r="AC96" s="500">
        <f>IF(OR(10&gt;$B$3,ISBLANK(Actuals!L96)),"",Actuals!L96)</f>
      </c>
      <c r="AD96" s="500">
        <f>Budget!L96</f>
        <v>-3060</v>
      </c>
      <c r="AE96" s="500">
        <f>IF(AC96="","",AC96-AD96)</f>
      </c>
      <c r="AF96" s="500">
        <f>IF(OR(11&gt;$B$3,ISBLANK(Actuals!M96)),"",Actuals!M96)</f>
      </c>
      <c r="AG96" s="500">
        <f>Budget!M96</f>
        <v>-3060</v>
      </c>
      <c r="AH96" s="500">
        <f>IF(AF96="","",AF96-AG96)</f>
      </c>
      <c r="AI96" s="500">
        <f>IF(OR(12&gt;$B$3,ISBLANK(Actuals!N96)),"",Actuals!N96)</f>
      </c>
      <c r="AJ96" s="500">
        <f>Budget!N96</f>
        <v>-3060</v>
      </c>
      <c r="AK96" s="500">
        <f>IF(AI96="","",AI96-AJ96)</f>
      </c>
      <c r="AL96" s="501">
        <f>SUM(Actuals!$C96:INDEX(Actuals!$C96:$N96,$B$3))</f>
        <v>-7535.36</v>
      </c>
      <c r="AM96" s="501">
        <f>SUM(Budget!$C96:INDEX(Budget!$C96:$N96,$B$3))</f>
        <v>-18000</v>
      </c>
      <c r="AN96" s="501">
        <f>AL96-AM96</f>
        <v>10464.64</v>
      </c>
    </row>
    <row r="97" ht="15" customFormat="1" customHeight="1" s="381">
      <c r="A97" s="499" t="inlineStr">
        <is>
          <t>5500-1000 Legal and Professional Fees</t>
        </is>
      </c>
      <c r="B97" s="500">
        <f>IF(OR(1&gt;$B$3,ISBLANK(Actuals!C97)),"",Actuals!C97)</f>
        <v>0</v>
      </c>
      <c r="C97" s="500">
        <f>Budget!C97</f>
        <v>-500</v>
      </c>
      <c r="D97" s="500">
        <f>IF(B97="","",B97-C97)</f>
        <v>500</v>
      </c>
      <c r="E97" s="500">
        <f>IF(OR(2&gt;$B$3,ISBLANK(Actuals!D97)),"",Actuals!D97)</f>
        <v>0</v>
      </c>
      <c r="F97" s="500">
        <f>Budget!D97</f>
        <v>-500</v>
      </c>
      <c r="G97" s="500">
        <f>IF(E97="","",E97-F97)</f>
        <v>500</v>
      </c>
      <c r="H97" s="500">
        <f>IF(OR(3&gt;$B$3,ISBLANK(Actuals!E97)),"",Actuals!E97)</f>
        <v>-38050.5</v>
      </c>
      <c r="I97" s="500">
        <f>Budget!E97</f>
        <v>-500</v>
      </c>
      <c r="J97" s="500">
        <f>IF(H97="","",H97-I97)</f>
        <v>-37550.5</v>
      </c>
      <c r="K97" s="500">
        <f>IF(OR(4&gt;$B$3,ISBLANK(Actuals!F97)),"",Actuals!F97)</f>
        <v>0</v>
      </c>
      <c r="L97" s="500">
        <f>Budget!F97</f>
        <v>-500</v>
      </c>
      <c r="M97" s="500">
        <f>IF(K97="","",K97-L97)</f>
        <v>500</v>
      </c>
      <c r="N97" s="500">
        <f>IF(OR(5&gt;$B$3,ISBLANK(Actuals!G97)),"",Actuals!G97)</f>
        <v>-986.5</v>
      </c>
      <c r="O97" s="500">
        <f>Budget!G97</f>
        <v>-500</v>
      </c>
      <c r="P97" s="500">
        <f>IF(N97="","",N97-O97)</f>
        <v>-486.5</v>
      </c>
      <c r="Q97" s="500">
        <f>IF(OR(6&gt;$B$3,ISBLANK(Actuals!H97)),"",Actuals!H97)</f>
        <v>-4830</v>
      </c>
      <c r="R97" s="500">
        <f>Budget!H97</f>
        <v>-500</v>
      </c>
      <c r="S97" s="500">
        <f>IF(Q97="","",Q97-R97)</f>
        <v>-4330</v>
      </c>
      <c r="T97" s="500">
        <f>IF(OR(7&gt;$B$3,ISBLANK(Actuals!I97)),"",Actuals!I97)</f>
      </c>
      <c r="U97" s="500">
        <f>Budget!I97</f>
        <v>-510</v>
      </c>
      <c r="V97" s="500">
        <f>IF(T97="","",T97-U97)</f>
      </c>
      <c r="W97" s="500">
        <f>IF(OR(8&gt;$B$3,ISBLANK(Actuals!J97)),"",Actuals!J97)</f>
      </c>
      <c r="X97" s="500">
        <f>Budget!J97</f>
        <v>-510</v>
      </c>
      <c r="Y97" s="500">
        <f>IF(W97="","",W97-X97)</f>
      </c>
      <c r="Z97" s="500">
        <f>IF(OR(9&gt;$B$3,ISBLANK(Actuals!K97)),"",Actuals!K97)</f>
      </c>
      <c r="AA97" s="500">
        <f>Budget!K97</f>
        <v>-510</v>
      </c>
      <c r="AB97" s="500">
        <f>IF(Z97="","",Z97-AA97)</f>
      </c>
      <c r="AC97" s="500">
        <f>IF(OR(10&gt;$B$3,ISBLANK(Actuals!L97)),"",Actuals!L97)</f>
      </c>
      <c r="AD97" s="500">
        <f>Budget!L97</f>
        <v>-510</v>
      </c>
      <c r="AE97" s="500">
        <f>IF(AC97="","",AC97-AD97)</f>
      </c>
      <c r="AF97" s="500">
        <f>IF(OR(11&gt;$B$3,ISBLANK(Actuals!M97)),"",Actuals!M97)</f>
      </c>
      <c r="AG97" s="500">
        <f>Budget!M97</f>
        <v>-510</v>
      </c>
      <c r="AH97" s="500">
        <f>IF(AF97="","",AF97-AG97)</f>
      </c>
      <c r="AI97" s="500">
        <f>IF(OR(12&gt;$B$3,ISBLANK(Actuals!N97)),"",Actuals!N97)</f>
      </c>
      <c r="AJ97" s="500">
        <f>Budget!N97</f>
        <v>-510</v>
      </c>
      <c r="AK97" s="500">
        <f>IF(AI97="","",AI97-AJ97)</f>
      </c>
      <c r="AL97" s="501">
        <f>SUM(Actuals!$C97:INDEX(Actuals!$C97:$N97,$B$3))</f>
        <v>-43867</v>
      </c>
      <c r="AM97" s="501">
        <f>SUM(Budget!$C97:INDEX(Budget!$C97:$N97,$B$3))</f>
        <v>-3000</v>
      </c>
      <c r="AN97" s="501">
        <f>AL97-AM97</f>
        <v>-40867</v>
      </c>
    </row>
    <row r="98" ht="15" customFormat="1" customHeight="1" s="381">
      <c r="A98" s="499" t="inlineStr">
        <is>
          <t>5500-1002 Accounting Consulting and Overhead</t>
        </is>
      </c>
      <c r="B98" s="500">
        <f>IF(OR(1&gt;$B$3,ISBLANK(Actuals!C98)),"",Actuals!C98)</f>
        <v>-4097.78</v>
      </c>
      <c r="C98" s="500">
        <f>Budget!C98</f>
        <v>-5500</v>
      </c>
      <c r="D98" s="500">
        <f>IF(B98="","",B98-C98)</f>
        <v>1402.22</v>
      </c>
      <c r="E98" s="500">
        <f>IF(OR(2&gt;$B$3,ISBLANK(Actuals!D98)),"",Actuals!D98)</f>
        <v>-1950.2</v>
      </c>
      <c r="F98" s="500">
        <f>Budget!D98</f>
        <v>-5500</v>
      </c>
      <c r="G98" s="500">
        <f>IF(E98="","",E98-F98)</f>
        <v>3549.8</v>
      </c>
      <c r="H98" s="500">
        <f>IF(OR(3&gt;$B$3,ISBLANK(Actuals!E98)),"",Actuals!E98)</f>
        <v>-1978.2</v>
      </c>
      <c r="I98" s="500">
        <f>Budget!E98</f>
        <v>-5500</v>
      </c>
      <c r="J98" s="500">
        <f>IF(H98="","",H98-I98)</f>
        <v>3521.8</v>
      </c>
      <c r="K98" s="500">
        <f>IF(OR(4&gt;$B$3,ISBLANK(Actuals!F98)),"",Actuals!F98)</f>
        <v>-1970.2</v>
      </c>
      <c r="L98" s="500">
        <f>Budget!F98</f>
        <v>-5500</v>
      </c>
      <c r="M98" s="500">
        <f>IF(K98="","",K98-L98)</f>
        <v>3529.8</v>
      </c>
      <c r="N98" s="500">
        <f>IF(OR(5&gt;$B$3,ISBLANK(Actuals!G98)),"",Actuals!G98)</f>
        <v>-6126.2</v>
      </c>
      <c r="O98" s="500">
        <f>Budget!G98</f>
        <v>-5500</v>
      </c>
      <c r="P98" s="500">
        <f>IF(N98="","",N98-O98)</f>
        <v>-626.2</v>
      </c>
      <c r="Q98" s="500">
        <f>IF(OR(6&gt;$B$3,ISBLANK(Actuals!H98)),"",Actuals!H98)</f>
        <v>-1993.2</v>
      </c>
      <c r="R98" s="500">
        <f>Budget!H98</f>
        <v>-5500</v>
      </c>
      <c r="S98" s="500">
        <f>IF(Q98="","",Q98-R98)</f>
        <v>3506.8</v>
      </c>
      <c r="T98" s="500">
        <f>IF(OR(7&gt;$B$3,ISBLANK(Actuals!I98)),"",Actuals!I98)</f>
      </c>
      <c r="U98" s="500">
        <f>Budget!I98</f>
        <v>-5610</v>
      </c>
      <c r="V98" s="500">
        <f>IF(T98="","",T98-U98)</f>
      </c>
      <c r="W98" s="500">
        <f>IF(OR(8&gt;$B$3,ISBLANK(Actuals!J98)),"",Actuals!J98)</f>
      </c>
      <c r="X98" s="500">
        <f>Budget!J98</f>
        <v>-5610</v>
      </c>
      <c r="Y98" s="500">
        <f>IF(W98="","",W98-X98)</f>
      </c>
      <c r="Z98" s="500">
        <f>IF(OR(9&gt;$B$3,ISBLANK(Actuals!K98)),"",Actuals!K98)</f>
      </c>
      <c r="AA98" s="500">
        <f>Budget!K98</f>
        <v>-5610</v>
      </c>
      <c r="AB98" s="500">
        <f>IF(Z98="","",Z98-AA98)</f>
      </c>
      <c r="AC98" s="500">
        <f>IF(OR(10&gt;$B$3,ISBLANK(Actuals!L98)),"",Actuals!L98)</f>
      </c>
      <c r="AD98" s="500">
        <f>Budget!L98</f>
        <v>-5610</v>
      </c>
      <c r="AE98" s="500">
        <f>IF(AC98="","",AC98-AD98)</f>
      </c>
      <c r="AF98" s="500">
        <f>IF(OR(11&gt;$B$3,ISBLANK(Actuals!M98)),"",Actuals!M98)</f>
      </c>
      <c r="AG98" s="500">
        <f>Budget!M98</f>
        <v>-5610</v>
      </c>
      <c r="AH98" s="500">
        <f>IF(AF98="","",AF98-AG98)</f>
      </c>
      <c r="AI98" s="500">
        <f>IF(OR(12&gt;$B$3,ISBLANK(Actuals!N98)),"",Actuals!N98)</f>
      </c>
      <c r="AJ98" s="500">
        <f>Budget!N98</f>
        <v>-5610</v>
      </c>
      <c r="AK98" s="500">
        <f>IF(AI98="","",AI98-AJ98)</f>
      </c>
      <c r="AL98" s="501">
        <f>SUM(Actuals!$C98:INDEX(Actuals!$C98:$N98,$B$3))</f>
        <v>-18115.78</v>
      </c>
      <c r="AM98" s="501">
        <f>SUM(Budget!$C98:INDEX(Budget!$C98:$N98,$B$3))</f>
        <v>-33000</v>
      </c>
      <c r="AN98" s="501">
        <f>AL98-AM98</f>
        <v>14884.22</v>
      </c>
    </row>
    <row r="99" ht="15" customFormat="1" customHeight="1" s="381">
      <c r="A99" s="499" t="inlineStr">
        <is>
          <t>5500-1004 Consultants and Other Professional Expenses</t>
        </is>
      </c>
      <c r="B99" s="500">
        <f>IF(OR(1&gt;$B$3,ISBLANK(Actuals!C99)),"",Actuals!C99)</f>
        <v>-28038</v>
      </c>
      <c r="C99" s="500">
        <f>Budget!C99</f>
        <v>-2083.33</v>
      </c>
      <c r="D99" s="500">
        <f>IF(B99="","",B99-C99)</f>
        <v>-25954.67</v>
      </c>
      <c r="E99" s="500">
        <f>IF(OR(2&gt;$B$3,ISBLANK(Actuals!D99)),"",Actuals!D99)</f>
        <v>-29387.5</v>
      </c>
      <c r="F99" s="500">
        <f>Budget!D99</f>
        <v>-2083.33</v>
      </c>
      <c r="G99" s="500">
        <f>IF(E99="","",E99-F99)</f>
        <v>-27304.17</v>
      </c>
      <c r="H99" s="500">
        <f>IF(OR(3&gt;$B$3,ISBLANK(Actuals!E99)),"",Actuals!E99)</f>
        <v>-28083</v>
      </c>
      <c r="I99" s="500">
        <f>Budget!E99</f>
        <v>-2083.33</v>
      </c>
      <c r="J99" s="500">
        <f>IF(H99="","",H99-I99)</f>
        <v>-25999.67</v>
      </c>
      <c r="K99" s="500">
        <f>IF(OR(4&gt;$B$3,ISBLANK(Actuals!F99)),"",Actuals!F99)</f>
        <v>-28083</v>
      </c>
      <c r="L99" s="500">
        <f>Budget!F99</f>
        <v>-2083.33</v>
      </c>
      <c r="M99" s="500">
        <f>IF(K99="","",K99-L99)</f>
        <v>-25999.67</v>
      </c>
      <c r="N99" s="500">
        <f>IF(OR(5&gt;$B$3,ISBLANK(Actuals!G99)),"",Actuals!G99)</f>
        <v>-69333</v>
      </c>
      <c r="O99" s="500">
        <f>Budget!G99</f>
        <v>-2083.33</v>
      </c>
      <c r="P99" s="500">
        <f>IF(N99="","",N99-O99)</f>
        <v>-67249.67</v>
      </c>
      <c r="Q99" s="500">
        <f>IF(OR(6&gt;$B$3,ISBLANK(Actuals!H99)),"",Actuals!H99)</f>
        <v>-28083</v>
      </c>
      <c r="R99" s="500">
        <f>Budget!H99</f>
        <v>-2083.33</v>
      </c>
      <c r="S99" s="500">
        <f>IF(Q99="","",Q99-R99)</f>
        <v>-25999.67</v>
      </c>
      <c r="T99" s="500">
        <f>IF(OR(7&gt;$B$3,ISBLANK(Actuals!I99)),"",Actuals!I99)</f>
      </c>
      <c r="U99" s="500">
        <f>Budget!I99</f>
        <v>-2125</v>
      </c>
      <c r="V99" s="500">
        <f>IF(T99="","",T99-U99)</f>
      </c>
      <c r="W99" s="500">
        <f>IF(OR(8&gt;$B$3,ISBLANK(Actuals!J99)),"",Actuals!J99)</f>
      </c>
      <c r="X99" s="500">
        <f>Budget!J99</f>
        <v>-2125</v>
      </c>
      <c r="Y99" s="500">
        <f>IF(W99="","",W99-X99)</f>
      </c>
      <c r="Z99" s="500">
        <f>IF(OR(9&gt;$B$3,ISBLANK(Actuals!K99)),"",Actuals!K99)</f>
      </c>
      <c r="AA99" s="500">
        <f>Budget!K99</f>
        <v>-2125</v>
      </c>
      <c r="AB99" s="500">
        <f>IF(Z99="","",Z99-AA99)</f>
      </c>
      <c r="AC99" s="500">
        <f>IF(OR(10&gt;$B$3,ISBLANK(Actuals!L99)),"",Actuals!L99)</f>
      </c>
      <c r="AD99" s="500">
        <f>Budget!L99</f>
        <v>-2125</v>
      </c>
      <c r="AE99" s="500">
        <f>IF(AC99="","",AC99-AD99)</f>
      </c>
      <c r="AF99" s="500">
        <f>IF(OR(11&gt;$B$3,ISBLANK(Actuals!M99)),"",Actuals!M99)</f>
      </c>
      <c r="AG99" s="500">
        <f>Budget!M99</f>
        <v>-2125</v>
      </c>
      <c r="AH99" s="500">
        <f>IF(AF99="","",AF99-AG99)</f>
      </c>
      <c r="AI99" s="500">
        <f>IF(OR(12&gt;$B$3,ISBLANK(Actuals!N99)),"",Actuals!N99)</f>
      </c>
      <c r="AJ99" s="500">
        <f>Budget!N99</f>
        <v>-2125</v>
      </c>
      <c r="AK99" s="500">
        <f>IF(AI99="","",AI99-AJ99)</f>
      </c>
      <c r="AL99" s="501">
        <f>SUM(Actuals!$C99:INDEX(Actuals!$C99:$N99,$B$3))</f>
        <v>-211007.5</v>
      </c>
      <c r="AM99" s="501">
        <f>SUM(Budget!$C99:INDEX(Budget!$C99:$N99,$B$3))</f>
        <v>-12499.98</v>
      </c>
      <c r="AN99" s="501">
        <f>AL99-AM99</f>
        <v>-198507.52</v>
      </c>
    </row>
    <row r="100" ht="15" customFormat="1" customHeight="1" s="381">
      <c r="A100" s="499" t="inlineStr">
        <is>
          <t>5500-1007 Dues and Subscriptions</t>
        </is>
      </c>
      <c r="B100" s="500">
        <f>IF(OR(1&gt;$B$3,ISBLANK(Actuals!C100)),"",Actuals!C100)</f>
        <v>-268</v>
      </c>
      <c r="C100" s="500">
        <f>Budget!C100</f>
        <v>-500</v>
      </c>
      <c r="D100" s="500">
        <f>IF(B100="","",B100-C100)</f>
        <v>232</v>
      </c>
      <c r="E100" s="500">
        <f>IF(OR(2&gt;$B$3,ISBLANK(Actuals!D100)),"",Actuals!D100)</f>
        <v>-2088.75</v>
      </c>
      <c r="F100" s="500">
        <f>Budget!D100</f>
        <v>-500</v>
      </c>
      <c r="G100" s="500">
        <f>IF(E100="","",E100-F100)</f>
        <v>-1588.75</v>
      </c>
      <c r="H100" s="500">
        <f>IF(OR(3&gt;$B$3,ISBLANK(Actuals!E100)),"",Actuals!E100)</f>
        <v>-2401.75</v>
      </c>
      <c r="I100" s="500">
        <f>Budget!E100</f>
        <v>-500</v>
      </c>
      <c r="J100" s="500">
        <f>IF(H100="","",H100-I100)</f>
        <v>-1901.75</v>
      </c>
      <c r="K100" s="500">
        <f>IF(OR(4&gt;$B$3,ISBLANK(Actuals!F100)),"",Actuals!F100)</f>
        <v>-4209.5</v>
      </c>
      <c r="L100" s="500">
        <f>Budget!F100</f>
        <v>-500</v>
      </c>
      <c r="M100" s="500">
        <f>IF(K100="","",K100-L100)</f>
        <v>-3709.5</v>
      </c>
      <c r="N100" s="500">
        <f>IF(OR(5&gt;$B$3,ISBLANK(Actuals!G100)),"",Actuals!G100)</f>
        <v>-2377.59</v>
      </c>
      <c r="O100" s="500">
        <f>Budget!G100</f>
        <v>-500</v>
      </c>
      <c r="P100" s="500">
        <f>IF(N100="","",N100-O100)</f>
        <v>-1877.59</v>
      </c>
      <c r="Q100" s="500">
        <f>IF(OR(6&gt;$B$3,ISBLANK(Actuals!H100)),"",Actuals!H100)</f>
        <v>-16</v>
      </c>
      <c r="R100" s="500">
        <f>Budget!H100</f>
        <v>-500</v>
      </c>
      <c r="S100" s="500">
        <f>IF(Q100="","",Q100-R100)</f>
        <v>484</v>
      </c>
      <c r="T100" s="500">
        <f>IF(OR(7&gt;$B$3,ISBLANK(Actuals!I100)),"",Actuals!I100)</f>
      </c>
      <c r="U100" s="500">
        <f>Budget!I100</f>
        <v>-510</v>
      </c>
      <c r="V100" s="500">
        <f>IF(T100="","",T100-U100)</f>
      </c>
      <c r="W100" s="500">
        <f>IF(OR(8&gt;$B$3,ISBLANK(Actuals!J100)),"",Actuals!J100)</f>
      </c>
      <c r="X100" s="500">
        <f>Budget!J100</f>
        <v>-510</v>
      </c>
      <c r="Y100" s="500">
        <f>IF(W100="","",W100-X100)</f>
      </c>
      <c r="Z100" s="500">
        <f>IF(OR(9&gt;$B$3,ISBLANK(Actuals!K100)),"",Actuals!K100)</f>
      </c>
      <c r="AA100" s="500">
        <f>Budget!K100</f>
        <v>-510</v>
      </c>
      <c r="AB100" s="500">
        <f>IF(Z100="","",Z100-AA100)</f>
      </c>
      <c r="AC100" s="500">
        <f>IF(OR(10&gt;$B$3,ISBLANK(Actuals!L100)),"",Actuals!L100)</f>
      </c>
      <c r="AD100" s="500">
        <f>Budget!L100</f>
        <v>-510</v>
      </c>
      <c r="AE100" s="500">
        <f>IF(AC100="","",AC100-AD100)</f>
      </c>
      <c r="AF100" s="500">
        <f>IF(OR(11&gt;$B$3,ISBLANK(Actuals!M100)),"",Actuals!M100)</f>
      </c>
      <c r="AG100" s="500">
        <f>Budget!M100</f>
        <v>-510</v>
      </c>
      <c r="AH100" s="500">
        <f>IF(AF100="","",AF100-AG100)</f>
      </c>
      <c r="AI100" s="500">
        <f>IF(OR(12&gt;$B$3,ISBLANK(Actuals!N100)),"",Actuals!N100)</f>
      </c>
      <c r="AJ100" s="500">
        <f>Budget!N100</f>
        <v>-510</v>
      </c>
      <c r="AK100" s="500">
        <f>IF(AI100="","",AI100-AJ100)</f>
      </c>
      <c r="AL100" s="501">
        <f>SUM(Actuals!$C100:INDEX(Actuals!$C100:$N100,$B$3))</f>
        <v>-11361.59</v>
      </c>
      <c r="AM100" s="501">
        <f>SUM(Budget!$C100:INDEX(Budget!$C100:$N100,$B$3))</f>
        <v>-3000</v>
      </c>
      <c r="AN100" s="501">
        <f>AL100-AM100</f>
        <v>-8361.59</v>
      </c>
    </row>
    <row r="101" ht="15" customFormat="1" customHeight="1" s="381">
      <c r="A101" s="499" t="inlineStr">
        <is>
          <t>5500-1009 Entity Filing and Formation Fees</t>
        </is>
      </c>
      <c r="B101" s="500">
        <f>IF(OR(1&gt;$B$3,ISBLANK(Actuals!C101)),"",Actuals!C101)</f>
        <v>-341.83</v>
      </c>
      <c r="C101" s="500">
        <f>Budget!C101</f>
        <v>-2000</v>
      </c>
      <c r="D101" s="500">
        <f>IF(B101="","",B101-C101)</f>
        <v>1658.17</v>
      </c>
      <c r="E101" s="500">
        <f>IF(OR(2&gt;$B$3,ISBLANK(Actuals!D101)),"",Actuals!D101)</f>
        <v>-728</v>
      </c>
      <c r="F101" s="500">
        <f>Budget!D101</f>
        <v>-2000</v>
      </c>
      <c r="G101" s="500">
        <f>IF(E101="","",E101-F101)</f>
        <v>1272</v>
      </c>
      <c r="H101" s="500">
        <f>IF(OR(3&gt;$B$3,ISBLANK(Actuals!E101)),"",Actuals!E101)</f>
        <v>-15256.75</v>
      </c>
      <c r="I101" s="500">
        <f>Budget!E101</f>
        <v>-2000</v>
      </c>
      <c r="J101" s="500">
        <f>IF(H101="","",H101-I101)</f>
        <v>-13256.75</v>
      </c>
      <c r="K101" s="500">
        <f>IF(OR(4&gt;$B$3,ISBLANK(Actuals!F101)),"",Actuals!F101)</f>
        <v>-1033.41</v>
      </c>
      <c r="L101" s="500">
        <f>Budget!F101</f>
        <v>-2000</v>
      </c>
      <c r="M101" s="500">
        <f>IF(K101="","",K101-L101)</f>
        <v>966.59</v>
      </c>
      <c r="N101" s="500">
        <f>IF(OR(5&gt;$B$3,ISBLANK(Actuals!G101)),"",Actuals!G101)</f>
        <v>-3499</v>
      </c>
      <c r="O101" s="500">
        <f>Budget!G101</f>
        <v>-2000</v>
      </c>
      <c r="P101" s="500">
        <f>IF(N101="","",N101-O101)</f>
        <v>-1499</v>
      </c>
      <c r="Q101" s="500">
        <f>IF(OR(6&gt;$B$3,ISBLANK(Actuals!H101)),"",Actuals!H101)</f>
        <v>-1033.41</v>
      </c>
      <c r="R101" s="500">
        <f>Budget!H101</f>
        <v>-2000</v>
      </c>
      <c r="S101" s="500">
        <f>IF(Q101="","",Q101-R101)</f>
        <v>966.59</v>
      </c>
      <c r="T101" s="500">
        <f>IF(OR(7&gt;$B$3,ISBLANK(Actuals!I101)),"",Actuals!I101)</f>
      </c>
      <c r="U101" s="500">
        <f>Budget!I101</f>
        <v>-2040</v>
      </c>
      <c r="V101" s="500">
        <f>IF(T101="","",T101-U101)</f>
      </c>
      <c r="W101" s="500">
        <f>IF(OR(8&gt;$B$3,ISBLANK(Actuals!J101)),"",Actuals!J101)</f>
      </c>
      <c r="X101" s="500">
        <f>Budget!J101</f>
        <v>-2040</v>
      </c>
      <c r="Y101" s="500">
        <f>IF(W101="","",W101-X101)</f>
      </c>
      <c r="Z101" s="500">
        <f>IF(OR(9&gt;$B$3,ISBLANK(Actuals!K101)),"",Actuals!K101)</f>
      </c>
      <c r="AA101" s="500">
        <f>Budget!K101</f>
        <v>-2040</v>
      </c>
      <c r="AB101" s="500">
        <f>IF(Z101="","",Z101-AA101)</f>
      </c>
      <c r="AC101" s="500">
        <f>IF(OR(10&gt;$B$3,ISBLANK(Actuals!L101)),"",Actuals!L101)</f>
      </c>
      <c r="AD101" s="500">
        <f>Budget!L101</f>
        <v>-2040</v>
      </c>
      <c r="AE101" s="500">
        <f>IF(AC101="","",AC101-AD101)</f>
      </c>
      <c r="AF101" s="500">
        <f>IF(OR(11&gt;$B$3,ISBLANK(Actuals!M101)),"",Actuals!M101)</f>
      </c>
      <c r="AG101" s="500">
        <f>Budget!M101</f>
        <v>-2040</v>
      </c>
      <c r="AH101" s="500">
        <f>IF(AF101="","",AF101-AG101)</f>
      </c>
      <c r="AI101" s="500">
        <f>IF(OR(12&gt;$B$3,ISBLANK(Actuals!N101)),"",Actuals!N101)</f>
      </c>
      <c r="AJ101" s="500">
        <f>Budget!N101</f>
        <v>-2040</v>
      </c>
      <c r="AK101" s="500">
        <f>IF(AI101="","",AI101-AJ101)</f>
      </c>
      <c r="AL101" s="501">
        <f>SUM(Actuals!$C101:INDEX(Actuals!$C101:$N101,$B$3))</f>
        <v>-21892.4</v>
      </c>
      <c r="AM101" s="501">
        <f>SUM(Budget!$C101:INDEX(Budget!$C101:$N101,$B$3))</f>
        <v>-12000</v>
      </c>
      <c r="AN101" s="501">
        <f>AL101-AM101</f>
        <v>-9892.4</v>
      </c>
    </row>
    <row r="102" ht="15" customFormat="1" customHeight="1" s="381">
      <c r="A102" s="499" t="inlineStr">
        <is>
          <t>5500-1010 Investment Management Software</t>
        </is>
      </c>
      <c r="B102" s="500">
        <f>IF(OR(1&gt;$B$3,ISBLANK(Actuals!C102)),"",Actuals!C102)</f>
        <v>-1905.31</v>
      </c>
      <c r="C102" s="500">
        <f>Budget!C102</f>
        <v>-1541.67</v>
      </c>
      <c r="D102" s="500">
        <f>IF(B102="","",B102-C102)</f>
        <v>-363.64</v>
      </c>
      <c r="E102" s="500">
        <f>IF(OR(2&gt;$B$3,ISBLANK(Actuals!D102)),"",Actuals!D102)</f>
        <v>-1905.31</v>
      </c>
      <c r="F102" s="500">
        <f>Budget!D102</f>
        <v>-1541.67</v>
      </c>
      <c r="G102" s="500">
        <f>IF(E102="","",E102-F102)</f>
        <v>-363.64</v>
      </c>
      <c r="H102" s="500">
        <f>IF(OR(3&gt;$B$3,ISBLANK(Actuals!E102)),"",Actuals!E102)</f>
        <v>-1905.31</v>
      </c>
      <c r="I102" s="500">
        <f>Budget!E102</f>
        <v>-1541.67</v>
      </c>
      <c r="J102" s="500">
        <f>IF(H102="","",H102-I102)</f>
        <v>-363.64</v>
      </c>
      <c r="K102" s="500">
        <f>IF(OR(4&gt;$B$3,ISBLANK(Actuals!F102)),"",Actuals!F102)</f>
        <v>-1905.31</v>
      </c>
      <c r="L102" s="500">
        <f>Budget!F102</f>
        <v>-1541.67</v>
      </c>
      <c r="M102" s="500">
        <f>IF(K102="","",K102-L102)</f>
        <v>-363.64</v>
      </c>
      <c r="N102" s="500">
        <f>IF(OR(5&gt;$B$3,ISBLANK(Actuals!G102)),"",Actuals!G102)</f>
        <v>-1905.31</v>
      </c>
      <c r="O102" s="500">
        <f>Budget!G102</f>
        <v>-1541.67</v>
      </c>
      <c r="P102" s="500">
        <f>IF(N102="","",N102-O102)</f>
        <v>-363.64</v>
      </c>
      <c r="Q102" s="500">
        <f>IF(OR(6&gt;$B$3,ISBLANK(Actuals!H102)),"",Actuals!H102)</f>
        <v>-1905.31</v>
      </c>
      <c r="R102" s="500">
        <f>Budget!H102</f>
        <v>-1541.67</v>
      </c>
      <c r="S102" s="500">
        <f>IF(Q102="","",Q102-R102)</f>
        <v>-363.64</v>
      </c>
      <c r="T102" s="500">
        <f>IF(OR(7&gt;$B$3,ISBLANK(Actuals!I102)),"",Actuals!I102)</f>
      </c>
      <c r="U102" s="500">
        <f>Budget!I102</f>
        <v>-1572.5</v>
      </c>
      <c r="V102" s="500">
        <f>IF(T102="","",T102-U102)</f>
      </c>
      <c r="W102" s="500">
        <f>IF(OR(8&gt;$B$3,ISBLANK(Actuals!J102)),"",Actuals!J102)</f>
      </c>
      <c r="X102" s="500">
        <f>Budget!J102</f>
        <v>-1572.5</v>
      </c>
      <c r="Y102" s="500">
        <f>IF(W102="","",W102-X102)</f>
      </c>
      <c r="Z102" s="500">
        <f>IF(OR(9&gt;$B$3,ISBLANK(Actuals!K102)),"",Actuals!K102)</f>
      </c>
      <c r="AA102" s="500">
        <f>Budget!K102</f>
        <v>-1572.5</v>
      </c>
      <c r="AB102" s="500">
        <f>IF(Z102="","",Z102-AA102)</f>
      </c>
      <c r="AC102" s="500">
        <f>IF(OR(10&gt;$B$3,ISBLANK(Actuals!L102)),"",Actuals!L102)</f>
      </c>
      <c r="AD102" s="500">
        <f>Budget!L102</f>
        <v>-1572.5</v>
      </c>
      <c r="AE102" s="500">
        <f>IF(AC102="","",AC102-AD102)</f>
      </c>
      <c r="AF102" s="500">
        <f>IF(OR(11&gt;$B$3,ISBLANK(Actuals!M102)),"",Actuals!M102)</f>
      </c>
      <c r="AG102" s="500">
        <f>Budget!M102</f>
        <v>-1572.5</v>
      </c>
      <c r="AH102" s="500">
        <f>IF(AF102="","",AF102-AG102)</f>
      </c>
      <c r="AI102" s="500">
        <f>IF(OR(12&gt;$B$3,ISBLANK(Actuals!N102)),"",Actuals!N102)</f>
      </c>
      <c r="AJ102" s="500">
        <f>Budget!N102</f>
        <v>-1572.5</v>
      </c>
      <c r="AK102" s="500">
        <f>IF(AI102="","",AI102-AJ102)</f>
      </c>
      <c r="AL102" s="501">
        <f>SUM(Actuals!$C102:INDEX(Actuals!$C102:$N102,$B$3))</f>
        <v>-11431.86</v>
      </c>
      <c r="AM102" s="501">
        <f>SUM(Budget!$C102:INDEX(Budget!$C102:$N102,$B$3))</f>
        <v>-9250.02</v>
      </c>
      <c r="AN102" s="501">
        <f>AL102-AM102</f>
        <v>-2181.84</v>
      </c>
    </row>
    <row r="103" ht="15" customFormat="1" customHeight="1" s="381">
      <c r="A103" s="499" t="inlineStr">
        <is>
          <t>5500-1053 E&amp;O/D&amp;O Insurance</t>
        </is>
      </c>
      <c r="B103" s="500">
        <f>IF(OR(1&gt;$B$3,ISBLANK(Actuals!C103)),"",Actuals!C103)</f>
        <v>-2100</v>
      </c>
      <c r="C103" s="500">
        <f>Budget!C103</f>
        <v>-2100</v>
      </c>
      <c r="D103" s="500">
        <f>IF(B103="","",B103-C103)</f>
        <v>0</v>
      </c>
      <c r="E103" s="500">
        <f>IF(OR(2&gt;$B$3,ISBLANK(Actuals!D103)),"",Actuals!D103)</f>
        <v>-2100</v>
      </c>
      <c r="F103" s="500">
        <f>Budget!D103</f>
        <v>-2100</v>
      </c>
      <c r="G103" s="500">
        <f>IF(E103="","",E103-F103)</f>
        <v>0</v>
      </c>
      <c r="H103" s="500">
        <f>IF(OR(3&gt;$B$3,ISBLANK(Actuals!E103)),"",Actuals!E103)</f>
        <v>-2100</v>
      </c>
      <c r="I103" s="500">
        <f>Budget!E103</f>
        <v>-2100</v>
      </c>
      <c r="J103" s="500">
        <f>IF(H103="","",H103-I103)</f>
        <v>0</v>
      </c>
      <c r="K103" s="500">
        <f>IF(OR(4&gt;$B$3,ISBLANK(Actuals!F103)),"",Actuals!F103)</f>
        <v>-2100</v>
      </c>
      <c r="L103" s="500">
        <f>Budget!F103</f>
        <v>-2100</v>
      </c>
      <c r="M103" s="500">
        <f>IF(K103="","",K103-L103)</f>
        <v>0</v>
      </c>
      <c r="N103" s="500">
        <f>IF(OR(5&gt;$B$3,ISBLANK(Actuals!G103)),"",Actuals!G103)</f>
        <v>-2100</v>
      </c>
      <c r="O103" s="500">
        <f>Budget!G103</f>
        <v>-2100</v>
      </c>
      <c r="P103" s="500">
        <f>IF(N103="","",N103-O103)</f>
        <v>0</v>
      </c>
      <c r="Q103" s="500">
        <f>IF(OR(6&gt;$B$3,ISBLANK(Actuals!H103)),"",Actuals!H103)</f>
        <v>-2100</v>
      </c>
      <c r="R103" s="500">
        <f>Budget!H103</f>
        <v>-2100</v>
      </c>
      <c r="S103" s="500">
        <f>IF(Q103="","",Q103-R103)</f>
        <v>0</v>
      </c>
      <c r="T103" s="500">
        <f>IF(OR(7&gt;$B$3,ISBLANK(Actuals!I103)),"",Actuals!I103)</f>
      </c>
      <c r="U103" s="500">
        <f>Budget!I103</f>
        <v>-2142</v>
      </c>
      <c r="V103" s="500">
        <f>IF(T103="","",T103-U103)</f>
      </c>
      <c r="W103" s="500">
        <f>IF(OR(8&gt;$B$3,ISBLANK(Actuals!J103)),"",Actuals!J103)</f>
      </c>
      <c r="X103" s="500">
        <f>Budget!J103</f>
        <v>-2142</v>
      </c>
      <c r="Y103" s="500">
        <f>IF(W103="","",W103-X103)</f>
      </c>
      <c r="Z103" s="500">
        <f>IF(OR(9&gt;$B$3,ISBLANK(Actuals!K103)),"",Actuals!K103)</f>
      </c>
      <c r="AA103" s="500">
        <f>Budget!K103</f>
        <v>-2142</v>
      </c>
      <c r="AB103" s="500">
        <f>IF(Z103="","",Z103-AA103)</f>
      </c>
      <c r="AC103" s="500">
        <f>IF(OR(10&gt;$B$3,ISBLANK(Actuals!L103)),"",Actuals!L103)</f>
      </c>
      <c r="AD103" s="500">
        <f>Budget!L103</f>
        <v>-2142</v>
      </c>
      <c r="AE103" s="500">
        <f>IF(AC103="","",AC103-AD103)</f>
      </c>
      <c r="AF103" s="500">
        <f>IF(OR(11&gt;$B$3,ISBLANK(Actuals!M103)),"",Actuals!M103)</f>
      </c>
      <c r="AG103" s="500">
        <f>Budget!M103</f>
        <v>-2142</v>
      </c>
      <c r="AH103" s="500">
        <f>IF(AF103="","",AF103-AG103)</f>
      </c>
      <c r="AI103" s="500">
        <f>IF(OR(12&gt;$B$3,ISBLANK(Actuals!N103)),"",Actuals!N103)</f>
      </c>
      <c r="AJ103" s="500">
        <f>Budget!N103</f>
        <v>-2142</v>
      </c>
      <c r="AK103" s="500">
        <f>IF(AI103="","",AI103-AJ103)</f>
      </c>
      <c r="AL103" s="501">
        <f>SUM(Actuals!$C103:INDEX(Actuals!$C103:$N103,$B$3))</f>
        <v>-12600</v>
      </c>
      <c r="AM103" s="501">
        <f>SUM(Budget!$C103:INDEX(Budget!$C103:$N103,$B$3))</f>
        <v>-12600</v>
      </c>
      <c r="AN103" s="501">
        <f>AL103-AM103</f>
        <v>0</v>
      </c>
    </row>
    <row r="104" ht="15" customFormat="1" customHeight="1" s="381">
      <c r="A104" s="499" t="inlineStr">
        <is>
          <t>5800-1003 Consulting Fee</t>
        </is>
      </c>
      <c r="B104" s="500">
        <f>IF(OR(1&gt;$B$3,ISBLANK(Actuals!C104)),"",Actuals!C104)</f>
        <v>-66666.66</v>
      </c>
      <c r="C104" s="500">
        <f>Budget!C104</f>
        <v>0</v>
      </c>
      <c r="D104" s="500">
        <f>IF(B104="","",B104-C104)</f>
        <v>-66666.66</v>
      </c>
      <c r="E104" s="500">
        <f>IF(OR(2&gt;$B$3,ISBLANK(Actuals!D104)),"",Actuals!D104)</f>
        <v>-66666.66</v>
      </c>
      <c r="F104" s="500">
        <f>Budget!D104</f>
        <v>0</v>
      </c>
      <c r="G104" s="500">
        <f>IF(E104="","",E104-F104)</f>
        <v>-66666.66</v>
      </c>
      <c r="H104" s="500">
        <f>IF(OR(3&gt;$B$3,ISBLANK(Actuals!E104)),"",Actuals!E104)</f>
        <v>-66666.66</v>
      </c>
      <c r="I104" s="500">
        <f>Budget!E104</f>
        <v>0</v>
      </c>
      <c r="J104" s="500">
        <f>IF(H104="","",H104-I104)</f>
        <v>-66666.66</v>
      </c>
      <c r="K104" s="500">
        <f>IF(OR(4&gt;$B$3,ISBLANK(Actuals!F104)),"",Actuals!F104)</f>
        <v>-66666.66</v>
      </c>
      <c r="L104" s="500">
        <f>Budget!F104</f>
        <v>0</v>
      </c>
      <c r="M104" s="500">
        <f>IF(K104="","",K104-L104)</f>
        <v>-66666.66</v>
      </c>
      <c r="N104" s="500">
        <f>IF(OR(5&gt;$B$3,ISBLANK(Actuals!G104)),"",Actuals!G104)</f>
        <v>-66666.66</v>
      </c>
      <c r="O104" s="500">
        <f>Budget!G104</f>
        <v>0</v>
      </c>
      <c r="P104" s="500">
        <f>IF(N104="","",N104-O104)</f>
        <v>-66666.66</v>
      </c>
      <c r="Q104" s="500">
        <f>IF(OR(6&gt;$B$3,ISBLANK(Actuals!H104)),"",Actuals!H104)</f>
        <v>-66666.66</v>
      </c>
      <c r="R104" s="500">
        <f>Budget!H104</f>
        <v>0</v>
      </c>
      <c r="S104" s="500">
        <f>IF(Q104="","",Q104-R104)</f>
        <v>-66666.66</v>
      </c>
      <c r="T104" s="500">
        <f>IF(OR(7&gt;$B$3,ISBLANK(Actuals!I104)),"",Actuals!I104)</f>
      </c>
      <c r="U104" s="500">
        <f>Budget!I104</f>
        <v>0</v>
      </c>
      <c r="V104" s="500">
        <f>IF(T104="","",T104-U104)</f>
      </c>
      <c r="W104" s="500">
        <f>IF(OR(8&gt;$B$3,ISBLANK(Actuals!J104)),"",Actuals!J104)</f>
      </c>
      <c r="X104" s="500">
        <f>Budget!J104</f>
        <v>0</v>
      </c>
      <c r="Y104" s="500">
        <f>IF(W104="","",W104-X104)</f>
      </c>
      <c r="Z104" s="500">
        <f>IF(OR(9&gt;$B$3,ISBLANK(Actuals!K104)),"",Actuals!K104)</f>
      </c>
      <c r="AA104" s="500">
        <f>Budget!K104</f>
        <v>0</v>
      </c>
      <c r="AB104" s="500">
        <f>IF(Z104="","",Z104-AA104)</f>
      </c>
      <c r="AC104" s="500">
        <f>IF(OR(10&gt;$B$3,ISBLANK(Actuals!L104)),"",Actuals!L104)</f>
      </c>
      <c r="AD104" s="500">
        <f>Budget!L104</f>
        <v>0</v>
      </c>
      <c r="AE104" s="500">
        <f>IF(AC104="","",AC104-AD104)</f>
      </c>
      <c r="AF104" s="500">
        <f>IF(OR(11&gt;$B$3,ISBLANK(Actuals!M104)),"",Actuals!M104)</f>
      </c>
      <c r="AG104" s="500">
        <f>Budget!M104</f>
        <v>0</v>
      </c>
      <c r="AH104" s="500">
        <f>IF(AF104="","",AF104-AG104)</f>
      </c>
      <c r="AI104" s="500">
        <f>IF(OR(12&gt;$B$3,ISBLANK(Actuals!N104)),"",Actuals!N104)</f>
      </c>
      <c r="AJ104" s="500">
        <f>Budget!N104</f>
        <v>0</v>
      </c>
      <c r="AK104" s="500">
        <f>IF(AI104="","",AI104-AJ104)</f>
      </c>
      <c r="AL104" s="501">
        <f>SUM(Actuals!$C104:INDEX(Actuals!$C104:$N104,$B$3))</f>
        <v>-399999.96</v>
      </c>
      <c r="AM104" s="501">
        <f>SUM(Budget!$C104:INDEX(Budget!$C104:$N104,$B$3))</f>
        <v>0</v>
      </c>
      <c r="AN104" s="501">
        <f>AL104-AM104</f>
        <v>-399999.96</v>
      </c>
    </row>
    <row r="105" ht="15" customFormat="1" customHeight="1" s="381">
      <c r="A105" s="499" t="inlineStr">
        <is>
          <t>5900-1075 Miscellaneous Expense</t>
        </is>
      </c>
      <c r="B105" s="500">
        <f>IF(OR(1&gt;$B$3,ISBLANK(Actuals!C105)),"",Actuals!C105)</f>
        <v>-6935.84</v>
      </c>
      <c r="C105" s="500">
        <f>Budget!C105</f>
        <v>0</v>
      </c>
      <c r="D105" s="500">
        <f>IF(B105="","",B105-C105)</f>
        <v>-6935.84</v>
      </c>
      <c r="E105" s="500">
        <f>IF(OR(2&gt;$B$3,ISBLANK(Actuals!D105)),"",Actuals!D105)</f>
        <v>-2799.88</v>
      </c>
      <c r="F105" s="500">
        <f>Budget!D105</f>
        <v>0</v>
      </c>
      <c r="G105" s="500">
        <f>IF(E105="","",E105-F105)</f>
        <v>-2799.88</v>
      </c>
      <c r="H105" s="500">
        <f>IF(OR(3&gt;$B$3,ISBLANK(Actuals!E105)),"",Actuals!E105)</f>
        <v>-12899.88</v>
      </c>
      <c r="I105" s="500">
        <f>Budget!E105</f>
        <v>0</v>
      </c>
      <c r="J105" s="500">
        <f>IF(H105="","",H105-I105)</f>
        <v>-12899.88</v>
      </c>
      <c r="K105" s="500">
        <f>IF(OR(4&gt;$B$3,ISBLANK(Actuals!F105)),"",Actuals!F105)</f>
        <v>-2932.88</v>
      </c>
      <c r="L105" s="500">
        <f>Budget!F105</f>
        <v>0</v>
      </c>
      <c r="M105" s="500">
        <f>IF(K105="","",K105-L105)</f>
        <v>-2932.88</v>
      </c>
      <c r="N105" s="500">
        <f>IF(OR(5&gt;$B$3,ISBLANK(Actuals!G105)),"",Actuals!G105)</f>
        <v>-5474.88</v>
      </c>
      <c r="O105" s="500">
        <f>Budget!G105</f>
        <v>0</v>
      </c>
      <c r="P105" s="500">
        <f>IF(N105="","",N105-O105)</f>
        <v>-5474.88</v>
      </c>
      <c r="Q105" s="500">
        <f>IF(OR(6&gt;$B$3,ISBLANK(Actuals!H105)),"",Actuals!H105)</f>
        <v>-5</v>
      </c>
      <c r="R105" s="500">
        <f>Budget!H105</f>
        <v>0</v>
      </c>
      <c r="S105" s="500">
        <f>IF(Q105="","",Q105-R105)</f>
        <v>-5</v>
      </c>
      <c r="T105" s="500">
        <f>IF(OR(7&gt;$B$3,ISBLANK(Actuals!I105)),"",Actuals!I105)</f>
      </c>
      <c r="U105" s="500">
        <f>Budget!I105</f>
        <v>0</v>
      </c>
      <c r="V105" s="500">
        <f>IF(T105="","",T105-U105)</f>
      </c>
      <c r="W105" s="500">
        <f>IF(OR(8&gt;$B$3,ISBLANK(Actuals!J105)),"",Actuals!J105)</f>
      </c>
      <c r="X105" s="500">
        <f>Budget!J105</f>
        <v>0</v>
      </c>
      <c r="Y105" s="500">
        <f>IF(W105="","",W105-X105)</f>
      </c>
      <c r="Z105" s="500">
        <f>IF(OR(9&gt;$B$3,ISBLANK(Actuals!K105)),"",Actuals!K105)</f>
      </c>
      <c r="AA105" s="500">
        <f>Budget!K105</f>
        <v>0</v>
      </c>
      <c r="AB105" s="500">
        <f>IF(Z105="","",Z105-AA105)</f>
      </c>
      <c r="AC105" s="500">
        <f>IF(OR(10&gt;$B$3,ISBLANK(Actuals!L105)),"",Actuals!L105)</f>
      </c>
      <c r="AD105" s="500">
        <f>Budget!L105</f>
        <v>0</v>
      </c>
      <c r="AE105" s="500">
        <f>IF(AC105="","",AC105-AD105)</f>
      </c>
      <c r="AF105" s="500">
        <f>IF(OR(11&gt;$B$3,ISBLANK(Actuals!M105)),"",Actuals!M105)</f>
      </c>
      <c r="AG105" s="500">
        <f>Budget!M105</f>
        <v>0</v>
      </c>
      <c r="AH105" s="500">
        <f>IF(AF105="","",AF105-AG105)</f>
      </c>
      <c r="AI105" s="500">
        <f>IF(OR(12&gt;$B$3,ISBLANK(Actuals!N105)),"",Actuals!N105)</f>
      </c>
      <c r="AJ105" s="500">
        <f>Budget!N105</f>
        <v>0</v>
      </c>
      <c r="AK105" s="500">
        <f>IF(AI105="","",AI105-AJ105)</f>
      </c>
      <c r="AL105" s="501">
        <f>SUM(Actuals!$C105:INDEX(Actuals!$C105:$N105,$B$3))</f>
        <v>-31048.36</v>
      </c>
      <c r="AM105" s="501">
        <f>SUM(Budget!$C105:INDEX(Budget!$C105:$N105,$B$3))</f>
        <v>0</v>
      </c>
      <c r="AN105" s="501">
        <f>AL105-AM105</f>
        <v>-31048.36</v>
      </c>
    </row>
    <row r="106" ht="15" customFormat="1" customHeight="1" s="381">
      <c r="A106" s="499" t="inlineStr">
        <is>
          <t>5900-1080 Bank Service Charges</t>
        </is>
      </c>
      <c r="B106" s="500">
        <f>IF(OR(1&gt;$B$3,ISBLANK(Actuals!C106)),"",Actuals!C106)</f>
        <v>-658.14</v>
      </c>
      <c r="C106" s="500">
        <f>Budget!C106</f>
        <v>-500</v>
      </c>
      <c r="D106" s="500">
        <f>IF(B106="","",B106-C106)</f>
        <v>-158.14</v>
      </c>
      <c r="E106" s="500">
        <f>IF(OR(2&gt;$B$3,ISBLANK(Actuals!D106)),"",Actuals!D106)</f>
        <v>-310</v>
      </c>
      <c r="F106" s="500">
        <f>Budget!D106</f>
        <v>-500</v>
      </c>
      <c r="G106" s="500">
        <f>IF(E106="","",E106-F106)</f>
        <v>190</v>
      </c>
      <c r="H106" s="500">
        <f>IF(OR(3&gt;$B$3,ISBLANK(Actuals!E106)),"",Actuals!E106)</f>
        <v>-371.74</v>
      </c>
      <c r="I106" s="500">
        <f>Budget!E106</f>
        <v>-500</v>
      </c>
      <c r="J106" s="500">
        <f>IF(H106="","",H106-I106)</f>
        <v>128.26</v>
      </c>
      <c r="K106" s="500">
        <f>IF(OR(4&gt;$B$3,ISBLANK(Actuals!F106)),"",Actuals!F106)</f>
        <v>-857.33</v>
      </c>
      <c r="L106" s="500">
        <f>Budget!F106</f>
        <v>-500</v>
      </c>
      <c r="M106" s="500">
        <f>IF(K106="","",K106-L106)</f>
        <v>-357.33</v>
      </c>
      <c r="N106" s="500">
        <f>IF(OR(5&gt;$B$3,ISBLANK(Actuals!G106)),"",Actuals!G106)</f>
        <v>-305</v>
      </c>
      <c r="O106" s="500">
        <f>Budget!G106</f>
        <v>-500</v>
      </c>
      <c r="P106" s="500">
        <f>IF(N106="","",N106-O106)</f>
        <v>195</v>
      </c>
      <c r="Q106" s="500">
        <f>IF(OR(6&gt;$B$3,ISBLANK(Actuals!H106)),"",Actuals!H106)</f>
        <v>-352.5</v>
      </c>
      <c r="R106" s="500">
        <f>Budget!H106</f>
        <v>-500</v>
      </c>
      <c r="S106" s="500">
        <f>IF(Q106="","",Q106-R106)</f>
        <v>147.5</v>
      </c>
      <c r="T106" s="500">
        <f>IF(OR(7&gt;$B$3,ISBLANK(Actuals!I106)),"",Actuals!I106)</f>
      </c>
      <c r="U106" s="500">
        <f>Budget!I106</f>
        <v>-510</v>
      </c>
      <c r="V106" s="500">
        <f>IF(T106="","",T106-U106)</f>
      </c>
      <c r="W106" s="500">
        <f>IF(OR(8&gt;$B$3,ISBLANK(Actuals!J106)),"",Actuals!J106)</f>
      </c>
      <c r="X106" s="500">
        <f>Budget!J106</f>
        <v>-510</v>
      </c>
      <c r="Y106" s="500">
        <f>IF(W106="","",W106-X106)</f>
      </c>
      <c r="Z106" s="500">
        <f>IF(OR(9&gt;$B$3,ISBLANK(Actuals!K106)),"",Actuals!K106)</f>
      </c>
      <c r="AA106" s="500">
        <f>Budget!K106</f>
        <v>-510</v>
      </c>
      <c r="AB106" s="500">
        <f>IF(Z106="","",Z106-AA106)</f>
      </c>
      <c r="AC106" s="500">
        <f>IF(OR(10&gt;$B$3,ISBLANK(Actuals!L106)),"",Actuals!L106)</f>
      </c>
      <c r="AD106" s="500">
        <f>Budget!L106</f>
        <v>-510</v>
      </c>
      <c r="AE106" s="500">
        <f>IF(AC106="","",AC106-AD106)</f>
      </c>
      <c r="AF106" s="500">
        <f>IF(OR(11&gt;$B$3,ISBLANK(Actuals!M106)),"",Actuals!M106)</f>
      </c>
      <c r="AG106" s="500">
        <f>Budget!M106</f>
        <v>-510</v>
      </c>
      <c r="AH106" s="500">
        <f>IF(AF106="","",AF106-AG106)</f>
      </c>
      <c r="AI106" s="500">
        <f>IF(OR(12&gt;$B$3,ISBLANK(Actuals!N106)),"",Actuals!N106)</f>
      </c>
      <c r="AJ106" s="500">
        <f>Budget!N106</f>
        <v>-510</v>
      </c>
      <c r="AK106" s="500">
        <f>IF(AI106="","",AI106-AJ106)</f>
      </c>
      <c r="AL106" s="501">
        <f>SUM(Actuals!$C106:INDEX(Actuals!$C106:$N106,$B$3))</f>
        <v>-2854.71</v>
      </c>
      <c r="AM106" s="501">
        <f>SUM(Budget!$C106:INDEX(Budget!$C106:$N106,$B$3))</f>
        <v>-3000</v>
      </c>
      <c r="AN106" s="501">
        <f>AL106-AM106</f>
        <v>145.29</v>
      </c>
    </row>
    <row r="107" ht="15" customFormat="1" customHeight="1" s="381">
      <c r="A107" s="499" t="inlineStr">
        <is>
          <t>Steyn Group Guaranty Fee</t>
        </is>
      </c>
      <c r="B107" s="500">
        <f>IF(OR(1&gt;$B$3,ISBLANK(Actuals!C107)),"",Actuals!C107)</f>
      </c>
      <c r="C107" s="500">
        <f>Budget!C107</f>
        <v>0</v>
      </c>
      <c r="D107" s="500">
        <f>IF(B107="","",B107-C107)</f>
      </c>
      <c r="E107" s="500">
        <f>IF(OR(2&gt;$B$3,ISBLANK(Actuals!D107)),"",Actuals!D107)</f>
      </c>
      <c r="F107" s="500">
        <f>Budget!D107</f>
        <v>0</v>
      </c>
      <c r="G107" s="500">
        <f>IF(E107="","",E107-F107)</f>
      </c>
      <c r="H107" s="500">
        <f>IF(OR(3&gt;$B$3,ISBLANK(Actuals!E107)),"",Actuals!E107)</f>
      </c>
      <c r="I107" s="500">
        <f>Budget!E107</f>
        <v>0</v>
      </c>
      <c r="J107" s="500">
        <f>IF(H107="","",H107-I107)</f>
      </c>
      <c r="K107" s="500">
        <f>IF(OR(4&gt;$B$3,ISBLANK(Actuals!F107)),"",Actuals!F107)</f>
      </c>
      <c r="L107" s="500">
        <f>Budget!F107</f>
        <v>0</v>
      </c>
      <c r="M107" s="500">
        <f>IF(K107="","",K107-L107)</f>
      </c>
      <c r="N107" s="500">
        <f>IF(OR(5&gt;$B$3,ISBLANK(Actuals!G107)),"",Actuals!G107)</f>
      </c>
      <c r="O107" s="500">
        <f>Budget!G107</f>
        <v>0</v>
      </c>
      <c r="P107" s="500">
        <f>IF(N107="","",N107-O107)</f>
      </c>
      <c r="Q107" s="500">
        <f>IF(OR(6&gt;$B$3,ISBLANK(Actuals!H107)),"",Actuals!H107)</f>
      </c>
      <c r="R107" s="500">
        <f>Budget!H107</f>
        <v>0</v>
      </c>
      <c r="S107" s="500">
        <f>IF(Q107="","",Q107-R107)</f>
      </c>
      <c r="T107" s="500">
        <f>IF(OR(7&gt;$B$3,ISBLANK(Actuals!I107)),"",Actuals!I107)</f>
      </c>
      <c r="U107" s="500">
        <f>Budget!I107</f>
        <v>0</v>
      </c>
      <c r="V107" s="500">
        <f>IF(T107="","",T107-U107)</f>
      </c>
      <c r="W107" s="500">
        <f>IF(OR(8&gt;$B$3,ISBLANK(Actuals!J107)),"",Actuals!J107)</f>
      </c>
      <c r="X107" s="500">
        <f>Budget!J107</f>
        <v>0</v>
      </c>
      <c r="Y107" s="500">
        <f>IF(W107="","",W107-X107)</f>
      </c>
      <c r="Z107" s="500">
        <f>IF(OR(9&gt;$B$3,ISBLANK(Actuals!K107)),"",Actuals!K107)</f>
      </c>
      <c r="AA107" s="500">
        <f>Budget!K107</f>
        <v>0</v>
      </c>
      <c r="AB107" s="500">
        <f>IF(Z107="","",Z107-AA107)</f>
      </c>
      <c r="AC107" s="500">
        <f>IF(OR(10&gt;$B$3,ISBLANK(Actuals!L107)),"",Actuals!L107)</f>
      </c>
      <c r="AD107" s="500">
        <f>Budget!L107</f>
        <v>0</v>
      </c>
      <c r="AE107" s="500">
        <f>IF(AC107="","",AC107-AD107)</f>
      </c>
      <c r="AF107" s="500">
        <f>IF(OR(11&gt;$B$3,ISBLANK(Actuals!M107)),"",Actuals!M107)</f>
      </c>
      <c r="AG107" s="500">
        <f>Budget!M107</f>
        <v>0</v>
      </c>
      <c r="AH107" s="500">
        <f>IF(AF107="","",AF107-AG107)</f>
      </c>
      <c r="AI107" s="500">
        <f>IF(OR(12&gt;$B$3,ISBLANK(Actuals!N107)),"",Actuals!N107)</f>
      </c>
      <c r="AJ107" s="500">
        <f>Budget!N107</f>
        <v>0</v>
      </c>
      <c r="AK107" s="500">
        <f>IF(AI107="","",AI107-AJ107)</f>
      </c>
      <c r="AL107" s="501">
        <f>SUM(Actuals!$C107:INDEX(Actuals!$C107:$N107,$B$3))</f>
        <v>0</v>
      </c>
      <c r="AM107" s="501">
        <f>SUM(Budget!$C107:INDEX(Budget!$C107:$N107,$B$3))</f>
        <v>0</v>
      </c>
      <c r="AN107" s="501">
        <f>AL107-AM107</f>
        <v>0</v>
      </c>
    </row>
    <row r="108" ht="15" customFormat="1" customHeight="1" s="381">
      <c r="A108" s="499" t="inlineStr">
        <is>
          <t>Steyn Liquidity Guarantee Fee</t>
        </is>
      </c>
      <c r="B108" s="500">
        <f>IF(OR(1&gt;$B$3,ISBLANK(Actuals!C108)),"",Actuals!C108)</f>
      </c>
      <c r="C108" s="500">
        <f>Budget!C108</f>
        <v>0</v>
      </c>
      <c r="D108" s="500">
        <f>IF(B108="","",B108-C108)</f>
      </c>
      <c r="E108" s="500">
        <f>IF(OR(2&gt;$B$3,ISBLANK(Actuals!D108)),"",Actuals!D108)</f>
      </c>
      <c r="F108" s="500">
        <f>Budget!D108</f>
        <v>0</v>
      </c>
      <c r="G108" s="500">
        <f>IF(E108="","",E108-F108)</f>
      </c>
      <c r="H108" s="500">
        <f>IF(OR(3&gt;$B$3,ISBLANK(Actuals!E108)),"",Actuals!E108)</f>
      </c>
      <c r="I108" s="500">
        <f>Budget!E108</f>
        <v>0</v>
      </c>
      <c r="J108" s="500">
        <f>IF(H108="","",H108-I108)</f>
      </c>
      <c r="K108" s="500">
        <f>IF(OR(4&gt;$B$3,ISBLANK(Actuals!F108)),"",Actuals!F108)</f>
      </c>
      <c r="L108" s="500">
        <f>Budget!F108</f>
        <v>0</v>
      </c>
      <c r="M108" s="500">
        <f>IF(K108="","",K108-L108)</f>
      </c>
      <c r="N108" s="500">
        <f>IF(OR(5&gt;$B$3,ISBLANK(Actuals!G108)),"",Actuals!G108)</f>
      </c>
      <c r="O108" s="500">
        <f>Budget!G108</f>
        <v>0</v>
      </c>
      <c r="P108" s="500">
        <f>IF(N108="","",N108-O108)</f>
      </c>
      <c r="Q108" s="500">
        <f>IF(OR(6&gt;$B$3,ISBLANK(Actuals!H108)),"",Actuals!H108)</f>
      </c>
      <c r="R108" s="500">
        <f>Budget!H108</f>
        <v>0</v>
      </c>
      <c r="S108" s="500">
        <f>IF(Q108="","",Q108-R108)</f>
      </c>
      <c r="T108" s="500">
        <f>IF(OR(7&gt;$B$3,ISBLANK(Actuals!I108)),"",Actuals!I108)</f>
      </c>
      <c r="U108" s="500">
        <f>Budget!I108</f>
        <v>0</v>
      </c>
      <c r="V108" s="500">
        <f>IF(T108="","",T108-U108)</f>
      </c>
      <c r="W108" s="500">
        <f>IF(OR(8&gt;$B$3,ISBLANK(Actuals!J108)),"",Actuals!J108)</f>
      </c>
      <c r="X108" s="500">
        <f>Budget!J108</f>
        <v>0</v>
      </c>
      <c r="Y108" s="500">
        <f>IF(W108="","",W108-X108)</f>
      </c>
      <c r="Z108" s="500">
        <f>IF(OR(9&gt;$B$3,ISBLANK(Actuals!K108)),"",Actuals!K108)</f>
      </c>
      <c r="AA108" s="500">
        <f>Budget!K108</f>
        <v>0</v>
      </c>
      <c r="AB108" s="500">
        <f>IF(Z108="","",Z108-AA108)</f>
      </c>
      <c r="AC108" s="500">
        <f>IF(OR(10&gt;$B$3,ISBLANK(Actuals!L108)),"",Actuals!L108)</f>
      </c>
      <c r="AD108" s="500">
        <f>Budget!L108</f>
        <v>0</v>
      </c>
      <c r="AE108" s="500">
        <f>IF(AC108="","",AC108-AD108)</f>
      </c>
      <c r="AF108" s="500">
        <f>IF(OR(11&gt;$B$3,ISBLANK(Actuals!M108)),"",Actuals!M108)</f>
      </c>
      <c r="AG108" s="500">
        <f>Budget!M108</f>
        <v>0</v>
      </c>
      <c r="AH108" s="500">
        <f>IF(AF108="","",AF108-AG108)</f>
      </c>
      <c r="AI108" s="500">
        <f>IF(OR(12&gt;$B$3,ISBLANK(Actuals!N108)),"",Actuals!N108)</f>
      </c>
      <c r="AJ108" s="500">
        <f>Budget!N108</f>
        <v>0</v>
      </c>
      <c r="AK108" s="500">
        <f>IF(AI108="","",AI108-AJ108)</f>
      </c>
      <c r="AL108" s="501">
        <f>SUM(Actuals!$C108:INDEX(Actuals!$C108:$N108,$B$3))</f>
        <v>0</v>
      </c>
      <c r="AM108" s="501">
        <f>SUM(Budget!$C108:INDEX(Budget!$C108:$N108,$B$3))</f>
        <v>0</v>
      </c>
      <c r="AN108" s="501">
        <f>AL108-AM108</f>
        <v>0</v>
      </c>
    </row>
    <row r="109" ht="15" customFormat="1" customHeight="1" s="381">
      <c r="A109" s="499" t="inlineStr">
        <is>
          <t>Francis Steyn Fee + PIK (from LIHTC Revenue)</t>
        </is>
      </c>
      <c r="B109" s="500">
        <f>IF(OR(1&gt;$B$3,ISBLANK(Actuals!C109)),"",Actuals!C109)</f>
      </c>
      <c r="C109" s="500">
        <f>Budget!C109</f>
        <v>0</v>
      </c>
      <c r="D109" s="500">
        <f>IF(B109="","",B109-C109)</f>
      </c>
      <c r="E109" s="500">
        <f>IF(OR(2&gt;$B$3,ISBLANK(Actuals!D109)),"",Actuals!D109)</f>
      </c>
      <c r="F109" s="500">
        <f>Budget!D109</f>
        <v>0</v>
      </c>
      <c r="G109" s="500">
        <f>IF(E109="","",E109-F109)</f>
      </c>
      <c r="H109" s="500">
        <f>IF(OR(3&gt;$B$3,ISBLANK(Actuals!E109)),"",Actuals!E109)</f>
      </c>
      <c r="I109" s="500">
        <f>Budget!E109</f>
        <v>0</v>
      </c>
      <c r="J109" s="500">
        <f>IF(H109="","",H109-I109)</f>
      </c>
      <c r="K109" s="500">
        <f>IF(OR(4&gt;$B$3,ISBLANK(Actuals!F109)),"",Actuals!F109)</f>
      </c>
      <c r="L109" s="500">
        <f>Budget!F109</f>
        <v>0</v>
      </c>
      <c r="M109" s="500">
        <f>IF(K109="","",K109-L109)</f>
      </c>
      <c r="N109" s="500">
        <f>IF(OR(5&gt;$B$3,ISBLANK(Actuals!G109)),"",Actuals!G109)</f>
      </c>
      <c r="O109" s="500">
        <f>Budget!G109</f>
        <v>0</v>
      </c>
      <c r="P109" s="500">
        <f>IF(N109="","",N109-O109)</f>
      </c>
      <c r="Q109" s="500">
        <f>IF(OR(6&gt;$B$3,ISBLANK(Actuals!H109)),"",Actuals!H109)</f>
      </c>
      <c r="R109" s="500">
        <f>Budget!H109</f>
        <v>0</v>
      </c>
      <c r="S109" s="500">
        <f>IF(Q109="","",Q109-R109)</f>
      </c>
      <c r="T109" s="500">
        <f>IF(OR(7&gt;$B$3,ISBLANK(Actuals!I109)),"",Actuals!I109)</f>
      </c>
      <c r="U109" s="500">
        <f>Budget!I109</f>
        <v>0</v>
      </c>
      <c r="V109" s="500">
        <f>IF(T109="","",T109-U109)</f>
      </c>
      <c r="W109" s="500">
        <f>IF(OR(8&gt;$B$3,ISBLANK(Actuals!J109)),"",Actuals!J109)</f>
      </c>
      <c r="X109" s="500">
        <f>Budget!J109</f>
        <v>0</v>
      </c>
      <c r="Y109" s="500">
        <f>IF(W109="","",W109-X109)</f>
      </c>
      <c r="Z109" s="500">
        <f>IF(OR(9&gt;$B$3,ISBLANK(Actuals!K109)),"",Actuals!K109)</f>
      </c>
      <c r="AA109" s="500">
        <f>Budget!K109</f>
        <v>0</v>
      </c>
      <c r="AB109" s="500">
        <f>IF(Z109="","",Z109-AA109)</f>
      </c>
      <c r="AC109" s="500">
        <f>IF(OR(10&gt;$B$3,ISBLANK(Actuals!L109)),"",Actuals!L109)</f>
      </c>
      <c r="AD109" s="500">
        <f>Budget!L109</f>
        <v>0</v>
      </c>
      <c r="AE109" s="500">
        <f>IF(AC109="","",AC109-AD109)</f>
      </c>
      <c r="AF109" s="500">
        <f>IF(OR(11&gt;$B$3,ISBLANK(Actuals!M109)),"",Actuals!M109)</f>
      </c>
      <c r="AG109" s="500">
        <f>Budget!M109</f>
        <v>0</v>
      </c>
      <c r="AH109" s="500">
        <f>IF(AF109="","",AF109-AG109)</f>
      </c>
      <c r="AI109" s="500">
        <f>IF(OR(12&gt;$B$3,ISBLANK(Actuals!N109)),"",Actuals!N109)</f>
      </c>
      <c r="AJ109" s="500">
        <f>Budget!N109</f>
        <v>0</v>
      </c>
      <c r="AK109" s="500">
        <f>IF(AI109="","",AI109-AJ109)</f>
      </c>
      <c r="AL109" s="501">
        <f>SUM(Actuals!$C109:INDEX(Actuals!$C109:$N109,$B$3))</f>
        <v>0</v>
      </c>
      <c r="AM109" s="501">
        <f>SUM(Budget!$C109:INDEX(Budget!$C109:$N109,$B$3))</f>
        <v>0</v>
      </c>
      <c r="AN109" s="501">
        <f>AL109-AM109</f>
        <v>0</v>
      </c>
    </row>
    <row r="110" ht="15" customFormat="1" customHeight="1" s="381">
      <c r="A110" s="499" t="inlineStr">
        <is>
          <t>Reseda Steyn Fee + PIK (from LIHTC Revenue)</t>
        </is>
      </c>
      <c r="B110" s="500">
        <f>IF(OR(1&gt;$B$3,ISBLANK(Actuals!C110)),"",Actuals!C110)</f>
      </c>
      <c r="C110" s="500">
        <f>Budget!C110</f>
        <v>0</v>
      </c>
      <c r="D110" s="500">
        <f>IF(B110="","",B110-C110)</f>
      </c>
      <c r="E110" s="500">
        <f>IF(OR(2&gt;$B$3,ISBLANK(Actuals!D110)),"",Actuals!D110)</f>
      </c>
      <c r="F110" s="500">
        <f>Budget!D110</f>
        <v>0</v>
      </c>
      <c r="G110" s="500">
        <f>IF(E110="","",E110-F110)</f>
      </c>
      <c r="H110" s="500">
        <f>IF(OR(3&gt;$B$3,ISBLANK(Actuals!E110)),"",Actuals!E110)</f>
      </c>
      <c r="I110" s="500">
        <f>Budget!E110</f>
        <v>0</v>
      </c>
      <c r="J110" s="500">
        <f>IF(H110="","",H110-I110)</f>
      </c>
      <c r="K110" s="500">
        <f>IF(OR(4&gt;$B$3,ISBLANK(Actuals!F110)),"",Actuals!F110)</f>
      </c>
      <c r="L110" s="500">
        <f>Budget!F110</f>
        <v>0</v>
      </c>
      <c r="M110" s="500">
        <f>IF(K110="","",K110-L110)</f>
      </c>
      <c r="N110" s="500">
        <f>IF(OR(5&gt;$B$3,ISBLANK(Actuals!G110)),"",Actuals!G110)</f>
      </c>
      <c r="O110" s="500">
        <f>Budget!G110</f>
        <v>0</v>
      </c>
      <c r="P110" s="500">
        <f>IF(N110="","",N110-O110)</f>
      </c>
      <c r="Q110" s="500">
        <f>IF(OR(6&gt;$B$3,ISBLANK(Actuals!H110)),"",Actuals!H110)</f>
      </c>
      <c r="R110" s="500">
        <f>Budget!H110</f>
        <v>0</v>
      </c>
      <c r="S110" s="500">
        <f>IF(Q110="","",Q110-R110)</f>
      </c>
      <c r="T110" s="500">
        <f>IF(OR(7&gt;$B$3,ISBLANK(Actuals!I110)),"",Actuals!I110)</f>
      </c>
      <c r="U110" s="500">
        <f>Budget!I110</f>
        <v>0</v>
      </c>
      <c r="V110" s="500">
        <f>IF(T110="","",T110-U110)</f>
      </c>
      <c r="W110" s="500">
        <f>IF(OR(8&gt;$B$3,ISBLANK(Actuals!J110)),"",Actuals!J110)</f>
      </c>
      <c r="X110" s="500">
        <f>Budget!J110</f>
        <v>0</v>
      </c>
      <c r="Y110" s="500">
        <f>IF(W110="","",W110-X110)</f>
      </c>
      <c r="Z110" s="500">
        <f>IF(OR(9&gt;$B$3,ISBLANK(Actuals!K110)),"",Actuals!K110)</f>
      </c>
      <c r="AA110" s="500">
        <f>Budget!K110</f>
        <v>0</v>
      </c>
      <c r="AB110" s="500">
        <f>IF(Z110="","",Z110-AA110)</f>
      </c>
      <c r="AC110" s="500">
        <f>IF(OR(10&gt;$B$3,ISBLANK(Actuals!L110)),"",Actuals!L110)</f>
      </c>
      <c r="AD110" s="500">
        <f>Budget!L110</f>
        <v>0</v>
      </c>
      <c r="AE110" s="500">
        <f>IF(AC110="","",AC110-AD110)</f>
      </c>
      <c r="AF110" s="500">
        <f>IF(OR(11&gt;$B$3,ISBLANK(Actuals!M110)),"",Actuals!M110)</f>
      </c>
      <c r="AG110" s="500">
        <f>Budget!M110</f>
        <v>0</v>
      </c>
      <c r="AH110" s="500">
        <f>IF(AF110="","",AF110-AG110)</f>
      </c>
      <c r="AI110" s="500">
        <f>IF(OR(12&gt;$B$3,ISBLANK(Actuals!N110)),"",Actuals!N110)</f>
      </c>
      <c r="AJ110" s="500">
        <f>Budget!N110</f>
        <v>0</v>
      </c>
      <c r="AK110" s="500">
        <f>IF(AI110="","",AI110-AJ110)</f>
      </c>
      <c r="AL110" s="501">
        <f>SUM(Actuals!$C110:INDEX(Actuals!$C110:$N110,$B$3))</f>
        <v>0</v>
      </c>
      <c r="AM110" s="501">
        <f>SUM(Budget!$C110:INDEX(Budget!$C110:$N110,$B$3))</f>
        <v>0</v>
      </c>
      <c r="AN110" s="501">
        <f>AL110-AM110</f>
        <v>0</v>
      </c>
    </row>
    <row r="111" ht="15" customFormat="1" customHeight="1" s="381">
      <c r="A111" s="499" t="inlineStr">
        <is>
          <t>3rd St Steyn Fee + PIK (from LIHTC Revenue)</t>
        </is>
      </c>
      <c r="B111" s="500">
        <f>IF(OR(1&gt;$B$3,ISBLANK(Actuals!C111)),"",Actuals!C111)</f>
      </c>
      <c r="C111" s="500">
        <f>Budget!C111</f>
        <v>0</v>
      </c>
      <c r="D111" s="500">
        <f>IF(B111="","",B111-C111)</f>
      </c>
      <c r="E111" s="500">
        <f>IF(OR(2&gt;$B$3,ISBLANK(Actuals!D111)),"",Actuals!D111)</f>
      </c>
      <c r="F111" s="500">
        <f>Budget!D111</f>
        <v>0</v>
      </c>
      <c r="G111" s="500">
        <f>IF(E111="","",E111-F111)</f>
      </c>
      <c r="H111" s="500">
        <f>IF(OR(3&gt;$B$3,ISBLANK(Actuals!E111)),"",Actuals!E111)</f>
      </c>
      <c r="I111" s="500">
        <f>Budget!E111</f>
        <v>0</v>
      </c>
      <c r="J111" s="500">
        <f>IF(H111="","",H111-I111)</f>
      </c>
      <c r="K111" s="500">
        <f>IF(OR(4&gt;$B$3,ISBLANK(Actuals!F111)),"",Actuals!F111)</f>
      </c>
      <c r="L111" s="500">
        <f>Budget!F111</f>
        <v>0</v>
      </c>
      <c r="M111" s="500">
        <f>IF(K111="","",K111-L111)</f>
      </c>
      <c r="N111" s="500">
        <f>IF(OR(5&gt;$B$3,ISBLANK(Actuals!G111)),"",Actuals!G111)</f>
      </c>
      <c r="O111" s="500">
        <f>Budget!G111</f>
        <v>0</v>
      </c>
      <c r="P111" s="500">
        <f>IF(N111="","",N111-O111)</f>
      </c>
      <c r="Q111" s="500">
        <f>IF(OR(6&gt;$B$3,ISBLANK(Actuals!H111)),"",Actuals!H111)</f>
      </c>
      <c r="R111" s="500">
        <f>Budget!H111</f>
        <v>0</v>
      </c>
      <c r="S111" s="500">
        <f>IF(Q111="","",Q111-R111)</f>
      </c>
      <c r="T111" s="500">
        <f>IF(OR(7&gt;$B$3,ISBLANK(Actuals!I111)),"",Actuals!I111)</f>
      </c>
      <c r="U111" s="500">
        <f>Budget!I111</f>
        <v>0</v>
      </c>
      <c r="V111" s="500">
        <f>IF(T111="","",T111-U111)</f>
      </c>
      <c r="W111" s="500">
        <f>IF(OR(8&gt;$B$3,ISBLANK(Actuals!J111)),"",Actuals!J111)</f>
      </c>
      <c r="X111" s="500">
        <f>Budget!J111</f>
        <v>0</v>
      </c>
      <c r="Y111" s="500">
        <f>IF(W111="","",W111-X111)</f>
      </c>
      <c r="Z111" s="500">
        <f>IF(OR(9&gt;$B$3,ISBLANK(Actuals!K111)),"",Actuals!K111)</f>
      </c>
      <c r="AA111" s="500">
        <f>Budget!K111</f>
        <v>0</v>
      </c>
      <c r="AB111" s="500">
        <f>IF(Z111="","",Z111-AA111)</f>
      </c>
      <c r="AC111" s="500">
        <f>IF(OR(10&gt;$B$3,ISBLANK(Actuals!L111)),"",Actuals!L111)</f>
      </c>
      <c r="AD111" s="500">
        <f>Budget!L111</f>
        <v>0</v>
      </c>
      <c r="AE111" s="500">
        <f>IF(AC111="","",AC111-AD111)</f>
      </c>
      <c r="AF111" s="500">
        <f>IF(OR(11&gt;$B$3,ISBLANK(Actuals!M111)),"",Actuals!M111)</f>
      </c>
      <c r="AG111" s="500">
        <f>Budget!M111</f>
        <v>0</v>
      </c>
      <c r="AH111" s="500">
        <f>IF(AF111="","",AF111-AG111)</f>
      </c>
      <c r="AI111" s="500">
        <f>IF(OR(12&gt;$B$3,ISBLANK(Actuals!N111)),"",Actuals!N111)</f>
      </c>
      <c r="AJ111" s="500">
        <f>Budget!N111</f>
        <v>0</v>
      </c>
      <c r="AK111" s="500">
        <f>IF(AI111="","",AI111-AJ111)</f>
      </c>
      <c r="AL111" s="501">
        <f>SUM(Actuals!$C111:INDEX(Actuals!$C111:$N111,$B$3))</f>
        <v>0</v>
      </c>
      <c r="AM111" s="501">
        <f>SUM(Budget!$C111:INDEX(Budget!$C111:$N111,$B$3))</f>
        <v>0</v>
      </c>
      <c r="AN111" s="501">
        <f>AL111-AM111</f>
        <v>0</v>
      </c>
    </row>
    <row r="112" ht="15" customFormat="1" customHeight="1" s="381">
      <c r="A112" s="502" t="inlineStr">
        <is>
          <t>Total Six Peak Expenses</t>
        </is>
      </c>
      <c r="B112" s="501">
        <f>IF(OR(1&gt;$B$3,ISBLANK(Actuals!C112)),"",Actuals!C112)</f>
        <v>-198827.72</v>
      </c>
      <c r="C112" s="501">
        <f>Budget!C112</f>
        <v>-138412.48</v>
      </c>
      <c r="D112" s="501">
        <f>IF(B112="","",B112-C112)</f>
        <v>-60415.24</v>
      </c>
      <c r="E112" s="501">
        <f>IF(OR(2&gt;$B$3,ISBLANK(Actuals!D112)),"",Actuals!D112)</f>
        <v>-192502</v>
      </c>
      <c r="F112" s="501">
        <f>Budget!D112</f>
        <v>-138412.48</v>
      </c>
      <c r="G112" s="501">
        <f>IF(E112="","",E112-F112)</f>
        <v>-54089.52</v>
      </c>
      <c r="H112" s="501">
        <f>IF(OR(3&gt;$B$3,ISBLANK(Actuals!E112)),"",Actuals!E112)</f>
        <v>-255024.1</v>
      </c>
      <c r="I112" s="501">
        <f>Budget!E112</f>
        <v>-138412.48</v>
      </c>
      <c r="J112" s="501">
        <f>IF(H112="","",H112-I112)</f>
        <v>-116611.62</v>
      </c>
      <c r="K112" s="501">
        <f>IF(OR(4&gt;$B$3,ISBLANK(Actuals!F112)),"",Actuals!F112)</f>
        <v>-195904.72</v>
      </c>
      <c r="L112" s="501">
        <f>Budget!F112</f>
        <v>-138412.48</v>
      </c>
      <c r="M112" s="501">
        <f>IF(K112="","",K112-L112)</f>
        <v>-57492.24</v>
      </c>
      <c r="N112" s="501">
        <f>IF(OR(5&gt;$B$3,ISBLANK(Actuals!G112)),"",Actuals!G112)</f>
        <v>-250029.52</v>
      </c>
      <c r="O112" s="501">
        <f>Budget!G112</f>
        <v>-138412.48</v>
      </c>
      <c r="P112" s="501">
        <f>IF(N112="","",N112-O112)</f>
        <v>-111617.04</v>
      </c>
      <c r="Q112" s="501">
        <f>IF(OR(6&gt;$B$3,ISBLANK(Actuals!H112)),"",Actuals!H112)</f>
        <v>-201582.47</v>
      </c>
      <c r="R112" s="501">
        <f>Budget!H112</f>
        <v>-138412.48</v>
      </c>
      <c r="S112" s="501">
        <f>IF(Q112="","",Q112-R112)</f>
        <v>-63169.99</v>
      </c>
      <c r="T112" s="501">
        <f>IF(OR(7&gt;$B$3,ISBLANK(Actuals!I112)),"",Actuals!I112)</f>
      </c>
      <c r="U112" s="501">
        <f>Budget!I112</f>
        <v>-137893.65</v>
      </c>
      <c r="V112" s="501">
        <f>IF(T112="","",T112-U112)</f>
      </c>
      <c r="W112" s="501">
        <f>IF(OR(8&gt;$B$3,ISBLANK(Actuals!J112)),"",Actuals!J112)</f>
      </c>
      <c r="X112" s="501">
        <f>Budget!J112</f>
        <v>-137893.65</v>
      </c>
      <c r="Y112" s="501">
        <f>IF(W112="","",W112-X112)</f>
      </c>
      <c r="Z112" s="501">
        <f>IF(OR(9&gt;$B$3,ISBLANK(Actuals!K112)),"",Actuals!K112)</f>
      </c>
      <c r="AA112" s="501">
        <f>Budget!K112</f>
        <v>-137893.65</v>
      </c>
      <c r="AB112" s="501">
        <f>IF(Z112="","",Z112-AA112)</f>
      </c>
      <c r="AC112" s="501">
        <f>IF(OR(10&gt;$B$3,ISBLANK(Actuals!L112)),"",Actuals!L112)</f>
      </c>
      <c r="AD112" s="501">
        <f>Budget!L112</f>
        <v>-137893.65</v>
      </c>
      <c r="AE112" s="501">
        <f>IF(AC112="","",AC112-AD112)</f>
      </c>
      <c r="AF112" s="501">
        <f>IF(OR(11&gt;$B$3,ISBLANK(Actuals!M112)),"",Actuals!M112)</f>
      </c>
      <c r="AG112" s="501">
        <f>Budget!M112</f>
        <v>-137893.65</v>
      </c>
      <c r="AH112" s="501">
        <f>IF(AF112="","",AF112-AG112)</f>
      </c>
      <c r="AI112" s="501">
        <f>IF(OR(12&gt;$B$3,ISBLANK(Actuals!N112)),"",Actuals!N112)</f>
      </c>
      <c r="AJ112" s="501">
        <f>Budget!N112</f>
        <v>-137893.65</v>
      </c>
      <c r="AK112" s="501">
        <f>IF(AI112="","",AI112-AJ112)</f>
      </c>
      <c r="AL112" s="501">
        <f>SUM(Actuals!$C112:INDEX(Actuals!$C112:$N112,$B$3))</f>
        <v>-1293870.53</v>
      </c>
      <c r="AM112" s="501">
        <f>SUM(Budget!$C112:INDEX(Budget!$C112:$N112,$B$3))</f>
        <v>-830474.88</v>
      </c>
      <c r="AN112" s="501">
        <f>AL112-AM112</f>
        <v>-463395.65</v>
      </c>
    </row>
    <row r="113" ht="15" customFormat="1" customHeight="1" s="381">
      <c r="A113" s="499" t="inlineStr">
        <is>
          <t>Interest, Tax &amp; Amort (P&amp;L true-up)</t>
        </is>
      </c>
      <c r="B113" s="500">
        <f>IF(OR(1&gt;$B$3,ISBLANK(Actuals!C113)),"",Actuals!C113)</f>
      </c>
      <c r="C113" s="500">
        <f>Budget!C113</f>
        <v>0</v>
      </c>
      <c r="D113" s="500">
        <f>IF(B113="","",B113-C113)</f>
      </c>
      <c r="E113" s="500">
        <f>IF(OR(2&gt;$B$3,ISBLANK(Actuals!D113)),"",Actuals!D113)</f>
      </c>
      <c r="F113" s="500">
        <f>Budget!D113</f>
        <v>0</v>
      </c>
      <c r="G113" s="500">
        <f>IF(E113="","",E113-F113)</f>
      </c>
      <c r="H113" s="500">
        <f>IF(OR(3&gt;$B$3,ISBLANK(Actuals!E113)),"",Actuals!E113)</f>
      </c>
      <c r="I113" s="500">
        <f>Budget!E113</f>
        <v>0</v>
      </c>
      <c r="J113" s="500">
        <f>IF(H113="","",H113-I113)</f>
      </c>
      <c r="K113" s="500">
        <f>IF(OR(4&gt;$B$3,ISBLANK(Actuals!F113)),"",Actuals!F113)</f>
      </c>
      <c r="L113" s="500">
        <f>Budget!F113</f>
        <v>0</v>
      </c>
      <c r="M113" s="500">
        <f>IF(K113="","",K113-L113)</f>
      </c>
      <c r="N113" s="500">
        <f>IF(OR(5&gt;$B$3,ISBLANK(Actuals!G113)),"",Actuals!G113)</f>
      </c>
      <c r="O113" s="500">
        <f>Budget!G113</f>
        <v>0</v>
      </c>
      <c r="P113" s="500">
        <f>IF(N113="","",N113-O113)</f>
      </c>
      <c r="Q113" s="500">
        <f>IF(OR(6&gt;$B$3,ISBLANK(Actuals!H113)),"",Actuals!H113)</f>
        <v>53641.68</v>
      </c>
      <c r="R113" s="500">
        <f>Budget!H113</f>
        <v>0</v>
      </c>
      <c r="S113" s="500">
        <f>IF(Q113="","",Q113-R113)</f>
        <v>53641.68</v>
      </c>
      <c r="T113" s="500">
        <f>IF(OR(7&gt;$B$3,ISBLANK(Actuals!I113)),"",Actuals!I113)</f>
      </c>
      <c r="U113" s="500">
        <f>Budget!I113</f>
        <v>0</v>
      </c>
      <c r="V113" s="500">
        <f>IF(T113="","",T113-U113)</f>
      </c>
      <c r="W113" s="500">
        <f>IF(OR(8&gt;$B$3,ISBLANK(Actuals!J113)),"",Actuals!J113)</f>
      </c>
      <c r="X113" s="500">
        <f>Budget!J113</f>
        <v>0</v>
      </c>
      <c r="Y113" s="500">
        <f>IF(W113="","",W113-X113)</f>
      </c>
      <c r="Z113" s="500">
        <f>IF(OR(9&gt;$B$3,ISBLANK(Actuals!K113)),"",Actuals!K113)</f>
      </c>
      <c r="AA113" s="500">
        <f>Budget!K113</f>
        <v>0</v>
      </c>
      <c r="AB113" s="500">
        <f>IF(Z113="","",Z113-AA113)</f>
      </c>
      <c r="AC113" s="500">
        <f>IF(OR(10&gt;$B$3,ISBLANK(Actuals!L113)),"",Actuals!L113)</f>
      </c>
      <c r="AD113" s="500">
        <f>Budget!L113</f>
        <v>0</v>
      </c>
      <c r="AE113" s="500">
        <f>IF(AC113="","",AC113-AD113)</f>
      </c>
      <c r="AF113" s="500">
        <f>IF(OR(11&gt;$B$3,ISBLANK(Actuals!M113)),"",Actuals!M113)</f>
      </c>
      <c r="AG113" s="500">
        <f>Budget!M113</f>
        <v>0</v>
      </c>
      <c r="AH113" s="500">
        <f>IF(AF113="","",AF113-AG113)</f>
      </c>
      <c r="AI113" s="500">
        <f>IF(OR(12&gt;$B$3,ISBLANK(Actuals!N113)),"",Actuals!N113)</f>
      </c>
      <c r="AJ113" s="500">
        <f>Budget!N113</f>
        <v>0</v>
      </c>
      <c r="AK113" s="500">
        <f>IF(AI113="","",AI113-AJ113)</f>
      </c>
      <c r="AL113" s="501">
        <f>SUM(Actuals!$C113:INDEX(Actuals!$C113:$N113,$B$3))</f>
        <v>53641.68</v>
      </c>
      <c r="AM113" s="501">
        <f>SUM(Budget!$C113:INDEX(Budget!$C113:$N113,$B$3))</f>
        <v>0</v>
      </c>
      <c r="AN113" s="501">
        <f>AL113-AM113</f>
        <v>53641.68</v>
      </c>
    </row>
    <row r="114" ht="15" customFormat="1" customHeight="1" s="381">
      <c r="A114" s="502" t="inlineStr">
        <is>
          <t>Six Peak Net Income</t>
        </is>
      </c>
      <c r="B114" s="503">
        <f>IF(OR(1&gt;$B$3,ISBLANK(Actuals!C114)),"",Actuals!C114)</f>
        <v>-164713.14</v>
      </c>
      <c r="C114" s="503">
        <f>Budget!C114</f>
        <v>-90813.42</v>
      </c>
      <c r="D114" s="503">
        <f>IF(B114="","",B114-C114)</f>
        <v>-73899.72</v>
      </c>
      <c r="E114" s="503">
        <f>IF(OR(2&gt;$B$3,ISBLANK(Actuals!D114)),"",Actuals!D114)</f>
        <v>-158387.42</v>
      </c>
      <c r="F114" s="503">
        <f>Budget!D114</f>
        <v>-90813.42</v>
      </c>
      <c r="G114" s="503">
        <f>IF(E114="","",E114-F114)</f>
        <v>-67574</v>
      </c>
      <c r="H114" s="503">
        <f>IF(OR(3&gt;$B$3,ISBLANK(Actuals!E114)),"",Actuals!E114)</f>
        <v>-220909.52</v>
      </c>
      <c r="I114" s="503">
        <f>Budget!E114</f>
        <v>-90813.42</v>
      </c>
      <c r="J114" s="503">
        <f>IF(H114="","",H114-I114)</f>
        <v>-130096.1</v>
      </c>
      <c r="K114" s="503">
        <f>IF(OR(4&gt;$B$3,ISBLANK(Actuals!F114)),"",Actuals!F114)</f>
        <v>-161790.14</v>
      </c>
      <c r="L114" s="503">
        <f>Budget!F114</f>
        <v>-78938.42</v>
      </c>
      <c r="M114" s="503">
        <f>IF(K114="","",K114-L114)</f>
        <v>-82851.72</v>
      </c>
      <c r="N114" s="503">
        <f>IF(OR(5&gt;$B$3,ISBLANK(Actuals!G114)),"",Actuals!G114)</f>
        <v>-215914.94</v>
      </c>
      <c r="O114" s="503">
        <f>Budget!G114</f>
        <v>-78938.42</v>
      </c>
      <c r="P114" s="503">
        <f>IF(N114="","",N114-O114)</f>
        <v>-136976.52</v>
      </c>
      <c r="Q114" s="503">
        <f>IF(OR(6&gt;$B$3,ISBLANK(Actuals!H114)),"",Actuals!H114)</f>
        <v>185173.79</v>
      </c>
      <c r="R114" s="503">
        <f>Budget!H114</f>
        <v>-78938.42</v>
      </c>
      <c r="S114" s="503">
        <f>IF(Q114="","",Q114-R114)</f>
        <v>264112.21</v>
      </c>
      <c r="T114" s="503">
        <f>IF(OR(7&gt;$B$3,ISBLANK(Actuals!I114)),"",Actuals!I114)</f>
      </c>
      <c r="U114" s="503">
        <f>Budget!I114</f>
        <v>-78419.59</v>
      </c>
      <c r="V114" s="503">
        <f>IF(T114="","",T114-U114)</f>
      </c>
      <c r="W114" s="503">
        <f>IF(OR(8&gt;$B$3,ISBLANK(Actuals!J114)),"",Actuals!J114)</f>
      </c>
      <c r="X114" s="503">
        <f>Budget!J114</f>
        <v>-78419.59</v>
      </c>
      <c r="Y114" s="503">
        <f>IF(W114="","",W114-X114)</f>
      </c>
      <c r="Z114" s="503">
        <f>IF(OR(9&gt;$B$3,ISBLANK(Actuals!K114)),"",Actuals!K114)</f>
      </c>
      <c r="AA114" s="503">
        <f>Budget!K114</f>
        <v>-78419.59</v>
      </c>
      <c r="AB114" s="503">
        <f>IF(Z114="","",Z114-AA114)</f>
      </c>
      <c r="AC114" s="503">
        <f>IF(OR(10&gt;$B$3,ISBLANK(Actuals!L114)),"",Actuals!L114)</f>
      </c>
      <c r="AD114" s="503">
        <f>Budget!L114</f>
        <v>-88646.86</v>
      </c>
      <c r="AE114" s="503">
        <f>IF(AC114="","",AC114-AD114)</f>
      </c>
      <c r="AF114" s="503">
        <f>IF(OR(11&gt;$B$3,ISBLANK(Actuals!M114)),"",Actuals!M114)</f>
      </c>
      <c r="AG114" s="503">
        <f>Budget!M114</f>
        <v>-88646.86</v>
      </c>
      <c r="AH114" s="503">
        <f>IF(AF114="","",AF114-AG114)</f>
      </c>
      <c r="AI114" s="503">
        <f>IF(OR(12&gt;$B$3,ISBLANK(Actuals!N114)),"",Actuals!N114)</f>
      </c>
      <c r="AJ114" s="503">
        <f>Budget!N114</f>
        <v>-88646.86</v>
      </c>
      <c r="AK114" s="503">
        <f>IF(AI114="","",AI114-AJ114)</f>
      </c>
      <c r="AL114" s="503">
        <f>SUM(Actuals!$C114:INDEX(Actuals!$C114:$N114,$B$3))</f>
        <v>-736541.37</v>
      </c>
      <c r="AM114" s="503">
        <f>SUM(Budget!$C114:INDEX(Budget!$C114:$N114,$B$3))</f>
        <v>-509255.52</v>
      </c>
      <c r="AN114" s="503">
        <f>AL114-AM114</f>
        <v>-227285.85</v>
      </c>
    </row>
    <row r="116" ht="15" customFormat="1" customHeight="1" s="381">
      <c r="A116" s="498" t="inlineStr">
        <is>
          <t>CONSOLIDATED NET INCOME  (ties to Model)</t>
        </is>
      </c>
    </row>
    <row r="117" ht="15" customFormat="1" customHeight="1" s="381">
      <c r="A117" s="499" t="inlineStr">
        <is>
          <t>Consolidated Net Income (GC + Six Peak, entity ledger)</t>
        </is>
      </c>
      <c r="B117" s="501">
        <f>IF(B57="","",B57+B114)</f>
        <v>-206557.78</v>
      </c>
      <c r="C117" s="501">
        <f>C57+C114</f>
        <v>-88218.83</v>
      </c>
      <c r="D117" s="501">
        <f>IF(B117="","",B117-C117)</f>
        <v>-118338.95</v>
      </c>
      <c r="E117" s="501">
        <f>IF(E57="","",E57+E114)</f>
        <v>-469696.73</v>
      </c>
      <c r="F117" s="501">
        <f>F57+F114</f>
        <v>-72974.17</v>
      </c>
      <c r="G117" s="501">
        <f>IF(E117="","",E117-F117)</f>
        <v>-396722.56</v>
      </c>
      <c r="H117" s="501">
        <f>IF(H57="","",H57+H114)</f>
        <v>21337.2600000002</v>
      </c>
      <c r="I117" s="501">
        <f>I57+I114</f>
        <v>-57798.76</v>
      </c>
      <c r="J117" s="501">
        <f>IF(H117="","",H117-I117)</f>
        <v>79136.0200000002</v>
      </c>
      <c r="K117" s="501">
        <f>IF(K57="","",K57+K114)</f>
        <v>212136.55</v>
      </c>
      <c r="L117" s="501">
        <f>L57+L114</f>
        <v>-31421.36</v>
      </c>
      <c r="M117" s="501">
        <f>IF(K117="","",K117-L117)</f>
        <v>243557.91</v>
      </c>
      <c r="N117" s="501">
        <f>IF(N57="","",N57+N114)</f>
        <v>-188293.09</v>
      </c>
      <c r="O117" s="501">
        <f>O57+O114</f>
        <v>122738.83</v>
      </c>
      <c r="P117" s="501">
        <f>IF(N117="","",N117-O117)</f>
        <v>-311031.92</v>
      </c>
      <c r="Q117" s="501">
        <f>IF(Q57="","",Q57+Q114)</f>
        <v>503071.030000001</v>
      </c>
      <c r="R117" s="501">
        <f>R57+R114</f>
        <v>139414.41</v>
      </c>
      <c r="S117" s="501">
        <f>IF(Q117="","",Q117-R117)</f>
        <v>363656.620000001</v>
      </c>
      <c r="T117" s="501">
        <f>IF(T57="","",T57+T114)</f>
      </c>
      <c r="U117" s="501">
        <f>U57+U114</f>
        <v>153517.41</v>
      </c>
      <c r="V117" s="501">
        <f>IF(T117="","",T117-U117)</f>
      </c>
      <c r="W117" s="501">
        <f>IF(W57="","",W57+W114)</f>
      </c>
      <c r="X117" s="501">
        <f>X57+X114</f>
        <v>164629.55</v>
      </c>
      <c r="Y117" s="501">
        <f>IF(W117="","",W117-X117)</f>
      </c>
      <c r="Z117" s="501">
        <f>IF(Z57="","",Z57+Z114)</f>
      </c>
      <c r="AA117" s="501">
        <f>AA57+AA114</f>
        <v>172088.91</v>
      </c>
      <c r="AB117" s="501">
        <f>IF(Z117="","",Z117-AA117)</f>
      </c>
      <c r="AC117" s="501">
        <f>IF(AC57="","",AC57+AC114)</f>
      </c>
      <c r="AD117" s="501">
        <f>AD57+AD114</f>
        <v>165342.57</v>
      </c>
      <c r="AE117" s="501">
        <f>IF(AC117="","",AC117-AD117)</f>
      </c>
      <c r="AF117" s="501">
        <f>IF(AF57="","",AF57+AF114)</f>
      </c>
      <c r="AG117" s="501">
        <f>AG57+AG114</f>
        <v>164759.67</v>
      </c>
      <c r="AH117" s="501">
        <f>IF(AF117="","",AF117-AG117)</f>
      </c>
      <c r="AI117" s="501">
        <f>IF(AI57="","",AI57+AI114)</f>
      </c>
      <c r="AJ117" s="501">
        <f>AJ57+AJ114</f>
        <v>115877.35</v>
      </c>
      <c r="AK117" s="501">
        <f>IF(AI117="","",AI117-AJ117)</f>
      </c>
      <c r="AL117" s="501">
        <f>AL57+AL114</f>
        <v>-128002.759999999</v>
      </c>
      <c r="AM117" s="501">
        <f>AM57+AM114</f>
        <v>11740.1200000001</v>
      </c>
      <c r="AN117" s="501">
        <f>AL117-AM117</f>
        <v>-139742.879999999</v>
      </c>
    </row>
    <row r="118" ht="15" customFormat="1" customHeight="1" s="381">
      <c r="A118" s="504" t="inlineStr">
        <is>
          <t>Model timing &amp; schedule items (interest, tax, D&amp;A, bonding)</t>
        </is>
      </c>
      <c r="B118" s="500">
        <f>IF(B117="","",Model!B209-B117)</f>
        <v>0</v>
      </c>
      <c r="C118" s="500" t="inlineStr">
        <is>
          <t>0</t>
        </is>
      </c>
      <c r="D118" s="500">
        <f>IF(B118="","",B118-C118)</f>
        <v>0</v>
      </c>
      <c r="E118" s="500">
        <f>IF(E117="","",Model!C209-E117)</f>
        <v>0</v>
      </c>
      <c r="F118" s="500" t="inlineStr">
        <is>
          <t>0</t>
        </is>
      </c>
      <c r="G118" s="500">
        <f>IF(E118="","",E118-F118)</f>
        <v>0</v>
      </c>
      <c r="H118" s="500">
        <f>IF(H117="","",Model!D209-H117)</f>
        <v>-2.3283064365387e-10</v>
      </c>
      <c r="I118" s="500" t="inlineStr">
        <is>
          <t>0</t>
        </is>
      </c>
      <c r="J118" s="500">
        <f>IF(H118="","",H118-I118)</f>
        <v>-2.3283064365387e-10</v>
      </c>
      <c r="K118" s="500">
        <f>IF(K117="","",Model!E209-K117)</f>
        <v>0</v>
      </c>
      <c r="L118" s="500" t="inlineStr">
        <is>
          <t>0</t>
        </is>
      </c>
      <c r="M118" s="500">
        <f>IF(K118="","",K118-L118)</f>
        <v>0</v>
      </c>
      <c r="N118" s="500">
        <f>IF(N117="","",Model!F209-N117)</f>
        <v>8250.00000000047</v>
      </c>
      <c r="O118" s="500" t="inlineStr">
        <is>
          <t>0</t>
        </is>
      </c>
      <c r="P118" s="500">
        <f>IF(N118="","",N118-O118)</f>
        <v>8250.00000000047</v>
      </c>
      <c r="Q118" s="500">
        <f>IF(Q117="","",Model!G209-Q117)</f>
        <v>-42735.0000000009</v>
      </c>
      <c r="R118" s="500" t="inlineStr">
        <is>
          <t>0</t>
        </is>
      </c>
      <c r="S118" s="500">
        <f>IF(Q118="","",Q118-R118)</f>
        <v>-42735.0000000009</v>
      </c>
      <c r="T118" s="500">
        <f>IF(T117="","",Model!H209-T117)</f>
      </c>
      <c r="U118" s="500" t="inlineStr">
        <is>
          <t>0</t>
        </is>
      </c>
      <c r="V118" s="500">
        <f>IF(T118="","",T118-U118)</f>
      </c>
      <c r="W118" s="500">
        <f>IF(W117="","",Model!I209-W117)</f>
      </c>
      <c r="X118" s="500" t="inlineStr">
        <is>
          <t>0</t>
        </is>
      </c>
      <c r="Y118" s="500">
        <f>IF(W118="","",W118-X118)</f>
      </c>
      <c r="Z118" s="500">
        <f>IF(Z117="","",Model!J209-Z117)</f>
      </c>
      <c r="AA118" s="500" t="inlineStr">
        <is>
          <t>0</t>
        </is>
      </c>
      <c r="AB118" s="500">
        <f>IF(Z118="","",Z118-AA118)</f>
      </c>
      <c r="AC118" s="500">
        <f>IF(AC117="","",Model!K209-AC117)</f>
      </c>
      <c r="AD118" s="500" t="inlineStr">
        <is>
          <t>0</t>
        </is>
      </c>
      <c r="AE118" s="500">
        <f>IF(AC118="","",AC118-AD118)</f>
      </c>
      <c r="AF118" s="500">
        <f>IF(AF117="","",Model!L209-AF117)</f>
      </c>
      <c r="AG118" s="500" t="inlineStr">
        <is>
          <t>0</t>
        </is>
      </c>
      <c r="AH118" s="500">
        <f>IF(AF118="","",AF118-AG118)</f>
      </c>
      <c r="AI118" s="500">
        <f>IF(AI117="","",Model!M209-AI117)</f>
      </c>
      <c r="AJ118" s="500" t="inlineStr">
        <is>
          <t>0</t>
        </is>
      </c>
      <c r="AK118" s="500">
        <f>IF(AI118="","",AI118-AJ118)</f>
      </c>
      <c r="AL118" s="501">
        <f>SUM(Model!$B209:INDEX(Model!$B209:$M209,$B$3))-AL117</f>
        <v>-34485.0000000007</v>
      </c>
      <c r="AM118" s="501" t="inlineStr">
        <is>
          <t>0</t>
        </is>
      </c>
      <c r="AN118" s="501">
        <f>AL118-AM118</f>
        <v>-34485.0000000007</v>
      </c>
    </row>
    <row r="119" ht="15" customFormat="1" customHeight="1" s="381">
      <c r="A119" s="505" t="inlineStr">
        <is>
          <t>CONSOLIDATED NET INCOME (per Model)</t>
        </is>
      </c>
      <c r="B119" s="503">
        <f>IF(B117="","",B117+B118)</f>
        <v>-206557.78</v>
      </c>
      <c r="C119" s="503">
        <f>C117</f>
        <v>-88218.83</v>
      </c>
      <c r="D119" s="503">
        <f>IF(B119="","",B119-C119)</f>
        <v>-118338.95</v>
      </c>
      <c r="E119" s="503">
        <f>IF(E117="","",E117+E118)</f>
        <v>-469696.73</v>
      </c>
      <c r="F119" s="503">
        <f>F117</f>
        <v>-72974.17</v>
      </c>
      <c r="G119" s="503">
        <f>IF(E119="","",E119-F119)</f>
        <v>-396722.56</v>
      </c>
      <c r="H119" s="503">
        <f>IF(H117="","",H117+H118)</f>
        <v>21337.26</v>
      </c>
      <c r="I119" s="503">
        <f>I117</f>
        <v>-57798.76</v>
      </c>
      <c r="J119" s="503">
        <f>IF(H119="","",H119-I119)</f>
        <v>79136.02</v>
      </c>
      <c r="K119" s="503">
        <f>IF(K117="","",K117+K118)</f>
        <v>212136.55</v>
      </c>
      <c r="L119" s="503">
        <f>L117</f>
        <v>-31421.36</v>
      </c>
      <c r="M119" s="503">
        <f>IF(K119="","",K119-L119)</f>
        <v>243557.91</v>
      </c>
      <c r="N119" s="503">
        <f>IF(N117="","",N117+N118)</f>
        <v>-180043.09</v>
      </c>
      <c r="O119" s="503">
        <f>O117</f>
        <v>122738.83</v>
      </c>
      <c r="P119" s="503">
        <f>IF(N119="","",N119-O119)</f>
        <v>-302781.92</v>
      </c>
      <c r="Q119" s="503">
        <f>IF(Q117="","",Q117+Q118)</f>
        <v>460336.03</v>
      </c>
      <c r="R119" s="503">
        <f>R117</f>
        <v>139414.41</v>
      </c>
      <c r="S119" s="503">
        <f>IF(Q119="","",Q119-R119)</f>
        <v>320921.62</v>
      </c>
      <c r="T119" s="503">
        <f>IF(T117="","",T117+T118)</f>
      </c>
      <c r="U119" s="503">
        <f>U117</f>
        <v>153517.41</v>
      </c>
      <c r="V119" s="503">
        <f>IF(T119="","",T119-U119)</f>
      </c>
      <c r="W119" s="503">
        <f>IF(W117="","",W117+W118)</f>
      </c>
      <c r="X119" s="503">
        <f>X117</f>
        <v>164629.55</v>
      </c>
      <c r="Y119" s="503">
        <f>IF(W119="","",W119-X119)</f>
      </c>
      <c r="Z119" s="503">
        <f>IF(Z117="","",Z117+Z118)</f>
      </c>
      <c r="AA119" s="503">
        <f>AA117</f>
        <v>172088.91</v>
      </c>
      <c r="AB119" s="503">
        <f>IF(Z119="","",Z119-AA119)</f>
      </c>
      <c r="AC119" s="503">
        <f>IF(AC117="","",AC117+AC118)</f>
      </c>
      <c r="AD119" s="503">
        <f>AD117</f>
        <v>165342.57</v>
      </c>
      <c r="AE119" s="503">
        <f>IF(AC119="","",AC119-AD119)</f>
      </c>
      <c r="AF119" s="503">
        <f>IF(AF117="","",AF117+AF118)</f>
      </c>
      <c r="AG119" s="503">
        <f>AG117</f>
        <v>164759.67</v>
      </c>
      <c r="AH119" s="503">
        <f>IF(AF119="","",AF119-AG119)</f>
      </c>
      <c r="AI119" s="503">
        <f>IF(AI117="","",AI117+AI118)</f>
      </c>
      <c r="AJ119" s="503">
        <f>AJ117</f>
        <v>115877.35</v>
      </c>
      <c r="AK119" s="503">
        <f>IF(AI119="","",AI119-AJ119)</f>
      </c>
      <c r="AL119" s="503">
        <f>AL117+AL118</f>
        <v>-162487.759999999</v>
      </c>
      <c r="AM119" s="503">
        <f>AM117</f>
        <v>11740.1200000001</v>
      </c>
      <c r="AN119" s="503">
        <f>AL119-AM119</f>
        <v>-174227.879999999</v>
      </c>
    </row>
  </sheetData>
  <mergeCells count="13">
    <mergeCell ref="K4:M4"/>
    <mergeCell ref="B4:D4"/>
    <mergeCell ref="Q4:S4"/>
    <mergeCell ref="H4:J4"/>
    <mergeCell ref="T4:V4"/>
    <mergeCell ref="W4:Y4"/>
    <mergeCell ref="E4:G4"/>
    <mergeCell ref="Z4:AB4"/>
    <mergeCell ref="N4:P4"/>
    <mergeCell ref="AC4:AE4"/>
    <mergeCell ref="AI4:AK4"/>
    <mergeCell ref="AF4:AH4"/>
    <mergeCell ref="AL4:AN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V119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381" min="1" max="1"/>
    <col width="12" customWidth="1" style="381" min="2" max="22"/>
  </cols>
  <sheetData>
    <row r="1" ht="19.5" customFormat="1" customHeight="1" s="381">
      <c r="A1" s="477" t="inlineStr">
        <is>
          <t>Monthly Reforecast vs Actual</t>
        </is>
      </c>
    </row>
    <row r="2" ht="15" customFormat="1" customHeight="1" s="381">
      <c r="A2" s="506" t="inlineStr">
        <is>
          <t>Actuals vs the Q1 2026 reforecast (frozen v26 snapshot), by month. Variance = Actual minus Reforecast; a positive variance is favorable (expenses are stored as negatives). YTD covers Jan to Jun 2026.</t>
        </is>
      </c>
    </row>
    <row r="4" ht="15" customFormat="1" customHeight="1" s="381">
      <c r="B4" s="507" t="inlineStr">
        <is>
          <t>Jan 2026</t>
        </is>
      </c>
      <c r="C4" s="508" t="n"/>
      <c r="D4" s="508" t="n"/>
      <c r="E4" s="507" t="inlineStr">
        <is>
          <t>Feb 2026</t>
        </is>
      </c>
      <c r="F4" s="508" t="n"/>
      <c r="G4" s="508" t="n"/>
      <c r="H4" s="507" t="inlineStr">
        <is>
          <t>Mar 2026</t>
        </is>
      </c>
      <c r="I4" s="508" t="n"/>
      <c r="J4" s="508" t="n"/>
      <c r="K4" s="507" t="inlineStr">
        <is>
          <t>Apr 2026</t>
        </is>
      </c>
      <c r="L4" s="508" t="n"/>
      <c r="M4" s="508" t="n"/>
      <c r="N4" s="507" t="inlineStr">
        <is>
          <t>May 2026</t>
        </is>
      </c>
      <c r="O4" s="508" t="n"/>
      <c r="P4" s="508" t="n"/>
      <c r="Q4" s="507" t="inlineStr">
        <is>
          <t>Jun 2026</t>
        </is>
      </c>
      <c r="R4" s="508" t="n"/>
      <c r="S4" s="508" t="n"/>
      <c r="T4" s="507" t="inlineStr">
        <is>
          <t>YTD Jan-Jun 2026</t>
        </is>
      </c>
      <c r="U4" s="508" t="n"/>
      <c r="V4" s="508" t="n"/>
    </row>
    <row r="5" ht="15" customFormat="1" customHeight="1" s="381">
      <c r="A5" s="509" t="inlineStr">
        <is>
          <t>Line Item</t>
        </is>
      </c>
      <c r="B5" s="510" t="inlineStr">
        <is>
          <t>Actual</t>
        </is>
      </c>
      <c r="C5" s="510" t="inlineStr">
        <is>
          <t xml:space="preserve">Reforecast</t>
        </is>
      </c>
      <c r="D5" s="510" t="inlineStr">
        <is>
          <t>Var</t>
        </is>
      </c>
      <c r="E5" s="510" t="inlineStr">
        <is>
          <t>Actual</t>
        </is>
      </c>
      <c r="F5" s="510" t="inlineStr">
        <is>
          <t xml:space="preserve">Reforecast</t>
        </is>
      </c>
      <c r="G5" s="510" t="inlineStr">
        <is>
          <t>Var</t>
        </is>
      </c>
      <c r="H5" s="510" t="inlineStr">
        <is>
          <t>Actual</t>
        </is>
      </c>
      <c r="I5" s="510" t="inlineStr">
        <is>
          <t xml:space="preserve">Reforecast</t>
        </is>
      </c>
      <c r="J5" s="510" t="inlineStr">
        <is>
          <t>Var</t>
        </is>
      </c>
      <c r="K5" s="510" t="inlineStr">
        <is>
          <t>Actual</t>
        </is>
      </c>
      <c r="L5" s="510" t="inlineStr">
        <is>
          <t xml:space="preserve">Reforecast</t>
        </is>
      </c>
      <c r="M5" s="510" t="inlineStr">
        <is>
          <t>Var</t>
        </is>
      </c>
      <c r="N5" s="510" t="inlineStr">
        <is>
          <t>Actual</t>
        </is>
      </c>
      <c r="O5" s="510" t="inlineStr">
        <is>
          <t xml:space="preserve">Reforecast</t>
        </is>
      </c>
      <c r="P5" s="510" t="inlineStr">
        <is>
          <t>Var</t>
        </is>
      </c>
      <c r="Q5" s="510" t="inlineStr">
        <is>
          <t>Actual</t>
        </is>
      </c>
      <c r="R5" s="510" t="inlineStr">
        <is>
          <t xml:space="preserve">Reforecast</t>
        </is>
      </c>
      <c r="S5" s="510" t="inlineStr">
        <is>
          <t>Var</t>
        </is>
      </c>
      <c r="T5" s="510" t="inlineStr">
        <is>
          <t>Actual</t>
        </is>
      </c>
      <c r="U5" s="510" t="inlineStr">
        <is>
          <t xml:space="preserve">Reforecast</t>
        </is>
      </c>
      <c r="V5" s="510" t="inlineStr">
        <is>
          <t>Var</t>
        </is>
      </c>
    </row>
    <row r="7" ht="15" customFormat="1" customHeight="1" s="381">
      <c r="A7" s="511" t="inlineStr">
        <is>
          <t>GC / LV CONSTRUCTION: MONTHLY BUDGET VS ACTUAL</t>
        </is>
      </c>
      <c r="B7" s="512" t="n"/>
      <c r="C7" s="512" t="n"/>
      <c r="D7" s="512" t="n"/>
      <c r="E7" s="512" t="n"/>
      <c r="F7" s="512" t="n"/>
      <c r="G7" s="512" t="n"/>
      <c r="H7" s="512" t="n"/>
      <c r="I7" s="512" t="n"/>
      <c r="J7" s="512" t="n"/>
      <c r="K7" s="512" t="n"/>
      <c r="L7" s="512" t="n"/>
      <c r="M7" s="512" t="n"/>
      <c r="N7" s="512" t="n"/>
      <c r="O7" s="512" t="n"/>
      <c r="P7" s="512" t="n"/>
      <c r="Q7" s="512" t="n"/>
      <c r="R7" s="512" t="n"/>
      <c r="S7" s="512" t="n"/>
      <c r="T7" s="512" t="n"/>
      <c r="U7" s="512" t="n"/>
      <c r="V7" s="512" t="n"/>
    </row>
    <row r="8" ht="15" customFormat="1" customHeight="1" s="381">
      <c r="A8" s="513" t="inlineStr">
        <is>
          <t>Other GC Income</t>
        </is>
      </c>
      <c r="B8" s="514">
        <f>Actuals!C8</f>
        <v>116367.35</v>
      </c>
      <c r="C8" s="514">
        <f>'Reforecast Q1 2026'!C8</f>
        <v>116363.3</v>
      </c>
      <c r="D8" s="515">
        <f>B8-C8</f>
        <v>4.05000000000291</v>
      </c>
      <c r="E8" s="514">
        <f>Actuals!D8</f>
        <v>138804.22</v>
      </c>
      <c r="F8" s="514">
        <f>'Reforecast Q1 2026'!D8</f>
        <v>138801.52</v>
      </c>
      <c r="G8" s="515">
        <f>E8-F8</f>
        <v>2.70000000001164</v>
      </c>
      <c r="H8" s="514">
        <f>Actuals!E8</f>
        <v>219366.88</v>
      </c>
      <c r="I8" s="514">
        <f>'Reforecast Q1 2026'!E8</f>
        <v>219366.88</v>
      </c>
      <c r="J8" s="515">
        <f>H8-I8</f>
        <v>0</v>
      </c>
      <c r="K8" s="514">
        <f>Actuals!F8</f>
        <v>212079.14</v>
      </c>
      <c r="L8" s="514">
        <f>'Reforecast Q1 2026'!F8</f>
        <v>267934.879957489</v>
      </c>
      <c r="M8" s="515">
        <f>K8-L8</f>
        <v>-55855.739957489</v>
      </c>
      <c r="N8" s="514">
        <f>Actuals!G8</f>
        <v>267726.14</v>
      </c>
      <c r="O8" s="514">
        <f>'Reforecast Q1 2026'!G8</f>
        <v>267934.879957489</v>
      </c>
      <c r="P8" s="515">
        <f>N8-O8</f>
        <v>-208.739957489015</v>
      </c>
      <c r="Q8" s="514">
        <f>Actuals!H8</f>
        <v>374773.89</v>
      </c>
      <c r="R8" s="514">
        <f>'Reforecast Q1 2026'!H8</f>
        <v>267934.879957489</v>
      </c>
      <c r="S8" s="515">
        <f>Q8-R8</f>
        <v>106839.010042511</v>
      </c>
      <c r="T8" s="514">
        <f>SUM(Actuals!$C8:$H8)</f>
        <v>1329117.62</v>
      </c>
      <c r="U8" s="514">
        <f>SUM('Reforecast Q1 2026'!$C8:$H8)</f>
        <v>1278336.33987247</v>
      </c>
      <c r="V8" s="515">
        <f>T8-U8</f>
        <v>50781.280127533</v>
      </c>
    </row>
    <row r="9" ht="15" customFormat="1" customHeight="1" s="381">
      <c r="A9" s="513" t="inlineStr">
        <is>
          <t>Project Supervision Revenue</t>
        </is>
      </c>
      <c r="B9" s="514">
        <f>Actuals!C9</f>
        <v>0</v>
      </c>
      <c r="C9" s="514">
        <f>'Reforecast Q1 2026'!C9</f>
        <v>0</v>
      </c>
      <c r="D9" s="515">
        <f>B9-C9</f>
        <v>0</v>
      </c>
      <c r="E9" s="514">
        <f>Actuals!D9</f>
        <v>0</v>
      </c>
      <c r="F9" s="514">
        <f>'Reforecast Q1 2026'!D9</f>
        <v>0</v>
      </c>
      <c r="G9" s="515">
        <f>E9-F9</f>
        <v>0</v>
      </c>
      <c r="H9" s="514">
        <f>Actuals!E9</f>
        <v>0</v>
      </c>
      <c r="I9" s="514">
        <f>'Reforecast Q1 2026'!E9</f>
        <v>0</v>
      </c>
      <c r="J9" s="515">
        <f>H9-I9</f>
        <v>0</v>
      </c>
      <c r="K9" s="514">
        <f>Actuals!F9</f>
        <v>0</v>
      </c>
      <c r="L9" s="514">
        <f>'Reforecast Q1 2026'!F9</f>
        <v>0</v>
      </c>
      <c r="M9" s="515">
        <f>K9-L9</f>
        <v>0</v>
      </c>
      <c r="N9" s="514">
        <f>Actuals!G9</f>
        <v>0</v>
      </c>
      <c r="O9" s="514">
        <f>'Reforecast Q1 2026'!G9</f>
        <v>0</v>
      </c>
      <c r="P9" s="515">
        <f>N9-O9</f>
        <v>0</v>
      </c>
      <c r="Q9" s="514">
        <f>Actuals!H9</f>
        <v>0</v>
      </c>
      <c r="R9" s="514">
        <f>'Reforecast Q1 2026'!H9</f>
        <v>0</v>
      </c>
      <c r="S9" s="515">
        <f>Q9-R9</f>
        <v>0</v>
      </c>
      <c r="T9" s="514">
        <f>SUM(Actuals!$C9:$H9)</f>
        <v>0</v>
      </c>
      <c r="U9" s="514">
        <f>SUM('Reforecast Q1 2026'!$C9:$H9)</f>
        <v>0</v>
      </c>
      <c r="V9" s="515">
        <f>T9-U9</f>
        <v>0</v>
      </c>
    </row>
    <row r="10" ht="15" customFormat="1" customHeight="1" s="381">
      <c r="A10" s="513" t="inlineStr">
        <is>
          <t>GC Fee Income</t>
        </is>
      </c>
      <c r="B10" s="514">
        <f>Actuals!C10</f>
        <v>95370.25</v>
      </c>
      <c r="C10" s="514">
        <f>'Reforecast Q1 2026'!C10</f>
        <v>95370.25</v>
      </c>
      <c r="D10" s="515">
        <f>B10-C10</f>
        <v>0</v>
      </c>
      <c r="E10" s="514">
        <f>Actuals!D10</f>
        <v>173282.89</v>
      </c>
      <c r="F10" s="514">
        <f>'Reforecast Q1 2026'!D10</f>
        <v>173282.89</v>
      </c>
      <c r="G10" s="515">
        <f>E10-F10</f>
        <v>0</v>
      </c>
      <c r="H10" s="514">
        <f>Actuals!E10</f>
        <v>50438.85</v>
      </c>
      <c r="I10" s="514">
        <f>'Reforecast Q1 2026'!E10</f>
        <v>50438.85</v>
      </c>
      <c r="J10" s="515">
        <f>H10-I10</f>
        <v>0</v>
      </c>
      <c r="K10" s="514">
        <f>Actuals!F10</f>
        <v>167518.85</v>
      </c>
      <c r="L10" s="514">
        <f>'Reforecast Q1 2026'!F10</f>
        <v>200950.186296774</v>
      </c>
      <c r="M10" s="515">
        <f>K10-L10</f>
        <v>-33431.336296774</v>
      </c>
      <c r="N10" s="514">
        <f>Actuals!G10</f>
        <v>209057.26</v>
      </c>
      <c r="O10" s="514">
        <f>'Reforecast Q1 2026'!G10</f>
        <v>200950.186296774</v>
      </c>
      <c r="P10" s="515">
        <f>N10-O10</f>
        <v>8107.07370322602</v>
      </c>
      <c r="Q10" s="514">
        <f>Actuals!H10</f>
        <v>292966.36</v>
      </c>
      <c r="R10" s="514">
        <f>'Reforecast Q1 2026'!H10</f>
        <v>200950.186296774</v>
      </c>
      <c r="S10" s="515">
        <f>Q10-R10</f>
        <v>92016.173703226</v>
      </c>
      <c r="T10" s="514">
        <f>SUM(Actuals!$C10:$H10)</f>
        <v>988634.46</v>
      </c>
      <c r="U10" s="514">
        <f>SUM('Reforecast Q1 2026'!$C10:$H10)</f>
        <v>921942.548890322</v>
      </c>
      <c r="V10" s="515">
        <f>T10-U10</f>
        <v>66691.911109678</v>
      </c>
    </row>
    <row r="11" ht="15" customFormat="1" customHeight="1" s="381">
      <c r="A11" s="513" t="inlineStr">
        <is>
          <t>Project Administration Revenue</t>
        </is>
      </c>
      <c r="B11" s="514">
        <f>Actuals!C11</f>
        <v>0</v>
      </c>
      <c r="C11" s="514">
        <f>'Reforecast Q1 2026'!C11</f>
        <v>0</v>
      </c>
      <c r="D11" s="515">
        <f>B11-C11</f>
        <v>0</v>
      </c>
      <c r="E11" s="514">
        <f>Actuals!D11</f>
        <v>0</v>
      </c>
      <c r="F11" s="514">
        <f>'Reforecast Q1 2026'!D11</f>
        <v>0</v>
      </c>
      <c r="G11" s="515">
        <f>E11-F11</f>
        <v>0</v>
      </c>
      <c r="H11" s="514">
        <f>Actuals!E11</f>
        <v>0</v>
      </c>
      <c r="I11" s="514">
        <f>'Reforecast Q1 2026'!E11</f>
        <v>0</v>
      </c>
      <c r="J11" s="515">
        <f>H11-I11</f>
        <v>0</v>
      </c>
      <c r="K11" s="514">
        <f>Actuals!F11</f>
        <v>0</v>
      </c>
      <c r="L11" s="514">
        <f>'Reforecast Q1 2026'!F11</f>
        <v>0</v>
      </c>
      <c r="M11" s="515">
        <f>K11-L11</f>
        <v>0</v>
      </c>
      <c r="N11" s="514">
        <f>Actuals!G11</f>
        <v>0</v>
      </c>
      <c r="O11" s="514">
        <f>'Reforecast Q1 2026'!G11</f>
        <v>0</v>
      </c>
      <c r="P11" s="515">
        <f>N11-O11</f>
        <v>0</v>
      </c>
      <c r="Q11" s="514">
        <f>Actuals!H11</f>
        <v>0</v>
      </c>
      <c r="R11" s="514">
        <f>'Reforecast Q1 2026'!H11</f>
        <v>0</v>
      </c>
      <c r="S11" s="515">
        <f>Q11-R11</f>
        <v>0</v>
      </c>
      <c r="T11" s="514">
        <f>SUM(Actuals!$C11:$H11)</f>
        <v>0</v>
      </c>
      <c r="U11" s="514">
        <f>SUM('Reforecast Q1 2026'!$C11:$H11)</f>
        <v>0</v>
      </c>
      <c r="V11" s="515">
        <f>T11-U11</f>
        <v>0</v>
      </c>
    </row>
    <row r="12" ht="15" customFormat="1" customHeight="1" s="381">
      <c r="A12" s="513" t="inlineStr">
        <is>
          <t>Trades and Site Cost Billing</t>
        </is>
      </c>
      <c r="B12" s="514">
        <f>Actuals!C12</f>
        <v>1242053.19</v>
      </c>
      <c r="C12" s="514">
        <f>'Reforecast Q1 2026'!C12</f>
        <v>1242053.19</v>
      </c>
      <c r="D12" s="515">
        <f>B12-C12</f>
        <v>0</v>
      </c>
      <c r="E12" s="514">
        <f>Actuals!D12</f>
        <v>2710434.48</v>
      </c>
      <c r="F12" s="514">
        <f>'Reforecast Q1 2026'!D12</f>
        <v>2710434.48</v>
      </c>
      <c r="G12" s="515">
        <f>E12-F12</f>
        <v>0</v>
      </c>
      <c r="H12" s="514">
        <f>Actuals!E12</f>
        <v>2402410.43</v>
      </c>
      <c r="I12" s="514">
        <f>'Reforecast Q1 2026'!E12</f>
        <v>2402410.43</v>
      </c>
      <c r="J12" s="515">
        <f>H12-I12</f>
        <v>0</v>
      </c>
      <c r="K12" s="514">
        <f>Actuals!F12</f>
        <v>3312759.91</v>
      </c>
      <c r="L12" s="514">
        <f>'Reforecast Q1 2026'!F12</f>
        <v>3985482.58</v>
      </c>
      <c r="M12" s="515">
        <f>K12-L12</f>
        <v>-672722.67</v>
      </c>
      <c r="N12" s="514">
        <f>Actuals!G12</f>
        <v>3939278.23</v>
      </c>
      <c r="O12" s="514">
        <f>'Reforecast Q1 2026'!G12</f>
        <v>4178441.93</v>
      </c>
      <c r="P12" s="515">
        <f>N12-O12</f>
        <v>-239163.7</v>
      </c>
      <c r="Q12" s="514">
        <f>Actuals!H12</f>
        <v>5584522.73</v>
      </c>
      <c r="R12" s="514">
        <f>'Reforecast Q1 2026'!H12</f>
        <v>4314673.98</v>
      </c>
      <c r="S12" s="515">
        <f>Q12-R12</f>
        <v>1269848.75</v>
      </c>
      <c r="T12" s="514">
        <f>SUM(Actuals!$C12:$H12)</f>
        <v>19191458.97</v>
      </c>
      <c r="U12" s="514">
        <f>SUM('Reforecast Q1 2026'!$C12:$H12)</f>
        <v>18833496.59</v>
      </c>
      <c r="V12" s="515">
        <f>T12-U12</f>
        <v>357962.379999999</v>
      </c>
    </row>
    <row r="13" ht="15" customFormat="1" customHeight="1" s="381">
      <c r="A13" s="516" t="inlineStr">
        <is>
          <t>Total Revenues</t>
        </is>
      </c>
      <c r="B13" s="517">
        <f>Actuals!C13</f>
        <v>1453790.79</v>
      </c>
      <c r="C13" s="517">
        <f>'Reforecast Q1 2026'!C13</f>
        <v>1453786.74</v>
      </c>
      <c r="D13" s="518">
        <f>B13-C13</f>
        <v>4.05000000004657</v>
      </c>
      <c r="E13" s="517">
        <f>Actuals!D13</f>
        <v>3022521.59</v>
      </c>
      <c r="F13" s="517">
        <f>'Reforecast Q1 2026'!D13</f>
        <v>3022518.89</v>
      </c>
      <c r="G13" s="518">
        <f>E13-F13</f>
        <v>2.6999999997206</v>
      </c>
      <c r="H13" s="517">
        <f>Actuals!E13</f>
        <v>2672216.16</v>
      </c>
      <c r="I13" s="517">
        <f>'Reforecast Q1 2026'!E13</f>
        <v>2672216.16</v>
      </c>
      <c r="J13" s="518">
        <f>H13-I13</f>
        <v>0</v>
      </c>
      <c r="K13" s="517">
        <f>Actuals!F13</f>
        <v>3692357.9</v>
      </c>
      <c r="L13" s="517">
        <f>'Reforecast Q1 2026'!F13</f>
        <v>4454367.64625426</v>
      </c>
      <c r="M13" s="518">
        <f>K13-L13</f>
        <v>-762009.746254263</v>
      </c>
      <c r="N13" s="517">
        <f>Actuals!G13</f>
        <v>4416061.63</v>
      </c>
      <c r="O13" s="517">
        <f>'Reforecast Q1 2026'!G13</f>
        <v>4647326.99625426</v>
      </c>
      <c r="P13" s="518">
        <f>N13-O13</f>
        <v>-231265.366254264</v>
      </c>
      <c r="Q13" s="517">
        <f>Actuals!H13</f>
        <v>6252262.98</v>
      </c>
      <c r="R13" s="517">
        <f>'Reforecast Q1 2026'!H13</f>
        <v>4783559.04625426</v>
      </c>
      <c r="S13" s="518">
        <f>Q13-R13</f>
        <v>1468703.93374574</v>
      </c>
      <c r="T13" s="517">
        <f>SUM(Actuals!$C13:$H13)</f>
        <v>21509211.05</v>
      </c>
      <c r="U13" s="517">
        <f>SUM('Reforecast Q1 2026'!$C13:$H13)</f>
        <v>21033775.4787628</v>
      </c>
      <c r="V13" s="518">
        <f>T13-U13</f>
        <v>475435.57123721</v>
      </c>
    </row>
    <row r="14" ht="15" customFormat="1" customHeight="1" s="381">
      <c r="A14" s="513" t="inlineStr">
        <is>
          <t>COGS — Trades &amp; Site Costs</t>
        </is>
      </c>
      <c r="B14" s="514">
        <f>Actuals!C14</f>
        <v>-1233067.43</v>
      </c>
      <c r="C14" s="514">
        <f>'Reforecast Q1 2026'!C14</f>
        <v>-1233067.43</v>
      </c>
      <c r="D14" s="515">
        <f>B14-C14</f>
        <v>0</v>
      </c>
      <c r="E14" s="514">
        <f>Actuals!D14</f>
        <v>-3073522.36</v>
      </c>
      <c r="F14" s="514">
        <f>'Reforecast Q1 2026'!D14</f>
        <v>-3073522.36</v>
      </c>
      <c r="G14" s="515">
        <f>E14-F14</f>
        <v>0</v>
      </c>
      <c r="H14" s="514">
        <f>Actuals!E14</f>
        <v>-2078031.64</v>
      </c>
      <c r="I14" s="514">
        <f>'Reforecast Q1 2026'!E14</f>
        <v>-2078031.64</v>
      </c>
      <c r="J14" s="515">
        <f>H14-I14</f>
        <v>0</v>
      </c>
      <c r="K14" s="514">
        <f>Actuals!F14</f>
        <v>-3244999.65</v>
      </c>
      <c r="L14" s="514">
        <f>'Reforecast Q1 2026'!F14</f>
        <v>-3985482.58403402</v>
      </c>
      <c r="M14" s="515">
        <f>K14-L14</f>
        <v>740482.93403402</v>
      </c>
      <c r="N14" s="514">
        <f>Actuals!G14</f>
        <v>-3950524.93</v>
      </c>
      <c r="O14" s="514">
        <f>'Reforecast Q1 2026'!G14</f>
        <v>-4178441.93467641</v>
      </c>
      <c r="P14" s="515">
        <f>N14-O14</f>
        <v>227917.00467641</v>
      </c>
      <c r="Q14" s="514">
        <f>Actuals!H14</f>
        <v>-5610911.85</v>
      </c>
      <c r="R14" s="514">
        <f>'Reforecast Q1 2026'!H14</f>
        <v>-4314673.98179329</v>
      </c>
      <c r="S14" s="515">
        <f>Q14-R14</f>
        <v>-1296237.86820671</v>
      </c>
      <c r="T14" s="514">
        <f>SUM(Actuals!$C14:$H14)</f>
        <v>-19191057.86</v>
      </c>
      <c r="U14" s="514">
        <f>SUM('Reforecast Q1 2026'!$C14:$H14)</f>
        <v>-18863219.9305037</v>
      </c>
      <c r="V14" s="515">
        <f>T14-U14</f>
        <v>-327837.929496281</v>
      </c>
    </row>
    <row r="15" ht="15" customFormat="1" customHeight="1" s="381">
      <c r="A15" s="513" t="inlineStr">
        <is>
          <t>Bonding Revenue</t>
        </is>
      </c>
      <c r="B15" s="514">
        <f>Actuals!C15</f>
        <v>0</v>
      </c>
      <c r="C15" s="514">
        <f>'Reforecast Q1 2026'!C15</f>
        <v>0</v>
      </c>
      <c r="D15" s="515">
        <f>B15-C15</f>
        <v>0</v>
      </c>
      <c r="E15" s="514">
        <f>Actuals!D15</f>
        <v>0</v>
      </c>
      <c r="F15" s="514">
        <f>'Reforecast Q1 2026'!D15</f>
        <v>0</v>
      </c>
      <c r="G15" s="515">
        <f>E15-F15</f>
        <v>0</v>
      </c>
      <c r="H15" s="514">
        <f>Actuals!E15</f>
        <v>0</v>
      </c>
      <c r="I15" s="514">
        <f>'Reforecast Q1 2026'!E15</f>
        <v>0</v>
      </c>
      <c r="J15" s="515">
        <f>H15-I15</f>
        <v>0</v>
      </c>
      <c r="K15" s="514">
        <f>Actuals!F15</f>
        <v>0</v>
      </c>
      <c r="L15" s="514">
        <f>'Reforecast Q1 2026'!F15</f>
        <v>0</v>
      </c>
      <c r="M15" s="515">
        <f>K15-L15</f>
        <v>0</v>
      </c>
      <c r="N15" s="514">
        <f>Actuals!G15</f>
        <v>0</v>
      </c>
      <c r="O15" s="514">
        <f>'Reforecast Q1 2026'!G15</f>
        <v>0</v>
      </c>
      <c r="P15" s="515">
        <f>N15-O15</f>
        <v>0</v>
      </c>
      <c r="Q15" s="514">
        <f>Actuals!H15</f>
        <v>0</v>
      </c>
      <c r="R15" s="514">
        <f>'Reforecast Q1 2026'!H15</f>
        <v>0</v>
      </c>
      <c r="S15" s="515">
        <f>Q15-R15</f>
        <v>0</v>
      </c>
      <c r="T15" s="514">
        <f>SUM(Actuals!$C15:$H15)</f>
        <v>0</v>
      </c>
      <c r="U15" s="514">
        <f>SUM('Reforecast Q1 2026'!$C15:$H15)</f>
        <v>0</v>
      </c>
      <c r="V15" s="515">
        <f>T15-U15</f>
        <v>0</v>
      </c>
    </row>
    <row r="16" ht="15" customFormat="1" customHeight="1" s="381">
      <c r="A16" s="513" t="inlineStr">
        <is>
          <t>Bonding Costs</t>
        </is>
      </c>
      <c r="B16" s="514">
        <f>Actuals!C16</f>
        <v>-1966.5</v>
      </c>
      <c r="C16" s="514">
        <f>'Reforecast Q1 2026'!C16</f>
        <v>-1966.5</v>
      </c>
      <c r="D16" s="515">
        <f>B16-C16</f>
        <v>0</v>
      </c>
      <c r="E16" s="514">
        <f>Actuals!D16</f>
        <v>0</v>
      </c>
      <c r="F16" s="514">
        <f>'Reforecast Q1 2026'!D16</f>
        <v>0</v>
      </c>
      <c r="G16" s="515">
        <f>E16-F16</f>
        <v>0</v>
      </c>
      <c r="H16" s="514">
        <f>Actuals!E16</f>
        <v>0</v>
      </c>
      <c r="I16" s="514">
        <f>'Reforecast Q1 2026'!E16</f>
        <v>0</v>
      </c>
      <c r="J16" s="515">
        <f>H16-I16</f>
        <v>0</v>
      </c>
      <c r="K16" s="514">
        <f>Actuals!F16</f>
        <v>0</v>
      </c>
      <c r="L16" s="514">
        <f>'Reforecast Q1 2026'!F16</f>
        <v>0</v>
      </c>
      <c r="M16" s="515">
        <f>K16-L16</f>
        <v>0</v>
      </c>
      <c r="N16" s="514">
        <f>Actuals!G16</f>
        <v>0</v>
      </c>
      <c r="O16" s="514">
        <f>'Reforecast Q1 2026'!G16</f>
        <v>0</v>
      </c>
      <c r="P16" s="515">
        <f>N16-O16</f>
        <v>0</v>
      </c>
      <c r="Q16" s="514">
        <f>Actuals!H16</f>
        <v>0</v>
      </c>
      <c r="R16" s="514">
        <f>'Reforecast Q1 2026'!H16</f>
        <v>0</v>
      </c>
      <c r="S16" s="515">
        <f>Q16-R16</f>
        <v>0</v>
      </c>
      <c r="T16" s="514">
        <f>SUM(Actuals!$C16:$H16)</f>
        <v>-1966.5</v>
      </c>
      <c r="U16" s="514">
        <f>SUM('Reforecast Q1 2026'!$C16:$H16)</f>
        <v>-1966.5</v>
      </c>
      <c r="V16" s="515">
        <f>T16-U16</f>
        <v>0</v>
      </c>
    </row>
    <row r="17" ht="15" customFormat="1" customHeight="1" s="381">
      <c r="A17" s="516" t="inlineStr">
        <is>
          <t>Gross Profit</t>
        </is>
      </c>
      <c r="B17" s="517">
        <f>Actuals!C17</f>
        <v>218756.86</v>
      </c>
      <c r="C17" s="517">
        <f>'Reforecast Q1 2026'!C17</f>
        <v>218752.81</v>
      </c>
      <c r="D17" s="518">
        <f>B17-C17</f>
        <v>4.05000000004657</v>
      </c>
      <c r="E17" s="517">
        <f>Actuals!D17</f>
        <v>-51000.77</v>
      </c>
      <c r="F17" s="517">
        <f>'Reforecast Q1 2026'!D17</f>
        <v>-51003.4699999997</v>
      </c>
      <c r="G17" s="518">
        <f>E17-F17</f>
        <v>2.6999999997206</v>
      </c>
      <c r="H17" s="517">
        <f>Actuals!E17</f>
        <v>594184.52</v>
      </c>
      <c r="I17" s="517">
        <f>'Reforecast Q1 2026'!E17</f>
        <v>594184.52</v>
      </c>
      <c r="J17" s="518">
        <f>H17-I17</f>
        <v>0</v>
      </c>
      <c r="K17" s="517">
        <f>Actuals!F17</f>
        <v>447358.25</v>
      </c>
      <c r="L17" s="517">
        <f>'Reforecast Q1 2026'!F17</f>
        <v>468885.062220243</v>
      </c>
      <c r="M17" s="518">
        <f>K17-L17</f>
        <v>-21526.8122202423</v>
      </c>
      <c r="N17" s="517">
        <f>Actuals!G17</f>
        <v>465536.7</v>
      </c>
      <c r="O17" s="517">
        <f>'Reforecast Q1 2026'!G17</f>
        <v>468885.061577853</v>
      </c>
      <c r="P17" s="518">
        <f>N17-O17</f>
        <v>-3348.36157785356</v>
      </c>
      <c r="Q17" s="517">
        <f>Actuals!H17</f>
        <v>641351.130000001</v>
      </c>
      <c r="R17" s="517">
        <f>'Reforecast Q1 2026'!H17</f>
        <v>468885.064460973</v>
      </c>
      <c r="S17" s="518">
        <f>Q17-R17</f>
        <v>172466.065539028</v>
      </c>
      <c r="T17" s="517">
        <f>SUM(Actuals!$C17:$H17)</f>
        <v>2316186.69</v>
      </c>
      <c r="U17" s="517">
        <f>SUM('Reforecast Q1 2026'!$C17:$H17)</f>
        <v>2168589.04825907</v>
      </c>
      <c r="V17" s="518">
        <f>T17-U17</f>
        <v>147597.641740931</v>
      </c>
    </row>
    <row r="18" ht="15" customFormat="1" customHeight="1" s="381">
      <c r="A18" s="513" t="inlineStr">
        <is>
          <t>GC Gross Profit Margin %</t>
        </is>
      </c>
      <c r="B18" s="519">
        <f>Actuals!C18</f>
        <v>0.150473411652305</v>
      </c>
      <c r="C18" s="519">
        <f>'Reforecast Q1 2026'!C18</f>
        <v>0.150471045017236</v>
      </c>
      <c r="D18" s="520">
        <f>B18-C18</f>
        <v>2.36663506975043e-06</v>
      </c>
      <c r="E18" s="519">
        <f>Actuals!D18</f>
        <v>-0.0168735833579273</v>
      </c>
      <c r="F18" s="519">
        <f>'Reforecast Q1 2026'!D18</f>
        <v>-0.0168744917256745</v>
      </c>
      <c r="G18" s="520">
        <f>E18-F18</f>
        <v>9.08367747132211e-07</v>
      </c>
      <c r="H18" s="519">
        <f>Actuals!E18</f>
        <v>0.222356457869786</v>
      </c>
      <c r="I18" s="519">
        <f>'Reforecast Q1 2026'!E18</f>
        <v>0.222356457869786</v>
      </c>
      <c r="J18" s="520">
        <f>H18-I18</f>
        <v>0</v>
      </c>
      <c r="K18" s="519">
        <f>Actuals!F18</f>
        <v>0.121157878546931</v>
      </c>
      <c r="L18" s="519">
        <f>'Reforecast Q1 2026'!F18</f>
        <v>0.105264113664828</v>
      </c>
      <c r="M18" s="520">
        <f>K18-L18</f>
        <v>0.0158937648821024</v>
      </c>
      <c r="N18" s="519">
        <f>Actuals!G18</f>
        <v>0.105418977135063</v>
      </c>
      <c r="O18" s="519">
        <f>'Reforecast Q1 2026'!G18</f>
        <v>0.100893494681087</v>
      </c>
      <c r="P18" s="520">
        <f>N18-O18</f>
        <v>0.00452548245397579</v>
      </c>
      <c r="Q18" s="519">
        <f>Actuals!H18</f>
        <v>0.1025790393097</v>
      </c>
      <c r="R18" s="519">
        <f>'Reforecast Q1 2026'!H18</f>
        <v>0.0980201268401047</v>
      </c>
      <c r="S18" s="520">
        <f>Q18-R18</f>
        <v>0.00455891246959507</v>
      </c>
      <c r="T18" s="519">
        <f>IFERROR(T17/T13,0)</f>
        <v>0.107683479631858</v>
      </c>
      <c r="U18" s="519">
        <f>IFERROR(U17/U13,0)</f>
        <v>0.10310032311834</v>
      </c>
      <c r="V18" s="520">
        <f>T18-U18</f>
        <v>0.00458315651351712</v>
      </c>
    </row>
    <row r="21" ht="15" customFormat="1" customHeight="1" s="381">
      <c r="A21" s="513" t="inlineStr">
        <is>
          <t>5000-1000 Payroll</t>
        </is>
      </c>
      <c r="B21" s="514">
        <f>Actuals!C21</f>
        <v>-144550.9</v>
      </c>
      <c r="C21" s="514">
        <f>'Reforecast Q1 2026'!C21</f>
        <v>-144550.9</v>
      </c>
      <c r="D21" s="515">
        <f>B21-C21</f>
        <v>0</v>
      </c>
      <c r="E21" s="514">
        <f>Actuals!D21</f>
        <v>-150672.84</v>
      </c>
      <c r="F21" s="514">
        <f>'Reforecast Q1 2026'!D21</f>
        <v>-150672.84</v>
      </c>
      <c r="G21" s="515">
        <f>E21-F21</f>
        <v>0</v>
      </c>
      <c r="H21" s="514">
        <f>Actuals!E21</f>
        <v>-178867.86</v>
      </c>
      <c r="I21" s="514">
        <f>'Reforecast Q1 2026'!E21</f>
        <v>-178867.86</v>
      </c>
      <c r="J21" s="515">
        <f>H21-I21</f>
        <v>0</v>
      </c>
      <c r="K21" s="514">
        <f>Actuals!F21</f>
        <v>-187693.63</v>
      </c>
      <c r="L21" s="514">
        <f>'Reforecast Q1 2026'!F21</f>
        <v>-164791.666666667</v>
      </c>
      <c r="M21" s="515">
        <f>K21-L21</f>
        <v>-22901.963333333</v>
      </c>
      <c r="N21" s="514">
        <f>Actuals!G21</f>
        <v>-295949.1</v>
      </c>
      <c r="O21" s="514">
        <f>'Reforecast Q1 2026'!G21</f>
        <v>-189375</v>
      </c>
      <c r="P21" s="515">
        <f>N21-O21</f>
        <v>-106574.1</v>
      </c>
      <c r="Q21" s="514">
        <f>Actuals!H21</f>
        <v>-198645.92</v>
      </c>
      <c r="R21" s="514">
        <f>'Reforecast Q1 2026'!H21</f>
        <v>-214375</v>
      </c>
      <c r="S21" s="515">
        <f>Q21-R21</f>
        <v>15729.08</v>
      </c>
      <c r="T21" s="514">
        <f>SUM(Actuals!$C21:$H21)</f>
        <v>-1156380.25</v>
      </c>
      <c r="U21" s="514">
        <f>SUM('Reforecast Q1 2026'!$C21:$H21)</f>
        <v>-1042633.26666667</v>
      </c>
      <c r="V21" s="515">
        <f>T21-U21</f>
        <v>-113746.983333333</v>
      </c>
    </row>
    <row r="22" ht="15" customFormat="1" customHeight="1" s="381">
      <c r="A22" s="513" t="inlineStr">
        <is>
          <t>5000-1001 Payroll Taxes</t>
        </is>
      </c>
      <c r="B22" s="514">
        <f>Actuals!C22</f>
        <v>-7450.37</v>
      </c>
      <c r="C22" s="514">
        <f>'Reforecast Q1 2026'!C22</f>
        <v>-7450.37</v>
      </c>
      <c r="D22" s="515">
        <f>B22-C22</f>
        <v>0</v>
      </c>
      <c r="E22" s="514">
        <f>Actuals!D22</f>
        <v>-10567.2</v>
      </c>
      <c r="F22" s="514">
        <f>'Reforecast Q1 2026'!D22</f>
        <v>-10567.2</v>
      </c>
      <c r="G22" s="515">
        <f>E22-F22</f>
        <v>0</v>
      </c>
      <c r="H22" s="514">
        <f>Actuals!E22</f>
        <v>-17033.3</v>
      </c>
      <c r="I22" s="514">
        <f>'Reforecast Q1 2026'!E22</f>
        <v>-17033.3</v>
      </c>
      <c r="J22" s="515">
        <f>H22-I22</f>
        <v>0</v>
      </c>
      <c r="K22" s="514">
        <f>Actuals!F22</f>
        <v>-14599.57</v>
      </c>
      <c r="L22" s="514">
        <f>'Reforecast Q1 2026'!F22</f>
        <v>-15327.0833333333</v>
      </c>
      <c r="M22" s="515">
        <f>K22-L22</f>
        <v>727.5133333333</v>
      </c>
      <c r="N22" s="514">
        <f>Actuals!G22</f>
        <v>-23689.02</v>
      </c>
      <c r="O22" s="514">
        <f>'Reforecast Q1 2026'!G22</f>
        <v>-17047.9166666667</v>
      </c>
      <c r="P22" s="515">
        <f>N22-O22</f>
        <v>-6641.1033333333</v>
      </c>
      <c r="Q22" s="514">
        <f>Actuals!H22</f>
        <v>-14793.67</v>
      </c>
      <c r="R22" s="514">
        <f>'Reforecast Q1 2026'!H22</f>
        <v>-18797.9166666667</v>
      </c>
      <c r="S22" s="515">
        <f>Q22-R22</f>
        <v>4004.2466666667</v>
      </c>
      <c r="T22" s="514">
        <f>SUM(Actuals!$C22:$H22)</f>
        <v>-88133.13</v>
      </c>
      <c r="U22" s="514">
        <f>SUM('Reforecast Q1 2026'!$C22:$H22)</f>
        <v>-86223.7866666667</v>
      </c>
      <c r="V22" s="515">
        <f>T22-U22</f>
        <v>-1909.34333333331</v>
      </c>
    </row>
    <row r="23" ht="15" customFormat="1" customHeight="1" s="381">
      <c r="A23" s="513" t="inlineStr">
        <is>
          <t>SP Allocated to LV</t>
        </is>
      </c>
      <c r="B23" s="514">
        <f>Actuals!C23</f>
        <v>0</v>
      </c>
      <c r="C23" s="514">
        <f>'Reforecast Q1 2026'!C23</f>
        <v>0</v>
      </c>
      <c r="D23" s="515">
        <f>B23-C23</f>
        <v>0</v>
      </c>
      <c r="E23" s="514">
        <f>Actuals!D23</f>
        <v>0</v>
      </c>
      <c r="F23" s="514">
        <f>'Reforecast Q1 2026'!D23</f>
        <v>0</v>
      </c>
      <c r="G23" s="515">
        <f>E23-F23</f>
        <v>0</v>
      </c>
      <c r="H23" s="514">
        <f>Actuals!E23</f>
        <v>0</v>
      </c>
      <c r="I23" s="514">
        <f>'Reforecast Q1 2026'!E23</f>
        <v>0</v>
      </c>
      <c r="J23" s="515">
        <f>H23-I23</f>
        <v>0</v>
      </c>
      <c r="K23" s="514">
        <f>Actuals!F23</f>
        <v>0</v>
      </c>
      <c r="L23" s="514">
        <f>'Reforecast Q1 2026'!F23</f>
        <v>-103833.333333333</v>
      </c>
      <c r="M23" s="515">
        <f>K23-L23</f>
        <v>103833.333333333</v>
      </c>
      <c r="N23" s="514">
        <f>Actuals!G23</f>
        <v>0</v>
      </c>
      <c r="O23" s="514">
        <f>'Reforecast Q1 2026'!G23</f>
        <v>-103833.333333333</v>
      </c>
      <c r="P23" s="515">
        <f>N23-O23</f>
        <v>103833.333333333</v>
      </c>
      <c r="Q23" s="514">
        <f>Actuals!H23</f>
        <v>0</v>
      </c>
      <c r="R23" s="514">
        <f>'Reforecast Q1 2026'!H23</f>
        <v>-103833.333333333</v>
      </c>
      <c r="S23" s="515">
        <f>Q23-R23</f>
        <v>103833.333333333</v>
      </c>
      <c r="T23" s="514">
        <f>SUM(Actuals!$C23:$H23)</f>
        <v>0</v>
      </c>
      <c r="U23" s="514">
        <f>SUM('Reforecast Q1 2026'!$C23:$H23)</f>
        <v>-311499.999999999</v>
      </c>
      <c r="V23" s="515">
        <f>T23-U23</f>
        <v>311499.999999999</v>
      </c>
    </row>
    <row r="24" ht="15" customFormat="1" customHeight="1" s="381">
      <c r="A24" s="513" t="inlineStr">
        <is>
          <t>5000-1002 Employee Benefits</t>
        </is>
      </c>
      <c r="B24" s="514">
        <f>Actuals!C24</f>
        <v>-9482.97</v>
      </c>
      <c r="C24" s="514">
        <f>'Reforecast Q1 2026'!C24</f>
        <v>-9482.97</v>
      </c>
      <c r="D24" s="515">
        <f>B24-C24</f>
        <v>0</v>
      </c>
      <c r="E24" s="514">
        <f>Actuals!D24</f>
        <v>-10343.29</v>
      </c>
      <c r="F24" s="514">
        <f>'Reforecast Q1 2026'!D24</f>
        <v>-10343.29</v>
      </c>
      <c r="G24" s="515">
        <f>E24-F24</f>
        <v>0</v>
      </c>
      <c r="H24" s="514">
        <f>Actuals!E24</f>
        <v>-3729.48</v>
      </c>
      <c r="I24" s="514">
        <f>'Reforecast Q1 2026'!E24</f>
        <v>-3729.48</v>
      </c>
      <c r="J24" s="515">
        <f>H24-I24</f>
        <v>0</v>
      </c>
      <c r="K24" s="514">
        <f>Actuals!F24</f>
        <v>-3206.79</v>
      </c>
      <c r="L24" s="514">
        <f>'Reforecast Q1 2026'!F24</f>
        <v>-10947.9166666667</v>
      </c>
      <c r="M24" s="515">
        <f>K24-L24</f>
        <v>7741.1266666667</v>
      </c>
      <c r="N24" s="514">
        <f>Actuals!G24</f>
        <v>10942.55</v>
      </c>
      <c r="O24" s="514">
        <f>'Reforecast Q1 2026'!G24</f>
        <v>-12177.0833333333</v>
      </c>
      <c r="P24" s="515">
        <f>N24-O24</f>
        <v>23119.6333333333</v>
      </c>
      <c r="Q24" s="514">
        <f>Actuals!H24</f>
        <v>-8982.91</v>
      </c>
      <c r="R24" s="514">
        <f>'Reforecast Q1 2026'!H24</f>
        <v>-13427.0833333333</v>
      </c>
      <c r="S24" s="515">
        <f>Q24-R24</f>
        <v>4444.1733333333</v>
      </c>
      <c r="T24" s="514">
        <f>SUM(Actuals!$C24:$H24)</f>
        <v>-24802.89</v>
      </c>
      <c r="U24" s="514">
        <f>SUM('Reforecast Q1 2026'!$C24:$H24)</f>
        <v>-60107.8233333333</v>
      </c>
      <c r="V24" s="515">
        <f>T24-U24</f>
        <v>35304.9333333333</v>
      </c>
    </row>
    <row r="25" ht="15" customFormat="1" customHeight="1" s="381">
      <c r="A25" s="513" t="inlineStr">
        <is>
          <t>5000-1003 Workers Comp</t>
        </is>
      </c>
      <c r="B25" s="514">
        <f>Actuals!C25</f>
        <v>-2542.47</v>
      </c>
      <c r="C25" s="514">
        <f>'Reforecast Q1 2026'!C25</f>
        <v>-2542.47</v>
      </c>
      <c r="D25" s="515">
        <f>B25-C25</f>
        <v>0</v>
      </c>
      <c r="E25" s="514">
        <f>Actuals!D25</f>
        <v>-1618.75</v>
      </c>
      <c r="F25" s="514">
        <f>'Reforecast Q1 2026'!D25</f>
        <v>-1618.75</v>
      </c>
      <c r="G25" s="515">
        <f>E25-F25</f>
        <v>0</v>
      </c>
      <c r="H25" s="514">
        <f>Actuals!E25</f>
        <v>3406.77</v>
      </c>
      <c r="I25" s="514">
        <f>'Reforecast Q1 2026'!E25</f>
        <v>3406.77</v>
      </c>
      <c r="J25" s="515">
        <f>H25-I25</f>
        <v>0</v>
      </c>
      <c r="K25" s="514">
        <f>Actuals!F25</f>
        <v>2575.42</v>
      </c>
      <c r="L25" s="514">
        <f>'Reforecast Q1 2026'!F25</f>
        <v>-4379.16666666667</v>
      </c>
      <c r="M25" s="515">
        <f>K25-L25</f>
        <v>6954.58666666667</v>
      </c>
      <c r="N25" s="514">
        <f>Actuals!G25</f>
        <v>-1896.11</v>
      </c>
      <c r="O25" s="514">
        <f>'Reforecast Q1 2026'!G25</f>
        <v>-4870.83333333333</v>
      </c>
      <c r="P25" s="515">
        <f>N25-O25</f>
        <v>2974.72333333333</v>
      </c>
      <c r="Q25" s="514">
        <f>Actuals!H25</f>
        <v>-2888.37</v>
      </c>
      <c r="R25" s="514">
        <f>'Reforecast Q1 2026'!H25</f>
        <v>-5370.83333333333</v>
      </c>
      <c r="S25" s="515">
        <f>Q25-R25</f>
        <v>2482.46333333333</v>
      </c>
      <c r="T25" s="514">
        <f>SUM(Actuals!$C25:$H25)</f>
        <v>-2963.51</v>
      </c>
      <c r="U25" s="514">
        <f>SUM('Reforecast Q1 2026'!$C25:$H25)</f>
        <v>-15375.2833333333</v>
      </c>
      <c r="V25" s="515">
        <f>T25-U25</f>
        <v>12411.7733333333</v>
      </c>
    </row>
    <row r="26" ht="15" customFormat="1" customHeight="1" s="381">
      <c r="A26" s="513" t="inlineStr">
        <is>
          <t>5000-1005 Payroll Servicing Fees</t>
        </is>
      </c>
      <c r="B26" s="514">
        <f>Actuals!C26</f>
        <v>-195</v>
      </c>
      <c r="C26" s="514">
        <f>'Reforecast Q1 2026'!C26</f>
        <v>-195</v>
      </c>
      <c r="D26" s="515">
        <f>B26-C26</f>
        <v>0</v>
      </c>
      <c r="E26" s="514">
        <f>Actuals!D26</f>
        <v>-200</v>
      </c>
      <c r="F26" s="514">
        <f>'Reforecast Q1 2026'!D26</f>
        <v>-200</v>
      </c>
      <c r="G26" s="515">
        <f>E26-F26</f>
        <v>0</v>
      </c>
      <c r="H26" s="514">
        <f>Actuals!E26</f>
        <v>0</v>
      </c>
      <c r="I26" s="514">
        <f>'Reforecast Q1 2026'!E26</f>
        <v>0</v>
      </c>
      <c r="J26" s="515">
        <f>H26-I26</f>
        <v>0</v>
      </c>
      <c r="K26" s="514">
        <f>Actuals!F26</f>
        <v>0</v>
      </c>
      <c r="L26" s="514">
        <f>'Reforecast Q1 2026'!F26</f>
        <v>-1094.79166666667</v>
      </c>
      <c r="M26" s="515">
        <f>K26-L26</f>
        <v>1094.79166666667</v>
      </c>
      <c r="N26" s="514">
        <f>Actuals!G26</f>
        <v>0</v>
      </c>
      <c r="O26" s="514">
        <f>'Reforecast Q1 2026'!G26</f>
        <v>-1217.70833333333</v>
      </c>
      <c r="P26" s="515">
        <f>N26-O26</f>
        <v>1217.70833333333</v>
      </c>
      <c r="Q26" s="514">
        <f>Actuals!H26</f>
        <v>0</v>
      </c>
      <c r="R26" s="514">
        <f>'Reforecast Q1 2026'!H26</f>
        <v>-1342.70833333333</v>
      </c>
      <c r="S26" s="515">
        <f>Q26-R26</f>
        <v>1342.70833333333</v>
      </c>
      <c r="T26" s="514">
        <f>SUM(Actuals!$C26:$H26)</f>
        <v>-395</v>
      </c>
      <c r="U26" s="514">
        <f>SUM('Reforecast Q1 2026'!$C26:$H26)</f>
        <v>-4050.20833333333</v>
      </c>
      <c r="V26" s="515">
        <f>T26-U26</f>
        <v>3655.20833333333</v>
      </c>
    </row>
    <row r="27" ht="15" customFormat="1" customHeight="1" s="381">
      <c r="A27" s="513" t="inlineStr">
        <is>
          <t>5000-1007 Payroll - Consultants</t>
        </is>
      </c>
      <c r="B27" s="514">
        <f>Actuals!C27</f>
        <v>-33002.28</v>
      </c>
      <c r="C27" s="514">
        <f>'Reforecast Q1 2026'!C27</f>
        <v>-33002.28</v>
      </c>
      <c r="D27" s="515">
        <f>B27-C27</f>
        <v>0</v>
      </c>
      <c r="E27" s="514">
        <f>Actuals!D27</f>
        <v>-29166.66</v>
      </c>
      <c r="F27" s="514">
        <f>'Reforecast Q1 2026'!D27</f>
        <v>-29166.66</v>
      </c>
      <c r="G27" s="515">
        <f>E27-F27</f>
        <v>0</v>
      </c>
      <c r="H27" s="514">
        <f>Actuals!E27</f>
        <v>-41666.66</v>
      </c>
      <c r="I27" s="514">
        <f>'Reforecast Q1 2026'!E27</f>
        <v>-41666.66</v>
      </c>
      <c r="J27" s="515">
        <f>H27-I27</f>
        <v>0</v>
      </c>
      <c r="K27" s="514">
        <f>Actuals!F27</f>
        <v>-29166.66</v>
      </c>
      <c r="L27" s="514">
        <f>'Reforecast Q1 2026'!F27</f>
        <v>-29166.66</v>
      </c>
      <c r="M27" s="515">
        <f>K27-L27</f>
        <v>0</v>
      </c>
      <c r="N27" s="514">
        <f>Actuals!G27</f>
        <v>-29166.66</v>
      </c>
      <c r="O27" s="514">
        <f>'Reforecast Q1 2026'!G27</f>
        <v>-29166.66</v>
      </c>
      <c r="P27" s="515">
        <f>N27-O27</f>
        <v>0</v>
      </c>
      <c r="Q27" s="514">
        <f>Actuals!H27</f>
        <v>-29166.66</v>
      </c>
      <c r="R27" s="514">
        <f>'Reforecast Q1 2026'!H27</f>
        <v>-29166.66</v>
      </c>
      <c r="S27" s="515">
        <f>Q27-R27</f>
        <v>0</v>
      </c>
      <c r="T27" s="514">
        <f>SUM(Actuals!$C27:$H27)</f>
        <v>-191335.58</v>
      </c>
      <c r="U27" s="514">
        <f>SUM('Reforecast Q1 2026'!$C27:$H27)</f>
        <v>-191335.58</v>
      </c>
      <c r="V27" s="515">
        <f>T27-U27</f>
        <v>0</v>
      </c>
    </row>
    <row r="28" ht="15" customFormat="1" customHeight="1" s="381">
      <c r="A28" s="513" t="inlineStr">
        <is>
          <t>5000-1018 Payroll - Self Performed Trades</t>
        </is>
      </c>
      <c r="B28" s="514">
        <f>Actuals!C28</f>
        <v>0</v>
      </c>
      <c r="C28" s="514">
        <f>'Reforecast Q1 2026'!C28</f>
        <v>0</v>
      </c>
      <c r="D28" s="515">
        <f>B28-C28</f>
        <v>0</v>
      </c>
      <c r="E28" s="514">
        <f>Actuals!D28</f>
        <v>0</v>
      </c>
      <c r="F28" s="514">
        <f>'Reforecast Q1 2026'!D28</f>
        <v>0</v>
      </c>
      <c r="G28" s="515">
        <f>E28-F28</f>
        <v>0</v>
      </c>
      <c r="H28" s="514">
        <f>Actuals!E28</f>
        <v>0</v>
      </c>
      <c r="I28" s="514">
        <f>'Reforecast Q1 2026'!E28</f>
        <v>0</v>
      </c>
      <c r="J28" s="515">
        <f>H28-I28</f>
        <v>0</v>
      </c>
      <c r="K28" s="514">
        <f>Actuals!F28</f>
        <v>251304.48</v>
      </c>
      <c r="L28" s="514">
        <f>'Reforecast Q1 2026'!F28</f>
        <v>0</v>
      </c>
      <c r="M28" s="515">
        <f>K28-L28</f>
        <v>251304.48</v>
      </c>
      <c r="N28" s="514">
        <f>Actuals!G28</f>
        <v>81510</v>
      </c>
      <c r="O28" s="514">
        <f>'Reforecast Q1 2026'!G28</f>
        <v>0</v>
      </c>
      <c r="P28" s="515">
        <f>N28-O28</f>
        <v>81510</v>
      </c>
      <c r="Q28" s="514">
        <f>Actuals!H28</f>
        <v>0</v>
      </c>
      <c r="R28" s="514">
        <f>'Reforecast Q1 2026'!H28</f>
        <v>0</v>
      </c>
      <c r="S28" s="515">
        <f>Q28-R28</f>
        <v>0</v>
      </c>
      <c r="T28" s="514">
        <f>SUM(Actuals!$C28:$H28)</f>
        <v>332814.48</v>
      </c>
      <c r="U28" s="514">
        <f>SUM('Reforecast Q1 2026'!$C28:$H28)</f>
        <v>0</v>
      </c>
      <c r="V28" s="515">
        <f>T28-U28</f>
        <v>332814.48</v>
      </c>
    </row>
    <row r="29" ht="15" customFormat="1" customHeight="1" s="381">
      <c r="A29" s="513" t="inlineStr">
        <is>
          <t>5100-1000 Rent Expense</t>
        </is>
      </c>
      <c r="B29" s="514">
        <f>Actuals!C29</f>
        <v>-10400</v>
      </c>
      <c r="C29" s="514">
        <f>'Reforecast Q1 2026'!C29</f>
        <v>-10400</v>
      </c>
      <c r="D29" s="515">
        <f>B29-C29</f>
        <v>0</v>
      </c>
      <c r="E29" s="514">
        <f>Actuals!D29</f>
        <v>-10400</v>
      </c>
      <c r="F29" s="514">
        <f>'Reforecast Q1 2026'!D29</f>
        <v>-10400</v>
      </c>
      <c r="G29" s="515">
        <f>E29-F29</f>
        <v>0</v>
      </c>
      <c r="H29" s="514">
        <f>Actuals!E29</f>
        <v>-400</v>
      </c>
      <c r="I29" s="514">
        <f>'Reforecast Q1 2026'!E29</f>
        <v>-400</v>
      </c>
      <c r="J29" s="515">
        <f>H29-I29</f>
        <v>0</v>
      </c>
      <c r="K29" s="514">
        <f>Actuals!F29</f>
        <v>-10400</v>
      </c>
      <c r="L29" s="514">
        <f>'Reforecast Q1 2026'!F29</f>
        <v>-10400</v>
      </c>
      <c r="M29" s="515">
        <f>K29-L29</f>
        <v>0</v>
      </c>
      <c r="N29" s="514">
        <f>Actuals!G29</f>
        <v>-20400</v>
      </c>
      <c r="O29" s="514">
        <f>'Reforecast Q1 2026'!G29</f>
        <v>-10400</v>
      </c>
      <c r="P29" s="515">
        <f>N29-O29</f>
        <v>-10000</v>
      </c>
      <c r="Q29" s="514">
        <f>Actuals!H29</f>
        <v>-20405</v>
      </c>
      <c r="R29" s="514">
        <f>'Reforecast Q1 2026'!H29</f>
        <v>-10400</v>
      </c>
      <c r="S29" s="515">
        <f>Q29-R29</f>
        <v>-10005</v>
      </c>
      <c r="T29" s="514">
        <f>SUM(Actuals!$C29:$H29)</f>
        <v>-72405</v>
      </c>
      <c r="U29" s="514">
        <f>SUM('Reforecast Q1 2026'!$C29:$H29)</f>
        <v>-52400</v>
      </c>
      <c r="V29" s="515">
        <f>T29-U29</f>
        <v>-20005</v>
      </c>
    </row>
    <row r="30" ht="15" customFormat="1" customHeight="1" s="381">
      <c r="A30" s="513" t="inlineStr">
        <is>
          <t>5200-1000 Office Supplies and Expenses</t>
        </is>
      </c>
      <c r="B30" s="514">
        <f>Actuals!C30</f>
        <v>-1988</v>
      </c>
      <c r="C30" s="514">
        <f>'Reforecast Q1 2026'!C30</f>
        <v>-1988</v>
      </c>
      <c r="D30" s="515">
        <f>B30-C30</f>
        <v>0</v>
      </c>
      <c r="E30" s="514">
        <f>Actuals!D30</f>
        <v>-955.32</v>
      </c>
      <c r="F30" s="514">
        <f>'Reforecast Q1 2026'!D30</f>
        <v>-955.32</v>
      </c>
      <c r="G30" s="515">
        <f>E30-F30</f>
        <v>0</v>
      </c>
      <c r="H30" s="514">
        <f>Actuals!E30</f>
        <v>-9130.61</v>
      </c>
      <c r="I30" s="514">
        <f>'Reforecast Q1 2026'!E30</f>
        <v>-9130.61</v>
      </c>
      <c r="J30" s="515">
        <f>H30-I30</f>
        <v>0</v>
      </c>
      <c r="K30" s="514">
        <f>Actuals!F30</f>
        <v>-1028.89</v>
      </c>
      <c r="L30" s="514">
        <f>'Reforecast Q1 2026'!F30</f>
        <v>-4024.64</v>
      </c>
      <c r="M30" s="515">
        <f>K30-L30</f>
        <v>2995.75</v>
      </c>
      <c r="N30" s="514">
        <f>Actuals!G30</f>
        <v>-7005.14</v>
      </c>
      <c r="O30" s="514">
        <f>'Reforecast Q1 2026'!G30</f>
        <v>-4024.64</v>
      </c>
      <c r="P30" s="515">
        <f>N30-O30</f>
        <v>-2980.5</v>
      </c>
      <c r="Q30" s="514">
        <f>Actuals!H30</f>
        <v>-4121.06</v>
      </c>
      <c r="R30" s="514">
        <f>'Reforecast Q1 2026'!H30</f>
        <v>-4024.64</v>
      </c>
      <c r="S30" s="515">
        <f>Q30-R30</f>
        <v>-96.4200000000005</v>
      </c>
      <c r="T30" s="514">
        <f>SUM(Actuals!$C30:$H30)</f>
        <v>-24229.02</v>
      </c>
      <c r="U30" s="514">
        <f>SUM('Reforecast Q1 2026'!$C30:$H30)</f>
        <v>-24147.85</v>
      </c>
      <c r="V30" s="515">
        <f>T30-U30</f>
        <v>-81.1700000000055</v>
      </c>
    </row>
    <row r="31" ht="15" customFormat="1" customHeight="1" s="381">
      <c r="A31" s="513" t="inlineStr">
        <is>
          <t>5200-1002 Printing and Reproduction</t>
        </is>
      </c>
      <c r="B31" s="514">
        <f>Actuals!C31</f>
        <v>0</v>
      </c>
      <c r="C31" s="514">
        <f>'Reforecast Q1 2026'!C31</f>
        <v>0</v>
      </c>
      <c r="D31" s="515">
        <f>B31-C31</f>
        <v>0</v>
      </c>
      <c r="E31" s="514">
        <f>Actuals!D31</f>
        <v>0</v>
      </c>
      <c r="F31" s="514">
        <f>'Reforecast Q1 2026'!D31</f>
        <v>0</v>
      </c>
      <c r="G31" s="515">
        <f>E31-F31</f>
        <v>0</v>
      </c>
      <c r="H31" s="514">
        <f>Actuals!E31</f>
        <v>-1077.38</v>
      </c>
      <c r="I31" s="514">
        <f>'Reforecast Q1 2026'!E31</f>
        <v>-1077.38</v>
      </c>
      <c r="J31" s="515">
        <f>H31-I31</f>
        <v>0</v>
      </c>
      <c r="K31" s="514">
        <f>Actuals!F31</f>
        <v>-211.28</v>
      </c>
      <c r="L31" s="514">
        <f>'Reforecast Q1 2026'!F31</f>
        <v>-359.13</v>
      </c>
      <c r="M31" s="515">
        <f>K31-L31</f>
        <v>147.85</v>
      </c>
      <c r="N31" s="514">
        <f>Actuals!G31</f>
        <v>-1254.17</v>
      </c>
      <c r="O31" s="514">
        <f>'Reforecast Q1 2026'!G31</f>
        <v>-359.13</v>
      </c>
      <c r="P31" s="515">
        <f>N31-O31</f>
        <v>-895.04</v>
      </c>
      <c r="Q31" s="514">
        <f>Actuals!H31</f>
        <v>0</v>
      </c>
      <c r="R31" s="514">
        <f>'Reforecast Q1 2026'!H31</f>
        <v>-359.13</v>
      </c>
      <c r="S31" s="515">
        <f>Q31-R31</f>
        <v>359.13</v>
      </c>
      <c r="T31" s="514">
        <f>SUM(Actuals!$C31:$H31)</f>
        <v>-2542.83</v>
      </c>
      <c r="U31" s="514">
        <f>SUM('Reforecast Q1 2026'!$C31:$H31)</f>
        <v>-2154.77</v>
      </c>
      <c r="V31" s="515">
        <f>T31-U31</f>
        <v>-388.06</v>
      </c>
    </row>
    <row r="32" ht="15" customFormat="1" customHeight="1" s="381">
      <c r="A32" s="513" t="inlineStr">
        <is>
          <t>5200-1050 Computer and IT Expenses</t>
        </is>
      </c>
      <c r="B32" s="514">
        <f>Actuals!C32</f>
        <v>-79</v>
      </c>
      <c r="C32" s="514">
        <f>'Reforecast Q1 2026'!C32</f>
        <v>-79</v>
      </c>
      <c r="D32" s="515">
        <f>B32-C32</f>
        <v>0</v>
      </c>
      <c r="E32" s="514">
        <f>Actuals!D32</f>
        <v>0</v>
      </c>
      <c r="F32" s="514">
        <f>'Reforecast Q1 2026'!D32</f>
        <v>0</v>
      </c>
      <c r="G32" s="515">
        <f>E32-F32</f>
        <v>0</v>
      </c>
      <c r="H32" s="514">
        <f>Actuals!E32</f>
        <v>0</v>
      </c>
      <c r="I32" s="514">
        <f>'Reforecast Q1 2026'!E32</f>
        <v>0</v>
      </c>
      <c r="J32" s="515">
        <f>H32-I32</f>
        <v>0</v>
      </c>
      <c r="K32" s="514">
        <f>Actuals!F32</f>
        <v>0</v>
      </c>
      <c r="L32" s="514">
        <f>'Reforecast Q1 2026'!F32</f>
        <v>-26.33</v>
      </c>
      <c r="M32" s="515">
        <f>K32-L32</f>
        <v>26.33</v>
      </c>
      <c r="N32" s="514">
        <f>Actuals!G32</f>
        <v>0</v>
      </c>
      <c r="O32" s="514">
        <f>'Reforecast Q1 2026'!G32</f>
        <v>-26.33</v>
      </c>
      <c r="P32" s="515">
        <f>N32-O32</f>
        <v>26.33</v>
      </c>
      <c r="Q32" s="514">
        <f>Actuals!H32</f>
        <v>0</v>
      </c>
      <c r="R32" s="514">
        <f>'Reforecast Q1 2026'!H32</f>
        <v>-26.33</v>
      </c>
      <c r="S32" s="515">
        <f>Q32-R32</f>
        <v>26.33</v>
      </c>
      <c r="T32" s="514">
        <f>SUM(Actuals!$C32:$H32)</f>
        <v>-79</v>
      </c>
      <c r="U32" s="514">
        <f>SUM('Reforecast Q1 2026'!$C32:$H32)</f>
        <v>-157.99</v>
      </c>
      <c r="V32" s="515">
        <f>T32-U32</f>
        <v>78.99</v>
      </c>
    </row>
    <row r="33" ht="15" customFormat="1" customHeight="1" s="381">
      <c r="A33" s="513" t="inlineStr">
        <is>
          <t>5200-1053 IT Software and Subscriptions</t>
        </is>
      </c>
      <c r="B33" s="514">
        <f>Actuals!C33</f>
        <v>-3405.64</v>
      </c>
      <c r="C33" s="514">
        <f>'Reforecast Q1 2026'!C33</f>
        <v>-3405.64</v>
      </c>
      <c r="D33" s="515">
        <f>B33-C33</f>
        <v>0</v>
      </c>
      <c r="E33" s="514">
        <f>Actuals!D33</f>
        <v>-5015.38</v>
      </c>
      <c r="F33" s="514">
        <f>'Reforecast Q1 2026'!D33</f>
        <v>-5015.38</v>
      </c>
      <c r="G33" s="515">
        <f>E33-F33</f>
        <v>0</v>
      </c>
      <c r="H33" s="514">
        <f>Actuals!E33</f>
        <v>-7481.39</v>
      </c>
      <c r="I33" s="514">
        <f>'Reforecast Q1 2026'!E33</f>
        <v>-7481.39</v>
      </c>
      <c r="J33" s="515">
        <f>H33-I33</f>
        <v>0</v>
      </c>
      <c r="K33" s="514">
        <f>Actuals!F33</f>
        <v>-5111.12</v>
      </c>
      <c r="L33" s="514">
        <f>'Reforecast Q1 2026'!F33</f>
        <v>-5300.8</v>
      </c>
      <c r="M33" s="515">
        <f>K33-L33</f>
        <v>189.68</v>
      </c>
      <c r="N33" s="514">
        <f>Actuals!G33</f>
        <v>-4038.48</v>
      </c>
      <c r="O33" s="514">
        <f>'Reforecast Q1 2026'!G33</f>
        <v>-5300.8</v>
      </c>
      <c r="P33" s="515">
        <f>N33-O33</f>
        <v>1262.32</v>
      </c>
      <c r="Q33" s="514">
        <f>Actuals!H33</f>
        <v>-6114.98</v>
      </c>
      <c r="R33" s="514">
        <f>'Reforecast Q1 2026'!H33</f>
        <v>-5300.8</v>
      </c>
      <c r="S33" s="515">
        <f>Q33-R33</f>
        <v>-814.179999999999</v>
      </c>
      <c r="T33" s="514">
        <f>SUM(Actuals!$C33:$H33)</f>
        <v>-31166.99</v>
      </c>
      <c r="U33" s="514">
        <f>SUM('Reforecast Q1 2026'!$C33:$H33)</f>
        <v>-31804.81</v>
      </c>
      <c r="V33" s="515">
        <f>T33-U33</f>
        <v>637.82</v>
      </c>
    </row>
    <row r="34" ht="15" customFormat="1" customHeight="1" s="381">
      <c r="A34" s="513" t="inlineStr">
        <is>
          <t>5200-1054 Telephone Expenses</t>
        </is>
      </c>
      <c r="B34" s="514">
        <f>Actuals!C34</f>
        <v>0</v>
      </c>
      <c r="C34" s="514">
        <f>'Reforecast Q1 2026'!C34</f>
        <v>0</v>
      </c>
      <c r="D34" s="515">
        <f>B34-C34</f>
        <v>0</v>
      </c>
      <c r="E34" s="514">
        <f>Actuals!D34</f>
        <v>-1766.48</v>
      </c>
      <c r="F34" s="514">
        <f>'Reforecast Q1 2026'!D34</f>
        <v>-1766.48</v>
      </c>
      <c r="G34" s="515">
        <f>E34-F34</f>
        <v>0</v>
      </c>
      <c r="H34" s="514">
        <f>Actuals!E34</f>
        <v>-441.62</v>
      </c>
      <c r="I34" s="514">
        <f>'Reforecast Q1 2026'!E34</f>
        <v>-441.62</v>
      </c>
      <c r="J34" s="515">
        <f>H34-I34</f>
        <v>0</v>
      </c>
      <c r="K34" s="514">
        <f>Actuals!F34</f>
        <v>-441.62</v>
      </c>
      <c r="L34" s="514">
        <f>'Reforecast Q1 2026'!F34</f>
        <v>-736.03</v>
      </c>
      <c r="M34" s="515">
        <f>K34-L34</f>
        <v>294.41</v>
      </c>
      <c r="N34" s="514">
        <f>Actuals!G34</f>
        <v>-578.62</v>
      </c>
      <c r="O34" s="514">
        <f>'Reforecast Q1 2026'!G34</f>
        <v>-736.03</v>
      </c>
      <c r="P34" s="515">
        <f>N34-O34</f>
        <v>157.41</v>
      </c>
      <c r="Q34" s="514">
        <f>Actuals!H34</f>
        <v>-491.62</v>
      </c>
      <c r="R34" s="514">
        <f>'Reforecast Q1 2026'!H34</f>
        <v>-736.03</v>
      </c>
      <c r="S34" s="515">
        <f>Q34-R34</f>
        <v>244.41</v>
      </c>
      <c r="T34" s="514">
        <f>SUM(Actuals!$C34:$H34)</f>
        <v>-3719.96</v>
      </c>
      <c r="U34" s="514">
        <f>SUM('Reforecast Q1 2026'!$C34:$H34)</f>
        <v>-4416.19</v>
      </c>
      <c r="V34" s="515">
        <f>T34-U34</f>
        <v>696.23</v>
      </c>
    </row>
    <row r="35" ht="15" customFormat="1" customHeight="1" s="381">
      <c r="A35" s="513" t="inlineStr">
        <is>
          <t>5300-1050 Meals and Entertainment</t>
        </is>
      </c>
      <c r="B35" s="514">
        <f>Actuals!C35</f>
        <v>-681.77</v>
      </c>
      <c r="C35" s="514">
        <f>'Reforecast Q1 2026'!C35</f>
        <v>-681.77</v>
      </c>
      <c r="D35" s="515">
        <f>B35-C35</f>
        <v>0</v>
      </c>
      <c r="E35" s="514">
        <f>Actuals!D35</f>
        <v>-600.14</v>
      </c>
      <c r="F35" s="514">
        <f>'Reforecast Q1 2026'!D35</f>
        <v>-600.14</v>
      </c>
      <c r="G35" s="515">
        <f>E35-F35</f>
        <v>0</v>
      </c>
      <c r="H35" s="514">
        <f>Actuals!E35</f>
        <v>-2121.95</v>
      </c>
      <c r="I35" s="514">
        <f>'Reforecast Q1 2026'!E35</f>
        <v>-2121.95</v>
      </c>
      <c r="J35" s="515">
        <f>H35-I35</f>
        <v>0</v>
      </c>
      <c r="K35" s="514">
        <f>Actuals!F35</f>
        <v>-840.49</v>
      </c>
      <c r="L35" s="514">
        <f>'Reforecast Q1 2026'!F35</f>
        <v>-1134.62</v>
      </c>
      <c r="M35" s="515">
        <f>K35-L35</f>
        <v>294.13</v>
      </c>
      <c r="N35" s="514">
        <f>Actuals!G35</f>
        <v>-847.85</v>
      </c>
      <c r="O35" s="514">
        <f>'Reforecast Q1 2026'!G35</f>
        <v>-1134.62</v>
      </c>
      <c r="P35" s="515">
        <f>N35-O35</f>
        <v>286.77</v>
      </c>
      <c r="Q35" s="514">
        <f>Actuals!H35</f>
        <v>-486.63</v>
      </c>
      <c r="R35" s="514">
        <f>'Reforecast Q1 2026'!H35</f>
        <v>-1134.62</v>
      </c>
      <c r="S35" s="515">
        <f>Q35-R35</f>
        <v>647.99</v>
      </c>
      <c r="T35" s="514">
        <f>SUM(Actuals!$C35:$H35)</f>
        <v>-5578.83</v>
      </c>
      <c r="U35" s="514">
        <f>SUM('Reforecast Q1 2026'!$C35:$H35)</f>
        <v>-6807.72</v>
      </c>
      <c r="V35" s="515">
        <f>T35-U35</f>
        <v>1228.89</v>
      </c>
    </row>
    <row r="36" ht="15" customFormat="1" customHeight="1" s="381">
      <c r="A36" s="513" t="inlineStr">
        <is>
          <t>5500-1000 Legal and Professional Fees</t>
        </is>
      </c>
      <c r="B36" s="514">
        <f>Actuals!C36</f>
        <v>-2187.5</v>
      </c>
      <c r="C36" s="514">
        <f>'Reforecast Q1 2026'!C36</f>
        <v>-2187.5</v>
      </c>
      <c r="D36" s="515">
        <f>B36-C36</f>
        <v>0</v>
      </c>
      <c r="E36" s="514">
        <f>Actuals!D36</f>
        <v>0</v>
      </c>
      <c r="F36" s="514">
        <f>'Reforecast Q1 2026'!D36</f>
        <v>0</v>
      </c>
      <c r="G36" s="515">
        <f>E36-F36</f>
        <v>0</v>
      </c>
      <c r="H36" s="514">
        <f>Actuals!E36</f>
        <v>-1625</v>
      </c>
      <c r="I36" s="514">
        <f>'Reforecast Q1 2026'!E36</f>
        <v>-1625</v>
      </c>
      <c r="J36" s="515">
        <f>H36-I36</f>
        <v>0</v>
      </c>
      <c r="K36" s="514">
        <f>Actuals!F36</f>
        <v>0</v>
      </c>
      <c r="L36" s="514">
        <f>'Reforecast Q1 2026'!F36</f>
        <v>-1270.83</v>
      </c>
      <c r="M36" s="515">
        <f>K36-L36</f>
        <v>1270.83</v>
      </c>
      <c r="N36" s="514">
        <f>Actuals!G36</f>
        <v>0</v>
      </c>
      <c r="O36" s="514">
        <f>'Reforecast Q1 2026'!G36</f>
        <v>-1270.83</v>
      </c>
      <c r="P36" s="515">
        <f>N36-O36</f>
        <v>1270.83</v>
      </c>
      <c r="Q36" s="514">
        <f>Actuals!H36</f>
        <v>0</v>
      </c>
      <c r="R36" s="514">
        <f>'Reforecast Q1 2026'!H36</f>
        <v>-1270.83</v>
      </c>
      <c r="S36" s="515">
        <f>Q36-R36</f>
        <v>1270.83</v>
      </c>
      <c r="T36" s="514">
        <f>SUM(Actuals!$C36:$H36)</f>
        <v>-3812.5</v>
      </c>
      <c r="U36" s="514">
        <f>SUM('Reforecast Q1 2026'!$C36:$H36)</f>
        <v>-7624.99</v>
      </c>
      <c r="V36" s="515">
        <f>T36-U36</f>
        <v>3812.49</v>
      </c>
    </row>
    <row r="37" ht="15" customFormat="1" customHeight="1" s="381">
      <c r="A37" s="513" t="inlineStr">
        <is>
          <t>5500-1002 Accounting Consulting and Overhead</t>
        </is>
      </c>
      <c r="B37" s="514">
        <f>Actuals!C37</f>
        <v>0</v>
      </c>
      <c r="C37" s="514">
        <f>'Reforecast Q1 2026'!C37</f>
        <v>0</v>
      </c>
      <c r="D37" s="515">
        <f>B37-C37</f>
        <v>0</v>
      </c>
      <c r="E37" s="514">
        <f>Actuals!D37</f>
        <v>-12349</v>
      </c>
      <c r="F37" s="514">
        <f>'Reforecast Q1 2026'!D37</f>
        <v>-12349</v>
      </c>
      <c r="G37" s="515">
        <f>E37-F37</f>
        <v>0</v>
      </c>
      <c r="H37" s="514">
        <f>Actuals!E37</f>
        <v>-5400</v>
      </c>
      <c r="I37" s="514">
        <f>'Reforecast Q1 2026'!E37</f>
        <v>-5400</v>
      </c>
      <c r="J37" s="515">
        <f>H37-I37</f>
        <v>0</v>
      </c>
      <c r="K37" s="514">
        <f>Actuals!F37</f>
        <v>-4377</v>
      </c>
      <c r="L37" s="514">
        <f>'Reforecast Q1 2026'!F37</f>
        <v>-5916.33</v>
      </c>
      <c r="M37" s="515">
        <f>K37-L37</f>
        <v>1539.33</v>
      </c>
      <c r="N37" s="514">
        <f>Actuals!G37</f>
        <v>-11750</v>
      </c>
      <c r="O37" s="514">
        <f>'Reforecast Q1 2026'!G37</f>
        <v>-5916.33</v>
      </c>
      <c r="P37" s="515">
        <f>N37-O37</f>
        <v>-5833.67</v>
      </c>
      <c r="Q37" s="514">
        <f>Actuals!H37</f>
        <v>0</v>
      </c>
      <c r="R37" s="514">
        <f>'Reforecast Q1 2026'!H37</f>
        <v>-5916.33</v>
      </c>
      <c r="S37" s="515">
        <f>Q37-R37</f>
        <v>5916.33</v>
      </c>
      <c r="T37" s="514">
        <f>SUM(Actuals!$C37:$H37)</f>
        <v>-33876</v>
      </c>
      <c r="U37" s="514">
        <f>SUM('Reforecast Q1 2026'!$C37:$H37)</f>
        <v>-35497.99</v>
      </c>
      <c r="V37" s="515">
        <f>T37-U37</f>
        <v>1621.99</v>
      </c>
    </row>
    <row r="38" ht="15" customFormat="1" customHeight="1" s="381">
      <c r="A38" s="513" t="inlineStr">
        <is>
          <t>5500-1004 Consultants and Other Professional Expenses</t>
        </is>
      </c>
      <c r="B38" s="514">
        <f>Actuals!C38</f>
        <v>0</v>
      </c>
      <c r="C38" s="514">
        <f>'Reforecast Q1 2026'!C38</f>
        <v>0</v>
      </c>
      <c r="D38" s="515">
        <f>B38-C38</f>
        <v>0</v>
      </c>
      <c r="E38" s="514">
        <f>Actuals!D38</f>
        <v>0</v>
      </c>
      <c r="F38" s="514">
        <f>'Reforecast Q1 2026'!D38</f>
        <v>0</v>
      </c>
      <c r="G38" s="515">
        <f>E38-F38</f>
        <v>0</v>
      </c>
      <c r="H38" s="514">
        <f>Actuals!E38</f>
        <v>-750.4</v>
      </c>
      <c r="I38" s="514">
        <f>'Reforecast Q1 2026'!E38</f>
        <v>-750.4</v>
      </c>
      <c r="J38" s="515">
        <f>H38-I38</f>
        <v>0</v>
      </c>
      <c r="K38" s="514">
        <f>Actuals!F38</f>
        <v>0</v>
      </c>
      <c r="L38" s="514">
        <f>'Reforecast Q1 2026'!F38</f>
        <v>-250.13</v>
      </c>
      <c r="M38" s="515">
        <f>K38-L38</f>
        <v>250.13</v>
      </c>
      <c r="N38" s="514">
        <f>Actuals!G38</f>
        <v>0</v>
      </c>
      <c r="O38" s="514">
        <f>'Reforecast Q1 2026'!G38</f>
        <v>-250.13</v>
      </c>
      <c r="P38" s="515">
        <f>N38-O38</f>
        <v>250.13</v>
      </c>
      <c r="Q38" s="514">
        <f>Actuals!H38</f>
        <v>0</v>
      </c>
      <c r="R38" s="514">
        <f>'Reforecast Q1 2026'!H38</f>
        <v>-250.13</v>
      </c>
      <c r="S38" s="515">
        <f>Q38-R38</f>
        <v>250.13</v>
      </c>
      <c r="T38" s="514">
        <f>SUM(Actuals!$C38:$H38)</f>
        <v>-750.4</v>
      </c>
      <c r="U38" s="514">
        <f>SUM('Reforecast Q1 2026'!$C38:$H38)</f>
        <v>-1500.79</v>
      </c>
      <c r="V38" s="515">
        <f>T38-U38</f>
        <v>750.39</v>
      </c>
    </row>
    <row r="39" ht="15" customFormat="1" customHeight="1" s="381">
      <c r="A39" s="513" t="inlineStr">
        <is>
          <t>5500-1050 General Insurance</t>
        </is>
      </c>
      <c r="B39" s="514">
        <f>Actuals!C39</f>
        <v>-1474.63</v>
      </c>
      <c r="C39" s="514">
        <f>'Reforecast Q1 2026'!C39</f>
        <v>-1474.63</v>
      </c>
      <c r="D39" s="515">
        <f>B39-C39</f>
        <v>0</v>
      </c>
      <c r="E39" s="514">
        <f>Actuals!D39</f>
        <v>-1449.33</v>
      </c>
      <c r="F39" s="514">
        <f>'Reforecast Q1 2026'!D39</f>
        <v>-1449.33</v>
      </c>
      <c r="G39" s="515">
        <f>E39-F39</f>
        <v>0</v>
      </c>
      <c r="H39" s="514">
        <f>Actuals!E39</f>
        <v>-2328.76</v>
      </c>
      <c r="I39" s="514">
        <f>'Reforecast Q1 2026'!E39</f>
        <v>-2328.76</v>
      </c>
      <c r="J39" s="515">
        <f>H39-I39</f>
        <v>0</v>
      </c>
      <c r="K39" s="514">
        <f>Actuals!F39</f>
        <v>-2249.56</v>
      </c>
      <c r="L39" s="514">
        <f>'Reforecast Q1 2026'!F39</f>
        <v>-1750.91</v>
      </c>
      <c r="M39" s="515">
        <f>K39-L39</f>
        <v>-498.65</v>
      </c>
      <c r="N39" s="514">
        <f>Actuals!G39</f>
        <v>-2759.48</v>
      </c>
      <c r="O39" s="514">
        <f>'Reforecast Q1 2026'!G39</f>
        <v>-1750.91</v>
      </c>
      <c r="P39" s="515">
        <f>N39-O39</f>
        <v>-1008.57</v>
      </c>
      <c r="Q39" s="514">
        <f>Actuals!H39</f>
        <v>-2749.12</v>
      </c>
      <c r="R39" s="514">
        <f>'Reforecast Q1 2026'!H39</f>
        <v>-1750.91</v>
      </c>
      <c r="S39" s="515">
        <f>Q39-R39</f>
        <v>-998.21</v>
      </c>
      <c r="T39" s="514">
        <f>SUM(Actuals!$C39:$H39)</f>
        <v>-13010.88</v>
      </c>
      <c r="U39" s="514">
        <f>SUM('Reforecast Q1 2026'!$C39:$H39)</f>
        <v>-10505.45</v>
      </c>
      <c r="V39" s="515">
        <f>T39-U39</f>
        <v>-2505.43</v>
      </c>
    </row>
    <row r="40" ht="15" customFormat="1" customHeight="1" s="381">
      <c r="A40" s="513" t="inlineStr">
        <is>
          <t>5700-1003 Other Utilities</t>
        </is>
      </c>
      <c r="B40" s="514">
        <f>Actuals!C40</f>
        <v>-1417.61</v>
      </c>
      <c r="C40" s="514">
        <f>'Reforecast Q1 2026'!C40</f>
        <v>-1417.61</v>
      </c>
      <c r="D40" s="515">
        <f>B40-C40</f>
        <v>0</v>
      </c>
      <c r="E40" s="514">
        <f>Actuals!D40</f>
        <v>-2730.36</v>
      </c>
      <c r="F40" s="514">
        <f>'Reforecast Q1 2026'!D40</f>
        <v>-2730.36</v>
      </c>
      <c r="G40" s="515">
        <f>E40-F40</f>
        <v>0</v>
      </c>
      <c r="H40" s="514">
        <f>Actuals!E40</f>
        <v>-1818.05</v>
      </c>
      <c r="I40" s="514">
        <f>'Reforecast Q1 2026'!E40</f>
        <v>-1818.05</v>
      </c>
      <c r="J40" s="515">
        <f>H40-I40</f>
        <v>0</v>
      </c>
      <c r="K40" s="514">
        <f>Actuals!F40</f>
        <v>-3307.74</v>
      </c>
      <c r="L40" s="514">
        <f>'Reforecast Q1 2026'!F40</f>
        <v>-1988.67</v>
      </c>
      <c r="M40" s="515">
        <f>K40-L40</f>
        <v>-1319.07</v>
      </c>
      <c r="N40" s="514">
        <f>Actuals!G40</f>
        <v>-1257.74</v>
      </c>
      <c r="O40" s="514">
        <f>'Reforecast Q1 2026'!G40</f>
        <v>-1988.67</v>
      </c>
      <c r="P40" s="515">
        <f>N40-O40</f>
        <v>730.93</v>
      </c>
      <c r="Q40" s="514">
        <f>Actuals!H40</f>
        <v>-3372.74</v>
      </c>
      <c r="R40" s="514">
        <f>'Reforecast Q1 2026'!H40</f>
        <v>-1988.67</v>
      </c>
      <c r="S40" s="515">
        <f>Q40-R40</f>
        <v>-1384.07</v>
      </c>
      <c r="T40" s="514">
        <f>SUM(Actuals!$C40:$H40)</f>
        <v>-13904.24</v>
      </c>
      <c r="U40" s="514">
        <f>SUM('Reforecast Q1 2026'!$C40:$H40)</f>
        <v>-11932.03</v>
      </c>
      <c r="V40" s="515">
        <f>T40-U40</f>
        <v>-1972.21</v>
      </c>
    </row>
    <row r="41" ht="15" customFormat="1" customHeight="1" s="381">
      <c r="A41" s="513" t="inlineStr">
        <is>
          <t>5800-1003 Consulting Fee</t>
        </is>
      </c>
      <c r="B41" s="514">
        <f>Actuals!C41</f>
        <v>0</v>
      </c>
      <c r="C41" s="514">
        <f>'Reforecast Q1 2026'!C41</f>
        <v>0</v>
      </c>
      <c r="D41" s="515">
        <f>B41-C41</f>
        <v>0</v>
      </c>
      <c r="E41" s="514">
        <f>Actuals!D41</f>
        <v>0</v>
      </c>
      <c r="F41" s="514">
        <f>'Reforecast Q1 2026'!D41</f>
        <v>0</v>
      </c>
      <c r="G41" s="515">
        <f>E41-F41</f>
        <v>0</v>
      </c>
      <c r="H41" s="514">
        <f>Actuals!E41</f>
        <v>-41990</v>
      </c>
      <c r="I41" s="514">
        <f>'Reforecast Q1 2026'!E41</f>
        <v>-41990</v>
      </c>
      <c r="J41" s="515">
        <f>H41-I41</f>
        <v>0</v>
      </c>
      <c r="K41" s="514">
        <f>Actuals!F41</f>
        <v>-42500</v>
      </c>
      <c r="L41" s="514">
        <f>'Reforecast Q1 2026'!F41</f>
        <v>0</v>
      </c>
      <c r="M41" s="515">
        <f>K41-L41</f>
        <v>-42500</v>
      </c>
      <c r="N41" s="514">
        <f>Actuals!G41</f>
        <v>-21000</v>
      </c>
      <c r="O41" s="514">
        <f>'Reforecast Q1 2026'!G41</f>
        <v>-44250</v>
      </c>
      <c r="P41" s="515">
        <f>N41-O41</f>
        <v>23250</v>
      </c>
      <c r="Q41" s="514">
        <f>Actuals!H41</f>
        <v>0</v>
      </c>
      <c r="R41" s="514">
        <f>'Reforecast Q1 2026'!H41</f>
        <v>-45000</v>
      </c>
      <c r="S41" s="515">
        <f>Q41-R41</f>
        <v>45000</v>
      </c>
      <c r="T41" s="514">
        <f>SUM(Actuals!$C41:$H41)</f>
        <v>-105490</v>
      </c>
      <c r="U41" s="514">
        <f>SUM('Reforecast Q1 2026'!$C41:$H41)</f>
        <v>-131240</v>
      </c>
      <c r="V41" s="515">
        <f>T41-U41</f>
        <v>25750</v>
      </c>
    </row>
    <row r="42" ht="15" customFormat="1" customHeight="1" s="381">
      <c r="A42" s="513" t="inlineStr">
        <is>
          <t>5900-1000 Security Monitoring</t>
        </is>
      </c>
      <c r="B42" s="514">
        <f>Actuals!C42</f>
        <v>-165</v>
      </c>
      <c r="C42" s="514">
        <f>'Reforecast Q1 2026'!C42</f>
        <v>-165</v>
      </c>
      <c r="D42" s="515">
        <f>B42-C42</f>
        <v>0</v>
      </c>
      <c r="E42" s="514">
        <f>Actuals!D42</f>
        <v>0</v>
      </c>
      <c r="F42" s="514">
        <f>'Reforecast Q1 2026'!D42</f>
        <v>0</v>
      </c>
      <c r="G42" s="515">
        <f>E42-F42</f>
        <v>0</v>
      </c>
      <c r="H42" s="514">
        <f>Actuals!E42</f>
        <v>0</v>
      </c>
      <c r="I42" s="514">
        <f>'Reforecast Q1 2026'!E42</f>
        <v>0</v>
      </c>
      <c r="J42" s="515">
        <f>H42-I42</f>
        <v>0</v>
      </c>
      <c r="K42" s="514">
        <f>Actuals!F42</f>
        <v>-165</v>
      </c>
      <c r="L42" s="514">
        <f>'Reforecast Q1 2026'!F42</f>
        <v>-55</v>
      </c>
      <c r="M42" s="515">
        <f>K42-L42</f>
        <v>-110</v>
      </c>
      <c r="N42" s="514">
        <f>Actuals!G42</f>
        <v>0</v>
      </c>
      <c r="O42" s="514">
        <f>'Reforecast Q1 2026'!G42</f>
        <v>-55</v>
      </c>
      <c r="P42" s="515">
        <f>N42-O42</f>
        <v>55</v>
      </c>
      <c r="Q42" s="514">
        <f>Actuals!H42</f>
        <v>-165</v>
      </c>
      <c r="R42" s="514">
        <f>'Reforecast Q1 2026'!H42</f>
        <v>-55</v>
      </c>
      <c r="S42" s="515">
        <f>Q42-R42</f>
        <v>-110</v>
      </c>
      <c r="T42" s="514">
        <f>SUM(Actuals!$C42:$H42)</f>
        <v>-495</v>
      </c>
      <c r="U42" s="514">
        <f>SUM('Reforecast Q1 2026'!$C42:$H42)</f>
        <v>-330</v>
      </c>
      <c r="V42" s="515">
        <f>T42-U42</f>
        <v>-165</v>
      </c>
    </row>
    <row r="43" ht="15" customFormat="1" customHeight="1" s="381">
      <c r="A43" s="513" t="inlineStr">
        <is>
          <t>5900-1002 Repairs and Maintenance</t>
        </is>
      </c>
      <c r="B43" s="514">
        <f>Actuals!C43</f>
        <v>0</v>
      </c>
      <c r="C43" s="514">
        <f>'Reforecast Q1 2026'!C43</f>
        <v>0</v>
      </c>
      <c r="D43" s="515">
        <f>B43-C43</f>
        <v>0</v>
      </c>
      <c r="E43" s="514">
        <f>Actuals!D43</f>
        <v>0</v>
      </c>
      <c r="F43" s="514">
        <f>'Reforecast Q1 2026'!D43</f>
        <v>0</v>
      </c>
      <c r="G43" s="515">
        <f>E43-F43</f>
        <v>0</v>
      </c>
      <c r="H43" s="514">
        <f>Actuals!E43</f>
        <v>0</v>
      </c>
      <c r="I43" s="514">
        <f>'Reforecast Q1 2026'!E43</f>
        <v>0</v>
      </c>
      <c r="J43" s="515">
        <f>H43-I43</f>
        <v>0</v>
      </c>
      <c r="K43" s="514">
        <f>Actuals!F43</f>
        <v>-1036.49</v>
      </c>
      <c r="L43" s="514">
        <f>'Reforecast Q1 2026'!F43</f>
        <v>0</v>
      </c>
      <c r="M43" s="515">
        <f>K43-L43</f>
        <v>-1036.49</v>
      </c>
      <c r="N43" s="514">
        <f>Actuals!G43</f>
        <v>0</v>
      </c>
      <c r="O43" s="514">
        <f>'Reforecast Q1 2026'!G43</f>
        <v>0</v>
      </c>
      <c r="P43" s="515">
        <f>N43-O43</f>
        <v>0</v>
      </c>
      <c r="Q43" s="514">
        <f>Actuals!H43</f>
        <v>-4308.58</v>
      </c>
      <c r="R43" s="514">
        <f>'Reforecast Q1 2026'!H43</f>
        <v>0</v>
      </c>
      <c r="S43" s="515">
        <f>Q43-R43</f>
        <v>-4308.58</v>
      </c>
      <c r="T43" s="514">
        <f>SUM(Actuals!$C43:$H43)</f>
        <v>-5345.07</v>
      </c>
      <c r="U43" s="514">
        <f>SUM('Reforecast Q1 2026'!$C43:$H43)</f>
        <v>0</v>
      </c>
      <c r="V43" s="515">
        <f>T43-U43</f>
        <v>-5345.07</v>
      </c>
    </row>
    <row r="44" ht="15" customFormat="1" customHeight="1" s="381">
      <c r="A44" s="513" t="inlineStr">
        <is>
          <t>5900-1003 Janitorial and Cleaning Expenses</t>
        </is>
      </c>
      <c r="B44" s="514">
        <f>Actuals!C44</f>
        <v>-550</v>
      </c>
      <c r="C44" s="514">
        <f>'Reforecast Q1 2026'!C44</f>
        <v>-550</v>
      </c>
      <c r="D44" s="515">
        <f>B44-C44</f>
        <v>0</v>
      </c>
      <c r="E44" s="514">
        <f>Actuals!D44</f>
        <v>-550</v>
      </c>
      <c r="F44" s="514">
        <f>'Reforecast Q1 2026'!D44</f>
        <v>-550</v>
      </c>
      <c r="G44" s="515">
        <f>E44-F44</f>
        <v>0</v>
      </c>
      <c r="H44" s="514">
        <f>Actuals!E44</f>
        <v>-550</v>
      </c>
      <c r="I44" s="514">
        <f>'Reforecast Q1 2026'!E44</f>
        <v>-550</v>
      </c>
      <c r="J44" s="515">
        <f>H44-I44</f>
        <v>0</v>
      </c>
      <c r="K44" s="514">
        <f>Actuals!F44</f>
        <v>-600</v>
      </c>
      <c r="L44" s="514">
        <f>'Reforecast Q1 2026'!F44</f>
        <v>-550</v>
      </c>
      <c r="M44" s="515">
        <f>K44-L44</f>
        <v>-50</v>
      </c>
      <c r="N44" s="514">
        <f>Actuals!G44</f>
        <v>-650</v>
      </c>
      <c r="O44" s="514">
        <f>'Reforecast Q1 2026'!G44</f>
        <v>-550</v>
      </c>
      <c r="P44" s="515">
        <f>N44-O44</f>
        <v>-100</v>
      </c>
      <c r="Q44" s="514">
        <f>Actuals!H44</f>
        <v>-575</v>
      </c>
      <c r="R44" s="514">
        <f>'Reforecast Q1 2026'!H44</f>
        <v>-550</v>
      </c>
      <c r="S44" s="515">
        <f>Q44-R44</f>
        <v>-25</v>
      </c>
      <c r="T44" s="514">
        <f>SUM(Actuals!$C44:$H44)</f>
        <v>-3475</v>
      </c>
      <c r="U44" s="514">
        <f>SUM('Reforecast Q1 2026'!$C44:$H44)</f>
        <v>-3300</v>
      </c>
      <c r="V44" s="515">
        <f>T44-U44</f>
        <v>-175</v>
      </c>
    </row>
    <row r="45" ht="15" customFormat="1" customHeight="1" s="381">
      <c r="A45" s="513" t="inlineStr">
        <is>
          <t>5900-1005 Supplies and Other Job Site Overhead</t>
        </is>
      </c>
      <c r="B45" s="514">
        <f>Actuals!C45</f>
        <v>-19223.75</v>
      </c>
      <c r="C45" s="514">
        <f>'Reforecast Q1 2026'!C45</f>
        <v>-19223.75</v>
      </c>
      <c r="D45" s="515">
        <f>B45-C45</f>
        <v>0</v>
      </c>
      <c r="E45" s="514">
        <f>Actuals!D45</f>
        <v>-13381.97</v>
      </c>
      <c r="F45" s="514">
        <f>'Reforecast Q1 2026'!D45</f>
        <v>-13381.97</v>
      </c>
      <c r="G45" s="515">
        <f>E45-F45</f>
        <v>0</v>
      </c>
      <c r="H45" s="514">
        <f>Actuals!E45</f>
        <v>-20308.69</v>
      </c>
      <c r="I45" s="514">
        <f>'Reforecast Q1 2026'!E45</f>
        <v>-20308.69</v>
      </c>
      <c r="J45" s="515">
        <f>H45-I45</f>
        <v>0</v>
      </c>
      <c r="K45" s="514">
        <f>Actuals!F45</f>
        <v>-16948.76</v>
      </c>
      <c r="L45" s="514">
        <f>'Reforecast Q1 2026'!F45</f>
        <v>-17638.14</v>
      </c>
      <c r="M45" s="515">
        <f>K45-L45</f>
        <v>689.380000000001</v>
      </c>
      <c r="N45" s="514">
        <f>Actuals!G45</f>
        <v>-29716.98</v>
      </c>
      <c r="O45" s="514">
        <f>'Reforecast Q1 2026'!G45</f>
        <v>-17638.14</v>
      </c>
      <c r="P45" s="515">
        <f>N45-O45</f>
        <v>-12078.84</v>
      </c>
      <c r="Q45" s="514">
        <f>Actuals!H45</f>
        <v>-11335.64</v>
      </c>
      <c r="R45" s="514">
        <f>'Reforecast Q1 2026'!H45</f>
        <v>-17638.14</v>
      </c>
      <c r="S45" s="515">
        <f>Q45-R45</f>
        <v>6302.5</v>
      </c>
      <c r="T45" s="514">
        <f>SUM(Actuals!$C45:$H45)</f>
        <v>-110915.79</v>
      </c>
      <c r="U45" s="514">
        <f>SUM('Reforecast Q1 2026'!$C45:$H45)</f>
        <v>-105828.83</v>
      </c>
      <c r="V45" s="515">
        <f>T45-U45</f>
        <v>-5086.95999999999</v>
      </c>
    </row>
    <row r="46" ht="15" customFormat="1" customHeight="1" s="381">
      <c r="A46" s="513" t="inlineStr">
        <is>
          <t>5900-1006 Auto and Truck Expense</t>
        </is>
      </c>
      <c r="B46" s="514">
        <f>Actuals!C46</f>
        <v>-1909.98</v>
      </c>
      <c r="C46" s="514">
        <f>'Reforecast Q1 2026'!C46</f>
        <v>-1909.98</v>
      </c>
      <c r="D46" s="515">
        <f>B46-C46</f>
        <v>0</v>
      </c>
      <c r="E46" s="514">
        <f>Actuals!D46</f>
        <v>-190.1</v>
      </c>
      <c r="F46" s="514">
        <f>'Reforecast Q1 2026'!D46</f>
        <v>-190.1</v>
      </c>
      <c r="G46" s="515">
        <f>E46-F46</f>
        <v>0</v>
      </c>
      <c r="H46" s="514">
        <f>Actuals!E46</f>
        <v>-2166.92</v>
      </c>
      <c r="I46" s="514">
        <f>'Reforecast Q1 2026'!E46</f>
        <v>-2166.92</v>
      </c>
      <c r="J46" s="515">
        <f>H46-I46</f>
        <v>0</v>
      </c>
      <c r="K46" s="514">
        <f>Actuals!F46</f>
        <v>-1816.95</v>
      </c>
      <c r="L46" s="514">
        <f>'Reforecast Q1 2026'!F46</f>
        <v>-1422.33</v>
      </c>
      <c r="M46" s="515">
        <f>K46-L46</f>
        <v>-394.62</v>
      </c>
      <c r="N46" s="514">
        <f>Actuals!G46</f>
        <v>-1452.9</v>
      </c>
      <c r="O46" s="514">
        <f>'Reforecast Q1 2026'!G46</f>
        <v>-1422.33</v>
      </c>
      <c r="P46" s="515">
        <f>N46-O46</f>
        <v>-30.5700000000002</v>
      </c>
      <c r="Q46" s="514">
        <f>Actuals!H46</f>
        <v>-13918.31</v>
      </c>
      <c r="R46" s="514">
        <f>'Reforecast Q1 2026'!H46</f>
        <v>-1422.33</v>
      </c>
      <c r="S46" s="515">
        <f>Q46-R46</f>
        <v>-12495.98</v>
      </c>
      <c r="T46" s="514">
        <f>SUM(Actuals!$C46:$H46)</f>
        <v>-21455.16</v>
      </c>
      <c r="U46" s="514">
        <f>SUM('Reforecast Q1 2026'!$C46:$H46)</f>
        <v>-8533.99</v>
      </c>
      <c r="V46" s="515">
        <f>T46-U46</f>
        <v>-12921.17</v>
      </c>
    </row>
    <row r="47" ht="15" customFormat="1" customHeight="1" s="381">
      <c r="A47" s="513" t="inlineStr">
        <is>
          <t>5900-1007 Landscaping</t>
        </is>
      </c>
      <c r="B47" s="514">
        <f>Actuals!C47</f>
        <v>-320</v>
      </c>
      <c r="C47" s="514">
        <f>'Reforecast Q1 2026'!C47</f>
        <v>-320</v>
      </c>
      <c r="D47" s="515">
        <f>B47-C47</f>
        <v>0</v>
      </c>
      <c r="E47" s="514">
        <f>Actuals!D47</f>
        <v>-160</v>
      </c>
      <c r="F47" s="514">
        <f>'Reforecast Q1 2026'!D47</f>
        <v>-160</v>
      </c>
      <c r="G47" s="515">
        <f>E47-F47</f>
        <v>0</v>
      </c>
      <c r="H47" s="514">
        <f>Actuals!E47</f>
        <v>0</v>
      </c>
      <c r="I47" s="514">
        <f>'Reforecast Q1 2026'!E47</f>
        <v>0</v>
      </c>
      <c r="J47" s="515">
        <f>H47-I47</f>
        <v>0</v>
      </c>
      <c r="K47" s="514">
        <f>Actuals!F47</f>
        <v>0</v>
      </c>
      <c r="L47" s="514">
        <f>'Reforecast Q1 2026'!F47</f>
        <v>-160</v>
      </c>
      <c r="M47" s="515">
        <f>K47-L47</f>
        <v>160</v>
      </c>
      <c r="N47" s="514">
        <f>Actuals!G47</f>
        <v>-320</v>
      </c>
      <c r="O47" s="514">
        <f>'Reforecast Q1 2026'!G47</f>
        <v>-160</v>
      </c>
      <c r="P47" s="515">
        <f>N47-O47</f>
        <v>-160</v>
      </c>
      <c r="Q47" s="514">
        <f>Actuals!H47</f>
        <v>-320</v>
      </c>
      <c r="R47" s="514">
        <f>'Reforecast Q1 2026'!H47</f>
        <v>-160</v>
      </c>
      <c r="S47" s="515">
        <f>Q47-R47</f>
        <v>-160</v>
      </c>
      <c r="T47" s="514">
        <f>SUM(Actuals!$C47:$H47)</f>
        <v>-1120</v>
      </c>
      <c r="U47" s="514">
        <f>SUM('Reforecast Q1 2026'!$C47:$H47)</f>
        <v>-960</v>
      </c>
      <c r="V47" s="515">
        <f>T47-U47</f>
        <v>-160</v>
      </c>
    </row>
    <row r="48" ht="15" customFormat="1" customHeight="1" s="381">
      <c r="A48" s="513" t="inlineStr">
        <is>
          <t>5900-1040 Warranty and Other Job Adjustments</t>
        </is>
      </c>
      <c r="B48" s="514">
        <f>Actuals!C48</f>
        <v>-17660.72</v>
      </c>
      <c r="C48" s="514">
        <f>'Reforecast Q1 2026'!C48</f>
        <v>-17660.72</v>
      </c>
      <c r="D48" s="515">
        <f>B48-C48</f>
        <v>0</v>
      </c>
      <c r="E48" s="514">
        <f>Actuals!D48</f>
        <v>-5799</v>
      </c>
      <c r="F48" s="514">
        <f>'Reforecast Q1 2026'!D48</f>
        <v>-5799</v>
      </c>
      <c r="G48" s="515">
        <f>E48-F48</f>
        <v>0</v>
      </c>
      <c r="H48" s="514">
        <f>Actuals!E48</f>
        <v>-3432.18</v>
      </c>
      <c r="I48" s="514">
        <f>'Reforecast Q1 2026'!E48</f>
        <v>-3432.18</v>
      </c>
      <c r="J48" s="515">
        <f>H48-I48</f>
        <v>0</v>
      </c>
      <c r="K48" s="514">
        <f>Actuals!F48</f>
        <v>0</v>
      </c>
      <c r="L48" s="514">
        <f>'Reforecast Q1 2026'!F48</f>
        <v>-5000</v>
      </c>
      <c r="M48" s="515">
        <f>K48-L48</f>
        <v>5000</v>
      </c>
      <c r="N48" s="514">
        <f>Actuals!G48</f>
        <v>-73874.29</v>
      </c>
      <c r="O48" s="514">
        <f>'Reforecast Q1 2026'!G48</f>
        <v>-5000</v>
      </c>
      <c r="P48" s="515">
        <f>N48-O48</f>
        <v>-68874.29</v>
      </c>
      <c r="Q48" s="514">
        <f>Actuals!H48</f>
        <v>0</v>
      </c>
      <c r="R48" s="514">
        <f>'Reforecast Q1 2026'!H48</f>
        <v>-5000</v>
      </c>
      <c r="S48" s="515">
        <f>Q48-R48</f>
        <v>5000</v>
      </c>
      <c r="T48" s="514">
        <f>SUM(Actuals!$C48:$H48)</f>
        <v>-100766.19</v>
      </c>
      <c r="U48" s="514">
        <f>SUM('Reforecast Q1 2026'!$C48:$H48)</f>
        <v>-41891.9</v>
      </c>
      <c r="V48" s="515">
        <f>T48-U48</f>
        <v>-58874.29</v>
      </c>
    </row>
    <row r="49" ht="15" customFormat="1" customHeight="1" s="381">
      <c r="A49" s="513" t="inlineStr">
        <is>
          <t>5900-1075 Miscellaneous Expense</t>
        </is>
      </c>
      <c r="B49" s="514">
        <f>Actuals!C49</f>
        <v>-1913.91</v>
      </c>
      <c r="C49" s="514">
        <f>'Reforecast Q1 2026'!C49</f>
        <v>-304</v>
      </c>
      <c r="D49" s="515">
        <f>B49-C49</f>
        <v>-1609.91</v>
      </c>
      <c r="E49" s="514">
        <f>Actuals!D49</f>
        <v>-2254.72</v>
      </c>
      <c r="F49" s="514">
        <f>'Reforecast Q1 2026'!D49</f>
        <v>-644.81</v>
      </c>
      <c r="G49" s="515">
        <f>E49-F49</f>
        <v>-1609.91</v>
      </c>
      <c r="H49" s="514">
        <f>Actuals!E49</f>
        <v>-1913.91</v>
      </c>
      <c r="I49" s="514">
        <f>'Reforecast Q1 2026'!E49</f>
        <v>-304</v>
      </c>
      <c r="J49" s="515">
        <f>H49-I49</f>
        <v>-1609.91</v>
      </c>
      <c r="K49" s="514">
        <f>Actuals!F49</f>
        <v>-1609.91</v>
      </c>
      <c r="L49" s="514">
        <f>'Reforecast Q1 2026'!F49</f>
        <v>-417.6</v>
      </c>
      <c r="M49" s="515">
        <f>K49-L49</f>
        <v>-1192.31</v>
      </c>
      <c r="N49" s="514">
        <f>Actuals!G49</f>
        <v>-2760.86</v>
      </c>
      <c r="O49" s="514">
        <f>'Reforecast Q1 2026'!G49</f>
        <v>-417.6</v>
      </c>
      <c r="P49" s="515">
        <f>N49-O49</f>
        <v>-2343.26</v>
      </c>
      <c r="Q49" s="514">
        <f>Actuals!H49</f>
        <v>0</v>
      </c>
      <c r="R49" s="514">
        <f>'Reforecast Q1 2026'!H49</f>
        <v>-417.6</v>
      </c>
      <c r="S49" s="515">
        <f>Q49-R49</f>
        <v>417.6</v>
      </c>
      <c r="T49" s="514">
        <f>SUM(Actuals!$C49:$H49)</f>
        <v>-10453.31</v>
      </c>
      <c r="U49" s="514">
        <f>SUM('Reforecast Q1 2026'!$C49:$H49)</f>
        <v>-2505.61</v>
      </c>
      <c r="V49" s="515">
        <f>T49-U49</f>
        <v>-7947.7</v>
      </c>
    </row>
    <row r="50" ht="15" customFormat="1" customHeight="1" s="381">
      <c r="A50" s="513" t="inlineStr">
        <is>
          <t>5900-1080 Bank Service Charges</t>
        </is>
      </c>
      <c r="B50" s="514">
        <f>Actuals!C50</f>
        <v>0</v>
      </c>
      <c r="C50" s="514">
        <f>'Reforecast Q1 2026'!C50</f>
        <v>0</v>
      </c>
      <c r="D50" s="515">
        <f>B50-C50</f>
        <v>0</v>
      </c>
      <c r="E50" s="514">
        <f>Actuals!D50</f>
        <v>-75</v>
      </c>
      <c r="F50" s="514">
        <f>'Reforecast Q1 2026'!D50</f>
        <v>-75</v>
      </c>
      <c r="G50" s="515">
        <f>E50-F50</f>
        <v>0</v>
      </c>
      <c r="H50" s="514">
        <f>Actuals!E50</f>
        <v>-5</v>
      </c>
      <c r="I50" s="514">
        <f>'Reforecast Q1 2026'!E50</f>
        <v>-5</v>
      </c>
      <c r="J50" s="515">
        <f>H50-I50</f>
        <v>0</v>
      </c>
      <c r="K50" s="514">
        <f>Actuals!F50</f>
        <v>0</v>
      </c>
      <c r="L50" s="514">
        <f>'Reforecast Q1 2026'!F50</f>
        <v>-26.67</v>
      </c>
      <c r="M50" s="515">
        <f>K50-L50</f>
        <v>26.67</v>
      </c>
      <c r="N50" s="514">
        <f>Actuals!G50</f>
        <v>0</v>
      </c>
      <c r="O50" s="514">
        <f>'Reforecast Q1 2026'!G50</f>
        <v>-26.67</v>
      </c>
      <c r="P50" s="515">
        <f>N50-O50</f>
        <v>26.67</v>
      </c>
      <c r="Q50" s="514">
        <f>Actuals!H50</f>
        <v>0</v>
      </c>
      <c r="R50" s="514">
        <f>'Reforecast Q1 2026'!H50</f>
        <v>-26.67</v>
      </c>
      <c r="S50" s="515">
        <f>Q50-R50</f>
        <v>26.67</v>
      </c>
      <c r="T50" s="514">
        <f>SUM(Actuals!$C50:$H50)</f>
        <v>-80</v>
      </c>
      <c r="U50" s="514">
        <f>SUM('Reforecast Q1 2026'!$C50:$H50)</f>
        <v>-160.01</v>
      </c>
      <c r="V50" s="515">
        <f>T50-U50</f>
        <v>80.01</v>
      </c>
    </row>
    <row r="51" ht="15" customFormat="1" customHeight="1" s="381">
      <c r="A51" s="513" t="inlineStr">
        <is>
          <t>5900-3000 Charitable Contribution</t>
        </is>
      </c>
      <c r="B51" s="514">
        <f>Actuals!C51</f>
        <v>0</v>
      </c>
      <c r="C51" s="514">
        <f>'Reforecast Q1 2026'!C51</f>
        <v>0</v>
      </c>
      <c r="D51" s="515">
        <f>B51-C51</f>
        <v>0</v>
      </c>
      <c r="E51" s="514">
        <f>Actuals!D51</f>
        <v>-63</v>
      </c>
      <c r="F51" s="514">
        <f>'Reforecast Q1 2026'!D51</f>
        <v>-63</v>
      </c>
      <c r="G51" s="515">
        <f>E51-F51</f>
        <v>0</v>
      </c>
      <c r="H51" s="514">
        <f>Actuals!E51</f>
        <v>0</v>
      </c>
      <c r="I51" s="514">
        <f>'Reforecast Q1 2026'!E51</f>
        <v>0</v>
      </c>
      <c r="J51" s="515">
        <f>H51-I51</f>
        <v>0</v>
      </c>
      <c r="K51" s="514">
        <f>Actuals!F51</f>
        <v>0</v>
      </c>
      <c r="L51" s="514">
        <f>'Reforecast Q1 2026'!F51</f>
        <v>-21</v>
      </c>
      <c r="M51" s="515">
        <f>K51-L51</f>
        <v>21</v>
      </c>
      <c r="N51" s="514">
        <f>Actuals!G51</f>
        <v>0</v>
      </c>
      <c r="O51" s="514">
        <f>'Reforecast Q1 2026'!G51</f>
        <v>-21</v>
      </c>
      <c r="P51" s="515">
        <f>N51-O51</f>
        <v>21</v>
      </c>
      <c r="Q51" s="514">
        <f>Actuals!H51</f>
        <v>0</v>
      </c>
      <c r="R51" s="514">
        <f>'Reforecast Q1 2026'!H51</f>
        <v>-21</v>
      </c>
      <c r="S51" s="515">
        <f>Q51-R51</f>
        <v>21</v>
      </c>
      <c r="T51" s="514">
        <f>SUM(Actuals!$C51:$H51)</f>
        <v>-63</v>
      </c>
      <c r="U51" s="514">
        <f>SUM('Reforecast Q1 2026'!$C51:$H51)</f>
        <v>-126</v>
      </c>
      <c r="V51" s="515">
        <f>T51-U51</f>
        <v>63</v>
      </c>
    </row>
    <row r="52" ht="15" customFormat="1" customHeight="1" s="381">
      <c r="A52" s="513" t="inlineStr">
        <is>
          <t>BD Commission</t>
        </is>
      </c>
      <c r="B52" s="514">
        <f>Actuals!C52</f>
        <v>0</v>
      </c>
      <c r="C52" s="514">
        <f>'Reforecast Q1 2026'!C52</f>
        <v>0</v>
      </c>
      <c r="D52" s="515">
        <f>B52-C52</f>
        <v>0</v>
      </c>
      <c r="E52" s="514">
        <f>Actuals!D52</f>
        <v>0</v>
      </c>
      <c r="F52" s="514">
        <f>'Reforecast Q1 2026'!D52</f>
        <v>0</v>
      </c>
      <c r="G52" s="515">
        <f>E52-F52</f>
        <v>0</v>
      </c>
      <c r="H52" s="514">
        <f>Actuals!E52</f>
        <v>0</v>
      </c>
      <c r="I52" s="514">
        <f>'Reforecast Q1 2026'!E52</f>
        <v>0</v>
      </c>
      <c r="J52" s="515">
        <f>H52-I52</f>
        <v>0</v>
      </c>
      <c r="K52" s="514">
        <f>Actuals!F52</f>
        <v>0</v>
      </c>
      <c r="L52" s="514">
        <f>'Reforecast Q1 2026'!F52</f>
        <v>0</v>
      </c>
      <c r="M52" s="515">
        <f>K52-L52</f>
        <v>0</v>
      </c>
      <c r="N52" s="514">
        <f>Actuals!G52</f>
        <v>0</v>
      </c>
      <c r="O52" s="514">
        <f>'Reforecast Q1 2026'!G52</f>
        <v>0</v>
      </c>
      <c r="P52" s="515">
        <f>N52-O52</f>
        <v>0</v>
      </c>
      <c r="Q52" s="514">
        <f>Actuals!H52</f>
        <v>0</v>
      </c>
      <c r="R52" s="514">
        <f>'Reforecast Q1 2026'!H52</f>
        <v>0</v>
      </c>
      <c r="S52" s="515">
        <f>Q52-R52</f>
        <v>0</v>
      </c>
      <c r="T52" s="514">
        <f>SUM(Actuals!$C52:$H52)</f>
        <v>0</v>
      </c>
      <c r="U52" s="514">
        <f>SUM('Reforecast Q1 2026'!$C52:$H52)</f>
        <v>0</v>
      </c>
      <c r="V52" s="515">
        <f>T52-U52</f>
        <v>0</v>
      </c>
    </row>
    <row r="53" ht="15" customFormat="1" customHeight="1" s="381">
      <c r="A53" s="513" t="inlineStr">
        <is>
          <t>8200-2000 State Tax and Fees</t>
        </is>
      </c>
      <c r="B53" s="514">
        <f>Actuals!C53</f>
        <v>0</v>
      </c>
      <c r="C53" s="514">
        <f>'Reforecast Q1 2026'!C53</f>
        <v>0</v>
      </c>
      <c r="D53" s="515">
        <f>B53-C53</f>
        <v>0</v>
      </c>
      <c r="E53" s="514">
        <f>Actuals!D53</f>
        <v>0</v>
      </c>
      <c r="F53" s="514">
        <f>'Reforecast Q1 2026'!D53</f>
        <v>0</v>
      </c>
      <c r="G53" s="515">
        <f>E53-F53</f>
        <v>0</v>
      </c>
      <c r="H53" s="514">
        <f>Actuals!E53</f>
        <v>-11105.35</v>
      </c>
      <c r="I53" s="514">
        <f>'Reforecast Q1 2026'!E53</f>
        <v>-11105.35</v>
      </c>
      <c r="J53" s="515">
        <f>H53-I53</f>
        <v>0</v>
      </c>
      <c r="K53" s="514">
        <f>Actuals!F53</f>
        <v>0</v>
      </c>
      <c r="L53" s="514">
        <f>'Reforecast Q1 2026'!F53</f>
        <v>-3701.78</v>
      </c>
      <c r="M53" s="515">
        <f>K53-L53</f>
        <v>3701.78</v>
      </c>
      <c r="N53" s="514">
        <f>Actuals!G53</f>
        <v>0</v>
      </c>
      <c r="O53" s="514">
        <f>'Reforecast Q1 2026'!G53</f>
        <v>-3701.78</v>
      </c>
      <c r="P53" s="515">
        <f>N53-O53</f>
        <v>3701.78</v>
      </c>
      <c r="Q53" s="514">
        <f>Actuals!H53</f>
        <v>0</v>
      </c>
      <c r="R53" s="514">
        <f>'Reforecast Q1 2026'!H53</f>
        <v>-3701.78</v>
      </c>
      <c r="S53" s="515">
        <f>Q53-R53</f>
        <v>3701.78</v>
      </c>
      <c r="T53" s="514">
        <f>SUM(Actuals!$C53:$H53)</f>
        <v>-11105.35</v>
      </c>
      <c r="U53" s="514">
        <f>SUM('Reforecast Q1 2026'!$C53:$H53)</f>
        <v>-22210.69</v>
      </c>
      <c r="V53" s="515">
        <f>T53-U53</f>
        <v>11105.34</v>
      </c>
    </row>
    <row r="54" ht="15" customFormat="1" customHeight="1" s="381">
      <c r="A54" s="513" t="inlineStr">
        <is>
          <t>Equip. Rental + D&amp;A (P&amp;L true-up)</t>
        </is>
      </c>
      <c r="B54" s="514">
        <f>Actuals!C54</f>
        <v>0</v>
      </c>
      <c r="C54" s="514">
        <f>'Reforecast Q1 2026'!C54</f>
        <v>0</v>
      </c>
      <c r="D54" s="515">
        <f>B54-C54</f>
        <v>0</v>
      </c>
      <c r="E54" s="514">
        <f>Actuals!D54</f>
        <v>0</v>
      </c>
      <c r="F54" s="514">
        <f>'Reforecast Q1 2026'!D54</f>
        <v>0</v>
      </c>
      <c r="G54" s="515">
        <f>E54-F54</f>
        <v>0</v>
      </c>
      <c r="H54" s="514">
        <f>Actuals!E54</f>
        <v>0</v>
      </c>
      <c r="I54" s="514">
        <f>'Reforecast Q1 2026'!E54</f>
        <v>0</v>
      </c>
      <c r="J54" s="515">
        <f>H54-I54</f>
        <v>0</v>
      </c>
      <c r="K54" s="514">
        <f>Actuals!F54</f>
        <v>0</v>
      </c>
      <c r="L54" s="514">
        <f>'Reforecast Q1 2026'!F54</f>
        <v>0</v>
      </c>
      <c r="M54" s="515">
        <f>K54-L54</f>
        <v>0</v>
      </c>
      <c r="N54" s="514">
        <f>Actuals!G54</f>
        <v>0</v>
      </c>
      <c r="O54" s="514">
        <f>'Reforecast Q1 2026'!G54</f>
        <v>0</v>
      </c>
      <c r="P54" s="515">
        <f>N54-O54</f>
        <v>0</v>
      </c>
      <c r="Q54" s="514">
        <f>Actuals!H54</f>
        <v>-612.68</v>
      </c>
      <c r="R54" s="514">
        <f>'Reforecast Q1 2026'!H54</f>
        <v>0</v>
      </c>
      <c r="S54" s="515">
        <f>Q54-R54</f>
        <v>-612.68</v>
      </c>
      <c r="T54" s="514">
        <f>SUM(Actuals!$C54:$H54)</f>
        <v>-612.68</v>
      </c>
      <c r="U54" s="514">
        <f>SUM('Reforecast Q1 2026'!$C54:$H54)</f>
        <v>0</v>
      </c>
      <c r="V54" s="515">
        <f>T54-U54</f>
        <v>-612.68</v>
      </c>
    </row>
    <row r="55" ht="15" customFormat="1" customHeight="1" s="381">
      <c r="A55" s="516" t="inlineStr">
        <is>
          <t>Total GC Costs</t>
        </is>
      </c>
      <c r="B55" s="517">
        <f>Actuals!C55</f>
        <v>-260601.5</v>
      </c>
      <c r="C55" s="517">
        <f>'Reforecast Q1 2026'!C55</f>
        <v>-258991.59</v>
      </c>
      <c r="D55" s="518">
        <f>B55-C55</f>
        <v>-1609.91</v>
      </c>
      <c r="E55" s="517">
        <f>Actuals!D55</f>
        <v>-260308.54</v>
      </c>
      <c r="F55" s="517">
        <f>'Reforecast Q1 2026'!D55</f>
        <v>-258698.63</v>
      </c>
      <c r="G55" s="518">
        <f>E55-F55</f>
        <v>-1609.91</v>
      </c>
      <c r="H55" s="517">
        <f>Actuals!E55</f>
        <v>-351937.74</v>
      </c>
      <c r="I55" s="517">
        <f>'Reforecast Q1 2026'!E55</f>
        <v>-350327.83</v>
      </c>
      <c r="J55" s="518">
        <f>H55-I55</f>
        <v>-1609.90999999997</v>
      </c>
      <c r="K55" s="517">
        <f>Actuals!F55</f>
        <v>-73431.56</v>
      </c>
      <c r="L55" s="517">
        <f>'Reforecast Q1 2026'!F55</f>
        <v>-391691.558333333</v>
      </c>
      <c r="M55" s="518">
        <f>K55-L55</f>
        <v>318259.998333333</v>
      </c>
      <c r="N55" s="517">
        <f>Actuals!G55</f>
        <v>-437914.85</v>
      </c>
      <c r="O55" s="517">
        <f>'Reforecast Q1 2026'!G55</f>
        <v>-464089.475</v>
      </c>
      <c r="P55" s="518">
        <f>N55-O55</f>
        <v>26174.625</v>
      </c>
      <c r="Q55" s="517">
        <f>Actuals!H55</f>
        <v>-323453.89</v>
      </c>
      <c r="R55" s="517">
        <f>'Reforecast Q1 2026'!H55</f>
        <v>-493464.475</v>
      </c>
      <c r="S55" s="518">
        <f>Q55-R55</f>
        <v>170010.585</v>
      </c>
      <c r="T55" s="517">
        <f>SUM(Actuals!$C55:$H55)</f>
        <v>-1707648.08</v>
      </c>
      <c r="U55" s="517">
        <f>SUM('Reforecast Q1 2026'!$C55:$H55)</f>
        <v>-2217263.55833333</v>
      </c>
      <c r="V55" s="518">
        <f>T55-U55</f>
        <v>509615.478333333</v>
      </c>
    </row>
    <row r="57" ht="15" customFormat="1" customHeight="1" s="381">
      <c r="A57" s="516" t="inlineStr">
        <is>
          <t>GC Net Income</t>
        </is>
      </c>
      <c r="B57" s="517">
        <f>Actuals!C57</f>
        <v>-41844.6399999999</v>
      </c>
      <c r="C57" s="517">
        <f>'Reforecast Q1 2026'!C57</f>
        <v>-40238.7799999999</v>
      </c>
      <c r="D57" s="518">
        <f>B57-C57</f>
        <v>-1605.86</v>
      </c>
      <c r="E57" s="517">
        <f>Actuals!D57</f>
        <v>-311309.31</v>
      </c>
      <c r="F57" s="517">
        <f>'Reforecast Q1 2026'!D57</f>
        <v>-309702.1</v>
      </c>
      <c r="G57" s="518">
        <f>E57-F57</f>
        <v>-1607.21000000008</v>
      </c>
      <c r="H57" s="517">
        <f>Actuals!E57</f>
        <v>242246.78</v>
      </c>
      <c r="I57" s="517">
        <f>'Reforecast Q1 2026'!E57</f>
        <v>243856.69</v>
      </c>
      <c r="J57" s="518">
        <f>H57-I57</f>
        <v>-1609.90999999974</v>
      </c>
      <c r="K57" s="517">
        <f>Actuals!F57</f>
        <v>373926.69</v>
      </c>
      <c r="L57" s="517">
        <f>'Reforecast Q1 2026'!F57</f>
        <v>77193.5079209369</v>
      </c>
      <c r="M57" s="518">
        <f>K57-L57</f>
        <v>296733.182079064</v>
      </c>
      <c r="N57" s="517">
        <f>Actuals!G57</f>
        <v>27621.8499999997</v>
      </c>
      <c r="O57" s="517">
        <f>'Reforecast Q1 2026'!G57</f>
        <v>4795.59125425993</v>
      </c>
      <c r="P57" s="518">
        <f>N57-O57</f>
        <v>22826.2587457398</v>
      </c>
      <c r="Q57" s="517">
        <f>Actuals!H57</f>
        <v>317897.240000001</v>
      </c>
      <c r="R57" s="517">
        <f>'Reforecast Q1 2026'!H57</f>
        <v>-24579.4087457396</v>
      </c>
      <c r="S57" s="518">
        <f>Q57-R57</f>
        <v>342476.64874574</v>
      </c>
      <c r="T57" s="517">
        <f>SUM(Actuals!$C57:$H57)</f>
        <v>608538.610000001</v>
      </c>
      <c r="U57" s="517">
        <f>SUM('Reforecast Q1 2026'!$C57:$H57)</f>
        <v>-48674.4995705426</v>
      </c>
      <c r="V57" s="518">
        <f>T57-U57</f>
        <v>657213.109570544</v>
      </c>
    </row>
    <row r="58" ht="15" customFormat="1" customHeight="1" s="381">
      <c r="A58" s="513" t="inlineStr">
        <is>
          <t>GC Net Profit Margin %</t>
        </is>
      </c>
      <c r="B58" s="519">
        <f>Actuals!C58</f>
        <v>-0.0287831236019867</v>
      </c>
      <c r="C58" s="519">
        <f>'Reforecast Q1 2026'!C58</f>
        <v>-0.0276785988569409</v>
      </c>
      <c r="D58" s="520">
        <f>B58-C58</f>
        <v>-0.00110452474504576</v>
      </c>
      <c r="E58" s="519">
        <f>Actuals!D58</f>
        <v>-0.102996554608564</v>
      </c>
      <c r="F58" s="519">
        <f>'Reforecast Q1 2026'!D58</f>
        <v>-0.102464901385612</v>
      </c>
      <c r="G58" s="520">
        <f>E58-F58</f>
        <v>-0.000531653222952275</v>
      </c>
      <c r="H58" s="519">
        <f>Actuals!E58</f>
        <v>0.0906538863233281</v>
      </c>
      <c r="I58" s="519">
        <f>'Reforecast Q1 2026'!E58</f>
        <v>0.0912563488127398</v>
      </c>
      <c r="J58" s="520">
        <f>H58-I58</f>
        <v>-0.00060246248941169</v>
      </c>
      <c r="K58" s="519">
        <f>Actuals!F58</f>
        <v>0.101270434808067</v>
      </c>
      <c r="L58" s="519">
        <f>'Reforecast Q1 2026'!F58</f>
        <v>0.0173298465800976</v>
      </c>
      <c r="M58" s="520">
        <f>K58-L58</f>
        <v>0.0839405882279692</v>
      </c>
      <c r="N58" s="519">
        <f>Actuals!G58</f>
        <v>0.00625486062340116</v>
      </c>
      <c r="O58" s="519">
        <f>'Reforecast Q1 2026'!G58</f>
        <v>0.00103190312584528</v>
      </c>
      <c r="P58" s="520">
        <f>N58-O58</f>
        <v>0.00522295749755588</v>
      </c>
      <c r="Q58" s="519">
        <f>Actuals!H58</f>
        <v>0.0508451485513171</v>
      </c>
      <c r="R58" s="519">
        <f>'Reforecast Q1 2026'!H58</f>
        <v>-0.00513830988769468</v>
      </c>
      <c r="S58" s="520">
        <f>Q58-R58</f>
        <v>0.0559834584390118</v>
      </c>
      <c r="T58" s="519">
        <f>IFERROR(T57/T13,0)</f>
        <v>0.0282920005101722</v>
      </c>
      <c r="U58" s="519">
        <f>IFERROR(U57/U13,0)</f>
        <v>-0.00231411139762749</v>
      </c>
      <c r="V58" s="520">
        <f>T58-U58</f>
        <v>0.0306061119077997</v>
      </c>
    </row>
    <row r="62" ht="15" customFormat="1" customHeight="1" s="381">
      <c r="A62" s="511" t="inlineStr">
        <is>
          <t>SIX PEAK CAPITAL: MONTHLY BUDGET VS ACTUAL</t>
        </is>
      </c>
      <c r="B62" s="512" t="n"/>
      <c r="C62" s="512" t="n"/>
      <c r="D62" s="512" t="n"/>
      <c r="E62" s="512" t="n"/>
      <c r="F62" s="512" t="n"/>
      <c r="G62" s="512" t="n"/>
      <c r="H62" s="512" t="n"/>
      <c r="I62" s="512" t="n"/>
      <c r="J62" s="512" t="n"/>
      <c r="K62" s="512" t="n"/>
      <c r="L62" s="512" t="n"/>
      <c r="M62" s="512" t="n"/>
      <c r="N62" s="512" t="n"/>
      <c r="O62" s="512" t="n"/>
      <c r="P62" s="512" t="n"/>
      <c r="Q62" s="512" t="n"/>
      <c r="R62" s="512" t="n"/>
      <c r="S62" s="512" t="n"/>
      <c r="T62" s="512" t="n"/>
      <c r="U62" s="512" t="n"/>
      <c r="V62" s="512" t="n"/>
    </row>
    <row r="63" ht="15" customFormat="1" customHeight="1" s="381">
      <c r="A63" s="513" t="inlineStr">
        <is>
          <t>Non-Cash Revenue Items</t>
        </is>
      </c>
      <c r="B63" s="514">
        <f>Actuals!C63</f>
        <v>0</v>
      </c>
      <c r="C63" s="514">
        <f>'Reforecast Q1 2026'!C63</f>
        <v>0</v>
      </c>
      <c r="D63" s="515">
        <f>B63-C63</f>
        <v>0</v>
      </c>
      <c r="E63" s="514">
        <f>Actuals!D63</f>
        <v>0</v>
      </c>
      <c r="F63" s="514">
        <f>'Reforecast Q1 2026'!D63</f>
        <v>0</v>
      </c>
      <c r="G63" s="515">
        <f>E63-F63</f>
        <v>0</v>
      </c>
      <c r="H63" s="514">
        <f>Actuals!E63</f>
        <v>0</v>
      </c>
      <c r="I63" s="514">
        <f>'Reforecast Q1 2026'!E63</f>
        <v>0</v>
      </c>
      <c r="J63" s="515">
        <f>H63-I63</f>
        <v>0</v>
      </c>
      <c r="K63" s="514">
        <f>Actuals!F63</f>
        <v>0</v>
      </c>
      <c r="L63" s="514">
        <f>'Reforecast Q1 2026'!F63</f>
        <v>0</v>
      </c>
      <c r="M63" s="515">
        <f>K63-L63</f>
        <v>0</v>
      </c>
      <c r="N63" s="514">
        <f>Actuals!G63</f>
        <v>0</v>
      </c>
      <c r="O63" s="514">
        <f>'Reforecast Q1 2026'!G63</f>
        <v>0</v>
      </c>
      <c r="P63" s="515">
        <f>N63-O63</f>
        <v>0</v>
      </c>
      <c r="Q63" s="514">
        <f>Actuals!H63</f>
        <v>299000</v>
      </c>
      <c r="R63" s="514">
        <f>'Reforecast Q1 2026'!H63</f>
        <v>0</v>
      </c>
      <c r="S63" s="515">
        <f>Q63-R63</f>
        <v>299000</v>
      </c>
      <c r="T63" s="514">
        <f>SUM(Actuals!$C63:$H63)</f>
        <v>299000</v>
      </c>
      <c r="U63" s="514">
        <f>SUM('Reforecast Q1 2026'!$C63:$H63)</f>
        <v>0</v>
      </c>
      <c r="V63" s="515">
        <f>T63-U63</f>
        <v>299000</v>
      </c>
    </row>
    <row r="64" ht="15" customFormat="1" customHeight="1" s="381">
      <c r="A64" s="513" t="inlineStr">
        <is>
          <t>Edgemont Management Fee</t>
        </is>
      </c>
      <c r="B64" s="514">
        <f>Actuals!C64</f>
        <v>833.33</v>
      </c>
      <c r="C64" s="514">
        <f>'Reforecast Q1 2026'!C64</f>
        <v>833.33</v>
      </c>
      <c r="D64" s="515">
        <f>B64-C64</f>
        <v>0</v>
      </c>
      <c r="E64" s="514">
        <f>Actuals!D64</f>
        <v>833.33</v>
      </c>
      <c r="F64" s="514">
        <f>'Reforecast Q1 2026'!D64</f>
        <v>833.33</v>
      </c>
      <c r="G64" s="515">
        <f>E64-F64</f>
        <v>0</v>
      </c>
      <c r="H64" s="514">
        <f>Actuals!E64</f>
        <v>833.33</v>
      </c>
      <c r="I64" s="514">
        <f>'Reforecast Q1 2026'!E64</f>
        <v>833.33</v>
      </c>
      <c r="J64" s="515">
        <f>H64-I64</f>
        <v>0</v>
      </c>
      <c r="K64" s="514">
        <f>Actuals!F64</f>
        <v>833.33</v>
      </c>
      <c r="L64" s="514">
        <f>'Reforecast Q1 2026'!F64</f>
        <v>833.33</v>
      </c>
      <c r="M64" s="515">
        <f>K64-L64</f>
        <v>0</v>
      </c>
      <c r="N64" s="514">
        <f>Actuals!G64</f>
        <v>833.33</v>
      </c>
      <c r="O64" s="514">
        <f>'Reforecast Q1 2026'!G64</f>
        <v>833.33</v>
      </c>
      <c r="P64" s="515">
        <f>N64-O64</f>
        <v>0</v>
      </c>
      <c r="Q64" s="514">
        <f>Actuals!H64</f>
        <v>833.33</v>
      </c>
      <c r="R64" s="514">
        <f>'Reforecast Q1 2026'!H64</f>
        <v>833.33</v>
      </c>
      <c r="S64" s="515">
        <f>Q64-R64</f>
        <v>0</v>
      </c>
      <c r="T64" s="514">
        <f>SUM(Actuals!$C64:$H64)</f>
        <v>4999.98</v>
      </c>
      <c r="U64" s="514">
        <f>SUM('Reforecast Q1 2026'!$C64:$H64)</f>
        <v>4999.98</v>
      </c>
      <c r="V64" s="515">
        <f>T64-U64</f>
        <v>0</v>
      </c>
    </row>
    <row r="65" ht="15" customFormat="1" customHeight="1" s="381">
      <c r="A65" s="513" t="inlineStr">
        <is>
          <t>Ramsgate Dev Fee - Construction</t>
        </is>
      </c>
      <c r="B65" s="514">
        <f>Actuals!C65</f>
        <v>23906.25</v>
      </c>
      <c r="C65" s="514">
        <f>'Reforecast Q1 2026'!C65</f>
        <v>23906.25</v>
      </c>
      <c r="D65" s="515">
        <f>B65-C65</f>
        <v>0</v>
      </c>
      <c r="E65" s="514">
        <f>Actuals!D65</f>
        <v>23906.25</v>
      </c>
      <c r="F65" s="514">
        <f>'Reforecast Q1 2026'!D65</f>
        <v>23906.25</v>
      </c>
      <c r="G65" s="515">
        <f>E65-F65</f>
        <v>0</v>
      </c>
      <c r="H65" s="514">
        <f>Actuals!E65</f>
        <v>23906.25</v>
      </c>
      <c r="I65" s="514">
        <f>'Reforecast Q1 2026'!E65</f>
        <v>23906.25</v>
      </c>
      <c r="J65" s="515">
        <f>H65-I65</f>
        <v>0</v>
      </c>
      <c r="K65" s="514">
        <f>Actuals!F65</f>
        <v>23906.25</v>
      </c>
      <c r="L65" s="514">
        <f>'Reforecast Q1 2026'!F65</f>
        <v>23906.25</v>
      </c>
      <c r="M65" s="515">
        <f>K65-L65</f>
        <v>0</v>
      </c>
      <c r="N65" s="514">
        <f>Actuals!G65</f>
        <v>23906.25</v>
      </c>
      <c r="O65" s="514">
        <f>'Reforecast Q1 2026'!G65</f>
        <v>23906.25</v>
      </c>
      <c r="P65" s="515">
        <f>N65-O65</f>
        <v>0</v>
      </c>
      <c r="Q65" s="514">
        <f>Actuals!H65</f>
        <v>23906.25</v>
      </c>
      <c r="R65" s="514">
        <f>'Reforecast Q1 2026'!H65</f>
        <v>23906.25</v>
      </c>
      <c r="S65" s="515">
        <f>Q65-R65</f>
        <v>0</v>
      </c>
      <c r="T65" s="514">
        <f>SUM(Actuals!$C65:$H65)</f>
        <v>143437.5</v>
      </c>
      <c r="U65" s="514">
        <f>SUM('Reforecast Q1 2026'!$C65:$H65)</f>
        <v>143437.5</v>
      </c>
      <c r="V65" s="515">
        <f>T65-U65</f>
        <v>0</v>
      </c>
    </row>
    <row r="66" ht="15" customFormat="1" customHeight="1" s="381">
      <c r="A66" s="513" t="inlineStr">
        <is>
          <t>Ramsgate Dev Fee - 20% Occ</t>
        </is>
      </c>
      <c r="B66" s="514">
        <f>Actuals!C66</f>
        <v>0</v>
      </c>
      <c r="C66" s="514">
        <f>'Reforecast Q1 2026'!C66</f>
        <v>0</v>
      </c>
      <c r="D66" s="515">
        <f>B66-C66</f>
        <v>0</v>
      </c>
      <c r="E66" s="514">
        <f>Actuals!D66</f>
        <v>0</v>
      </c>
      <c r="F66" s="514">
        <f>'Reforecast Q1 2026'!D66</f>
        <v>0</v>
      </c>
      <c r="G66" s="515">
        <f>E66-F66</f>
        <v>0</v>
      </c>
      <c r="H66" s="514">
        <f>Actuals!E66</f>
        <v>0</v>
      </c>
      <c r="I66" s="514">
        <f>'Reforecast Q1 2026'!E66</f>
        <v>0</v>
      </c>
      <c r="J66" s="515">
        <f>H66-I66</f>
        <v>0</v>
      </c>
      <c r="K66" s="514">
        <f>Actuals!F66</f>
        <v>0</v>
      </c>
      <c r="L66" s="514">
        <f>'Reforecast Q1 2026'!F66</f>
        <v>0</v>
      </c>
      <c r="M66" s="515">
        <f>K66-L66</f>
        <v>0</v>
      </c>
      <c r="N66" s="514">
        <f>Actuals!G66</f>
        <v>0</v>
      </c>
      <c r="O66" s="514">
        <f>'Reforecast Q1 2026'!G66</f>
        <v>0</v>
      </c>
      <c r="P66" s="515">
        <f>N66-O66</f>
        <v>0</v>
      </c>
      <c r="Q66" s="514">
        <f>Actuals!H66</f>
        <v>0</v>
      </c>
      <c r="R66" s="514">
        <f>'Reforecast Q1 2026'!H66</f>
        <v>0</v>
      </c>
      <c r="S66" s="515">
        <f>Q66-R66</f>
        <v>0</v>
      </c>
      <c r="T66" s="514">
        <f>SUM(Actuals!$C66:$H66)</f>
        <v>0</v>
      </c>
      <c r="U66" s="514">
        <f>SUM('Reforecast Q1 2026'!$C66:$H66)</f>
        <v>0</v>
      </c>
      <c r="V66" s="515">
        <f>T66-U66</f>
        <v>0</v>
      </c>
    </row>
    <row r="67" ht="15" customFormat="1" customHeight="1" s="381">
      <c r="A67" s="513" t="inlineStr">
        <is>
          <t>Ramsgate Dev Fee - 50% Occ</t>
        </is>
      </c>
      <c r="B67" s="514">
        <f>Actuals!C67</f>
        <v>0</v>
      </c>
      <c r="C67" s="514">
        <f>'Reforecast Q1 2026'!C67</f>
        <v>0</v>
      </c>
      <c r="D67" s="515">
        <f>B67-C67</f>
        <v>0</v>
      </c>
      <c r="E67" s="514">
        <f>Actuals!D67</f>
        <v>0</v>
      </c>
      <c r="F67" s="514">
        <f>'Reforecast Q1 2026'!D67</f>
        <v>0</v>
      </c>
      <c r="G67" s="515">
        <f>E67-F67</f>
        <v>0</v>
      </c>
      <c r="H67" s="514">
        <f>Actuals!E67</f>
        <v>0</v>
      </c>
      <c r="I67" s="514">
        <f>'Reforecast Q1 2026'!E67</f>
        <v>0</v>
      </c>
      <c r="J67" s="515">
        <f>H67-I67</f>
        <v>0</v>
      </c>
      <c r="K67" s="514">
        <f>Actuals!F67</f>
        <v>0</v>
      </c>
      <c r="L67" s="514">
        <f>'Reforecast Q1 2026'!F67</f>
        <v>0</v>
      </c>
      <c r="M67" s="515">
        <f>K67-L67</f>
        <v>0</v>
      </c>
      <c r="N67" s="514">
        <f>Actuals!G67</f>
        <v>0</v>
      </c>
      <c r="O67" s="514">
        <f>'Reforecast Q1 2026'!G67</f>
        <v>0</v>
      </c>
      <c r="P67" s="515">
        <f>N67-O67</f>
        <v>0</v>
      </c>
      <c r="Q67" s="514">
        <f>Actuals!H67</f>
        <v>0</v>
      </c>
      <c r="R67" s="514">
        <f>'Reforecast Q1 2026'!H67</f>
        <v>0</v>
      </c>
      <c r="S67" s="515">
        <f>Q67-R67</f>
        <v>0</v>
      </c>
      <c r="T67" s="514">
        <f>SUM(Actuals!$C67:$H67)</f>
        <v>0</v>
      </c>
      <c r="U67" s="514">
        <f>SUM('Reforecast Q1 2026'!$C67:$H67)</f>
        <v>0</v>
      </c>
      <c r="V67" s="515">
        <f>T67-U67</f>
        <v>0</v>
      </c>
    </row>
    <row r="68" ht="15" customFormat="1" customHeight="1" s="381">
      <c r="A68" s="513" t="inlineStr">
        <is>
          <t>Ramsgate Dev Fee - 90% Occ</t>
        </is>
      </c>
      <c r="B68" s="514">
        <f>Actuals!C68</f>
        <v>0</v>
      </c>
      <c r="C68" s="514">
        <f>'Reforecast Q1 2026'!C68</f>
        <v>0</v>
      </c>
      <c r="D68" s="515">
        <f>B68-C68</f>
        <v>0</v>
      </c>
      <c r="E68" s="514">
        <f>Actuals!D68</f>
        <v>0</v>
      </c>
      <c r="F68" s="514">
        <f>'Reforecast Q1 2026'!D68</f>
        <v>0</v>
      </c>
      <c r="G68" s="515">
        <f>E68-F68</f>
        <v>0</v>
      </c>
      <c r="H68" s="514">
        <f>Actuals!E68</f>
        <v>0</v>
      </c>
      <c r="I68" s="514">
        <f>'Reforecast Q1 2026'!E68</f>
        <v>0</v>
      </c>
      <c r="J68" s="515">
        <f>H68-I68</f>
        <v>0</v>
      </c>
      <c r="K68" s="514">
        <f>Actuals!F68</f>
        <v>0</v>
      </c>
      <c r="L68" s="514">
        <f>'Reforecast Q1 2026'!F68</f>
        <v>0</v>
      </c>
      <c r="M68" s="515">
        <f>K68-L68</f>
        <v>0</v>
      </c>
      <c r="N68" s="514">
        <f>Actuals!G68</f>
        <v>0</v>
      </c>
      <c r="O68" s="514">
        <f>'Reforecast Q1 2026'!G68</f>
        <v>0</v>
      </c>
      <c r="P68" s="515">
        <f>N68-O68</f>
        <v>0</v>
      </c>
      <c r="Q68" s="514">
        <f>Actuals!H68</f>
        <v>0</v>
      </c>
      <c r="R68" s="514">
        <f>'Reforecast Q1 2026'!H68</f>
        <v>0</v>
      </c>
      <c r="S68" s="515">
        <f>Q68-R68</f>
        <v>0</v>
      </c>
      <c r="T68" s="514">
        <f>SUM(Actuals!$C68:$H68)</f>
        <v>0</v>
      </c>
      <c r="U68" s="514">
        <f>SUM('Reforecast Q1 2026'!$C68:$H68)</f>
        <v>0</v>
      </c>
      <c r="V68" s="515">
        <f>T68-U68</f>
        <v>0</v>
      </c>
    </row>
    <row r="69" ht="15" customFormat="1" customHeight="1" s="381">
      <c r="A69" s="513" t="inlineStr">
        <is>
          <t>Crenshaw Development Fee</t>
        </is>
      </c>
      <c r="B69" s="514">
        <f>Actuals!C69</f>
        <v>9375</v>
      </c>
      <c r="C69" s="514">
        <f>'Reforecast Q1 2026'!C69</f>
        <v>9375</v>
      </c>
      <c r="D69" s="515">
        <f>B69-C69</f>
        <v>0</v>
      </c>
      <c r="E69" s="514">
        <f>Actuals!D69</f>
        <v>9375</v>
      </c>
      <c r="F69" s="514">
        <f>'Reforecast Q1 2026'!D69</f>
        <v>9375</v>
      </c>
      <c r="G69" s="515">
        <f>E69-F69</f>
        <v>0</v>
      </c>
      <c r="H69" s="514">
        <f>Actuals!E69</f>
        <v>9375</v>
      </c>
      <c r="I69" s="514">
        <f>'Reforecast Q1 2026'!E69</f>
        <v>9375</v>
      </c>
      <c r="J69" s="515">
        <f>H69-I69</f>
        <v>0</v>
      </c>
      <c r="K69" s="514">
        <f>Actuals!F69</f>
        <v>9375</v>
      </c>
      <c r="L69" s="514">
        <f>'Reforecast Q1 2026'!F69</f>
        <v>9375</v>
      </c>
      <c r="M69" s="515">
        <f>K69-L69</f>
        <v>0</v>
      </c>
      <c r="N69" s="514">
        <f>Actuals!G69</f>
        <v>9375</v>
      </c>
      <c r="O69" s="514">
        <f>'Reforecast Q1 2026'!G69</f>
        <v>9375</v>
      </c>
      <c r="P69" s="515">
        <f>N69-O69</f>
        <v>0</v>
      </c>
      <c r="Q69" s="514">
        <f>Actuals!H69</f>
        <v>9375</v>
      </c>
      <c r="R69" s="514">
        <f>'Reforecast Q1 2026'!H69</f>
        <v>9375</v>
      </c>
      <c r="S69" s="515">
        <f>Q69-R69</f>
        <v>0</v>
      </c>
      <c r="T69" s="514">
        <f>SUM(Actuals!$C69:$H69)</f>
        <v>56250</v>
      </c>
      <c r="U69" s="514">
        <f>SUM('Reforecast Q1 2026'!$C69:$H69)</f>
        <v>56250</v>
      </c>
      <c r="V69" s="515">
        <f>T69-U69</f>
        <v>0</v>
      </c>
    </row>
    <row r="70" ht="15" customFormat="1" customHeight="1" s="381">
      <c r="A70" s="513" t="inlineStr">
        <is>
          <t>12th &amp; Fir Developer Fee</t>
        </is>
      </c>
      <c r="B70" s="514">
        <f>Actuals!C70</f>
        <v>0</v>
      </c>
      <c r="C70" s="514">
        <f>'Reforecast Q1 2026'!C70</f>
        <v>0</v>
      </c>
      <c r="D70" s="515">
        <f>B70-C70</f>
        <v>0</v>
      </c>
      <c r="E70" s="514">
        <f>Actuals!D70</f>
        <v>0</v>
      </c>
      <c r="F70" s="514">
        <f>'Reforecast Q1 2026'!D70</f>
        <v>0</v>
      </c>
      <c r="G70" s="515">
        <f>E70-F70</f>
        <v>0</v>
      </c>
      <c r="H70" s="514">
        <f>Actuals!E70</f>
        <v>0</v>
      </c>
      <c r="I70" s="514">
        <f>'Reforecast Q1 2026'!E70</f>
        <v>0</v>
      </c>
      <c r="J70" s="515">
        <f>H70-I70</f>
        <v>0</v>
      </c>
      <c r="K70" s="514">
        <f>Actuals!F70</f>
        <v>0</v>
      </c>
      <c r="L70" s="514">
        <f>'Reforecast Q1 2026'!F70</f>
        <v>9500</v>
      </c>
      <c r="M70" s="515">
        <f>K70-L70</f>
        <v>-9500</v>
      </c>
      <c r="N70" s="514">
        <f>Actuals!G70</f>
        <v>0</v>
      </c>
      <c r="O70" s="514">
        <f>'Reforecast Q1 2026'!G70</f>
        <v>9500</v>
      </c>
      <c r="P70" s="515">
        <f>N70-O70</f>
        <v>-9500</v>
      </c>
      <c r="Q70" s="514">
        <f>Actuals!H70</f>
        <v>0</v>
      </c>
      <c r="R70" s="514">
        <f>'Reforecast Q1 2026'!H70</f>
        <v>9500</v>
      </c>
      <c r="S70" s="515">
        <f>Q70-R70</f>
        <v>-9500</v>
      </c>
      <c r="T70" s="514">
        <f>SUM(Actuals!$C70:$H70)</f>
        <v>0</v>
      </c>
      <c r="U70" s="514">
        <f>SUM('Reforecast Q1 2026'!$C70:$H70)</f>
        <v>28500</v>
      </c>
      <c r="V70" s="515">
        <f>T70-U70</f>
        <v>-28500</v>
      </c>
    </row>
    <row r="71" ht="15" customFormat="1" customHeight="1" s="381">
      <c r="A71" s="513" t="inlineStr">
        <is>
          <t>Klump Accounting Fee</t>
        </is>
      </c>
      <c r="B71" s="514">
        <f>Actuals!C71</f>
        <v>0</v>
      </c>
      <c r="C71" s="514">
        <f>'Reforecast Q1 2026'!C71</f>
        <v>0</v>
      </c>
      <c r="D71" s="515">
        <f>B71-C71</f>
        <v>0</v>
      </c>
      <c r="E71" s="514">
        <f>Actuals!D71</f>
        <v>0</v>
      </c>
      <c r="F71" s="514">
        <f>'Reforecast Q1 2026'!D71</f>
        <v>0</v>
      </c>
      <c r="G71" s="515">
        <f>E71-F71</f>
        <v>0</v>
      </c>
      <c r="H71" s="514">
        <f>Actuals!E71</f>
        <v>0</v>
      </c>
      <c r="I71" s="514">
        <f>'Reforecast Q1 2026'!E71</f>
        <v>0</v>
      </c>
      <c r="J71" s="515">
        <f>H71-I71</f>
        <v>0</v>
      </c>
      <c r="K71" s="514">
        <f>Actuals!F71</f>
        <v>0</v>
      </c>
      <c r="L71" s="514">
        <f>'Reforecast Q1 2026'!F71</f>
        <v>0</v>
      </c>
      <c r="M71" s="515">
        <f>K71-L71</f>
        <v>0</v>
      </c>
      <c r="N71" s="514">
        <f>Actuals!G71</f>
        <v>0</v>
      </c>
      <c r="O71" s="514">
        <f>'Reforecast Q1 2026'!G71</f>
        <v>0</v>
      </c>
      <c r="P71" s="515">
        <f>N71-O71</f>
        <v>0</v>
      </c>
      <c r="Q71" s="514">
        <f>Actuals!H71</f>
        <v>0</v>
      </c>
      <c r="R71" s="514">
        <f>'Reforecast Q1 2026'!H71</f>
        <v>0</v>
      </c>
      <c r="S71" s="515">
        <f>Q71-R71</f>
        <v>0</v>
      </c>
      <c r="T71" s="514">
        <f>SUM(Actuals!$C71:$H71)</f>
        <v>0</v>
      </c>
      <c r="U71" s="514">
        <f>SUM('Reforecast Q1 2026'!$C71:$H71)</f>
        <v>0</v>
      </c>
      <c r="V71" s="515">
        <f>T71-U71</f>
        <v>0</v>
      </c>
    </row>
    <row r="72" ht="15" customFormat="1" customHeight="1" s="381">
      <c r="A72" s="513" t="inlineStr">
        <is>
          <t>Klump Developer Fee</t>
        </is>
      </c>
      <c r="B72" s="514">
        <f>Actuals!C72</f>
        <v>0</v>
      </c>
      <c r="C72" s="514">
        <f>'Reforecast Q1 2026'!C72</f>
        <v>0</v>
      </c>
      <c r="D72" s="515">
        <f>B72-C72</f>
        <v>0</v>
      </c>
      <c r="E72" s="514">
        <f>Actuals!D72</f>
        <v>0</v>
      </c>
      <c r="F72" s="514">
        <f>'Reforecast Q1 2026'!D72</f>
        <v>0</v>
      </c>
      <c r="G72" s="515">
        <f>E72-F72</f>
        <v>0</v>
      </c>
      <c r="H72" s="514">
        <f>Actuals!E72</f>
        <v>0</v>
      </c>
      <c r="I72" s="514">
        <f>'Reforecast Q1 2026'!E72</f>
        <v>0</v>
      </c>
      <c r="J72" s="515">
        <f>H72-I72</f>
        <v>0</v>
      </c>
      <c r="K72" s="514">
        <f>Actuals!F72</f>
        <v>0</v>
      </c>
      <c r="L72" s="514">
        <f>'Reforecast Q1 2026'!F72</f>
        <v>0</v>
      </c>
      <c r="M72" s="515">
        <f>K72-L72</f>
        <v>0</v>
      </c>
      <c r="N72" s="514">
        <f>Actuals!G72</f>
        <v>0</v>
      </c>
      <c r="O72" s="514">
        <f>'Reforecast Q1 2026'!G72</f>
        <v>0</v>
      </c>
      <c r="P72" s="515">
        <f>N72-O72</f>
        <v>0</v>
      </c>
      <c r="Q72" s="514">
        <f>Actuals!H72</f>
        <v>0</v>
      </c>
      <c r="R72" s="514">
        <f>'Reforecast Q1 2026'!H72</f>
        <v>0</v>
      </c>
      <c r="S72" s="515">
        <f>Q72-R72</f>
        <v>0</v>
      </c>
      <c r="T72" s="514">
        <f>SUM(Actuals!$C72:$H72)</f>
        <v>0</v>
      </c>
      <c r="U72" s="514">
        <f>SUM('Reforecast Q1 2026'!$C72:$H72)</f>
        <v>0</v>
      </c>
      <c r="V72" s="515">
        <f>T72-U72</f>
        <v>0</v>
      </c>
    </row>
    <row r="73" ht="15" customFormat="1" customHeight="1" s="381">
      <c r="A73" s="513" t="inlineStr">
        <is>
          <t>Klump Guarantee Fee</t>
        </is>
      </c>
      <c r="B73" s="514">
        <f>Actuals!C73</f>
        <v>0</v>
      </c>
      <c r="C73" s="514">
        <f>'Reforecast Q1 2026'!C73</f>
        <v>0</v>
      </c>
      <c r="D73" s="515">
        <f>B73-C73</f>
        <v>0</v>
      </c>
      <c r="E73" s="514">
        <f>Actuals!D73</f>
        <v>0</v>
      </c>
      <c r="F73" s="514">
        <f>'Reforecast Q1 2026'!D73</f>
        <v>0</v>
      </c>
      <c r="G73" s="515">
        <f>E73-F73</f>
        <v>0</v>
      </c>
      <c r="H73" s="514">
        <f>Actuals!E73</f>
        <v>0</v>
      </c>
      <c r="I73" s="514">
        <f>'Reforecast Q1 2026'!E73</f>
        <v>0</v>
      </c>
      <c r="J73" s="515">
        <f>H73-I73</f>
        <v>0</v>
      </c>
      <c r="K73" s="514">
        <f>Actuals!F73</f>
        <v>0</v>
      </c>
      <c r="L73" s="514">
        <f>'Reforecast Q1 2026'!F73</f>
        <v>0</v>
      </c>
      <c r="M73" s="515">
        <f>K73-L73</f>
        <v>0</v>
      </c>
      <c r="N73" s="514">
        <f>Actuals!G73</f>
        <v>0</v>
      </c>
      <c r="O73" s="514">
        <f>'Reforecast Q1 2026'!G73</f>
        <v>0</v>
      </c>
      <c r="P73" s="515">
        <f>N73-O73</f>
        <v>0</v>
      </c>
      <c r="Q73" s="514">
        <f>Actuals!H73</f>
        <v>0</v>
      </c>
      <c r="R73" s="514">
        <f>'Reforecast Q1 2026'!H73</f>
        <v>0</v>
      </c>
      <c r="S73" s="515">
        <f>Q73-R73</f>
        <v>0</v>
      </c>
      <c r="T73" s="514">
        <f>SUM(Actuals!$C73:$H73)</f>
        <v>0</v>
      </c>
      <c r="U73" s="514">
        <f>SUM('Reforecast Q1 2026'!$C73:$H73)</f>
        <v>0</v>
      </c>
      <c r="V73" s="515">
        <f>T73-U73</f>
        <v>0</v>
      </c>
    </row>
    <row r="74" ht="15" customFormat="1" customHeight="1" s="381">
      <c r="A74" s="513" t="inlineStr">
        <is>
          <t>Scott Accounting Fee</t>
        </is>
      </c>
      <c r="B74" s="514">
        <f>Actuals!C74</f>
        <v>0</v>
      </c>
      <c r="C74" s="514">
        <f>'Reforecast Q1 2026'!C74</f>
        <v>0</v>
      </c>
      <c r="D74" s="515">
        <f>B74-C74</f>
        <v>0</v>
      </c>
      <c r="E74" s="514">
        <f>Actuals!D74</f>
        <v>0</v>
      </c>
      <c r="F74" s="514">
        <f>'Reforecast Q1 2026'!D74</f>
        <v>0</v>
      </c>
      <c r="G74" s="515">
        <f>E74-F74</f>
        <v>0</v>
      </c>
      <c r="H74" s="514">
        <f>Actuals!E74</f>
        <v>0</v>
      </c>
      <c r="I74" s="514">
        <f>'Reforecast Q1 2026'!E74</f>
        <v>0</v>
      </c>
      <c r="J74" s="515">
        <f>H74-I74</f>
        <v>0</v>
      </c>
      <c r="K74" s="514">
        <f>Actuals!F74</f>
        <v>0</v>
      </c>
      <c r="L74" s="514">
        <f>'Reforecast Q1 2026'!F74</f>
        <v>0</v>
      </c>
      <c r="M74" s="515">
        <f>K74-L74</f>
        <v>0</v>
      </c>
      <c r="N74" s="514">
        <f>Actuals!G74</f>
        <v>0</v>
      </c>
      <c r="O74" s="514">
        <f>'Reforecast Q1 2026'!G74</f>
        <v>0</v>
      </c>
      <c r="P74" s="515">
        <f>N74-O74</f>
        <v>0</v>
      </c>
      <c r="Q74" s="514">
        <f>Actuals!H74</f>
        <v>0</v>
      </c>
      <c r="R74" s="514">
        <f>'Reforecast Q1 2026'!H74</f>
        <v>0</v>
      </c>
      <c r="S74" s="515">
        <f>Q74-R74</f>
        <v>0</v>
      </c>
      <c r="T74" s="514">
        <f>SUM(Actuals!$C74:$H74)</f>
        <v>0</v>
      </c>
      <c r="U74" s="514">
        <f>SUM('Reforecast Q1 2026'!$C74:$H74)</f>
        <v>0</v>
      </c>
      <c r="V74" s="515">
        <f>T74-U74</f>
        <v>0</v>
      </c>
    </row>
    <row r="75" ht="15" customFormat="1" customHeight="1" s="381">
      <c r="A75" s="513" t="inlineStr">
        <is>
          <t>Scott Developer Fee</t>
        </is>
      </c>
      <c r="B75" s="514">
        <f>Actuals!C75</f>
        <v>0</v>
      </c>
      <c r="C75" s="514">
        <f>'Reforecast Q1 2026'!C75</f>
        <v>0</v>
      </c>
      <c r="D75" s="515">
        <f>B75-C75</f>
        <v>0</v>
      </c>
      <c r="E75" s="514">
        <f>Actuals!D75</f>
        <v>0</v>
      </c>
      <c r="F75" s="514">
        <f>'Reforecast Q1 2026'!D75</f>
        <v>0</v>
      </c>
      <c r="G75" s="515">
        <f>E75-F75</f>
        <v>0</v>
      </c>
      <c r="H75" s="514">
        <f>Actuals!E75</f>
        <v>0</v>
      </c>
      <c r="I75" s="514">
        <f>'Reforecast Q1 2026'!E75</f>
        <v>0</v>
      </c>
      <c r="J75" s="515">
        <f>H75-I75</f>
        <v>0</v>
      </c>
      <c r="K75" s="514">
        <f>Actuals!F75</f>
        <v>0</v>
      </c>
      <c r="L75" s="514">
        <f>'Reforecast Q1 2026'!F75</f>
        <v>0</v>
      </c>
      <c r="M75" s="515">
        <f>K75-L75</f>
        <v>0</v>
      </c>
      <c r="N75" s="514">
        <f>Actuals!G75</f>
        <v>0</v>
      </c>
      <c r="O75" s="514">
        <f>'Reforecast Q1 2026'!G75</f>
        <v>0</v>
      </c>
      <c r="P75" s="515">
        <f>N75-O75</f>
        <v>0</v>
      </c>
      <c r="Q75" s="514">
        <f>Actuals!H75</f>
        <v>0</v>
      </c>
      <c r="R75" s="514">
        <f>'Reforecast Q1 2026'!H75</f>
        <v>0</v>
      </c>
      <c r="S75" s="515">
        <f>Q75-R75</f>
        <v>0</v>
      </c>
      <c r="T75" s="514">
        <f>SUM(Actuals!$C75:$H75)</f>
        <v>0</v>
      </c>
      <c r="U75" s="514">
        <f>SUM('Reforecast Q1 2026'!$C75:$H75)</f>
        <v>0</v>
      </c>
      <c r="V75" s="515">
        <f>T75-U75</f>
        <v>0</v>
      </c>
    </row>
    <row r="76" ht="15" customFormat="1" customHeight="1" s="381">
      <c r="A76" s="513" t="inlineStr">
        <is>
          <t>Scott Guarantee Fee</t>
        </is>
      </c>
      <c r="B76" s="514">
        <f>Actuals!C76</f>
        <v>0</v>
      </c>
      <c r="C76" s="514">
        <f>'Reforecast Q1 2026'!C76</f>
        <v>0</v>
      </c>
      <c r="D76" s="515">
        <f>B76-C76</f>
        <v>0</v>
      </c>
      <c r="E76" s="514">
        <f>Actuals!D76</f>
        <v>0</v>
      </c>
      <c r="F76" s="514">
        <f>'Reforecast Q1 2026'!D76</f>
        <v>0</v>
      </c>
      <c r="G76" s="515">
        <f>E76-F76</f>
        <v>0</v>
      </c>
      <c r="H76" s="514">
        <f>Actuals!E76</f>
        <v>0</v>
      </c>
      <c r="I76" s="514">
        <f>'Reforecast Q1 2026'!E76</f>
        <v>0</v>
      </c>
      <c r="J76" s="515">
        <f>H76-I76</f>
        <v>0</v>
      </c>
      <c r="K76" s="514">
        <f>Actuals!F76</f>
        <v>0</v>
      </c>
      <c r="L76" s="514">
        <f>'Reforecast Q1 2026'!F76</f>
        <v>0</v>
      </c>
      <c r="M76" s="515">
        <f>K76-L76</f>
        <v>0</v>
      </c>
      <c r="N76" s="514">
        <f>Actuals!G76</f>
        <v>0</v>
      </c>
      <c r="O76" s="514">
        <f>'Reforecast Q1 2026'!G76</f>
        <v>0</v>
      </c>
      <c r="P76" s="515">
        <f>N76-O76</f>
        <v>0</v>
      </c>
      <c r="Q76" s="514">
        <f>Actuals!H76</f>
        <v>0</v>
      </c>
      <c r="R76" s="514">
        <f>'Reforecast Q1 2026'!H76</f>
        <v>0</v>
      </c>
      <c r="S76" s="515">
        <f>Q76-R76</f>
        <v>0</v>
      </c>
      <c r="T76" s="514">
        <f>SUM(Actuals!$C76:$H76)</f>
        <v>0</v>
      </c>
      <c r="U76" s="514">
        <f>SUM('Reforecast Q1 2026'!$C76:$H76)</f>
        <v>0</v>
      </c>
      <c r="V76" s="515">
        <f>T76-U76</f>
        <v>0</v>
      </c>
    </row>
    <row r="77" ht="15" customFormat="1" customHeight="1" s="381">
      <c r="A77" s="513" t="inlineStr">
        <is>
          <t>Francis LIHTC Revenue (SP Share)</t>
        </is>
      </c>
      <c r="B77" s="514">
        <f>Actuals!C77</f>
        <v>0</v>
      </c>
      <c r="C77" s="514">
        <f>'Reforecast Q1 2026'!C77</f>
        <v>0</v>
      </c>
      <c r="D77" s="515">
        <f>B77-C77</f>
        <v>0</v>
      </c>
      <c r="E77" s="514">
        <f>Actuals!D77</f>
        <v>0</v>
      </c>
      <c r="F77" s="514">
        <f>'Reforecast Q1 2026'!D77</f>
        <v>0</v>
      </c>
      <c r="G77" s="515">
        <f>E77-F77</f>
        <v>0</v>
      </c>
      <c r="H77" s="514">
        <f>Actuals!E77</f>
        <v>0</v>
      </c>
      <c r="I77" s="514">
        <f>'Reforecast Q1 2026'!E77</f>
        <v>0</v>
      </c>
      <c r="J77" s="515">
        <f>H77-I77</f>
        <v>0</v>
      </c>
      <c r="K77" s="514">
        <f>Actuals!F77</f>
        <v>0</v>
      </c>
      <c r="L77" s="514">
        <f>'Reforecast Q1 2026'!F77</f>
        <v>0</v>
      </c>
      <c r="M77" s="515">
        <f>K77-L77</f>
        <v>0</v>
      </c>
      <c r="N77" s="514">
        <f>Actuals!G77</f>
        <v>0</v>
      </c>
      <c r="O77" s="514">
        <f>'Reforecast Q1 2026'!G77</f>
        <v>0</v>
      </c>
      <c r="P77" s="515">
        <f>N77-O77</f>
        <v>0</v>
      </c>
      <c r="Q77" s="514">
        <f>Actuals!H77</f>
        <v>0</v>
      </c>
      <c r="R77" s="514">
        <f>'Reforecast Q1 2026'!H77</f>
        <v>0</v>
      </c>
      <c r="S77" s="515">
        <f>Q77-R77</f>
        <v>0</v>
      </c>
      <c r="T77" s="514">
        <f>SUM(Actuals!$C77:$H77)</f>
        <v>0</v>
      </c>
      <c r="U77" s="514">
        <f>SUM('Reforecast Q1 2026'!$C77:$H77)</f>
        <v>0</v>
      </c>
      <c r="V77" s="515">
        <f>T77-U77</f>
        <v>0</v>
      </c>
    </row>
    <row r="78" ht="15" customFormat="1" customHeight="1" s="381">
      <c r="A78" s="513" t="inlineStr">
        <is>
          <t>Reseda LIHTC Revenue (SP Share)</t>
        </is>
      </c>
      <c r="B78" s="514">
        <f>Actuals!C78</f>
        <v>0</v>
      </c>
      <c r="C78" s="514">
        <f>'Reforecast Q1 2026'!C78</f>
        <v>0</v>
      </c>
      <c r="D78" s="515">
        <f>B78-C78</f>
        <v>0</v>
      </c>
      <c r="E78" s="514">
        <f>Actuals!D78</f>
        <v>0</v>
      </c>
      <c r="F78" s="514">
        <f>'Reforecast Q1 2026'!D78</f>
        <v>0</v>
      </c>
      <c r="G78" s="515">
        <f>E78-F78</f>
        <v>0</v>
      </c>
      <c r="H78" s="514">
        <f>Actuals!E78</f>
        <v>0</v>
      </c>
      <c r="I78" s="514">
        <f>'Reforecast Q1 2026'!E78</f>
        <v>0</v>
      </c>
      <c r="J78" s="515">
        <f>H78-I78</f>
        <v>0</v>
      </c>
      <c r="K78" s="514">
        <f>Actuals!F78</f>
        <v>0</v>
      </c>
      <c r="L78" s="514">
        <f>'Reforecast Q1 2026'!F78</f>
        <v>0</v>
      </c>
      <c r="M78" s="515">
        <f>K78-L78</f>
        <v>0</v>
      </c>
      <c r="N78" s="514">
        <f>Actuals!G78</f>
        <v>0</v>
      </c>
      <c r="O78" s="514">
        <f>'Reforecast Q1 2026'!G78</f>
        <v>0</v>
      </c>
      <c r="P78" s="515">
        <f>N78-O78</f>
        <v>0</v>
      </c>
      <c r="Q78" s="514">
        <f>Actuals!H78</f>
        <v>0</v>
      </c>
      <c r="R78" s="514">
        <f>'Reforecast Q1 2026'!H78</f>
        <v>0</v>
      </c>
      <c r="S78" s="515">
        <f>Q78-R78</f>
        <v>0</v>
      </c>
      <c r="T78" s="514">
        <f>SUM(Actuals!$C78:$H78)</f>
        <v>0</v>
      </c>
      <c r="U78" s="514">
        <f>SUM('Reforecast Q1 2026'!$C78:$H78)</f>
        <v>0</v>
      </c>
      <c r="V78" s="515">
        <f>T78-U78</f>
        <v>0</v>
      </c>
    </row>
    <row r="79" ht="15" customFormat="1" customHeight="1" s="381">
      <c r="A79" s="513" t="inlineStr">
        <is>
          <t>3rd St LIHTC Revenue (SP Share)</t>
        </is>
      </c>
      <c r="B79" s="514">
        <f>Actuals!C79</f>
        <v>0</v>
      </c>
      <c r="C79" s="514">
        <f>'Reforecast Q1 2026'!C79</f>
        <v>0</v>
      </c>
      <c r="D79" s="515">
        <f>B79-C79</f>
        <v>0</v>
      </c>
      <c r="E79" s="514">
        <f>Actuals!D79</f>
        <v>0</v>
      </c>
      <c r="F79" s="514">
        <f>'Reforecast Q1 2026'!D79</f>
        <v>0</v>
      </c>
      <c r="G79" s="515">
        <f>E79-F79</f>
        <v>0</v>
      </c>
      <c r="H79" s="514">
        <f>Actuals!E79</f>
        <v>0</v>
      </c>
      <c r="I79" s="514">
        <f>'Reforecast Q1 2026'!E79</f>
        <v>0</v>
      </c>
      <c r="J79" s="515">
        <f>H79-I79</f>
        <v>0</v>
      </c>
      <c r="K79" s="514">
        <f>Actuals!F79</f>
        <v>0</v>
      </c>
      <c r="L79" s="514">
        <f>'Reforecast Q1 2026'!F79</f>
        <v>0</v>
      </c>
      <c r="M79" s="515">
        <f>K79-L79</f>
        <v>0</v>
      </c>
      <c r="N79" s="514">
        <f>Actuals!G79</f>
        <v>0</v>
      </c>
      <c r="O79" s="514">
        <f>'Reforecast Q1 2026'!G79</f>
        <v>0</v>
      </c>
      <c r="P79" s="515">
        <f>N79-O79</f>
        <v>0</v>
      </c>
      <c r="Q79" s="514">
        <f>Actuals!H79</f>
        <v>0</v>
      </c>
      <c r="R79" s="514">
        <f>'Reforecast Q1 2026'!H79</f>
        <v>0</v>
      </c>
      <c r="S79" s="515">
        <f>Q79-R79</f>
        <v>0</v>
      </c>
      <c r="T79" s="514">
        <f>SUM(Actuals!$C79:$H79)</f>
        <v>0</v>
      </c>
      <c r="U79" s="514">
        <f>SUM('Reforecast Q1 2026'!$C79:$H79)</f>
        <v>0</v>
      </c>
      <c r="V79" s="515">
        <f>T79-U79</f>
        <v>0</v>
      </c>
    </row>
    <row r="80" ht="15" customFormat="1" customHeight="1" s="381">
      <c r="A80" s="513" t="inlineStr">
        <is>
          <t>Uplifters Total to SP</t>
        </is>
      </c>
      <c r="B80" s="514">
        <f>Actuals!C80</f>
        <v>0</v>
      </c>
      <c r="C80" s="514">
        <f>'Reforecast Q1 2026'!C80</f>
        <v>0</v>
      </c>
      <c r="D80" s="515">
        <f>B80-C80</f>
        <v>0</v>
      </c>
      <c r="E80" s="514">
        <f>Actuals!D80</f>
        <v>0</v>
      </c>
      <c r="F80" s="514">
        <f>'Reforecast Q1 2026'!D80</f>
        <v>0</v>
      </c>
      <c r="G80" s="515">
        <f>E80-F80</f>
        <v>0</v>
      </c>
      <c r="H80" s="514">
        <f>Actuals!E80</f>
        <v>0</v>
      </c>
      <c r="I80" s="514">
        <f>'Reforecast Q1 2026'!E80</f>
        <v>0</v>
      </c>
      <c r="J80" s="515">
        <f>H80-I80</f>
        <v>0</v>
      </c>
      <c r="K80" s="514">
        <f>Actuals!F80</f>
        <v>0</v>
      </c>
      <c r="L80" s="514">
        <f>'Reforecast Q1 2026'!F80</f>
        <v>0</v>
      </c>
      <c r="M80" s="515">
        <f>K80-L80</f>
        <v>0</v>
      </c>
      <c r="N80" s="514">
        <f>Actuals!G80</f>
        <v>0</v>
      </c>
      <c r="O80" s="514">
        <f>'Reforecast Q1 2026'!G80</f>
        <v>0</v>
      </c>
      <c r="P80" s="515">
        <f>N80-O80</f>
        <v>0</v>
      </c>
      <c r="Q80" s="514">
        <f>Actuals!H80</f>
        <v>0</v>
      </c>
      <c r="R80" s="514">
        <f>'Reforecast Q1 2026'!H80</f>
        <v>0</v>
      </c>
      <c r="S80" s="515">
        <f>Q80-R80</f>
        <v>0</v>
      </c>
      <c r="T80" s="514">
        <f>SUM(Actuals!$C80:$H80)</f>
        <v>0</v>
      </c>
      <c r="U80" s="514">
        <f>SUM('Reforecast Q1 2026'!$C80:$H80)</f>
        <v>0</v>
      </c>
      <c r="V80" s="515">
        <f>T80-U80</f>
        <v>0</v>
      </c>
    </row>
    <row r="81" ht="15" customFormat="1" customHeight="1" s="381">
      <c r="A81" s="516" t="inlineStr">
        <is>
          <t>Total Six Peak Revenue</t>
        </is>
      </c>
      <c r="B81" s="517">
        <f>Actuals!C81</f>
        <v>34114.58</v>
      </c>
      <c r="C81" s="517">
        <f>'Reforecast Q1 2026'!C81</f>
        <v>34114.58</v>
      </c>
      <c r="D81" s="518">
        <f>B81-C81</f>
        <v>0</v>
      </c>
      <c r="E81" s="517">
        <f>Actuals!D81</f>
        <v>34114.58</v>
      </c>
      <c r="F81" s="517">
        <f>'Reforecast Q1 2026'!D81</f>
        <v>34114.58</v>
      </c>
      <c r="G81" s="518">
        <f>E81-F81</f>
        <v>0</v>
      </c>
      <c r="H81" s="517">
        <f>Actuals!E81</f>
        <v>34114.58</v>
      </c>
      <c r="I81" s="517">
        <f>'Reforecast Q1 2026'!E81</f>
        <v>34114.58</v>
      </c>
      <c r="J81" s="518">
        <f>H81-I81</f>
        <v>0</v>
      </c>
      <c r="K81" s="517">
        <f>Actuals!F81</f>
        <v>34114.58</v>
      </c>
      <c r="L81" s="517">
        <f>'Reforecast Q1 2026'!F81</f>
        <v>43614.58</v>
      </c>
      <c r="M81" s="518">
        <f>K81-L81</f>
        <v>-9500</v>
      </c>
      <c r="N81" s="517">
        <f>Actuals!G81</f>
        <v>34114.58</v>
      </c>
      <c r="O81" s="517">
        <f>'Reforecast Q1 2026'!G81</f>
        <v>43614.58</v>
      </c>
      <c r="P81" s="518">
        <f>N81-O81</f>
        <v>-9500</v>
      </c>
      <c r="Q81" s="517">
        <f>Actuals!H81</f>
        <v>333114.58</v>
      </c>
      <c r="R81" s="517">
        <f>'Reforecast Q1 2026'!H81</f>
        <v>43614.58</v>
      </c>
      <c r="S81" s="518">
        <f>Q81-R81</f>
        <v>289500</v>
      </c>
      <c r="T81" s="517">
        <f>SUM(Actuals!$C81:$H81)</f>
        <v>503687.48</v>
      </c>
      <c r="U81" s="517">
        <f>SUM('Reforecast Q1 2026'!$C81:$H81)</f>
        <v>233187.48</v>
      </c>
      <c r="V81" s="518">
        <f>T81-U81</f>
        <v>270500</v>
      </c>
    </row>
    <row r="83" ht="15" customFormat="1" customHeight="1" s="381">
      <c r="A83" s="513" t="inlineStr">
        <is>
          <t>5000-1000 Payroll</t>
        </is>
      </c>
      <c r="B83" s="514">
        <f>Actuals!C83</f>
        <v>-54421</v>
      </c>
      <c r="C83" s="514">
        <f>'Reforecast Q1 2026'!C83</f>
        <v>-54421</v>
      </c>
      <c r="D83" s="515">
        <f>B83-C83</f>
        <v>0</v>
      </c>
      <c r="E83" s="514">
        <f>Actuals!D83</f>
        <v>-54166.68</v>
      </c>
      <c r="F83" s="514">
        <f>'Reforecast Q1 2026'!D83</f>
        <v>-54166.68</v>
      </c>
      <c r="G83" s="515">
        <f>E83-F83</f>
        <v>0</v>
      </c>
      <c r="H83" s="514">
        <f>Actuals!E83</f>
        <v>-54166.68</v>
      </c>
      <c r="I83" s="514">
        <f>'Reforecast Q1 2026'!E83</f>
        <v>-54166.68</v>
      </c>
      <c r="J83" s="515">
        <f>H83-I83</f>
        <v>0</v>
      </c>
      <c r="K83" s="514">
        <f>Actuals!F83</f>
        <v>-54166.68</v>
      </c>
      <c r="L83" s="514">
        <f>'Reforecast Q1 2026'!F83</f>
        <v>-11458.3333333333</v>
      </c>
      <c r="M83" s="515">
        <f>K83-L83</f>
        <v>-42708.3466666667</v>
      </c>
      <c r="N83" s="514">
        <f>Actuals!G83</f>
        <v>-54166.68</v>
      </c>
      <c r="O83" s="514">
        <f>'Reforecast Q1 2026'!G83</f>
        <v>-11458.3333333333</v>
      </c>
      <c r="P83" s="515">
        <f>N83-O83</f>
        <v>-42708.3466666667</v>
      </c>
      <c r="Q83" s="514">
        <f>Actuals!H83</f>
        <v>-54166.68</v>
      </c>
      <c r="R83" s="514">
        <f>'Reforecast Q1 2026'!H83</f>
        <v>-11458.3333333333</v>
      </c>
      <c r="S83" s="515">
        <f>Q83-R83</f>
        <v>-42708.3466666667</v>
      </c>
      <c r="T83" s="514">
        <f>SUM(Actuals!$C83:$H83)</f>
        <v>-325254.4</v>
      </c>
      <c r="U83" s="514">
        <f>SUM('Reforecast Q1 2026'!$C83:$H83)</f>
        <v>-197129.36</v>
      </c>
      <c r="V83" s="515">
        <f>T83-U83</f>
        <v>-128125.04</v>
      </c>
    </row>
    <row r="84" ht="15" customFormat="1" customHeight="1" s="381">
      <c r="A84" s="513" t="inlineStr">
        <is>
          <t>5000-1001 Payroll Taxes</t>
        </is>
      </c>
      <c r="B84" s="514">
        <f>Actuals!C84</f>
        <v>-5302</v>
      </c>
      <c r="C84" s="514">
        <f>'Reforecast Q1 2026'!C84</f>
        <v>-5302</v>
      </c>
      <c r="D84" s="515">
        <f>B84-C84</f>
        <v>0</v>
      </c>
      <c r="E84" s="514">
        <f>Actuals!D84</f>
        <v>-4279.79</v>
      </c>
      <c r="F84" s="514">
        <f>'Reforecast Q1 2026'!D84</f>
        <v>-4279.79</v>
      </c>
      <c r="G84" s="515">
        <f>E84-F84</f>
        <v>0</v>
      </c>
      <c r="H84" s="514">
        <f>Actuals!E84</f>
        <v>-4145.97</v>
      </c>
      <c r="I84" s="514">
        <f>'Reforecast Q1 2026'!E84</f>
        <v>-4145.97</v>
      </c>
      <c r="J84" s="515">
        <f>H84-I84</f>
        <v>0</v>
      </c>
      <c r="K84" s="514">
        <f>Actuals!F84</f>
        <v>-4145.96</v>
      </c>
      <c r="L84" s="514">
        <f>'Reforecast Q1 2026'!F84</f>
        <v>-802.083333333334</v>
      </c>
      <c r="M84" s="515">
        <f>K84-L84</f>
        <v>-3343.87666666667</v>
      </c>
      <c r="N84" s="514">
        <f>Actuals!G84</f>
        <v>-4145.99</v>
      </c>
      <c r="O84" s="514">
        <f>'Reforecast Q1 2026'!G84</f>
        <v>-802.083333333334</v>
      </c>
      <c r="P84" s="515">
        <f>N84-O84</f>
        <v>-3343.90666666667</v>
      </c>
      <c r="Q84" s="514">
        <f>Actuals!H84</f>
        <v>-4145.95</v>
      </c>
      <c r="R84" s="514">
        <f>'Reforecast Q1 2026'!H84</f>
        <v>-802.083333333334</v>
      </c>
      <c r="S84" s="515">
        <f>Q84-R84</f>
        <v>-3343.86666666667</v>
      </c>
      <c r="T84" s="514">
        <f>SUM(Actuals!$C84:$H84)</f>
        <v>-26165.66</v>
      </c>
      <c r="U84" s="514">
        <f>SUM('Reforecast Q1 2026'!$C84:$H84)</f>
        <v>-16134.01</v>
      </c>
      <c r="V84" s="515">
        <f>T84-U84</f>
        <v>-10031.65</v>
      </c>
    </row>
    <row r="85" ht="15" customFormat="1" customHeight="1" s="381">
      <c r="A85" s="513" t="inlineStr">
        <is>
          <t>5000-1002 Employee Benefits</t>
        </is>
      </c>
      <c r="B85" s="514">
        <f>Actuals!C85</f>
        <v>-12137.77</v>
      </c>
      <c r="C85" s="514">
        <f>'Reforecast Q1 2026'!C85</f>
        <v>-12137.77</v>
      </c>
      <c r="D85" s="515">
        <f>B85-C85</f>
        <v>0</v>
      </c>
      <c r="E85" s="514">
        <f>Actuals!D85</f>
        <v>-12137.78</v>
      </c>
      <c r="F85" s="514">
        <f>'Reforecast Q1 2026'!D85</f>
        <v>-12137.78</v>
      </c>
      <c r="G85" s="515">
        <f>E85-F85</f>
        <v>0</v>
      </c>
      <c r="H85" s="514">
        <f>Actuals!E85</f>
        <v>-12137.78</v>
      </c>
      <c r="I85" s="514">
        <f>'Reforecast Q1 2026'!E85</f>
        <v>-12137.78</v>
      </c>
      <c r="J85" s="515">
        <f>H85-I85</f>
        <v>0</v>
      </c>
      <c r="K85" s="514">
        <f>Actuals!F85</f>
        <v>-12137.78</v>
      </c>
      <c r="L85" s="514">
        <f>'Reforecast Q1 2026'!F85</f>
        <v>-572.916666666667</v>
      </c>
      <c r="M85" s="515">
        <f>K85-L85</f>
        <v>-11564.8633333333</v>
      </c>
      <c r="N85" s="514">
        <f>Actuals!G85</f>
        <v>-12137.78</v>
      </c>
      <c r="O85" s="514">
        <f>'Reforecast Q1 2026'!G85</f>
        <v>-572.916666666667</v>
      </c>
      <c r="P85" s="515">
        <f>N85-O85</f>
        <v>-11564.8633333333</v>
      </c>
      <c r="Q85" s="514">
        <f>Actuals!H85</f>
        <v>-12137.78</v>
      </c>
      <c r="R85" s="514">
        <f>'Reforecast Q1 2026'!H85</f>
        <v>-572.916666666667</v>
      </c>
      <c r="S85" s="515">
        <f>Q85-R85</f>
        <v>-11564.8633333333</v>
      </c>
      <c r="T85" s="514">
        <f>SUM(Actuals!$C85:$H85)</f>
        <v>-72826.67</v>
      </c>
      <c r="U85" s="514">
        <f>SUM('Reforecast Q1 2026'!$C85:$H85)</f>
        <v>-38132.08</v>
      </c>
      <c r="V85" s="515">
        <f>T85-U85</f>
        <v>-34694.59</v>
      </c>
    </row>
    <row r="86" ht="15" customFormat="1" customHeight="1" s="381">
      <c r="A86" s="513" t="inlineStr">
        <is>
          <t>5000-1003 Workers Comp</t>
        </is>
      </c>
      <c r="B86" s="514">
        <f>Actuals!C86</f>
        <v>-475.76</v>
      </c>
      <c r="C86" s="514">
        <f>'Reforecast Q1 2026'!C86</f>
        <v>-475.76</v>
      </c>
      <c r="D86" s="515">
        <f>B86-C86</f>
        <v>0</v>
      </c>
      <c r="E86" s="514">
        <f>Actuals!D86</f>
        <v>-475.76</v>
      </c>
      <c r="F86" s="514">
        <f>'Reforecast Q1 2026'!D86</f>
        <v>-475.76</v>
      </c>
      <c r="G86" s="515">
        <f>E86-F86</f>
        <v>0</v>
      </c>
      <c r="H86" s="514">
        <f>Actuals!E86</f>
        <v>-475.76</v>
      </c>
      <c r="I86" s="514">
        <f>'Reforecast Q1 2026'!E86</f>
        <v>-475.76</v>
      </c>
      <c r="J86" s="515">
        <f>H86-I86</f>
        <v>0</v>
      </c>
      <c r="K86" s="514">
        <f>Actuals!F86</f>
        <v>-475.76</v>
      </c>
      <c r="L86" s="514">
        <f>'Reforecast Q1 2026'!F86</f>
        <v>-229.166666666667</v>
      </c>
      <c r="M86" s="515">
        <f>K86-L86</f>
        <v>-246.593333333333</v>
      </c>
      <c r="N86" s="514">
        <f>Actuals!G86</f>
        <v>-475.76</v>
      </c>
      <c r="O86" s="514">
        <f>'Reforecast Q1 2026'!G86</f>
        <v>-229.166666666667</v>
      </c>
      <c r="P86" s="515">
        <f>N86-O86</f>
        <v>-246.593333333333</v>
      </c>
      <c r="Q86" s="514">
        <f>Actuals!H86</f>
        <v>-475.76</v>
      </c>
      <c r="R86" s="514">
        <f>'Reforecast Q1 2026'!H86</f>
        <v>-229.166666666667</v>
      </c>
      <c r="S86" s="515">
        <f>Q86-R86</f>
        <v>-246.593333333333</v>
      </c>
      <c r="T86" s="514">
        <f>SUM(Actuals!$C86:$H86)</f>
        <v>-2854.56</v>
      </c>
      <c r="U86" s="514">
        <f>SUM('Reforecast Q1 2026'!$C86:$H86)</f>
        <v>-2114.78</v>
      </c>
      <c r="V86" s="515">
        <f>T86-U86</f>
        <v>-739.779999999999</v>
      </c>
    </row>
    <row r="87" ht="15" customFormat="1" customHeight="1" s="381">
      <c r="A87" s="513" t="inlineStr">
        <is>
          <t>5000-1005 Payroll Servicing Fees</t>
        </is>
      </c>
      <c r="B87" s="514">
        <f>Actuals!C87</f>
        <v>-2200.12</v>
      </c>
      <c r="C87" s="514">
        <f>'Reforecast Q1 2026'!C87</f>
        <v>-2200.12</v>
      </c>
      <c r="D87" s="515">
        <f>B87-C87</f>
        <v>0</v>
      </c>
      <c r="E87" s="514">
        <f>Actuals!D87</f>
        <v>-2200.12</v>
      </c>
      <c r="F87" s="514">
        <f>'Reforecast Q1 2026'!D87</f>
        <v>-2200.12</v>
      </c>
      <c r="G87" s="515">
        <f>E87-F87</f>
        <v>0</v>
      </c>
      <c r="H87" s="514">
        <f>Actuals!E87</f>
        <v>-2200.12</v>
      </c>
      <c r="I87" s="514">
        <f>'Reforecast Q1 2026'!E87</f>
        <v>-2200.12</v>
      </c>
      <c r="J87" s="515">
        <f>H87-I87</f>
        <v>0</v>
      </c>
      <c r="K87" s="514">
        <f>Actuals!F87</f>
        <v>-2200.12</v>
      </c>
      <c r="L87" s="514">
        <f>'Reforecast Q1 2026'!F87</f>
        <v>-57.2916666666667</v>
      </c>
      <c r="M87" s="515">
        <f>K87-L87</f>
        <v>-2142.82833333333</v>
      </c>
      <c r="N87" s="514">
        <f>Actuals!G87</f>
        <v>-2200.12</v>
      </c>
      <c r="O87" s="514">
        <f>'Reforecast Q1 2026'!G87</f>
        <v>-57.2916666666667</v>
      </c>
      <c r="P87" s="515">
        <f>N87-O87</f>
        <v>-2142.82833333333</v>
      </c>
      <c r="Q87" s="514">
        <f>Actuals!H87</f>
        <v>-2200.12</v>
      </c>
      <c r="R87" s="514">
        <f>'Reforecast Q1 2026'!H87</f>
        <v>-57.2916666666667</v>
      </c>
      <c r="S87" s="515">
        <f>Q87-R87</f>
        <v>-2142.82833333333</v>
      </c>
      <c r="T87" s="514">
        <f>SUM(Actuals!$C87:$H87)</f>
        <v>-13200.72</v>
      </c>
      <c r="U87" s="514">
        <f>SUM('Reforecast Q1 2026'!$C87:$H87)</f>
        <v>-6772.235</v>
      </c>
      <c r="V87" s="515">
        <f>T87-U87</f>
        <v>-6428.485</v>
      </c>
    </row>
    <row r="88" ht="15" customFormat="1" customHeight="1" s="381">
      <c r="A88" s="513" t="inlineStr">
        <is>
          <t>5100-1000 Rent Expense</t>
        </is>
      </c>
      <c r="B88" s="514">
        <f>Actuals!C88</f>
        <v>-8848.65</v>
      </c>
      <c r="C88" s="514">
        <f>'Reforecast Q1 2026'!C88</f>
        <v>-8848.65</v>
      </c>
      <c r="D88" s="515">
        <f>B88-C88</f>
        <v>0</v>
      </c>
      <c r="E88" s="514">
        <f>Actuals!D88</f>
        <v>-8817.63</v>
      </c>
      <c r="F88" s="514">
        <f>'Reforecast Q1 2026'!D88</f>
        <v>-8817.63</v>
      </c>
      <c r="G88" s="515">
        <f>E88-F88</f>
        <v>0</v>
      </c>
      <c r="H88" s="514">
        <f>Actuals!E88</f>
        <v>-3775.91</v>
      </c>
      <c r="I88" s="514">
        <f>'Reforecast Q1 2026'!E88</f>
        <v>-3775.91</v>
      </c>
      <c r="J88" s="515">
        <f>H88-I88</f>
        <v>0</v>
      </c>
      <c r="K88" s="514">
        <f>Actuals!F88</f>
        <v>-8731.12</v>
      </c>
      <c r="L88" s="514">
        <f>'Reforecast Q1 2026'!F88</f>
        <v>-8500</v>
      </c>
      <c r="M88" s="515">
        <f>K88-L88</f>
        <v>-231.120000000001</v>
      </c>
      <c r="N88" s="514">
        <f>Actuals!G88</f>
        <v>-8739.17</v>
      </c>
      <c r="O88" s="514">
        <f>'Reforecast Q1 2026'!G88</f>
        <v>-8500</v>
      </c>
      <c r="P88" s="515">
        <f>N88-O88</f>
        <v>-239.17</v>
      </c>
      <c r="Q88" s="514">
        <f>Actuals!H88</f>
        <v>-8771.99</v>
      </c>
      <c r="R88" s="514">
        <f>'Reforecast Q1 2026'!H88</f>
        <v>-8500</v>
      </c>
      <c r="S88" s="515">
        <f>Q88-R88</f>
        <v>-271.99</v>
      </c>
      <c r="T88" s="514">
        <f>SUM(Actuals!$C88:$H88)</f>
        <v>-47684.47</v>
      </c>
      <c r="U88" s="514">
        <f>SUM('Reforecast Q1 2026'!$C88:$H88)</f>
        <v>-46942.19</v>
      </c>
      <c r="V88" s="515">
        <f>T88-U88</f>
        <v>-742.279999999992</v>
      </c>
    </row>
    <row r="89" ht="15" customFormat="1" customHeight="1" s="381">
      <c r="A89" s="513" t="inlineStr">
        <is>
          <t>5200-1000 Office Supplies and Expenses</t>
        </is>
      </c>
      <c r="B89" s="514">
        <f>Actuals!C89</f>
        <v>-1722.9</v>
      </c>
      <c r="C89" s="514">
        <f>'Reforecast Q1 2026'!C89</f>
        <v>-1722.9</v>
      </c>
      <c r="D89" s="515">
        <f>B89-C89</f>
        <v>0</v>
      </c>
      <c r="E89" s="514">
        <f>Actuals!D89</f>
        <v>0</v>
      </c>
      <c r="F89" s="514">
        <f>'Reforecast Q1 2026'!D89</f>
        <v>0</v>
      </c>
      <c r="G89" s="515">
        <f>E89-F89</f>
        <v>0</v>
      </c>
      <c r="H89" s="514">
        <f>Actuals!E89</f>
        <v>-28.51</v>
      </c>
      <c r="I89" s="514">
        <f>'Reforecast Q1 2026'!E89</f>
        <v>-28.51</v>
      </c>
      <c r="J89" s="515">
        <f>H89-I89</f>
        <v>0</v>
      </c>
      <c r="K89" s="514">
        <f>Actuals!F89</f>
        <v>0</v>
      </c>
      <c r="L89" s="514">
        <f>'Reforecast Q1 2026'!F89</f>
        <v>-583.8</v>
      </c>
      <c r="M89" s="515">
        <f>K89-L89</f>
        <v>583.8</v>
      </c>
      <c r="N89" s="514">
        <f>Actuals!G89</f>
        <v>-212.12</v>
      </c>
      <c r="O89" s="514">
        <f>'Reforecast Q1 2026'!G89</f>
        <v>-583.8</v>
      </c>
      <c r="P89" s="515">
        <f>N89-O89</f>
        <v>371.68</v>
      </c>
      <c r="Q89" s="514">
        <f>Actuals!H89</f>
        <v>-83.92</v>
      </c>
      <c r="R89" s="514">
        <f>'Reforecast Q1 2026'!H89</f>
        <v>-583.8</v>
      </c>
      <c r="S89" s="515">
        <f>Q89-R89</f>
        <v>499.88</v>
      </c>
      <c r="T89" s="514">
        <f>SUM(Actuals!$C89:$H89)</f>
        <v>-2047.45</v>
      </c>
      <c r="U89" s="514">
        <f>SUM('Reforecast Q1 2026'!$C89:$H89)</f>
        <v>-3502.81</v>
      </c>
      <c r="V89" s="515">
        <f>T89-U89</f>
        <v>1455.36</v>
      </c>
    </row>
    <row r="90" ht="15" customFormat="1" customHeight="1" s="381">
      <c r="A90" s="513" t="inlineStr">
        <is>
          <t>5200-1053 IT Software and Subscriptions</t>
        </is>
      </c>
      <c r="B90" s="514">
        <f>Actuals!C90</f>
        <v>-246.85</v>
      </c>
      <c r="C90" s="514">
        <f>'Reforecast Q1 2026'!C90</f>
        <v>-246.85</v>
      </c>
      <c r="D90" s="515">
        <f>B90-C90</f>
        <v>0</v>
      </c>
      <c r="E90" s="514">
        <f>Actuals!D90</f>
        <v>0</v>
      </c>
      <c r="F90" s="514">
        <f>'Reforecast Q1 2026'!D90</f>
        <v>0</v>
      </c>
      <c r="G90" s="515">
        <f>E90-F90</f>
        <v>0</v>
      </c>
      <c r="H90" s="514">
        <f>Actuals!E90</f>
        <v>-4246.73</v>
      </c>
      <c r="I90" s="514">
        <f>'Reforecast Q1 2026'!E90</f>
        <v>-4246.73</v>
      </c>
      <c r="J90" s="515">
        <f>H90-I90</f>
        <v>0</v>
      </c>
      <c r="K90" s="514">
        <f>Actuals!F90</f>
        <v>-3123.87</v>
      </c>
      <c r="L90" s="514">
        <f>'Reforecast Q1 2026'!F90</f>
        <v>-1497.86</v>
      </c>
      <c r="M90" s="515">
        <f>K90-L90</f>
        <v>-1626.01</v>
      </c>
      <c r="N90" s="514">
        <f>Actuals!G90</f>
        <v>-3184.88</v>
      </c>
      <c r="O90" s="514">
        <f>'Reforecast Q1 2026'!G90</f>
        <v>-1497.86</v>
      </c>
      <c r="P90" s="515">
        <f>N90-O90</f>
        <v>-1687.02</v>
      </c>
      <c r="Q90" s="514">
        <f>Actuals!H90</f>
        <v>-4015.94</v>
      </c>
      <c r="R90" s="514">
        <f>'Reforecast Q1 2026'!H90</f>
        <v>-1497.86</v>
      </c>
      <c r="S90" s="515">
        <f>Q90-R90</f>
        <v>-2518.08</v>
      </c>
      <c r="T90" s="514">
        <f>SUM(Actuals!$C90:$H90)</f>
        <v>-14818.27</v>
      </c>
      <c r="U90" s="514">
        <f>SUM('Reforecast Q1 2026'!$C90:$H90)</f>
        <v>-8987.16</v>
      </c>
      <c r="V90" s="515">
        <f>T90-U90</f>
        <v>-5831.11</v>
      </c>
    </row>
    <row r="91" ht="15" customFormat="1" customHeight="1" s="381">
      <c r="A91" s="513" t="inlineStr">
        <is>
          <t>5200-1060 Website Design</t>
        </is>
      </c>
      <c r="B91" s="514">
        <f>Actuals!C91</f>
        <v>0</v>
      </c>
      <c r="C91" s="514">
        <f>'Reforecast Q1 2026'!C91</f>
        <v>0</v>
      </c>
      <c r="D91" s="515">
        <f>B91-C91</f>
        <v>0</v>
      </c>
      <c r="E91" s="514">
        <f>Actuals!D91</f>
        <v>0</v>
      </c>
      <c r="F91" s="514">
        <f>'Reforecast Q1 2026'!D91</f>
        <v>0</v>
      </c>
      <c r="G91" s="515">
        <f>E91-F91</f>
        <v>0</v>
      </c>
      <c r="H91" s="514">
        <f>Actuals!E91</f>
        <v>-870</v>
      </c>
      <c r="I91" s="514">
        <f>'Reforecast Q1 2026'!E91</f>
        <v>-870</v>
      </c>
      <c r="J91" s="515">
        <f>H91-I91</f>
        <v>0</v>
      </c>
      <c r="K91" s="514">
        <f>Actuals!F91</f>
        <v>0</v>
      </c>
      <c r="L91" s="514">
        <f>'Reforecast Q1 2026'!F91</f>
        <v>-290</v>
      </c>
      <c r="M91" s="515">
        <f>K91-L91</f>
        <v>290</v>
      </c>
      <c r="N91" s="514">
        <f>Actuals!G91</f>
        <v>0</v>
      </c>
      <c r="O91" s="514">
        <f>'Reforecast Q1 2026'!G91</f>
        <v>-290</v>
      </c>
      <c r="P91" s="515">
        <f>N91-O91</f>
        <v>290</v>
      </c>
      <c r="Q91" s="514">
        <f>Actuals!H91</f>
        <v>0</v>
      </c>
      <c r="R91" s="514">
        <f>'Reforecast Q1 2026'!H91</f>
        <v>-290</v>
      </c>
      <c r="S91" s="515">
        <f>Q91-R91</f>
        <v>290</v>
      </c>
      <c r="T91" s="514">
        <f>SUM(Actuals!$C91:$H91)</f>
        <v>-870</v>
      </c>
      <c r="U91" s="514">
        <f>SUM('Reforecast Q1 2026'!$C91:$H91)</f>
        <v>-1740</v>
      </c>
      <c r="V91" s="515">
        <f>T91-U91</f>
        <v>870</v>
      </c>
    </row>
    <row r="92" ht="15" customFormat="1" customHeight="1" s="381">
      <c r="A92" s="513" t="inlineStr">
        <is>
          <t>5200-1061 Website Hosting</t>
        </is>
      </c>
      <c r="B92" s="514">
        <f>Actuals!C92</f>
        <v>-245</v>
      </c>
      <c r="C92" s="514">
        <f>'Reforecast Q1 2026'!C92</f>
        <v>-245</v>
      </c>
      <c r="D92" s="515">
        <f>B92-C92</f>
        <v>0</v>
      </c>
      <c r="E92" s="514">
        <f>Actuals!D92</f>
        <v>-245</v>
      </c>
      <c r="F92" s="514">
        <f>'Reforecast Q1 2026'!D92</f>
        <v>-245</v>
      </c>
      <c r="G92" s="515">
        <f>E92-F92</f>
        <v>0</v>
      </c>
      <c r="H92" s="514">
        <f>Actuals!E92</f>
        <v>-245</v>
      </c>
      <c r="I92" s="514">
        <f>'Reforecast Q1 2026'!E92</f>
        <v>-245</v>
      </c>
      <c r="J92" s="515">
        <f>H92-I92</f>
        <v>0</v>
      </c>
      <c r="K92" s="514">
        <f>Actuals!F92</f>
        <v>-245</v>
      </c>
      <c r="L92" s="514">
        <f>'Reforecast Q1 2026'!F92</f>
        <v>-245</v>
      </c>
      <c r="M92" s="515">
        <f>K92-L92</f>
        <v>0</v>
      </c>
      <c r="N92" s="514">
        <f>Actuals!G92</f>
        <v>-245</v>
      </c>
      <c r="O92" s="514">
        <f>'Reforecast Q1 2026'!G92</f>
        <v>-245</v>
      </c>
      <c r="P92" s="515">
        <f>N92-O92</f>
        <v>0</v>
      </c>
      <c r="Q92" s="514">
        <f>Actuals!H92</f>
        <v>-245</v>
      </c>
      <c r="R92" s="514">
        <f>'Reforecast Q1 2026'!H92</f>
        <v>-245</v>
      </c>
      <c r="S92" s="515">
        <f>Q92-R92</f>
        <v>0</v>
      </c>
      <c r="T92" s="514">
        <f>SUM(Actuals!$C92:$H92)</f>
        <v>-1470</v>
      </c>
      <c r="U92" s="514">
        <f>SUM('Reforecast Q1 2026'!$C92:$H92)</f>
        <v>-1470</v>
      </c>
      <c r="V92" s="515">
        <f>T92-U92</f>
        <v>0</v>
      </c>
    </row>
    <row r="93" ht="15" customFormat="1" customHeight="1" s="381">
      <c r="A93" s="513" t="inlineStr">
        <is>
          <t>5300-1000 Travel and Lodging</t>
        </is>
      </c>
      <c r="B93" s="514">
        <f>Actuals!C93</f>
        <v>-986.57</v>
      </c>
      <c r="C93" s="514">
        <f>'Reforecast Q1 2026'!C93</f>
        <v>-986.57</v>
      </c>
      <c r="D93" s="515">
        <f>B93-C93</f>
        <v>0</v>
      </c>
      <c r="E93" s="514">
        <f>Actuals!D93</f>
        <v>-1254.61</v>
      </c>
      <c r="F93" s="514">
        <f>'Reforecast Q1 2026'!D93</f>
        <v>-1254.61</v>
      </c>
      <c r="G93" s="515">
        <f>E93-F93</f>
        <v>0</v>
      </c>
      <c r="H93" s="514">
        <f>Actuals!E93</f>
        <v>-1297.31</v>
      </c>
      <c r="I93" s="514">
        <f>'Reforecast Q1 2026'!E93</f>
        <v>-1297.31</v>
      </c>
      <c r="J93" s="515">
        <f>H93-I93</f>
        <v>0</v>
      </c>
      <c r="K93" s="514">
        <f>Actuals!F93</f>
        <v>-48.78</v>
      </c>
      <c r="L93" s="514">
        <f>'Reforecast Q1 2026'!F93</f>
        <v>-1179.5</v>
      </c>
      <c r="M93" s="515">
        <f>K93-L93</f>
        <v>1130.72</v>
      </c>
      <c r="N93" s="514">
        <f>Actuals!G93</f>
        <v>-4199.86</v>
      </c>
      <c r="O93" s="514">
        <f>'Reforecast Q1 2026'!G93</f>
        <v>-1179.5</v>
      </c>
      <c r="P93" s="515">
        <f>N93-O93</f>
        <v>-3020.36</v>
      </c>
      <c r="Q93" s="514">
        <f>Actuals!H93</f>
        <v>-3433.39</v>
      </c>
      <c r="R93" s="514">
        <f>'Reforecast Q1 2026'!H93</f>
        <v>-1179.5</v>
      </c>
      <c r="S93" s="515">
        <f>Q93-R93</f>
        <v>-2253.89</v>
      </c>
      <c r="T93" s="514">
        <f>SUM(Actuals!$C93:$H93)</f>
        <v>-11220.52</v>
      </c>
      <c r="U93" s="514">
        <f>SUM('Reforecast Q1 2026'!$C93:$H93)</f>
        <v>-7076.99</v>
      </c>
      <c r="V93" s="515">
        <f>T93-U93</f>
        <v>-4143.53</v>
      </c>
    </row>
    <row r="94" ht="15" customFormat="1" customHeight="1" s="381">
      <c r="A94" s="513" t="inlineStr">
        <is>
          <t>5300-1001 Public Transportation</t>
        </is>
      </c>
      <c r="B94" s="514">
        <f>Actuals!C94</f>
        <v>-588.66</v>
      </c>
      <c r="C94" s="514">
        <f>'Reforecast Q1 2026'!C94</f>
        <v>-588.66</v>
      </c>
      <c r="D94" s="515">
        <f>B94-C94</f>
        <v>0</v>
      </c>
      <c r="E94" s="514">
        <f>Actuals!D94</f>
        <v>-22.94</v>
      </c>
      <c r="F94" s="514">
        <f>'Reforecast Q1 2026'!D94</f>
        <v>-22.94</v>
      </c>
      <c r="G94" s="515">
        <f>E94-F94</f>
        <v>0</v>
      </c>
      <c r="H94" s="514">
        <f>Actuals!E94</f>
        <v>-487.3</v>
      </c>
      <c r="I94" s="514">
        <f>'Reforecast Q1 2026'!E94</f>
        <v>-487.3</v>
      </c>
      <c r="J94" s="515">
        <f>H94-I94</f>
        <v>0</v>
      </c>
      <c r="K94" s="514">
        <f>Actuals!F94</f>
        <v>-399.98</v>
      </c>
      <c r="L94" s="514">
        <f>'Reforecast Q1 2026'!F94</f>
        <v>-366.3</v>
      </c>
      <c r="M94" s="515">
        <f>K94-L94</f>
        <v>-33.68</v>
      </c>
      <c r="N94" s="514">
        <f>Actuals!G94</f>
        <v>-216.15</v>
      </c>
      <c r="O94" s="514">
        <f>'Reforecast Q1 2026'!G94</f>
        <v>-366.3</v>
      </c>
      <c r="P94" s="515">
        <f>N94-O94</f>
        <v>150.15</v>
      </c>
      <c r="Q94" s="514">
        <f>Actuals!H94</f>
        <v>-936.05</v>
      </c>
      <c r="R94" s="514">
        <f>'Reforecast Q1 2026'!H94</f>
        <v>-366.3</v>
      </c>
      <c r="S94" s="515">
        <f>Q94-R94</f>
        <v>-569.75</v>
      </c>
      <c r="T94" s="514">
        <f>SUM(Actuals!$C94:$H94)</f>
        <v>-2651.08</v>
      </c>
      <c r="U94" s="514">
        <f>SUM('Reforecast Q1 2026'!$C94:$H94)</f>
        <v>-2197.8</v>
      </c>
      <c r="V94" s="515">
        <f>T94-U94</f>
        <v>-453.28</v>
      </c>
    </row>
    <row r="95" ht="15" customFormat="1" customHeight="1" s="381">
      <c r="A95" s="513" t="inlineStr">
        <is>
          <t>5300-1002 Parking</t>
        </is>
      </c>
      <c r="B95" s="514">
        <f>Actuals!C95</f>
        <v>0</v>
      </c>
      <c r="C95" s="514">
        <f>'Reforecast Q1 2026'!C95</f>
        <v>0</v>
      </c>
      <c r="D95" s="515">
        <f>B95-C95</f>
        <v>0</v>
      </c>
      <c r="E95" s="514">
        <f>Actuals!D95</f>
        <v>-92.75</v>
      </c>
      <c r="F95" s="514">
        <f>'Reforecast Q1 2026'!D95</f>
        <v>-92.75</v>
      </c>
      <c r="G95" s="515">
        <f>E95-F95</f>
        <v>0</v>
      </c>
      <c r="H95" s="514">
        <f>Actuals!E95</f>
        <v>-57.46</v>
      </c>
      <c r="I95" s="514">
        <f>'Reforecast Q1 2026'!E95</f>
        <v>-57.46</v>
      </c>
      <c r="J95" s="515">
        <f>H95-I95</f>
        <v>0</v>
      </c>
      <c r="K95" s="514">
        <f>Actuals!F95</f>
        <v>0</v>
      </c>
      <c r="L95" s="514">
        <f>'Reforecast Q1 2026'!F95</f>
        <v>-50.07</v>
      </c>
      <c r="M95" s="515">
        <f>K95-L95</f>
        <v>50.07</v>
      </c>
      <c r="N95" s="514">
        <f>Actuals!G95</f>
        <v>-24.3</v>
      </c>
      <c r="O95" s="514">
        <f>'Reforecast Q1 2026'!G95</f>
        <v>-50.07</v>
      </c>
      <c r="P95" s="515">
        <f>N95-O95</f>
        <v>25.77</v>
      </c>
      <c r="Q95" s="514">
        <f>Actuals!H95</f>
        <v>-917.7</v>
      </c>
      <c r="R95" s="514">
        <f>'Reforecast Q1 2026'!H95</f>
        <v>-50.07</v>
      </c>
      <c r="S95" s="515">
        <f>Q95-R95</f>
        <v>-867.63</v>
      </c>
      <c r="T95" s="514">
        <f>SUM(Actuals!$C95:$H95)</f>
        <v>-1092.21</v>
      </c>
      <c r="U95" s="514">
        <f>SUM('Reforecast Q1 2026'!$C95:$H95)</f>
        <v>-300.42</v>
      </c>
      <c r="V95" s="515">
        <f>T95-U95</f>
        <v>-791.79</v>
      </c>
    </row>
    <row r="96" ht="15" customFormat="1" customHeight="1" s="381">
      <c r="A96" s="513" t="inlineStr">
        <is>
          <t>5300-1050 Meals and Entertainment</t>
        </is>
      </c>
      <c r="B96" s="514">
        <f>Actuals!C96</f>
        <v>-640.88</v>
      </c>
      <c r="C96" s="514">
        <f>'Reforecast Q1 2026'!C96</f>
        <v>-640.88</v>
      </c>
      <c r="D96" s="515">
        <f>B96-C96</f>
        <v>0</v>
      </c>
      <c r="E96" s="514">
        <f>Actuals!D96</f>
        <v>-872.64</v>
      </c>
      <c r="F96" s="514">
        <f>'Reforecast Q1 2026'!D96</f>
        <v>-872.64</v>
      </c>
      <c r="G96" s="515">
        <f>E96-F96</f>
        <v>0</v>
      </c>
      <c r="H96" s="514">
        <f>Actuals!E96</f>
        <v>-1175.78</v>
      </c>
      <c r="I96" s="514">
        <f>'Reforecast Q1 2026'!E96</f>
        <v>-1175.78</v>
      </c>
      <c r="J96" s="515">
        <f>H96-I96</f>
        <v>0</v>
      </c>
      <c r="K96" s="514">
        <f>Actuals!F96</f>
        <v>-471.38</v>
      </c>
      <c r="L96" s="514">
        <f>'Reforecast Q1 2026'!F96</f>
        <v>-896.43</v>
      </c>
      <c r="M96" s="515">
        <f>K96-L96</f>
        <v>425.05</v>
      </c>
      <c r="N96" s="514">
        <f>Actuals!G96</f>
        <v>-1307.57</v>
      </c>
      <c r="O96" s="514">
        <f>'Reforecast Q1 2026'!G96</f>
        <v>-896.43</v>
      </c>
      <c r="P96" s="515">
        <f>N96-O96</f>
        <v>-411.14</v>
      </c>
      <c r="Q96" s="514">
        <f>Actuals!H96</f>
        <v>-3067.11</v>
      </c>
      <c r="R96" s="514">
        <f>'Reforecast Q1 2026'!H96</f>
        <v>-896.43</v>
      </c>
      <c r="S96" s="515">
        <f>Q96-R96</f>
        <v>-2170.68</v>
      </c>
      <c r="T96" s="514">
        <f>SUM(Actuals!$C96:$H96)</f>
        <v>-7535.36</v>
      </c>
      <c r="U96" s="514">
        <f>SUM('Reforecast Q1 2026'!$C96:$H96)</f>
        <v>-5378.59</v>
      </c>
      <c r="V96" s="515">
        <f>T96-U96</f>
        <v>-2156.77</v>
      </c>
    </row>
    <row r="97" ht="15" customFormat="1" customHeight="1" s="381">
      <c r="A97" s="513" t="inlineStr">
        <is>
          <t>5500-1000 Legal and Professional Fees</t>
        </is>
      </c>
      <c r="B97" s="514">
        <f>Actuals!C97</f>
        <v>0</v>
      </c>
      <c r="C97" s="514">
        <f>'Reforecast Q1 2026'!C97</f>
        <v>0</v>
      </c>
      <c r="D97" s="515">
        <f>B97-C97</f>
        <v>0</v>
      </c>
      <c r="E97" s="514">
        <f>Actuals!D97</f>
        <v>0</v>
      </c>
      <c r="F97" s="514">
        <f>'Reforecast Q1 2026'!D97</f>
        <v>0</v>
      </c>
      <c r="G97" s="515">
        <f>E97-F97</f>
        <v>0</v>
      </c>
      <c r="H97" s="514">
        <f>Actuals!E97</f>
        <v>-38050.5</v>
      </c>
      <c r="I97" s="514">
        <f>'Reforecast Q1 2026'!E97</f>
        <v>-38050.5</v>
      </c>
      <c r="J97" s="515">
        <f>H97-I97</f>
        <v>0</v>
      </c>
      <c r="K97" s="514">
        <f>Actuals!F97</f>
        <v>0</v>
      </c>
      <c r="L97" s="514">
        <f>'Reforecast Q1 2026'!F97</f>
        <v>-2000</v>
      </c>
      <c r="M97" s="515">
        <f>K97-L97</f>
        <v>2000</v>
      </c>
      <c r="N97" s="514">
        <f>Actuals!G97</f>
        <v>-986.5</v>
      </c>
      <c r="O97" s="514">
        <f>'Reforecast Q1 2026'!G97</f>
        <v>-2000</v>
      </c>
      <c r="P97" s="515">
        <f>N97-O97</f>
        <v>1013.5</v>
      </c>
      <c r="Q97" s="514">
        <f>Actuals!H97</f>
        <v>-4830</v>
      </c>
      <c r="R97" s="514">
        <f>'Reforecast Q1 2026'!H97</f>
        <v>-2000</v>
      </c>
      <c r="S97" s="515">
        <f>Q97-R97</f>
        <v>-2830</v>
      </c>
      <c r="T97" s="514">
        <f>SUM(Actuals!$C97:$H97)</f>
        <v>-43867</v>
      </c>
      <c r="U97" s="514">
        <f>SUM('Reforecast Q1 2026'!$C97:$H97)</f>
        <v>-44050.5</v>
      </c>
      <c r="V97" s="515">
        <f>T97-U97</f>
        <v>183.5</v>
      </c>
    </row>
    <row r="98" ht="15" customFormat="1" customHeight="1" s="381">
      <c r="A98" s="513" t="inlineStr">
        <is>
          <t>5500-1002 Accounting Consulting and Overhead</t>
        </is>
      </c>
      <c r="B98" s="514">
        <f>Actuals!C98</f>
        <v>-4097.78</v>
      </c>
      <c r="C98" s="514">
        <f>'Reforecast Q1 2026'!C98</f>
        <v>-4097.78</v>
      </c>
      <c r="D98" s="515">
        <f>B98-C98</f>
        <v>0</v>
      </c>
      <c r="E98" s="514">
        <f>Actuals!D98</f>
        <v>-1950.2</v>
      </c>
      <c r="F98" s="514">
        <f>'Reforecast Q1 2026'!D98</f>
        <v>-1950.2</v>
      </c>
      <c r="G98" s="515">
        <f>E98-F98</f>
        <v>0</v>
      </c>
      <c r="H98" s="514">
        <f>Actuals!E98</f>
        <v>-1978.2</v>
      </c>
      <c r="I98" s="514">
        <f>'Reforecast Q1 2026'!E98</f>
        <v>-1978.2</v>
      </c>
      <c r="J98" s="515">
        <f>H98-I98</f>
        <v>0</v>
      </c>
      <c r="K98" s="514">
        <f>Actuals!F98</f>
        <v>-1970.2</v>
      </c>
      <c r="L98" s="514">
        <f>'Reforecast Q1 2026'!F98</f>
        <v>-2675.39</v>
      </c>
      <c r="M98" s="515">
        <f>K98-L98</f>
        <v>705.19</v>
      </c>
      <c r="N98" s="514">
        <f>Actuals!G98</f>
        <v>-6126.2</v>
      </c>
      <c r="O98" s="514">
        <f>'Reforecast Q1 2026'!G98</f>
        <v>-2675.39</v>
      </c>
      <c r="P98" s="515">
        <f>N98-O98</f>
        <v>-3450.81</v>
      </c>
      <c r="Q98" s="514">
        <f>Actuals!H98</f>
        <v>-1993.2</v>
      </c>
      <c r="R98" s="514">
        <f>'Reforecast Q1 2026'!H98</f>
        <v>-2675.39</v>
      </c>
      <c r="S98" s="515">
        <f>Q98-R98</f>
        <v>682.19</v>
      </c>
      <c r="T98" s="514">
        <f>SUM(Actuals!$C98:$H98)</f>
        <v>-18115.78</v>
      </c>
      <c r="U98" s="514">
        <f>SUM('Reforecast Q1 2026'!$C98:$H98)</f>
        <v>-16052.35</v>
      </c>
      <c r="V98" s="515">
        <f>T98-U98</f>
        <v>-2063.43</v>
      </c>
    </row>
    <row r="99" ht="15" customFormat="1" customHeight="1" s="381">
      <c r="A99" s="513" t="inlineStr">
        <is>
          <t>5500-1004 Consultants and Other Professional Expenses</t>
        </is>
      </c>
      <c r="B99" s="514">
        <f>Actuals!C99</f>
        <v>-28038</v>
      </c>
      <c r="C99" s="514">
        <f>'Reforecast Q1 2026'!C99</f>
        <v>-28038</v>
      </c>
      <c r="D99" s="515">
        <f>B99-C99</f>
        <v>0</v>
      </c>
      <c r="E99" s="514">
        <f>Actuals!D99</f>
        <v>-29387.5</v>
      </c>
      <c r="F99" s="514">
        <f>'Reforecast Q1 2026'!D99</f>
        <v>-29387.5</v>
      </c>
      <c r="G99" s="515">
        <f>E99-F99</f>
        <v>0</v>
      </c>
      <c r="H99" s="514">
        <f>Actuals!E99</f>
        <v>-28083</v>
      </c>
      <c r="I99" s="514">
        <f>'Reforecast Q1 2026'!E99</f>
        <v>-28083</v>
      </c>
      <c r="J99" s="515">
        <f>H99-I99</f>
        <v>0</v>
      </c>
      <c r="K99" s="514">
        <f>Actuals!F99</f>
        <v>-28083</v>
      </c>
      <c r="L99" s="514">
        <f>'Reforecast Q1 2026'!F99</f>
        <v>-8625</v>
      </c>
      <c r="M99" s="515">
        <f>K99-L99</f>
        <v>-19458</v>
      </c>
      <c r="N99" s="514">
        <f>Actuals!G99</f>
        <v>-69333</v>
      </c>
      <c r="O99" s="514">
        <f>'Reforecast Q1 2026'!G99</f>
        <v>-8625</v>
      </c>
      <c r="P99" s="515">
        <f>N99-O99</f>
        <v>-60708</v>
      </c>
      <c r="Q99" s="514">
        <f>Actuals!H99</f>
        <v>-28083</v>
      </c>
      <c r="R99" s="514">
        <f>'Reforecast Q1 2026'!H99</f>
        <v>-8625</v>
      </c>
      <c r="S99" s="515">
        <f>Q99-R99</f>
        <v>-19458</v>
      </c>
      <c r="T99" s="514">
        <f>SUM(Actuals!$C99:$H99)</f>
        <v>-211007.5</v>
      </c>
      <c r="U99" s="514">
        <f>SUM('Reforecast Q1 2026'!$C99:$H99)</f>
        <v>-111383.5</v>
      </c>
      <c r="V99" s="515">
        <f>T99-U99</f>
        <v>-99624</v>
      </c>
    </row>
    <row r="100" ht="15" customFormat="1" customHeight="1" s="381">
      <c r="A100" s="513" t="inlineStr">
        <is>
          <t>5500-1007 Dues and Subscriptions</t>
        </is>
      </c>
      <c r="B100" s="514">
        <f>Actuals!C100</f>
        <v>-268</v>
      </c>
      <c r="C100" s="514">
        <f>'Reforecast Q1 2026'!C100</f>
        <v>-268</v>
      </c>
      <c r="D100" s="515">
        <f>B100-C100</f>
        <v>0</v>
      </c>
      <c r="E100" s="514">
        <f>Actuals!D100</f>
        <v>-2088.75</v>
      </c>
      <c r="F100" s="514">
        <f>'Reforecast Q1 2026'!D100</f>
        <v>-2088.75</v>
      </c>
      <c r="G100" s="515">
        <f>E100-F100</f>
        <v>0</v>
      </c>
      <c r="H100" s="514">
        <f>Actuals!E100</f>
        <v>-2401.75</v>
      </c>
      <c r="I100" s="514">
        <f>'Reforecast Q1 2026'!E100</f>
        <v>-2401.75</v>
      </c>
      <c r="J100" s="515">
        <f>H100-I100</f>
        <v>0</v>
      </c>
      <c r="K100" s="514">
        <f>Actuals!F100</f>
        <v>-4209.5</v>
      </c>
      <c r="L100" s="514">
        <f>'Reforecast Q1 2026'!F100</f>
        <v>-1586.17</v>
      </c>
      <c r="M100" s="515">
        <f>K100-L100</f>
        <v>-2623.33</v>
      </c>
      <c r="N100" s="514">
        <f>Actuals!G100</f>
        <v>-2377.59</v>
      </c>
      <c r="O100" s="514">
        <f>'Reforecast Q1 2026'!G100</f>
        <v>-1586.17</v>
      </c>
      <c r="P100" s="515">
        <f>N100-O100</f>
        <v>-791.42</v>
      </c>
      <c r="Q100" s="514">
        <f>Actuals!H100</f>
        <v>-16</v>
      </c>
      <c r="R100" s="514">
        <f>'Reforecast Q1 2026'!H100</f>
        <v>-1586.17</v>
      </c>
      <c r="S100" s="515">
        <f>Q100-R100</f>
        <v>1570.17</v>
      </c>
      <c r="T100" s="514">
        <f>SUM(Actuals!$C100:$H100)</f>
        <v>-11361.59</v>
      </c>
      <c r="U100" s="514">
        <f>SUM('Reforecast Q1 2026'!$C100:$H100)</f>
        <v>-9517.01</v>
      </c>
      <c r="V100" s="515">
        <f>T100-U100</f>
        <v>-1844.58</v>
      </c>
    </row>
    <row r="101" ht="15" customFormat="1" customHeight="1" s="381">
      <c r="A101" s="513" t="inlineStr">
        <is>
          <t>5500-1009 Entity Filing and Formation Fees</t>
        </is>
      </c>
      <c r="B101" s="514">
        <f>Actuals!C101</f>
        <v>-341.83</v>
      </c>
      <c r="C101" s="514">
        <f>'Reforecast Q1 2026'!C101</f>
        <v>-341.83</v>
      </c>
      <c r="D101" s="515">
        <f>B101-C101</f>
        <v>0</v>
      </c>
      <c r="E101" s="514">
        <f>Actuals!D101</f>
        <v>-728</v>
      </c>
      <c r="F101" s="514">
        <f>'Reforecast Q1 2026'!D101</f>
        <v>-728</v>
      </c>
      <c r="G101" s="515">
        <f>E101-F101</f>
        <v>0</v>
      </c>
      <c r="H101" s="514">
        <f>Actuals!E101</f>
        <v>-15256.75</v>
      </c>
      <c r="I101" s="514">
        <f>'Reforecast Q1 2026'!E101</f>
        <v>-15256.75</v>
      </c>
      <c r="J101" s="515">
        <f>H101-I101</f>
        <v>0</v>
      </c>
      <c r="K101" s="514">
        <f>Actuals!F101</f>
        <v>-1033.41</v>
      </c>
      <c r="L101" s="514">
        <f>'Reforecast Q1 2026'!F101</f>
        <v>-5442.19</v>
      </c>
      <c r="M101" s="515">
        <f>K101-L101</f>
        <v>4408.78</v>
      </c>
      <c r="N101" s="514">
        <f>Actuals!G101</f>
        <v>-3499</v>
      </c>
      <c r="O101" s="514">
        <f>'Reforecast Q1 2026'!G101</f>
        <v>-5442.19</v>
      </c>
      <c r="P101" s="515">
        <f>N101-O101</f>
        <v>1943.19</v>
      </c>
      <c r="Q101" s="514">
        <f>Actuals!H101</f>
        <v>-1033.41</v>
      </c>
      <c r="R101" s="514">
        <f>'Reforecast Q1 2026'!H101</f>
        <v>-5442.19</v>
      </c>
      <c r="S101" s="515">
        <f>Q101-R101</f>
        <v>4408.78</v>
      </c>
      <c r="T101" s="514">
        <f>SUM(Actuals!$C101:$H101)</f>
        <v>-21892.4</v>
      </c>
      <c r="U101" s="514">
        <f>SUM('Reforecast Q1 2026'!$C101:$H101)</f>
        <v>-32653.15</v>
      </c>
      <c r="V101" s="515">
        <f>T101-U101</f>
        <v>10760.75</v>
      </c>
    </row>
    <row r="102" ht="15" customFormat="1" customHeight="1" s="381">
      <c r="A102" s="513" t="inlineStr">
        <is>
          <t>5500-1010 Investment Management Software</t>
        </is>
      </c>
      <c r="B102" s="514">
        <f>Actuals!C102</f>
        <v>-1905.31</v>
      </c>
      <c r="C102" s="514">
        <f>'Reforecast Q1 2026'!C102</f>
        <v>-1905.31</v>
      </c>
      <c r="D102" s="515">
        <f>B102-C102</f>
        <v>0</v>
      </c>
      <c r="E102" s="514">
        <f>Actuals!D102</f>
        <v>-1905.31</v>
      </c>
      <c r="F102" s="514">
        <f>'Reforecast Q1 2026'!D102</f>
        <v>-1905.31</v>
      </c>
      <c r="G102" s="515">
        <f>E102-F102</f>
        <v>0</v>
      </c>
      <c r="H102" s="514">
        <f>Actuals!E102</f>
        <v>-1905.31</v>
      </c>
      <c r="I102" s="514">
        <f>'Reforecast Q1 2026'!E102</f>
        <v>-1905.31</v>
      </c>
      <c r="J102" s="515">
        <f>H102-I102</f>
        <v>0</v>
      </c>
      <c r="K102" s="514">
        <f>Actuals!F102</f>
        <v>-1905.31</v>
      </c>
      <c r="L102" s="514">
        <f>'Reforecast Q1 2026'!F102</f>
        <v>-1905.31</v>
      </c>
      <c r="M102" s="515">
        <f>K102-L102</f>
        <v>0</v>
      </c>
      <c r="N102" s="514">
        <f>Actuals!G102</f>
        <v>-1905.31</v>
      </c>
      <c r="O102" s="514">
        <f>'Reforecast Q1 2026'!G102</f>
        <v>-1905.31</v>
      </c>
      <c r="P102" s="515">
        <f>N102-O102</f>
        <v>0</v>
      </c>
      <c r="Q102" s="514">
        <f>Actuals!H102</f>
        <v>-1905.31</v>
      </c>
      <c r="R102" s="514">
        <f>'Reforecast Q1 2026'!H102</f>
        <v>-1905.31</v>
      </c>
      <c r="S102" s="515">
        <f>Q102-R102</f>
        <v>0</v>
      </c>
      <c r="T102" s="514">
        <f>SUM(Actuals!$C102:$H102)</f>
        <v>-11431.86</v>
      </c>
      <c r="U102" s="514">
        <f>SUM('Reforecast Q1 2026'!$C102:$H102)</f>
        <v>-11431.86</v>
      </c>
      <c r="V102" s="515">
        <f>T102-U102</f>
        <v>0</v>
      </c>
    </row>
    <row r="103" ht="15" customFormat="1" customHeight="1" s="381">
      <c r="A103" s="513" t="inlineStr">
        <is>
          <t>5500-1053 E&amp;O/D&amp;O Insurance</t>
        </is>
      </c>
      <c r="B103" s="514">
        <f>Actuals!C103</f>
        <v>-2100</v>
      </c>
      <c r="C103" s="514">
        <f>'Reforecast Q1 2026'!C103</f>
        <v>-2100</v>
      </c>
      <c r="D103" s="515">
        <f>B103-C103</f>
        <v>0</v>
      </c>
      <c r="E103" s="514">
        <f>Actuals!D103</f>
        <v>-2100</v>
      </c>
      <c r="F103" s="514">
        <f>'Reforecast Q1 2026'!D103</f>
        <v>-2100</v>
      </c>
      <c r="G103" s="515">
        <f>E103-F103</f>
        <v>0</v>
      </c>
      <c r="H103" s="514">
        <f>Actuals!E103</f>
        <v>-2100</v>
      </c>
      <c r="I103" s="514">
        <f>'Reforecast Q1 2026'!E103</f>
        <v>-2100</v>
      </c>
      <c r="J103" s="515">
        <f>H103-I103</f>
        <v>0</v>
      </c>
      <c r="K103" s="514">
        <f>Actuals!F103</f>
        <v>-2100</v>
      </c>
      <c r="L103" s="514">
        <f>'Reforecast Q1 2026'!F103</f>
        <v>-2100</v>
      </c>
      <c r="M103" s="515">
        <f>K103-L103</f>
        <v>0</v>
      </c>
      <c r="N103" s="514">
        <f>Actuals!G103</f>
        <v>-2100</v>
      </c>
      <c r="O103" s="514">
        <f>'Reforecast Q1 2026'!G103</f>
        <v>-2100</v>
      </c>
      <c r="P103" s="515">
        <f>N103-O103</f>
        <v>0</v>
      </c>
      <c r="Q103" s="514">
        <f>Actuals!H103</f>
        <v>-2100</v>
      </c>
      <c r="R103" s="514">
        <f>'Reforecast Q1 2026'!H103</f>
        <v>-2100</v>
      </c>
      <c r="S103" s="515">
        <f>Q103-R103</f>
        <v>0</v>
      </c>
      <c r="T103" s="514">
        <f>SUM(Actuals!$C103:$H103)</f>
        <v>-12600</v>
      </c>
      <c r="U103" s="514">
        <f>SUM('Reforecast Q1 2026'!$C103:$H103)</f>
        <v>-12600</v>
      </c>
      <c r="V103" s="515">
        <f>T103-U103</f>
        <v>0</v>
      </c>
    </row>
    <row r="104" ht="15" customFormat="1" customHeight="1" s="381">
      <c r="A104" s="513" t="inlineStr">
        <is>
          <t>5800-1003 Consulting Fee</t>
        </is>
      </c>
      <c r="B104" s="514">
        <f>Actuals!C104</f>
        <v>-66666.66</v>
      </c>
      <c r="C104" s="514">
        <f>'Reforecast Q1 2026'!C104</f>
        <v>-66666.66</v>
      </c>
      <c r="D104" s="515">
        <f>B104-C104</f>
        <v>0</v>
      </c>
      <c r="E104" s="514">
        <f>Actuals!D104</f>
        <v>-66666.66</v>
      </c>
      <c r="F104" s="514">
        <f>'Reforecast Q1 2026'!D104</f>
        <v>-66666.66</v>
      </c>
      <c r="G104" s="515">
        <f>E104-F104</f>
        <v>0</v>
      </c>
      <c r="H104" s="514">
        <f>Actuals!E104</f>
        <v>-66666.66</v>
      </c>
      <c r="I104" s="514">
        <f>'Reforecast Q1 2026'!E104</f>
        <v>-66666.66</v>
      </c>
      <c r="J104" s="515">
        <f>H104-I104</f>
        <v>0</v>
      </c>
      <c r="K104" s="514">
        <f>Actuals!F104</f>
        <v>-66666.66</v>
      </c>
      <c r="L104" s="514">
        <f>'Reforecast Q1 2026'!F104</f>
        <v>-25000</v>
      </c>
      <c r="M104" s="515">
        <f>K104-L104</f>
        <v>-41666.66</v>
      </c>
      <c r="N104" s="514">
        <f>Actuals!G104</f>
        <v>-66666.66</v>
      </c>
      <c r="O104" s="514">
        <f>'Reforecast Q1 2026'!G104</f>
        <v>-25000</v>
      </c>
      <c r="P104" s="515">
        <f>N104-O104</f>
        <v>-41666.66</v>
      </c>
      <c r="Q104" s="514">
        <f>Actuals!H104</f>
        <v>-66666.66</v>
      </c>
      <c r="R104" s="514">
        <f>'Reforecast Q1 2026'!H104</f>
        <v>-25000</v>
      </c>
      <c r="S104" s="515">
        <f>Q104-R104</f>
        <v>-41666.66</v>
      </c>
      <c r="T104" s="514">
        <f>SUM(Actuals!$C104:$H104)</f>
        <v>-399999.96</v>
      </c>
      <c r="U104" s="514">
        <f>SUM('Reforecast Q1 2026'!$C104:$H104)</f>
        <v>-274999.98</v>
      </c>
      <c r="V104" s="515">
        <f>T104-U104</f>
        <v>-124999.98</v>
      </c>
    </row>
    <row r="105" ht="15" customFormat="1" customHeight="1" s="381">
      <c r="A105" s="513" t="inlineStr">
        <is>
          <t>5900-1075 Miscellaneous Expense</t>
        </is>
      </c>
      <c r="B105" s="514">
        <f>Actuals!C105</f>
        <v>-6935.84</v>
      </c>
      <c r="C105" s="514">
        <f>'Reforecast Q1 2026'!C105</f>
        <v>-4731.96</v>
      </c>
      <c r="D105" s="515">
        <f>B105-C105</f>
        <v>-2203.88</v>
      </c>
      <c r="E105" s="514">
        <f>Actuals!D105</f>
        <v>-2799.88</v>
      </c>
      <c r="F105" s="514">
        <f>'Reforecast Q1 2026'!D105</f>
        <v>-5</v>
      </c>
      <c r="G105" s="515">
        <f>E105-F105</f>
        <v>-2794.88</v>
      </c>
      <c r="H105" s="514">
        <f>Actuals!E105</f>
        <v>-12899.88</v>
      </c>
      <c r="I105" s="514">
        <f>'Reforecast Q1 2026'!E105</f>
        <v>-5</v>
      </c>
      <c r="J105" s="515">
        <f>H105-I105</f>
        <v>-12894.88</v>
      </c>
      <c r="K105" s="514">
        <f>Actuals!F105</f>
        <v>-2932.88</v>
      </c>
      <c r="L105" s="514">
        <f>'Reforecast Q1 2026'!F105</f>
        <v>-1580.65</v>
      </c>
      <c r="M105" s="515">
        <f>K105-L105</f>
        <v>-1352.23</v>
      </c>
      <c r="N105" s="514">
        <f>Actuals!G105</f>
        <v>-5474.88</v>
      </c>
      <c r="O105" s="514">
        <f>'Reforecast Q1 2026'!G105</f>
        <v>-1580.65</v>
      </c>
      <c r="P105" s="515">
        <f>N105-O105</f>
        <v>-3894.23</v>
      </c>
      <c r="Q105" s="514">
        <f>Actuals!H105</f>
        <v>-5</v>
      </c>
      <c r="R105" s="514">
        <f>'Reforecast Q1 2026'!H105</f>
        <v>-1580.65</v>
      </c>
      <c r="S105" s="515">
        <f>Q105-R105</f>
        <v>1575.65</v>
      </c>
      <c r="T105" s="514">
        <f>SUM(Actuals!$C105:$H105)</f>
        <v>-31048.36</v>
      </c>
      <c r="U105" s="514">
        <f>SUM('Reforecast Q1 2026'!$C105:$H105)</f>
        <v>-9483.91</v>
      </c>
      <c r="V105" s="515">
        <f>T105-U105</f>
        <v>-21564.45</v>
      </c>
    </row>
    <row r="106" ht="15" customFormat="1" customHeight="1" s="381">
      <c r="A106" s="513" t="inlineStr">
        <is>
          <t>5900-1080 Bank Service Charges</t>
        </is>
      </c>
      <c r="B106" s="514">
        <f>Actuals!C106</f>
        <v>-658.14</v>
      </c>
      <c r="C106" s="514">
        <f>'Reforecast Q1 2026'!C106</f>
        <v>-658.14</v>
      </c>
      <c r="D106" s="515">
        <f>B106-C106</f>
        <v>0</v>
      </c>
      <c r="E106" s="514">
        <f>Actuals!D106</f>
        <v>-310</v>
      </c>
      <c r="F106" s="514">
        <f>'Reforecast Q1 2026'!D106</f>
        <v>-310</v>
      </c>
      <c r="G106" s="515">
        <f>E106-F106</f>
        <v>0</v>
      </c>
      <c r="H106" s="514">
        <f>Actuals!E106</f>
        <v>-371.74</v>
      </c>
      <c r="I106" s="514">
        <f>'Reforecast Q1 2026'!E106</f>
        <v>-371.74</v>
      </c>
      <c r="J106" s="515">
        <f>H106-I106</f>
        <v>0</v>
      </c>
      <c r="K106" s="514">
        <f>Actuals!F106</f>
        <v>-857.33</v>
      </c>
      <c r="L106" s="514">
        <f>'Reforecast Q1 2026'!F106</f>
        <v>-446.63</v>
      </c>
      <c r="M106" s="515">
        <f>K106-L106</f>
        <v>-410.7</v>
      </c>
      <c r="N106" s="514">
        <f>Actuals!G106</f>
        <v>-305</v>
      </c>
      <c r="O106" s="514">
        <f>'Reforecast Q1 2026'!G106</f>
        <v>-446.63</v>
      </c>
      <c r="P106" s="515">
        <f>N106-O106</f>
        <v>141.63</v>
      </c>
      <c r="Q106" s="514">
        <f>Actuals!H106</f>
        <v>-352.5</v>
      </c>
      <c r="R106" s="514">
        <f>'Reforecast Q1 2026'!H106</f>
        <v>-446.63</v>
      </c>
      <c r="S106" s="515">
        <f>Q106-R106</f>
        <v>94.13</v>
      </c>
      <c r="T106" s="514">
        <f>SUM(Actuals!$C106:$H106)</f>
        <v>-2854.71</v>
      </c>
      <c r="U106" s="514">
        <f>SUM('Reforecast Q1 2026'!$C106:$H106)</f>
        <v>-2679.77</v>
      </c>
      <c r="V106" s="515">
        <f>T106-U106</f>
        <v>-174.94</v>
      </c>
    </row>
    <row r="107" ht="15" customFormat="1" customHeight="1" s="381">
      <c r="A107" s="513" t="inlineStr">
        <is>
          <t>Steyn Group Guaranty Fee</t>
        </is>
      </c>
      <c r="B107" s="514">
        <f>Actuals!C107</f>
        <v>0</v>
      </c>
      <c r="C107" s="514">
        <f>'Reforecast Q1 2026'!C107</f>
        <v>0</v>
      </c>
      <c r="D107" s="515">
        <f>B107-C107</f>
        <v>0</v>
      </c>
      <c r="E107" s="514">
        <f>Actuals!D107</f>
        <v>0</v>
      </c>
      <c r="F107" s="514">
        <f>'Reforecast Q1 2026'!D107</f>
        <v>0</v>
      </c>
      <c r="G107" s="515">
        <f>E107-F107</f>
        <v>0</v>
      </c>
      <c r="H107" s="514">
        <f>Actuals!E107</f>
        <v>0</v>
      </c>
      <c r="I107" s="514">
        <f>'Reforecast Q1 2026'!E107</f>
        <v>0</v>
      </c>
      <c r="J107" s="515">
        <f>H107-I107</f>
        <v>0</v>
      </c>
      <c r="K107" s="514">
        <f>Actuals!F107</f>
        <v>0</v>
      </c>
      <c r="L107" s="514">
        <f>'Reforecast Q1 2026'!F107</f>
        <v>0</v>
      </c>
      <c r="M107" s="515">
        <f>K107-L107</f>
        <v>0</v>
      </c>
      <c r="N107" s="514">
        <f>Actuals!G107</f>
        <v>0</v>
      </c>
      <c r="O107" s="514">
        <f>'Reforecast Q1 2026'!G107</f>
        <v>0</v>
      </c>
      <c r="P107" s="515">
        <f>N107-O107</f>
        <v>0</v>
      </c>
      <c r="Q107" s="514">
        <f>Actuals!H107</f>
        <v>0</v>
      </c>
      <c r="R107" s="514">
        <f>'Reforecast Q1 2026'!H107</f>
        <v>0</v>
      </c>
      <c r="S107" s="515">
        <f>Q107-R107</f>
        <v>0</v>
      </c>
      <c r="T107" s="514">
        <f>SUM(Actuals!$C107:$H107)</f>
        <v>0</v>
      </c>
      <c r="U107" s="514">
        <f>SUM('Reforecast Q1 2026'!$C107:$H107)</f>
        <v>0</v>
      </c>
      <c r="V107" s="515">
        <f>T107-U107</f>
        <v>0</v>
      </c>
    </row>
    <row r="108" ht="15" customFormat="1" customHeight="1" s="381">
      <c r="A108" s="513" t="inlineStr">
        <is>
          <t>Steyn Liquidity Guarantee Fee</t>
        </is>
      </c>
      <c r="B108" s="514">
        <f>Actuals!C108</f>
        <v>0</v>
      </c>
      <c r="C108" s="514">
        <f>'Reforecast Q1 2026'!C108</f>
        <v>0</v>
      </c>
      <c r="D108" s="515">
        <f>B108-C108</f>
        <v>0</v>
      </c>
      <c r="E108" s="514">
        <f>Actuals!D108</f>
        <v>0</v>
      </c>
      <c r="F108" s="514">
        <f>'Reforecast Q1 2026'!D108</f>
        <v>0</v>
      </c>
      <c r="G108" s="515">
        <f>E108-F108</f>
        <v>0</v>
      </c>
      <c r="H108" s="514">
        <f>Actuals!E108</f>
        <v>0</v>
      </c>
      <c r="I108" s="514">
        <f>'Reforecast Q1 2026'!E108</f>
        <v>0</v>
      </c>
      <c r="J108" s="515">
        <f>H108-I108</f>
        <v>0</v>
      </c>
      <c r="K108" s="514">
        <f>Actuals!F108</f>
        <v>0</v>
      </c>
      <c r="L108" s="514">
        <f>'Reforecast Q1 2026'!F108</f>
        <v>0</v>
      </c>
      <c r="M108" s="515">
        <f>K108-L108</f>
        <v>0</v>
      </c>
      <c r="N108" s="514">
        <f>Actuals!G108</f>
        <v>0</v>
      </c>
      <c r="O108" s="514">
        <f>'Reforecast Q1 2026'!G108</f>
        <v>0</v>
      </c>
      <c r="P108" s="515">
        <f>N108-O108</f>
        <v>0</v>
      </c>
      <c r="Q108" s="514">
        <f>Actuals!H108</f>
        <v>0</v>
      </c>
      <c r="R108" s="514">
        <f>'Reforecast Q1 2026'!H108</f>
        <v>0</v>
      </c>
      <c r="S108" s="515">
        <f>Q108-R108</f>
        <v>0</v>
      </c>
      <c r="T108" s="514">
        <f>SUM(Actuals!$C108:$H108)</f>
        <v>0</v>
      </c>
      <c r="U108" s="514">
        <f>SUM('Reforecast Q1 2026'!$C108:$H108)</f>
        <v>0</v>
      </c>
      <c r="V108" s="515">
        <f>T108-U108</f>
        <v>0</v>
      </c>
    </row>
    <row r="109" ht="15" customFormat="1" customHeight="1" s="381">
      <c r="A109" s="513" t="inlineStr">
        <is>
          <t>Francis Steyn Fee + PIK (from LIHTC Revenue)</t>
        </is>
      </c>
      <c r="B109" s="514">
        <f>Actuals!C109</f>
        <v>0</v>
      </c>
      <c r="C109" s="514">
        <f>'Reforecast Q1 2026'!C109</f>
        <v>0</v>
      </c>
      <c r="D109" s="515">
        <f>B109-C109</f>
        <v>0</v>
      </c>
      <c r="E109" s="514">
        <f>Actuals!D109</f>
        <v>0</v>
      </c>
      <c r="F109" s="514">
        <f>'Reforecast Q1 2026'!D109</f>
        <v>0</v>
      </c>
      <c r="G109" s="515">
        <f>E109-F109</f>
        <v>0</v>
      </c>
      <c r="H109" s="514">
        <f>Actuals!E109</f>
        <v>0</v>
      </c>
      <c r="I109" s="514">
        <f>'Reforecast Q1 2026'!E109</f>
        <v>0</v>
      </c>
      <c r="J109" s="515">
        <f>H109-I109</f>
        <v>0</v>
      </c>
      <c r="K109" s="514">
        <f>Actuals!F109</f>
        <v>0</v>
      </c>
      <c r="L109" s="514">
        <f>'Reforecast Q1 2026'!F109</f>
        <v>0</v>
      </c>
      <c r="M109" s="515">
        <f>K109-L109</f>
        <v>0</v>
      </c>
      <c r="N109" s="514">
        <f>Actuals!G109</f>
        <v>0</v>
      </c>
      <c r="O109" s="514">
        <f>'Reforecast Q1 2026'!G109</f>
        <v>0</v>
      </c>
      <c r="P109" s="515">
        <f>N109-O109</f>
        <v>0</v>
      </c>
      <c r="Q109" s="514">
        <f>Actuals!H109</f>
        <v>0</v>
      </c>
      <c r="R109" s="514">
        <f>'Reforecast Q1 2026'!H109</f>
        <v>0</v>
      </c>
      <c r="S109" s="515">
        <f>Q109-R109</f>
        <v>0</v>
      </c>
      <c r="T109" s="514">
        <f>SUM(Actuals!$C109:$H109)</f>
        <v>0</v>
      </c>
      <c r="U109" s="514">
        <f>SUM('Reforecast Q1 2026'!$C109:$H109)</f>
        <v>0</v>
      </c>
      <c r="V109" s="515">
        <f>T109-U109</f>
        <v>0</v>
      </c>
    </row>
    <row r="110" ht="15" customFormat="1" customHeight="1" s="381">
      <c r="A110" s="513" t="inlineStr">
        <is>
          <t>Reseda Steyn Fee + PIK (from LIHTC Revenue)</t>
        </is>
      </c>
      <c r="B110" s="514">
        <f>Actuals!C110</f>
        <v>0</v>
      </c>
      <c r="C110" s="514">
        <f>'Reforecast Q1 2026'!C110</f>
        <v>0</v>
      </c>
      <c r="D110" s="515">
        <f>B110-C110</f>
        <v>0</v>
      </c>
      <c r="E110" s="514">
        <f>Actuals!D110</f>
        <v>0</v>
      </c>
      <c r="F110" s="514">
        <f>'Reforecast Q1 2026'!D110</f>
        <v>0</v>
      </c>
      <c r="G110" s="515">
        <f>E110-F110</f>
        <v>0</v>
      </c>
      <c r="H110" s="514">
        <f>Actuals!E110</f>
        <v>0</v>
      </c>
      <c r="I110" s="514">
        <f>'Reforecast Q1 2026'!E110</f>
        <v>0</v>
      </c>
      <c r="J110" s="515">
        <f>H110-I110</f>
        <v>0</v>
      </c>
      <c r="K110" s="514">
        <f>Actuals!F110</f>
        <v>0</v>
      </c>
      <c r="L110" s="514">
        <f>'Reforecast Q1 2026'!F110</f>
        <v>0</v>
      </c>
      <c r="M110" s="515">
        <f>K110-L110</f>
        <v>0</v>
      </c>
      <c r="N110" s="514">
        <f>Actuals!G110</f>
        <v>0</v>
      </c>
      <c r="O110" s="514">
        <f>'Reforecast Q1 2026'!G110</f>
        <v>0</v>
      </c>
      <c r="P110" s="515">
        <f>N110-O110</f>
        <v>0</v>
      </c>
      <c r="Q110" s="514">
        <f>Actuals!H110</f>
        <v>0</v>
      </c>
      <c r="R110" s="514">
        <f>'Reforecast Q1 2026'!H110</f>
        <v>0</v>
      </c>
      <c r="S110" s="515">
        <f>Q110-R110</f>
        <v>0</v>
      </c>
      <c r="T110" s="514">
        <f>SUM(Actuals!$C110:$H110)</f>
        <v>0</v>
      </c>
      <c r="U110" s="514">
        <f>SUM('Reforecast Q1 2026'!$C110:$H110)</f>
        <v>0</v>
      </c>
      <c r="V110" s="515">
        <f>T110-U110</f>
        <v>0</v>
      </c>
    </row>
    <row r="111" ht="15" customFormat="1" customHeight="1" s="381">
      <c r="A111" s="513" t="inlineStr">
        <is>
          <t>3rd St Steyn Fee + PIK (from LIHTC Revenue)</t>
        </is>
      </c>
      <c r="B111" s="514">
        <f>Actuals!C111</f>
        <v>0</v>
      </c>
      <c r="C111" s="514">
        <f>'Reforecast Q1 2026'!C111</f>
        <v>0</v>
      </c>
      <c r="D111" s="515">
        <f>B111-C111</f>
        <v>0</v>
      </c>
      <c r="E111" s="514">
        <f>Actuals!D111</f>
        <v>0</v>
      </c>
      <c r="F111" s="514">
        <f>'Reforecast Q1 2026'!D111</f>
        <v>0</v>
      </c>
      <c r="G111" s="515">
        <f>E111-F111</f>
        <v>0</v>
      </c>
      <c r="H111" s="514">
        <f>Actuals!E111</f>
        <v>0</v>
      </c>
      <c r="I111" s="514">
        <f>'Reforecast Q1 2026'!E111</f>
        <v>0</v>
      </c>
      <c r="J111" s="515">
        <f>H111-I111</f>
        <v>0</v>
      </c>
      <c r="K111" s="514">
        <f>Actuals!F111</f>
        <v>0</v>
      </c>
      <c r="L111" s="514">
        <f>'Reforecast Q1 2026'!F111</f>
        <v>0</v>
      </c>
      <c r="M111" s="515">
        <f>K111-L111</f>
        <v>0</v>
      </c>
      <c r="N111" s="514">
        <f>Actuals!G111</f>
        <v>0</v>
      </c>
      <c r="O111" s="514">
        <f>'Reforecast Q1 2026'!G111</f>
        <v>0</v>
      </c>
      <c r="P111" s="515">
        <f>N111-O111</f>
        <v>0</v>
      </c>
      <c r="Q111" s="514">
        <f>Actuals!H111</f>
        <v>0</v>
      </c>
      <c r="R111" s="514">
        <f>'Reforecast Q1 2026'!H111</f>
        <v>0</v>
      </c>
      <c r="S111" s="515">
        <f>Q111-R111</f>
        <v>0</v>
      </c>
      <c r="T111" s="514">
        <f>SUM(Actuals!$C111:$H111)</f>
        <v>0</v>
      </c>
      <c r="U111" s="514">
        <f>SUM('Reforecast Q1 2026'!$C111:$H111)</f>
        <v>0</v>
      </c>
      <c r="V111" s="515">
        <f>T111-U111</f>
        <v>0</v>
      </c>
    </row>
    <row r="112" ht="15" customFormat="1" customHeight="1" s="381">
      <c r="A112" s="516" t="inlineStr">
        <is>
          <t>Total Six Peak Expenses</t>
        </is>
      </c>
      <c r="B112" s="517">
        <f>Actuals!C112</f>
        <v>-198827.72</v>
      </c>
      <c r="C112" s="517">
        <f>'Reforecast Q1 2026'!C112</f>
        <v>-196623.84</v>
      </c>
      <c r="D112" s="518">
        <f>B112-C112</f>
        <v>-2203.88</v>
      </c>
      <c r="E112" s="517">
        <f>Actuals!D112</f>
        <v>-192502</v>
      </c>
      <c r="F112" s="517">
        <f>'Reforecast Q1 2026'!D112</f>
        <v>-189707.12</v>
      </c>
      <c r="G112" s="518">
        <f>E112-F112</f>
        <v>-2794.88</v>
      </c>
      <c r="H112" s="517">
        <f>Actuals!E112</f>
        <v>-255024.1</v>
      </c>
      <c r="I112" s="517">
        <f>'Reforecast Q1 2026'!E112</f>
        <v>-242129.22</v>
      </c>
      <c r="J112" s="518">
        <f>H112-I112</f>
        <v>-12894.88</v>
      </c>
      <c r="K112" s="517">
        <f>Actuals!F112</f>
        <v>-195904.72</v>
      </c>
      <c r="L112" s="517">
        <f>'Reforecast Q1 2026'!F112</f>
        <v>-78090.0916666666</v>
      </c>
      <c r="M112" s="518">
        <f>K112-L112</f>
        <v>-117814.628333333</v>
      </c>
      <c r="N112" s="517">
        <f>Actuals!G112</f>
        <v>-250029.52</v>
      </c>
      <c r="O112" s="517">
        <f>'Reforecast Q1 2026'!G112</f>
        <v>-78090.0916666666</v>
      </c>
      <c r="P112" s="518">
        <f>N112-O112</f>
        <v>-171939.428333333</v>
      </c>
      <c r="Q112" s="517">
        <f>Actuals!H112</f>
        <v>-201582.47</v>
      </c>
      <c r="R112" s="517">
        <f>'Reforecast Q1 2026'!H112</f>
        <v>-78090.0916666666</v>
      </c>
      <c r="S112" s="518">
        <f>Q112-R112</f>
        <v>-123492.378333333</v>
      </c>
      <c r="T112" s="517">
        <f>SUM(Actuals!$C112:$H112)</f>
        <v>-1293870.53</v>
      </c>
      <c r="U112" s="517">
        <f>SUM('Reforecast Q1 2026'!$C112:$H112)</f>
        <v>-862730.455</v>
      </c>
      <c r="V112" s="518">
        <f>T112-U112</f>
        <v>-431140.075</v>
      </c>
    </row>
    <row r="113" ht="15" customFormat="1" customHeight="1" s="381">
      <c r="A113" s="513" t="inlineStr">
        <is>
          <t>Interest, Tax &amp; Amort (P&amp;L true-up)</t>
        </is>
      </c>
      <c r="B113" s="514">
        <f>Actuals!C113</f>
        <v>0</v>
      </c>
      <c r="C113" s="514">
        <f>'Reforecast Q1 2026'!C113</f>
        <v>0</v>
      </c>
      <c r="D113" s="515">
        <f>B113-C113</f>
        <v>0</v>
      </c>
      <c r="E113" s="514">
        <f>Actuals!D113</f>
        <v>0</v>
      </c>
      <c r="F113" s="514">
        <f>'Reforecast Q1 2026'!D113</f>
        <v>0</v>
      </c>
      <c r="G113" s="515">
        <f>E113-F113</f>
        <v>0</v>
      </c>
      <c r="H113" s="514">
        <f>Actuals!E113</f>
        <v>0</v>
      </c>
      <c r="I113" s="514">
        <f>'Reforecast Q1 2026'!E113</f>
        <v>0</v>
      </c>
      <c r="J113" s="515">
        <f>H113-I113</f>
        <v>0</v>
      </c>
      <c r="K113" s="514">
        <f>Actuals!F113</f>
        <v>0</v>
      </c>
      <c r="L113" s="514">
        <f>'Reforecast Q1 2026'!F113</f>
        <v>0</v>
      </c>
      <c r="M113" s="515">
        <f>K113-L113</f>
        <v>0</v>
      </c>
      <c r="N113" s="514">
        <f>Actuals!G113</f>
        <v>0</v>
      </c>
      <c r="O113" s="514">
        <f>'Reforecast Q1 2026'!G113</f>
        <v>0</v>
      </c>
      <c r="P113" s="515">
        <f>N113-O113</f>
        <v>0</v>
      </c>
      <c r="Q113" s="514">
        <f>Actuals!H113</f>
        <v>53641.68</v>
      </c>
      <c r="R113" s="514">
        <f>'Reforecast Q1 2026'!H113</f>
        <v>0</v>
      </c>
      <c r="S113" s="515">
        <f>Q113-R113</f>
        <v>53641.68</v>
      </c>
      <c r="T113" s="514">
        <f>SUM(Actuals!$C113:$H113)</f>
        <v>53641.68</v>
      </c>
      <c r="U113" s="514">
        <f>SUM('Reforecast Q1 2026'!$C113:$H113)</f>
        <v>0</v>
      </c>
      <c r="V113" s="515">
        <f>T113-U113</f>
        <v>53641.68</v>
      </c>
    </row>
    <row r="114" ht="15" customFormat="1" customHeight="1" s="381">
      <c r="A114" s="516" t="inlineStr">
        <is>
          <t>Six Peak Net Income</t>
        </is>
      </c>
      <c r="B114" s="517">
        <f>Actuals!C114</f>
        <v>-164713.14</v>
      </c>
      <c r="C114" s="517">
        <f>'Reforecast Q1 2026'!C114</f>
        <v>-162509.26</v>
      </c>
      <c r="D114" s="518">
        <f>B114-C114</f>
        <v>-2203.88</v>
      </c>
      <c r="E114" s="517">
        <f>Actuals!D114</f>
        <v>-158387.42</v>
      </c>
      <c r="F114" s="517">
        <f>'Reforecast Q1 2026'!D114</f>
        <v>-155592.54</v>
      </c>
      <c r="G114" s="518">
        <f>E114-F114</f>
        <v>-2794.87999999998</v>
      </c>
      <c r="H114" s="517">
        <f>Actuals!E114</f>
        <v>-220909.52</v>
      </c>
      <c r="I114" s="517">
        <f>'Reforecast Q1 2026'!E114</f>
        <v>-208014.64</v>
      </c>
      <c r="J114" s="518">
        <f>H114-I114</f>
        <v>-12894.88</v>
      </c>
      <c r="K114" s="517">
        <f>Actuals!F114</f>
        <v>-161790.14</v>
      </c>
      <c r="L114" s="517">
        <f>'Reforecast Q1 2026'!F114</f>
        <v>-34475.5116666666</v>
      </c>
      <c r="M114" s="518">
        <f>K114-L114</f>
        <v>-127314.628333333</v>
      </c>
      <c r="N114" s="517">
        <f>Actuals!G114</f>
        <v>-215914.94</v>
      </c>
      <c r="O114" s="517">
        <f>'Reforecast Q1 2026'!G114</f>
        <v>-34475.5116666666</v>
      </c>
      <c r="P114" s="518">
        <f>N114-O114</f>
        <v>-181439.428333333</v>
      </c>
      <c r="Q114" s="517">
        <f>Actuals!H114</f>
        <v>185173.79</v>
      </c>
      <c r="R114" s="517">
        <f>'Reforecast Q1 2026'!H114</f>
        <v>-34475.5116666666</v>
      </c>
      <c r="S114" s="518">
        <f>Q114-R114</f>
        <v>219649.301666667</v>
      </c>
      <c r="T114" s="517">
        <f>SUM(Actuals!$C114:$H114)</f>
        <v>-736541.37</v>
      </c>
      <c r="U114" s="517">
        <f>SUM('Reforecast Q1 2026'!$C114:$H114)</f>
        <v>-629542.975</v>
      </c>
      <c r="V114" s="518">
        <f>T114-U114</f>
        <v>-106998.395</v>
      </c>
    </row>
    <row r="116" ht="15" customFormat="1" customHeight="1" s="381">
      <c r="A116" s="511" t="inlineStr">
        <is>
          <t>CONSOLIDATED NET INCOME  (ties to Model)</t>
        </is>
      </c>
      <c r="B116" s="512" t="n"/>
      <c r="C116" s="512" t="n"/>
      <c r="D116" s="512" t="n"/>
      <c r="E116" s="512" t="n"/>
      <c r="F116" s="512" t="n"/>
      <c r="G116" s="512" t="n"/>
      <c r="H116" s="512" t="n"/>
      <c r="I116" s="512" t="n"/>
      <c r="J116" s="512" t="n"/>
      <c r="K116" s="512" t="n"/>
      <c r="L116" s="512" t="n"/>
      <c r="M116" s="512" t="n"/>
      <c r="N116" s="512" t="n"/>
      <c r="O116" s="512" t="n"/>
      <c r="P116" s="512" t="n"/>
      <c r="Q116" s="512" t="n"/>
      <c r="R116" s="512" t="n"/>
      <c r="S116" s="512" t="n"/>
      <c r="T116" s="512" t="n"/>
      <c r="U116" s="512" t="n"/>
      <c r="V116" s="512" t="n"/>
    </row>
    <row r="117" ht="15" customFormat="1" customHeight="1" s="381">
      <c r="A117" s="513" t="inlineStr">
        <is>
          <t>Consolidated Net Income (GC + Six Peak, entity ledger)</t>
        </is>
      </c>
      <c r="B117" s="514">
        <f>B57+B114</f>
        <v>-206557.78</v>
      </c>
      <c r="C117" s="514">
        <f>C57+C114</f>
        <v>-202748.04</v>
      </c>
      <c r="D117" s="514">
        <f>B117-C117</f>
        <v>-3809.73999999999</v>
      </c>
      <c r="E117" s="514">
        <f>E57+E114</f>
        <v>-469696.73</v>
      </c>
      <c r="F117" s="514">
        <f>F57+F114</f>
        <v>-465294.64</v>
      </c>
      <c r="G117" s="514">
        <f>E117-F117</f>
        <v>-4402.09000000003</v>
      </c>
      <c r="H117" s="514">
        <f>H57+H114</f>
        <v>21337.2600000002</v>
      </c>
      <c r="I117" s="514">
        <f>I57+I114</f>
        <v>35842.05</v>
      </c>
      <c r="J117" s="514">
        <f>H117-I117</f>
        <v>-14504.7899999997</v>
      </c>
      <c r="K117" s="514">
        <f>K57+K114</f>
        <v>212136.55</v>
      </c>
      <c r="L117" s="514">
        <f>L57+L114</f>
        <v>42717.9962542703</v>
      </c>
      <c r="M117" s="514">
        <f>K117-L117</f>
        <v>169418.55374573</v>
      </c>
      <c r="N117" s="514">
        <f>N57+N114</f>
        <v>-188293.09</v>
      </c>
      <c r="O117" s="514">
        <f>O57+O114</f>
        <v>-29679.9204124067</v>
      </c>
      <c r="P117" s="514">
        <f>N117-O117</f>
        <v>-158613.169587594</v>
      </c>
      <c r="Q117" s="514">
        <f>Q57+Q114</f>
        <v>503071.030000001</v>
      </c>
      <c r="R117" s="514">
        <f>R57+R114</f>
        <v>-59054.9204124062</v>
      </c>
      <c r="S117" s="514">
        <f>Q117-R117</f>
        <v>562125.950412407</v>
      </c>
      <c r="T117" s="514">
        <f>T57+T114</f>
        <v>-128002.759999999</v>
      </c>
      <c r="U117" s="514">
        <f>U57+U114</f>
        <v>-678217.474570543</v>
      </c>
      <c r="V117" s="514">
        <f>T117-U117</f>
        <v>550214.714570544</v>
      </c>
    </row>
    <row r="118" ht="15" customFormat="1" customHeight="1" s="381">
      <c r="A118" s="506" t="inlineStr">
        <is>
          <t>Model timing &amp; schedule items (interest, tax, D&amp;A, bonding)</t>
        </is>
      </c>
      <c r="B118" s="521">
        <f>Model!B209-B117</f>
        <v>0</v>
      </c>
      <c r="C118" s="521" t="n">
        <v>0</v>
      </c>
      <c r="D118" s="521">
        <f>B118-C118</f>
        <v>0</v>
      </c>
      <c r="E118" s="521">
        <f>Model!C209-E117</f>
        <v>0</v>
      </c>
      <c r="F118" s="521" t="n">
        <v>0</v>
      </c>
      <c r="G118" s="521">
        <f>E118-F118</f>
        <v>0</v>
      </c>
      <c r="H118" s="521">
        <f>Model!D209-H117</f>
        <v>-2.3283064365387e-10</v>
      </c>
      <c r="I118" s="521" t="n">
        <v>0</v>
      </c>
      <c r="J118" s="521">
        <f>H118-I118</f>
        <v>-2.3283064365387e-10</v>
      </c>
      <c r="K118" s="521">
        <f>Model!E209-K117</f>
        <v>0</v>
      </c>
      <c r="L118" s="521" t="n">
        <v>0</v>
      </c>
      <c r="M118" s="521">
        <f>K118-L118</f>
        <v>0</v>
      </c>
      <c r="N118" s="521">
        <f>Model!F209-N117</f>
        <v>8250.00000000047</v>
      </c>
      <c r="O118" s="521" t="n">
        <v>0</v>
      </c>
      <c r="P118" s="521">
        <f>N118-O118</f>
        <v>8250.00000000047</v>
      </c>
      <c r="Q118" s="521">
        <f>Model!G209-Q117</f>
        <v>-42735.0000000009</v>
      </c>
      <c r="R118" s="521" t="n">
        <v>0</v>
      </c>
      <c r="S118" s="521">
        <f>Q118-R118</f>
        <v>-42735.0000000009</v>
      </c>
      <c r="T118" s="521">
        <f>SUM(Model!$B$209:$G$209)-T117</f>
        <v>-34485.0000000007</v>
      </c>
      <c r="U118" s="521" t="n">
        <v>0</v>
      </c>
      <c r="V118" s="521">
        <f>T118-U118</f>
        <v>-34485.0000000007</v>
      </c>
    </row>
    <row r="119" ht="15" customFormat="1" customHeight="1" s="381">
      <c r="A119" s="522" t="inlineStr">
        <is>
          <t>CONSOLIDATED NET INCOME (per Model)</t>
        </is>
      </c>
      <c r="B119" s="523">
        <f>B117+B118</f>
        <v>-206557.78</v>
      </c>
      <c r="C119" s="523">
        <f>C117+C118</f>
        <v>-202748.04</v>
      </c>
      <c r="D119" s="523">
        <f>B119-C119</f>
        <v>-3809.73999999999</v>
      </c>
      <c r="E119" s="523">
        <f>E117+E118</f>
        <v>-469696.73</v>
      </c>
      <c r="F119" s="523">
        <f>F117+F118</f>
        <v>-465294.64</v>
      </c>
      <c r="G119" s="523">
        <f>E119-F119</f>
        <v>-4402.09000000003</v>
      </c>
      <c r="H119" s="523">
        <f>H117+H118</f>
        <v>21337.26</v>
      </c>
      <c r="I119" s="523">
        <f>I117+I118</f>
        <v>35842.05</v>
      </c>
      <c r="J119" s="523">
        <f>H119-I119</f>
        <v>-14504.79</v>
      </c>
      <c r="K119" s="523">
        <f>K117+K118</f>
        <v>212136.55</v>
      </c>
      <c r="L119" s="523">
        <f>L117+L118</f>
        <v>42717.9962542703</v>
      </c>
      <c r="M119" s="523">
        <f>K119-L119</f>
        <v>169418.55374573</v>
      </c>
      <c r="N119" s="523">
        <f>N117+N118</f>
        <v>-180043.09</v>
      </c>
      <c r="O119" s="523">
        <f>O117+O118</f>
        <v>-29679.9204124067</v>
      </c>
      <c r="P119" s="523">
        <f>N119-O119</f>
        <v>-150363.169587593</v>
      </c>
      <c r="Q119" s="523">
        <f>Q117+Q118</f>
        <v>460336.03</v>
      </c>
      <c r="R119" s="523">
        <f>R117+R118</f>
        <v>-59054.9204124062</v>
      </c>
      <c r="S119" s="523">
        <f>Q119-R119</f>
        <v>519390.950412406</v>
      </c>
      <c r="T119" s="523">
        <f>T117+T118</f>
        <v>-162487.759999999</v>
      </c>
      <c r="U119" s="523">
        <f>U117+U118</f>
        <v>-678217.474570543</v>
      </c>
      <c r="V119" s="523">
        <f>T119-U119</f>
        <v>515729.714570543</v>
      </c>
    </row>
  </sheetData>
  <mergeCells count="7">
    <mergeCell ref="K4:M4"/>
    <mergeCell ref="B4:D4"/>
    <mergeCell ref="Q4:S4"/>
    <mergeCell ref="H4:J4"/>
    <mergeCell ref="T4:V4"/>
    <mergeCell ref="E4:G4"/>
    <mergeCell ref="N4:P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Z10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8" customWidth="1" style="381" min="1" max="1"/>
    <col width="12.42" customWidth="1" style="381" min="2" max="52"/>
  </cols>
  <sheetData>
    <row r="1" ht="17.25" customFormat="1" customHeight="1" s="381">
      <c r="A1" s="477" t="inlineStr">
        <is>
          <t>VARIANCE — Budget (Nov 2025) vs Actual</t>
        </is>
      </c>
    </row>
    <row r="2" ht="15" customFormat="1" customHeight="1" s="381">
      <c r="A2" s="453" t="inlineStr">
        <is>
          <t>Variance computes for any month with actuals entered.</t>
        </is>
      </c>
    </row>
    <row r="3" ht="15" customFormat="1" customHeight="1" s="381">
      <c r="A3" s="381" t="inlineStr">
        <is>
          <t>Closed months (auto):</t>
        </is>
      </c>
      <c r="B3" s="381">
        <f>SUMPRODUCT(--(Actuals!$C$21:$N$21&lt;&gt;""))</f>
        <v>6</v>
      </c>
    </row>
    <row r="4" ht="15" customFormat="1" customHeight="1" s="381">
      <c r="B4" s="524" t="inlineStr">
        <is>
          <t>Jan 2026</t>
        </is>
      </c>
      <c r="C4" s="495" t="n"/>
      <c r="D4" s="495" t="n"/>
      <c r="E4" s="495" t="n"/>
      <c r="F4" s="524" t="inlineStr">
        <is>
          <t>Feb 2026</t>
        </is>
      </c>
      <c r="G4" s="495" t="n"/>
      <c r="H4" s="495" t="n"/>
      <c r="I4" s="495" t="n"/>
      <c r="J4" s="524" t="inlineStr">
        <is>
          <t>Mar 2026</t>
        </is>
      </c>
      <c r="K4" s="495" t="n"/>
      <c r="L4" s="495" t="n"/>
      <c r="M4" s="495" t="n"/>
      <c r="N4" s="524" t="inlineStr">
        <is>
          <t>Apr 2026</t>
        </is>
      </c>
      <c r="O4" s="495" t="n"/>
      <c r="P4" s="495" t="n"/>
      <c r="Q4" s="495" t="n"/>
      <c r="R4" s="524" t="inlineStr">
        <is>
          <t>May 2026</t>
        </is>
      </c>
      <c r="S4" s="495" t="n"/>
      <c r="T4" s="495" t="n"/>
      <c r="U4" s="495" t="n"/>
      <c r="V4" s="524" t="inlineStr">
        <is>
          <t>Jun 2026</t>
        </is>
      </c>
      <c r="W4" s="495" t="n"/>
      <c r="X4" s="495" t="n"/>
      <c r="Y4" s="495" t="n"/>
      <c r="Z4" s="524" t="inlineStr">
        <is>
          <t>Jul 2026</t>
        </is>
      </c>
      <c r="AA4" s="495" t="n"/>
      <c r="AB4" s="495" t="n"/>
      <c r="AC4" s="495" t="n"/>
      <c r="AD4" s="524" t="inlineStr">
        <is>
          <t>Aug 2026</t>
        </is>
      </c>
      <c r="AE4" s="495" t="n"/>
      <c r="AF4" s="495" t="n"/>
      <c r="AG4" s="495" t="n"/>
      <c r="AH4" s="524" t="inlineStr">
        <is>
          <t>Sep 2026</t>
        </is>
      </c>
      <c r="AI4" s="495" t="n"/>
      <c r="AJ4" s="495" t="n"/>
      <c r="AK4" s="495" t="n"/>
      <c r="AL4" s="524" t="inlineStr">
        <is>
          <t>Oct 2026</t>
        </is>
      </c>
      <c r="AM4" s="495" t="n"/>
      <c r="AN4" s="495" t="n"/>
      <c r="AO4" s="495" t="n"/>
      <c r="AP4" s="524" t="inlineStr">
        <is>
          <t>Nov 2026</t>
        </is>
      </c>
      <c r="AQ4" s="495" t="n"/>
      <c r="AR4" s="495" t="n"/>
      <c r="AS4" s="495" t="n"/>
      <c r="AT4" s="524" t="inlineStr">
        <is>
          <t>Dec 2026</t>
        </is>
      </c>
      <c r="AU4" s="495" t="n"/>
      <c r="AV4" s="495" t="n"/>
      <c r="AW4" s="495" t="n"/>
      <c r="AX4" s="525" t="inlineStr">
        <is>
          <t>YTD 2026 (Actuals only)</t>
        </is>
      </c>
      <c r="AY4" s="495" t="n"/>
      <c r="AZ4" s="495" t="n"/>
    </row>
    <row r="5" ht="15" customFormat="1" customHeight="1" s="381">
      <c r="A5" s="526" t="inlineStr">
        <is>
          <t>Line Item</t>
        </is>
      </c>
      <c r="B5" s="526" t="inlineStr">
        <is>
          <t>Budget</t>
        </is>
      </c>
      <c r="C5" s="526" t="inlineStr">
        <is>
          <t>Actual</t>
        </is>
      </c>
      <c r="D5" s="526" t="inlineStr">
        <is>
          <t>$ Var</t>
        </is>
      </c>
      <c r="E5" s="526" t="inlineStr">
        <is>
          <t>% Var</t>
        </is>
      </c>
      <c r="F5" s="526" t="inlineStr">
        <is>
          <t>Budget</t>
        </is>
      </c>
      <c r="G5" s="526" t="inlineStr">
        <is>
          <t>Actual</t>
        </is>
      </c>
      <c r="H5" s="526" t="inlineStr">
        <is>
          <t>$ Var</t>
        </is>
      </c>
      <c r="I5" s="526" t="inlineStr">
        <is>
          <t>% Var</t>
        </is>
      </c>
      <c r="J5" s="526" t="inlineStr">
        <is>
          <t>Budget</t>
        </is>
      </c>
      <c r="K5" s="526" t="inlineStr">
        <is>
          <t>Actual</t>
        </is>
      </c>
      <c r="L5" s="526" t="inlineStr">
        <is>
          <t>$ Var</t>
        </is>
      </c>
      <c r="M5" s="526" t="inlineStr">
        <is>
          <t>% Var</t>
        </is>
      </c>
      <c r="N5" s="526" t="inlineStr">
        <is>
          <t>Budget</t>
        </is>
      </c>
      <c r="O5" s="526" t="inlineStr">
        <is>
          <t>Actual</t>
        </is>
      </c>
      <c r="P5" s="526" t="inlineStr">
        <is>
          <t>$ Var</t>
        </is>
      </c>
      <c r="Q5" s="526" t="inlineStr">
        <is>
          <t>% Var</t>
        </is>
      </c>
      <c r="R5" s="526" t="inlineStr">
        <is>
          <t>Budget</t>
        </is>
      </c>
      <c r="S5" s="526" t="inlineStr">
        <is>
          <t>Actual</t>
        </is>
      </c>
      <c r="T5" s="526" t="inlineStr">
        <is>
          <t>$ Var</t>
        </is>
      </c>
      <c r="U5" s="526" t="inlineStr">
        <is>
          <t>% Var</t>
        </is>
      </c>
      <c r="V5" s="526" t="inlineStr">
        <is>
          <t>Budget</t>
        </is>
      </c>
      <c r="W5" s="526" t="inlineStr">
        <is>
          <t>Actual</t>
        </is>
      </c>
      <c r="X5" s="526" t="inlineStr">
        <is>
          <t>$ Var</t>
        </is>
      </c>
      <c r="Y5" s="526" t="inlineStr">
        <is>
          <t>% Var</t>
        </is>
      </c>
      <c r="Z5" s="526" t="inlineStr">
        <is>
          <t>Budget</t>
        </is>
      </c>
      <c r="AA5" s="526" t="inlineStr">
        <is>
          <t>Actual</t>
        </is>
      </c>
      <c r="AB5" s="526" t="inlineStr">
        <is>
          <t>$ Var</t>
        </is>
      </c>
      <c r="AC5" s="526" t="inlineStr">
        <is>
          <t>% Var</t>
        </is>
      </c>
      <c r="AD5" s="526" t="inlineStr">
        <is>
          <t>Budget</t>
        </is>
      </c>
      <c r="AE5" s="526" t="inlineStr">
        <is>
          <t>Actual</t>
        </is>
      </c>
      <c r="AF5" s="526" t="inlineStr">
        <is>
          <t>$ Var</t>
        </is>
      </c>
      <c r="AG5" s="526" t="inlineStr">
        <is>
          <t>% Var</t>
        </is>
      </c>
      <c r="AH5" s="526" t="inlineStr">
        <is>
          <t>Budget</t>
        </is>
      </c>
      <c r="AI5" s="526" t="inlineStr">
        <is>
          <t>Actual</t>
        </is>
      </c>
      <c r="AJ5" s="526" t="inlineStr">
        <is>
          <t>$ Var</t>
        </is>
      </c>
      <c r="AK5" s="526" t="inlineStr">
        <is>
          <t>% Var</t>
        </is>
      </c>
      <c r="AL5" s="526" t="inlineStr">
        <is>
          <t>Budget</t>
        </is>
      </c>
      <c r="AM5" s="526" t="inlineStr">
        <is>
          <t>Actual</t>
        </is>
      </c>
      <c r="AN5" s="526" t="inlineStr">
        <is>
          <t>$ Var</t>
        </is>
      </c>
      <c r="AO5" s="526" t="inlineStr">
        <is>
          <t>% Var</t>
        </is>
      </c>
      <c r="AP5" s="526" t="inlineStr">
        <is>
          <t>Budget</t>
        </is>
      </c>
      <c r="AQ5" s="526" t="inlineStr">
        <is>
          <t>Actual</t>
        </is>
      </c>
      <c r="AR5" s="526" t="inlineStr">
        <is>
          <t>$ Var</t>
        </is>
      </c>
      <c r="AS5" s="526" t="inlineStr">
        <is>
          <t>% Var</t>
        </is>
      </c>
      <c r="AT5" s="526" t="inlineStr">
        <is>
          <t>Budget</t>
        </is>
      </c>
      <c r="AU5" s="526" t="inlineStr">
        <is>
          <t>Actual</t>
        </is>
      </c>
      <c r="AV5" s="526" t="inlineStr">
        <is>
          <t>$ Var</t>
        </is>
      </c>
      <c r="AW5" s="526" t="inlineStr">
        <is>
          <t>% Var</t>
        </is>
      </c>
      <c r="AX5" s="527" t="inlineStr">
        <is>
          <t>YTD Budget</t>
        </is>
      </c>
      <c r="AY5" s="527" t="inlineStr">
        <is>
          <t>YTD Actual</t>
        </is>
      </c>
      <c r="AZ5" s="527" t="inlineStr">
        <is>
          <t>YTD $ Var</t>
        </is>
      </c>
    </row>
    <row r="6" ht="15" customFormat="1" customHeight="1" s="381">
      <c r="A6" s="528" t="inlineStr">
        <is>
          <t>Other GC Income</t>
        </is>
      </c>
      <c r="B6" s="529">
        <f>Budget!C8</f>
        <v>189686.63</v>
      </c>
      <c r="C6" s="529">
        <f>IF(OR(1&gt;$B$3,ISBLANK(Actuals!C8)),"",Actuals!C8)</f>
        <v>116367.35</v>
      </c>
      <c r="D6" s="530">
        <f>IF(OR(1&gt;$B$3,ISBLANK(Actuals!C8)),"",Budget!C8-Actuals!C8)</f>
        <v>73319.28</v>
      </c>
      <c r="E6" s="530">
        <f>IFERROR(IF(OR(1&gt;$B$3,ISBLANK(Actuals!C8)),"",(Budget!C8-Actuals!C8)/ABS(Budget!C8)),"")</f>
        <v>0.38652845485209</v>
      </c>
      <c r="F6" s="529">
        <f>Budget!D8</f>
        <v>189686.63</v>
      </c>
      <c r="G6" s="529">
        <f>IF(OR(2&gt;$B$3,ISBLANK(Actuals!D8)),"",Actuals!D8)</f>
        <v>138804.22</v>
      </c>
      <c r="H6" s="530">
        <f>IF(OR(2&gt;$B$3,ISBLANK(Actuals!D8)),"",Budget!D8-Actuals!D8)</f>
        <v>50882.41</v>
      </c>
      <c r="I6" s="530">
        <f>IFERROR(IF(OR(2&gt;$B$3,ISBLANK(Actuals!D8)),"",(Budget!D8-Actuals!D8)/ABS(Budget!D8)),"")</f>
        <v>0.268244577912529</v>
      </c>
      <c r="J6" s="529">
        <f>Budget!E8</f>
        <v>189686.63</v>
      </c>
      <c r="K6" s="529">
        <f>IF(OR(3&gt;$B$3,ISBLANK(Actuals!E8)),"",Actuals!E8)</f>
        <v>219366.88</v>
      </c>
      <c r="L6" s="530">
        <f>IF(OR(3&gt;$B$3,ISBLANK(Actuals!E8)),"",Budget!E8-Actuals!E8)</f>
        <v>-29680.25</v>
      </c>
      <c r="M6" s="530">
        <f>IFERROR(IF(OR(3&gt;$B$3,ISBLANK(Actuals!E8)),"",(Budget!E8-Actuals!E8)/ABS(Budget!E8)),"")</f>
        <v>-0.156469910399062</v>
      </c>
      <c r="N6" s="529">
        <f>Budget!F8</f>
        <v>189686.63</v>
      </c>
      <c r="O6" s="529">
        <f>IF(OR(4&gt;$B$3,ISBLANK(Actuals!F8)),"",Actuals!F8)</f>
        <v>212079.14</v>
      </c>
      <c r="P6" s="530">
        <f>IF(OR(4&gt;$B$3,ISBLANK(Actuals!F8)),"",Budget!F8-Actuals!F8)</f>
        <v>-22392.51</v>
      </c>
      <c r="Q6" s="530">
        <f>IFERROR(IF(OR(4&gt;$B$3,ISBLANK(Actuals!F8)),"",(Budget!F8-Actuals!F8)/ABS(Budget!F8)),"")</f>
        <v>-0.118050017547362</v>
      </c>
      <c r="R6" s="529">
        <f>Budget!G8</f>
        <v>293206.86</v>
      </c>
      <c r="S6" s="529">
        <f>IF(OR(5&gt;$B$3,ISBLANK(Actuals!G8)),"",Actuals!G8)</f>
        <v>267726.14</v>
      </c>
      <c r="T6" s="530">
        <f>IF(OR(5&gt;$B$3,ISBLANK(Actuals!G8)),"",Budget!G8-Actuals!G8)</f>
        <v>25480.72</v>
      </c>
      <c r="U6" s="530">
        <f>IFERROR(IF(OR(5&gt;$B$3,ISBLANK(Actuals!G8)),"",(Budget!G8-Actuals!G8)/ABS(Budget!G8)),"")</f>
        <v>0.0869035601690901</v>
      </c>
      <c r="V6" s="529">
        <f>Budget!H8</f>
        <v>293206.86</v>
      </c>
      <c r="W6" s="529">
        <f>IF(OR(6&gt;$B$3,ISBLANK(Actuals!H8)),"",Actuals!H8)</f>
        <v>374773.89</v>
      </c>
      <c r="X6" s="530">
        <f>IF(OR(6&gt;$B$3,ISBLANK(Actuals!H8)),"",Budget!H8-Actuals!H8)</f>
        <v>-81567.03</v>
      </c>
      <c r="Y6" s="530">
        <f>IFERROR(IF(OR(6&gt;$B$3,ISBLANK(Actuals!H8)),"",(Budget!H8-Actuals!H8)/ABS(Budget!H8)),"")</f>
        <v>-0.27818936432797</v>
      </c>
      <c r="Z6" s="529">
        <f>Budget!I8</f>
        <v>293206.86</v>
      </c>
      <c r="AA6" s="529">
        <f>IF(OR(7&gt;$B$3,ISBLANK(Actuals!I8)),"",Actuals!I8)</f>
      </c>
      <c r="AB6" s="530">
        <f>IF(OR(7&gt;$B$3,ISBLANK(Actuals!I8)),"",Budget!I8-Actuals!I8)</f>
      </c>
      <c r="AC6" s="530">
        <f>IFERROR(IF(OR(7&gt;$B$3,ISBLANK(Actuals!I8)),"",(Budget!I8-Actuals!I8)/ABS(Budget!I8)),"")</f>
      </c>
      <c r="AD6" s="529">
        <f>Budget!J8</f>
        <v>293206.86</v>
      </c>
      <c r="AE6" s="529">
        <f>IF(OR(8&gt;$B$3,ISBLANK(Actuals!J8)),"",Actuals!J8)</f>
      </c>
      <c r="AF6" s="530">
        <f>IF(OR(8&gt;$B$3,ISBLANK(Actuals!J8)),"",Budget!J8-Actuals!J8)</f>
      </c>
      <c r="AG6" s="530">
        <f>IFERROR(IF(OR(8&gt;$B$3,ISBLANK(Actuals!J8)),"",(Budget!J8-Actuals!J8)/ABS(Budget!J8)),"")</f>
      </c>
      <c r="AH6" s="529">
        <f>Budget!K8</f>
        <v>293206.86</v>
      </c>
      <c r="AI6" s="529">
        <f>IF(OR(9&gt;$B$3,ISBLANK(Actuals!K8)),"",Actuals!K8)</f>
      </c>
      <c r="AJ6" s="530">
        <f>IF(OR(9&gt;$B$3,ISBLANK(Actuals!K8)),"",Budget!K8-Actuals!K8)</f>
      </c>
      <c r="AK6" s="530">
        <f>IFERROR(IF(OR(9&gt;$B$3,ISBLANK(Actuals!K8)),"",(Budget!K8-Actuals!K8)/ABS(Budget!K8)),"")</f>
      </c>
      <c r="AL6" s="529">
        <f>Budget!L8</f>
        <v>293206.86</v>
      </c>
      <c r="AM6" s="529">
        <f>IF(OR(10&gt;$B$3,ISBLANK(Actuals!L8)),"",Actuals!L8)</f>
      </c>
      <c r="AN6" s="530">
        <f>IF(OR(10&gt;$B$3,ISBLANK(Actuals!L8)),"",Budget!L8-Actuals!L8)</f>
      </c>
      <c r="AO6" s="530">
        <f>IFERROR(IF(OR(10&gt;$B$3,ISBLANK(Actuals!L8)),"",(Budget!L8-Actuals!L8)/ABS(Budget!L8)),"")</f>
      </c>
      <c r="AP6" s="529">
        <f>Budget!M8</f>
        <v>293206.86</v>
      </c>
      <c r="AQ6" s="529">
        <f>IF(OR(11&gt;$B$3,ISBLANK(Actuals!M8)),"",Actuals!M8)</f>
      </c>
      <c r="AR6" s="530">
        <f>IF(OR(11&gt;$B$3,ISBLANK(Actuals!M8)),"",Budget!M8-Actuals!M8)</f>
      </c>
      <c r="AS6" s="530">
        <f>IFERROR(IF(OR(11&gt;$B$3,ISBLANK(Actuals!M8)),"",(Budget!M8-Actuals!M8)/ABS(Budget!M8)),"")</f>
      </c>
      <c r="AT6" s="529">
        <f>Budget!N8</f>
        <v>260706.85</v>
      </c>
      <c r="AU6" s="529">
        <f>IF(OR(12&gt;$B$3,ISBLANK(Actuals!N8)),"",Actuals!N8)</f>
      </c>
      <c r="AV6" s="530">
        <f>IF(OR(12&gt;$B$3,ISBLANK(Actuals!N8)),"",Budget!N8-Actuals!N8)</f>
      </c>
      <c r="AW6" s="530">
        <f>IFERROR(IF(OR(12&gt;$B$3,ISBLANK(Actuals!N8)),"",(Budget!N8-Actuals!N8)/ABS(Budget!N8)),"")</f>
      </c>
      <c r="AX6" s="531">
        <f>SUMPRODUCT((Actuals!C8:N8&lt;&gt;"")*(Budget!C8:N8))</f>
        <v>1345160.24</v>
      </c>
      <c r="AY6" s="531">
        <f>SUM(Actuals!C8:N8)</f>
        <v>1329117.62</v>
      </c>
      <c r="AZ6" s="532">
        <f>AX6-AY6</f>
        <v>16042.6199999999</v>
      </c>
    </row>
    <row r="7" ht="15" customFormat="1" customHeight="1" s="381">
      <c r="A7" s="528" t="inlineStr">
        <is>
          <t>Project Supervision Revenue</t>
        </is>
      </c>
      <c r="B7" s="529">
        <f>Budget!C9</f>
        <v>0</v>
      </c>
      <c r="C7" s="529">
        <f>IF(OR(1&gt;$B$3,ISBLANK(Actuals!C9)),"",Actuals!C9)</f>
        <v>0</v>
      </c>
      <c r="D7" s="530">
        <f>IF(OR(1&gt;$B$3,ISBLANK(Actuals!C9)),"",Budget!C9-Actuals!C9)</f>
        <v>0</v>
      </c>
      <c r="E7" s="530">
        <f>IFERROR(IF(OR(1&gt;$B$3,ISBLANK(Actuals!C9)),"",(Budget!C9-Actuals!C9)/ABS(Budget!C9)),"")</f>
      </c>
      <c r="F7" s="529">
        <f>Budget!D9</f>
        <v>0</v>
      </c>
      <c r="G7" s="529">
        <f>IF(OR(2&gt;$B$3,ISBLANK(Actuals!D9)),"",Actuals!D9)</f>
        <v>0</v>
      </c>
      <c r="H7" s="530">
        <f>IF(OR(2&gt;$B$3,ISBLANK(Actuals!D9)),"",Budget!D9-Actuals!D9)</f>
        <v>0</v>
      </c>
      <c r="I7" s="530">
        <f>IFERROR(IF(OR(2&gt;$B$3,ISBLANK(Actuals!D9)),"",(Budget!D9-Actuals!D9)/ABS(Budget!D9)),"")</f>
      </c>
      <c r="J7" s="529">
        <f>Budget!E9</f>
        <v>0</v>
      </c>
      <c r="K7" s="529">
        <f>IF(OR(3&gt;$B$3,ISBLANK(Actuals!E9)),"",Actuals!E9)</f>
        <v>0</v>
      </c>
      <c r="L7" s="530">
        <f>IF(OR(3&gt;$B$3,ISBLANK(Actuals!E9)),"",Budget!E9-Actuals!E9)</f>
        <v>0</v>
      </c>
      <c r="M7" s="530">
        <f>IFERROR(IF(OR(3&gt;$B$3,ISBLANK(Actuals!E9)),"",(Budget!E9-Actuals!E9)/ABS(Budget!E9)),"")</f>
      </c>
      <c r="N7" s="529">
        <f>Budget!F9</f>
        <v>0</v>
      </c>
      <c r="O7" s="529">
        <f>IF(OR(4&gt;$B$3,ISBLANK(Actuals!F9)),"",Actuals!F9)</f>
        <v>0</v>
      </c>
      <c r="P7" s="530">
        <f>IF(OR(4&gt;$B$3,ISBLANK(Actuals!F9)),"",Budget!F9-Actuals!F9)</f>
        <v>0</v>
      </c>
      <c r="Q7" s="530">
        <f>IFERROR(IF(OR(4&gt;$B$3,ISBLANK(Actuals!F9)),"",(Budget!F9-Actuals!F9)/ABS(Budget!F9)),"")</f>
      </c>
      <c r="R7" s="529">
        <f>Budget!G9</f>
        <v>0</v>
      </c>
      <c r="S7" s="529">
        <f>IF(OR(5&gt;$B$3,ISBLANK(Actuals!G9)),"",Actuals!G9)</f>
        <v>0</v>
      </c>
      <c r="T7" s="530">
        <f>IF(OR(5&gt;$B$3,ISBLANK(Actuals!G9)),"",Budget!G9-Actuals!G9)</f>
        <v>0</v>
      </c>
      <c r="U7" s="530">
        <f>IFERROR(IF(OR(5&gt;$B$3,ISBLANK(Actuals!G9)),"",(Budget!G9-Actuals!G9)/ABS(Budget!G9)),"")</f>
      </c>
      <c r="V7" s="529">
        <f>Budget!H9</f>
        <v>0</v>
      </c>
      <c r="W7" s="529">
        <f>IF(OR(6&gt;$B$3,ISBLANK(Actuals!H9)),"",Actuals!H9)</f>
        <v>0</v>
      </c>
      <c r="X7" s="530">
        <f>IF(OR(6&gt;$B$3,ISBLANK(Actuals!H9)),"",Budget!H9-Actuals!H9)</f>
        <v>0</v>
      </c>
      <c r="Y7" s="530">
        <f>IFERROR(IF(OR(6&gt;$B$3,ISBLANK(Actuals!H9)),"",(Budget!H9-Actuals!H9)/ABS(Budget!H9)),"")</f>
      </c>
      <c r="Z7" s="529">
        <f>Budget!I9</f>
        <v>0</v>
      </c>
      <c r="AA7" s="529">
        <f>IF(OR(7&gt;$B$3,ISBLANK(Actuals!I9)),"",Actuals!I9)</f>
      </c>
      <c r="AB7" s="530">
        <f>IF(OR(7&gt;$B$3,ISBLANK(Actuals!I9)),"",Budget!I9-Actuals!I9)</f>
      </c>
      <c r="AC7" s="530">
        <f>IFERROR(IF(OR(7&gt;$B$3,ISBLANK(Actuals!I9)),"",(Budget!I9-Actuals!I9)/ABS(Budget!I9)),"")</f>
      </c>
      <c r="AD7" s="529">
        <f>Budget!J9</f>
        <v>0</v>
      </c>
      <c r="AE7" s="529">
        <f>IF(OR(8&gt;$B$3,ISBLANK(Actuals!J9)),"",Actuals!J9)</f>
      </c>
      <c r="AF7" s="530">
        <f>IF(OR(8&gt;$B$3,ISBLANK(Actuals!J9)),"",Budget!J9-Actuals!J9)</f>
      </c>
      <c r="AG7" s="530">
        <f>IFERROR(IF(OR(8&gt;$B$3,ISBLANK(Actuals!J9)),"",(Budget!J9-Actuals!J9)/ABS(Budget!J9)),"")</f>
      </c>
      <c r="AH7" s="529">
        <f>Budget!K9</f>
        <v>0</v>
      </c>
      <c r="AI7" s="529">
        <f>IF(OR(9&gt;$B$3,ISBLANK(Actuals!K9)),"",Actuals!K9)</f>
      </c>
      <c r="AJ7" s="530">
        <f>IF(OR(9&gt;$B$3,ISBLANK(Actuals!K9)),"",Budget!K9-Actuals!K9)</f>
      </c>
      <c r="AK7" s="530">
        <f>IFERROR(IF(OR(9&gt;$B$3,ISBLANK(Actuals!K9)),"",(Budget!K9-Actuals!K9)/ABS(Budget!K9)),"")</f>
      </c>
      <c r="AL7" s="529">
        <f>Budget!L9</f>
        <v>0</v>
      </c>
      <c r="AM7" s="529">
        <f>IF(OR(10&gt;$B$3,ISBLANK(Actuals!L9)),"",Actuals!L9)</f>
      </c>
      <c r="AN7" s="530">
        <f>IF(OR(10&gt;$B$3,ISBLANK(Actuals!L9)),"",Budget!L9-Actuals!L9)</f>
      </c>
      <c r="AO7" s="530">
        <f>IFERROR(IF(OR(10&gt;$B$3,ISBLANK(Actuals!L9)),"",(Budget!L9-Actuals!L9)/ABS(Budget!L9)),"")</f>
      </c>
      <c r="AP7" s="529">
        <f>Budget!M9</f>
        <v>0</v>
      </c>
      <c r="AQ7" s="529">
        <f>IF(OR(11&gt;$B$3,ISBLANK(Actuals!M9)),"",Actuals!M9)</f>
      </c>
      <c r="AR7" s="530">
        <f>IF(OR(11&gt;$B$3,ISBLANK(Actuals!M9)),"",Budget!M9-Actuals!M9)</f>
      </c>
      <c r="AS7" s="530">
        <f>IFERROR(IF(OR(11&gt;$B$3,ISBLANK(Actuals!M9)),"",(Budget!M9-Actuals!M9)/ABS(Budget!M9)),"")</f>
      </c>
      <c r="AT7" s="529">
        <f>Budget!N9</f>
        <v>0</v>
      </c>
      <c r="AU7" s="529">
        <f>IF(OR(12&gt;$B$3,ISBLANK(Actuals!N9)),"",Actuals!N9)</f>
      </c>
      <c r="AV7" s="530">
        <f>IF(OR(12&gt;$B$3,ISBLANK(Actuals!N9)),"",Budget!N9-Actuals!N9)</f>
      </c>
      <c r="AW7" s="530">
        <f>IFERROR(IF(OR(12&gt;$B$3,ISBLANK(Actuals!N9)),"",(Budget!N9-Actuals!N9)/ABS(Budget!N9)),"")</f>
      </c>
      <c r="AX7" s="531">
        <f>SUMPRODUCT((Actuals!C9:N9&lt;&gt;"")*(Budget!C9:N9))</f>
        <v>0</v>
      </c>
      <c r="AY7" s="531">
        <f>SUM(Actuals!C9:N9)</f>
        <v>0</v>
      </c>
      <c r="AZ7" s="532">
        <f>AX7-AY7</f>
        <v>0</v>
      </c>
    </row>
    <row r="8" ht="15" customFormat="1" customHeight="1" s="381">
      <c r="A8" s="528" t="inlineStr">
        <is>
          <t>GC Fee Income</t>
        </is>
      </c>
      <c r="B8" s="529">
        <f>Budget!C10</f>
        <v>134573.26</v>
      </c>
      <c r="C8" s="529">
        <f>IF(OR(1&gt;$B$3,ISBLANK(Actuals!C10)),"",Actuals!C10)</f>
        <v>95370.25</v>
      </c>
      <c r="D8" s="530">
        <f>IF(OR(1&gt;$B$3,ISBLANK(Actuals!C10)),"",Budget!C10-Actuals!C10)</f>
        <v>39203.01</v>
      </c>
      <c r="E8" s="530">
        <f>IFERROR(IF(OR(1&gt;$B$3,ISBLANK(Actuals!C10)),"",(Budget!C10-Actuals!C10)/ABS(Budget!C10)),"")</f>
        <v>0.291313519491168</v>
      </c>
      <c r="F8" s="529">
        <f>Budget!D10</f>
        <v>149817.92</v>
      </c>
      <c r="G8" s="529">
        <f>IF(OR(2&gt;$B$3,ISBLANK(Actuals!D10)),"",Actuals!D10)</f>
        <v>173282.89</v>
      </c>
      <c r="H8" s="530">
        <f>IF(OR(2&gt;$B$3,ISBLANK(Actuals!D10)),"",Budget!D10-Actuals!D10)</f>
        <v>-23464.97</v>
      </c>
      <c r="I8" s="530">
        <f>IFERROR(IF(OR(2&gt;$B$3,ISBLANK(Actuals!D10)),"",(Budget!D10-Actuals!D10)/ABS(Budget!D10)),"")</f>
        <v>-0.156623253079471</v>
      </c>
      <c r="J8" s="529">
        <f>Budget!E10</f>
        <v>164993.33</v>
      </c>
      <c r="K8" s="529">
        <f>IF(OR(3&gt;$B$3,ISBLANK(Actuals!E10)),"",Actuals!E10)</f>
        <v>50438.85</v>
      </c>
      <c r="L8" s="530">
        <f>IF(OR(3&gt;$B$3,ISBLANK(Actuals!E10)),"",Budget!E10-Actuals!E10)</f>
        <v>114554.48</v>
      </c>
      <c r="M8" s="530">
        <f>IFERROR(IF(OR(3&gt;$B$3,ISBLANK(Actuals!E10)),"",(Budget!E10-Actuals!E10)/ABS(Budget!E10)),"")</f>
        <v>0.694297642213779</v>
      </c>
      <c r="N8" s="529">
        <f>Budget!F10</f>
        <v>179495.73</v>
      </c>
      <c r="O8" s="529">
        <f>IF(OR(4&gt;$B$3,ISBLANK(Actuals!F10)),"",Actuals!F10)</f>
        <v>167518.85</v>
      </c>
      <c r="P8" s="530">
        <f>IF(OR(4&gt;$B$3,ISBLANK(Actuals!F10)),"",Budget!F10-Actuals!F10)</f>
        <v>11976.88</v>
      </c>
      <c r="Q8" s="530">
        <f>IFERROR(IF(OR(4&gt;$B$3,ISBLANK(Actuals!F10)),"",(Budget!F10-Actuals!F10)/ABS(Budget!F10)),"")</f>
        <v>0.0667251527376167</v>
      </c>
      <c r="R8" s="529">
        <f>Budget!G10</f>
        <v>230135.69</v>
      </c>
      <c r="S8" s="529">
        <f>IF(OR(5&gt;$B$3,ISBLANK(Actuals!G10)),"",Actuals!G10)</f>
        <v>209057.26</v>
      </c>
      <c r="T8" s="530">
        <f>IF(OR(5&gt;$B$3,ISBLANK(Actuals!G10)),"",Budget!G10-Actuals!G10)</f>
        <v>21078.43</v>
      </c>
      <c r="U8" s="530">
        <f>IFERROR(IF(OR(5&gt;$B$3,ISBLANK(Actuals!G10)),"",(Budget!G10-Actuals!G10)/ABS(Budget!G10)),"")</f>
        <v>0.0915913129336871</v>
      </c>
      <c r="V8" s="529">
        <f>Budget!H10</f>
        <v>246811.27</v>
      </c>
      <c r="W8" s="529">
        <f>IF(OR(6&gt;$B$3,ISBLANK(Actuals!H10)),"",Actuals!H10)</f>
        <v>292966.36</v>
      </c>
      <c r="X8" s="530">
        <f>IF(OR(6&gt;$B$3,ISBLANK(Actuals!H10)),"",Budget!H10-Actuals!H10)</f>
        <v>-46155.09</v>
      </c>
      <c r="Y8" s="530">
        <f>IFERROR(IF(OR(6&gt;$B$3,ISBLANK(Actuals!H10)),"",(Budget!H10-Actuals!H10)/ABS(Budget!H10)),"")</f>
        <v>-0.187005601486512</v>
      </c>
      <c r="Z8" s="529">
        <f>Budget!I10</f>
        <v>261045.09</v>
      </c>
      <c r="AA8" s="529">
        <f>IF(OR(7&gt;$B$3,ISBLANK(Actuals!I10)),"",Actuals!I10)</f>
      </c>
      <c r="AB8" s="530">
        <f>IF(OR(7&gt;$B$3,ISBLANK(Actuals!I10)),"",Budget!I10-Actuals!I10)</f>
      </c>
      <c r="AC8" s="530">
        <f>IFERROR(IF(OR(7&gt;$B$3,ISBLANK(Actuals!I10)),"",(Budget!I10-Actuals!I10)/ABS(Budget!I10)),"")</f>
      </c>
      <c r="AD8" s="529">
        <f>Budget!J10</f>
        <v>272157.23</v>
      </c>
      <c r="AE8" s="529">
        <f>IF(OR(8&gt;$B$3,ISBLANK(Actuals!J10)),"",Actuals!J10)</f>
      </c>
      <c r="AF8" s="530">
        <f>IF(OR(8&gt;$B$3,ISBLANK(Actuals!J10)),"",Budget!J10-Actuals!J10)</f>
      </c>
      <c r="AG8" s="530">
        <f>IFERROR(IF(OR(8&gt;$B$3,ISBLANK(Actuals!J10)),"",(Budget!J10-Actuals!J10)/ABS(Budget!J10)),"")</f>
      </c>
      <c r="AH8" s="529">
        <f>Budget!K10</f>
        <v>279616.59</v>
      </c>
      <c r="AI8" s="529">
        <f>IF(OR(9&gt;$B$3,ISBLANK(Actuals!K10)),"",Actuals!K10)</f>
      </c>
      <c r="AJ8" s="530">
        <f>IF(OR(9&gt;$B$3,ISBLANK(Actuals!K10)),"",Budget!K10-Actuals!K10)</f>
      </c>
      <c r="AK8" s="530">
        <f>IFERROR(IF(OR(9&gt;$B$3,ISBLANK(Actuals!K10)),"",(Budget!K10-Actuals!K10)/ABS(Budget!K10)),"")</f>
      </c>
      <c r="AL8" s="529">
        <f>Budget!L10</f>
        <v>283097.52</v>
      </c>
      <c r="AM8" s="529">
        <f>IF(OR(10&gt;$B$3,ISBLANK(Actuals!L10)),"",Actuals!L10)</f>
      </c>
      <c r="AN8" s="530">
        <f>IF(OR(10&gt;$B$3,ISBLANK(Actuals!L10)),"",Budget!L10-Actuals!L10)</f>
      </c>
      <c r="AO8" s="530">
        <f>IFERROR(IF(OR(10&gt;$B$3,ISBLANK(Actuals!L10)),"",(Budget!L10-Actuals!L10)/ABS(Budget!L10)),"")</f>
      </c>
      <c r="AP8" s="529">
        <f>Budget!M10</f>
        <v>282514.62</v>
      </c>
      <c r="AQ8" s="529">
        <f>IF(OR(11&gt;$B$3,ISBLANK(Actuals!M10)),"",Actuals!M10)</f>
      </c>
      <c r="AR8" s="530">
        <f>IF(OR(11&gt;$B$3,ISBLANK(Actuals!M10)),"",Budget!M10-Actuals!M10)</f>
      </c>
      <c r="AS8" s="530">
        <f>IFERROR(IF(OR(11&gt;$B$3,ISBLANK(Actuals!M10)),"",(Budget!M10-Actuals!M10)/ABS(Budget!M10)),"")</f>
      </c>
      <c r="AT8" s="529">
        <f>Budget!N10</f>
        <v>266132.31</v>
      </c>
      <c r="AU8" s="529">
        <f>IF(OR(12&gt;$B$3,ISBLANK(Actuals!N10)),"",Actuals!N10)</f>
      </c>
      <c r="AV8" s="530">
        <f>IF(OR(12&gt;$B$3,ISBLANK(Actuals!N10)),"",Budget!N10-Actuals!N10)</f>
      </c>
      <c r="AW8" s="530">
        <f>IFERROR(IF(OR(12&gt;$B$3,ISBLANK(Actuals!N10)),"",(Budget!N10-Actuals!N10)/ABS(Budget!N10)),"")</f>
      </c>
      <c r="AX8" s="531">
        <f>SUMPRODUCT((Actuals!C10:N10&lt;&gt;"")*(Budget!C10:N10))</f>
        <v>1105827.2</v>
      </c>
      <c r="AY8" s="531">
        <f>SUM(Actuals!C10:N10)</f>
        <v>988634.46</v>
      </c>
      <c r="AZ8" s="532">
        <f>AX8-AY8</f>
        <v>117192.74</v>
      </c>
    </row>
    <row r="9" ht="15" customFormat="1" customHeight="1" s="381">
      <c r="A9" s="528" t="inlineStr">
        <is>
          <t>Project Administration Revenue</t>
        </is>
      </c>
      <c r="B9" s="529">
        <f>Budget!C11</f>
        <v>0</v>
      </c>
      <c r="C9" s="529">
        <f>IF(OR(1&gt;$B$3,ISBLANK(Actuals!C11)),"",Actuals!C11)</f>
        <v>0</v>
      </c>
      <c r="D9" s="530">
        <f>IF(OR(1&gt;$B$3,ISBLANK(Actuals!C11)),"",Budget!C11-Actuals!C11)</f>
        <v>0</v>
      </c>
      <c r="E9" s="530">
        <f>IFERROR(IF(OR(1&gt;$B$3,ISBLANK(Actuals!C11)),"",(Budget!C11-Actuals!C11)/ABS(Budget!C11)),"")</f>
      </c>
      <c r="F9" s="529">
        <f>Budget!D11</f>
        <v>0</v>
      </c>
      <c r="G9" s="529">
        <f>IF(OR(2&gt;$B$3,ISBLANK(Actuals!D11)),"",Actuals!D11)</f>
        <v>0</v>
      </c>
      <c r="H9" s="530">
        <f>IF(OR(2&gt;$B$3,ISBLANK(Actuals!D11)),"",Budget!D11-Actuals!D11)</f>
        <v>0</v>
      </c>
      <c r="I9" s="530">
        <f>IFERROR(IF(OR(2&gt;$B$3,ISBLANK(Actuals!D11)),"",(Budget!D11-Actuals!D11)/ABS(Budget!D11)),"")</f>
      </c>
      <c r="J9" s="529">
        <f>Budget!E11</f>
        <v>0</v>
      </c>
      <c r="K9" s="529">
        <f>IF(OR(3&gt;$B$3,ISBLANK(Actuals!E11)),"",Actuals!E11)</f>
        <v>0</v>
      </c>
      <c r="L9" s="530">
        <f>IF(OR(3&gt;$B$3,ISBLANK(Actuals!E11)),"",Budget!E11-Actuals!E11)</f>
        <v>0</v>
      </c>
      <c r="M9" s="530">
        <f>IFERROR(IF(OR(3&gt;$B$3,ISBLANK(Actuals!E11)),"",(Budget!E11-Actuals!E11)/ABS(Budget!E11)),"")</f>
      </c>
      <c r="N9" s="529">
        <f>Budget!F11</f>
        <v>0</v>
      </c>
      <c r="O9" s="529">
        <f>IF(OR(4&gt;$B$3,ISBLANK(Actuals!F11)),"",Actuals!F11)</f>
        <v>0</v>
      </c>
      <c r="P9" s="530">
        <f>IF(OR(4&gt;$B$3,ISBLANK(Actuals!F11)),"",Budget!F11-Actuals!F11)</f>
        <v>0</v>
      </c>
      <c r="Q9" s="530">
        <f>IFERROR(IF(OR(4&gt;$B$3,ISBLANK(Actuals!F11)),"",(Budget!F11-Actuals!F11)/ABS(Budget!F11)),"")</f>
      </c>
      <c r="R9" s="529">
        <f>Budget!G11</f>
        <v>0</v>
      </c>
      <c r="S9" s="529">
        <f>IF(OR(5&gt;$B$3,ISBLANK(Actuals!G11)),"",Actuals!G11)</f>
        <v>0</v>
      </c>
      <c r="T9" s="530">
        <f>IF(OR(5&gt;$B$3,ISBLANK(Actuals!G11)),"",Budget!G11-Actuals!G11)</f>
        <v>0</v>
      </c>
      <c r="U9" s="530">
        <f>IFERROR(IF(OR(5&gt;$B$3,ISBLANK(Actuals!G11)),"",(Budget!G11-Actuals!G11)/ABS(Budget!G11)),"")</f>
      </c>
      <c r="V9" s="529">
        <f>Budget!H11</f>
        <v>0</v>
      </c>
      <c r="W9" s="529">
        <f>IF(OR(6&gt;$B$3,ISBLANK(Actuals!H11)),"",Actuals!H11)</f>
        <v>0</v>
      </c>
      <c r="X9" s="530">
        <f>IF(OR(6&gt;$B$3,ISBLANK(Actuals!H11)),"",Budget!H11-Actuals!H11)</f>
        <v>0</v>
      </c>
      <c r="Y9" s="530">
        <f>IFERROR(IF(OR(6&gt;$B$3,ISBLANK(Actuals!H11)),"",(Budget!H11-Actuals!H11)/ABS(Budget!H11)),"")</f>
      </c>
      <c r="Z9" s="529">
        <f>Budget!I11</f>
        <v>0</v>
      </c>
      <c r="AA9" s="529">
        <f>IF(OR(7&gt;$B$3,ISBLANK(Actuals!I11)),"",Actuals!I11)</f>
      </c>
      <c r="AB9" s="530">
        <f>IF(OR(7&gt;$B$3,ISBLANK(Actuals!I11)),"",Budget!I11-Actuals!I11)</f>
      </c>
      <c r="AC9" s="530">
        <f>IFERROR(IF(OR(7&gt;$B$3,ISBLANK(Actuals!I11)),"",(Budget!I11-Actuals!I11)/ABS(Budget!I11)),"")</f>
      </c>
      <c r="AD9" s="529">
        <f>Budget!J11</f>
        <v>0</v>
      </c>
      <c r="AE9" s="529">
        <f>IF(OR(8&gt;$B$3,ISBLANK(Actuals!J11)),"",Actuals!J11)</f>
      </c>
      <c r="AF9" s="530">
        <f>IF(OR(8&gt;$B$3,ISBLANK(Actuals!J11)),"",Budget!J11-Actuals!J11)</f>
      </c>
      <c r="AG9" s="530">
        <f>IFERROR(IF(OR(8&gt;$B$3,ISBLANK(Actuals!J11)),"",(Budget!J11-Actuals!J11)/ABS(Budget!J11)),"")</f>
      </c>
      <c r="AH9" s="529">
        <f>Budget!K11</f>
        <v>0</v>
      </c>
      <c r="AI9" s="529">
        <f>IF(OR(9&gt;$B$3,ISBLANK(Actuals!K11)),"",Actuals!K11)</f>
      </c>
      <c r="AJ9" s="530">
        <f>IF(OR(9&gt;$B$3,ISBLANK(Actuals!K11)),"",Budget!K11-Actuals!K11)</f>
      </c>
      <c r="AK9" s="530">
        <f>IFERROR(IF(OR(9&gt;$B$3,ISBLANK(Actuals!K11)),"",(Budget!K11-Actuals!K11)/ABS(Budget!K11)),"")</f>
      </c>
      <c r="AL9" s="529">
        <f>Budget!L11</f>
        <v>0</v>
      </c>
      <c r="AM9" s="529">
        <f>IF(OR(10&gt;$B$3,ISBLANK(Actuals!L11)),"",Actuals!L11)</f>
      </c>
      <c r="AN9" s="530">
        <f>IF(OR(10&gt;$B$3,ISBLANK(Actuals!L11)),"",Budget!L11-Actuals!L11)</f>
      </c>
      <c r="AO9" s="530">
        <f>IFERROR(IF(OR(10&gt;$B$3,ISBLANK(Actuals!L11)),"",(Budget!L11-Actuals!L11)/ABS(Budget!L11)),"")</f>
      </c>
      <c r="AP9" s="529">
        <f>Budget!M11</f>
        <v>0</v>
      </c>
      <c r="AQ9" s="529">
        <f>IF(OR(11&gt;$B$3,ISBLANK(Actuals!M11)),"",Actuals!M11)</f>
      </c>
      <c r="AR9" s="530">
        <f>IF(OR(11&gt;$B$3,ISBLANK(Actuals!M11)),"",Budget!M11-Actuals!M11)</f>
      </c>
      <c r="AS9" s="530">
        <f>IFERROR(IF(OR(11&gt;$B$3,ISBLANK(Actuals!M11)),"",(Budget!M11-Actuals!M11)/ABS(Budget!M11)),"")</f>
      </c>
      <c r="AT9" s="529">
        <f>Budget!N11</f>
        <v>0</v>
      </c>
      <c r="AU9" s="529">
        <f>IF(OR(12&gt;$B$3,ISBLANK(Actuals!N11)),"",Actuals!N11)</f>
      </c>
      <c r="AV9" s="530">
        <f>IF(OR(12&gt;$B$3,ISBLANK(Actuals!N11)),"",Budget!N11-Actuals!N11)</f>
      </c>
      <c r="AW9" s="530">
        <f>IFERROR(IF(OR(12&gt;$B$3,ISBLANK(Actuals!N11)),"",(Budget!N11-Actuals!N11)/ABS(Budget!N11)),"")</f>
      </c>
      <c r="AX9" s="531">
        <f>SUMPRODUCT((Actuals!C11:N11&lt;&gt;"")*(Budget!C11:N11))</f>
        <v>0</v>
      </c>
      <c r="AY9" s="531">
        <f>SUM(Actuals!C11:N11)</f>
        <v>0</v>
      </c>
      <c r="AZ9" s="532">
        <f>AX9-AY9</f>
        <v>0</v>
      </c>
    </row>
    <row r="10" ht="15" customFormat="1" customHeight="1" s="381">
      <c r="A10" s="528" t="inlineStr">
        <is>
          <t>Trades and Site Cost Billing</t>
        </is>
      </c>
      <c r="B10" s="529">
        <f>Budget!C12</f>
        <v>2653995.85</v>
      </c>
      <c r="C10" s="529">
        <f>IF(OR(1&gt;$B$3,ISBLANK(Actuals!C12)),"",Actuals!C12)</f>
        <v>1242053.19</v>
      </c>
      <c r="D10" s="530">
        <f>IF(OR(1&gt;$B$3,ISBLANK(Actuals!C12)),"",Budget!C12-Actuals!C12)</f>
        <v>1411942.66</v>
      </c>
      <c r="E10" s="530">
        <f>IFERROR(IF(OR(1&gt;$B$3,ISBLANK(Actuals!C12)),"",(Budget!C12-Actuals!C12)/ABS(Budget!C12)),"")</f>
        <v>0.532006355624106</v>
      </c>
      <c r="F10" s="529">
        <f>Budget!D12</f>
        <v>2933528.7</v>
      </c>
      <c r="G10" s="529">
        <f>IF(OR(2&gt;$B$3,ISBLANK(Actuals!D12)),"",Actuals!D12)</f>
        <v>2710434.48</v>
      </c>
      <c r="H10" s="530">
        <f>IF(OR(2&gt;$B$3,ISBLANK(Actuals!D12)),"",Budget!D12-Actuals!D12)</f>
        <v>223094.22</v>
      </c>
      <c r="I10" s="530">
        <f>IFERROR(IF(OR(2&gt;$B$3,ISBLANK(Actuals!D12)),"",(Budget!D12-Actuals!D12)/ABS(Budget!D12)),"")</f>
        <v>0.0760497826389086</v>
      </c>
      <c r="J10" s="529">
        <f>Budget!E12</f>
        <v>3209528.94</v>
      </c>
      <c r="K10" s="529">
        <f>IF(OR(3&gt;$B$3,ISBLANK(Actuals!E12)),"",Actuals!E12)</f>
        <v>2402410.43</v>
      </c>
      <c r="L10" s="530">
        <f>IF(OR(3&gt;$B$3,ISBLANK(Actuals!E12)),"",Budget!E12-Actuals!E12)</f>
        <v>807118.51</v>
      </c>
      <c r="M10" s="530">
        <f>IFERROR(IF(OR(3&gt;$B$3,ISBLANK(Actuals!E12)),"",(Budget!E12-Actuals!E12)/ABS(Budget!E12)),"")</f>
        <v>0.251475691632181</v>
      </c>
      <c r="N10" s="529">
        <f>Budget!F12</f>
        <v>3471205.82</v>
      </c>
      <c r="O10" s="529">
        <f>IF(OR(4&gt;$B$3,ISBLANK(Actuals!F12)),"",Actuals!F12)</f>
        <v>3312759.91</v>
      </c>
      <c r="P10" s="530">
        <f>IF(OR(4&gt;$B$3,ISBLANK(Actuals!F12)),"",Budget!F12-Actuals!F12)</f>
        <v>158445.91</v>
      </c>
      <c r="Q10" s="530">
        <f>IFERROR(IF(OR(4&gt;$B$3,ISBLANK(Actuals!F12)),"",(Budget!F12-Actuals!F12)/ABS(Budget!F12)),"")</f>
        <v>0.0456457836890812</v>
      </c>
      <c r="R10" s="529">
        <f>Budget!G12</f>
        <v>4411909.08</v>
      </c>
      <c r="S10" s="529">
        <f>IF(OR(5&gt;$B$3,ISBLANK(Actuals!G12)),"",Actuals!G12)</f>
        <v>3939278.23</v>
      </c>
      <c r="T10" s="530">
        <f>IF(OR(5&gt;$B$3,ISBLANK(Actuals!G12)),"",Budget!G12-Actuals!G12)</f>
        <v>472630.85</v>
      </c>
      <c r="U10" s="530">
        <f>IFERROR(IF(OR(5&gt;$B$3,ISBLANK(Actuals!G12)),"",(Budget!G12-Actuals!G12)/ABS(Budget!G12)),"")</f>
        <v>0.10712615365138</v>
      </c>
      <c r="V10" s="529">
        <f>Budget!H12</f>
        <v>4713320.79</v>
      </c>
      <c r="W10" s="529">
        <f>IF(OR(6&gt;$B$3,ISBLANK(Actuals!H12)),"",Actuals!H12)</f>
        <v>5584522.73</v>
      </c>
      <c r="X10" s="530">
        <f>IF(OR(6&gt;$B$3,ISBLANK(Actuals!H12)),"",Budget!H12-Actuals!H12)</f>
        <v>-871201.94</v>
      </c>
      <c r="Y10" s="530">
        <f>IFERROR(IF(OR(6&gt;$B$3,ISBLANK(Actuals!H12)),"",(Budget!H12-Actuals!H12)/ABS(Budget!H12)),"")</f>
        <v>-0.184838244375045</v>
      </c>
      <c r="Z10" s="529">
        <f>Budget!I12</f>
        <v>4969335.52</v>
      </c>
      <c r="AA10" s="529">
        <f>IF(OR(7&gt;$B$3,ISBLANK(Actuals!I12)),"",Actuals!I12)</f>
      </c>
      <c r="AB10" s="530">
        <f>IF(OR(7&gt;$B$3,ISBLANK(Actuals!I12)),"",Budget!I12-Actuals!I12)</f>
      </c>
      <c r="AC10" s="530">
        <f>IFERROR(IF(OR(7&gt;$B$3,ISBLANK(Actuals!I12)),"",(Budget!I12-Actuals!I12)/ABS(Budget!I12)),"")</f>
      </c>
      <c r="AD10" s="529">
        <f>Budget!J12</f>
        <v>5167809.94</v>
      </c>
      <c r="AE10" s="529">
        <f>IF(OR(8&gt;$B$3,ISBLANK(Actuals!J12)),"",Actuals!J12)</f>
      </c>
      <c r="AF10" s="530">
        <f>IF(OR(8&gt;$B$3,ISBLANK(Actuals!J12)),"",Budget!J12-Actuals!J12)</f>
      </c>
      <c r="AG10" s="530">
        <f>IFERROR(IF(OR(8&gt;$B$3,ISBLANK(Actuals!J12)),"",(Budget!J12-Actuals!J12)/ABS(Budget!J12)),"")</f>
      </c>
      <c r="AH10" s="529">
        <f>Budget!K12</f>
        <v>5299239.86</v>
      </c>
      <c r="AI10" s="529">
        <f>IF(OR(9&gt;$B$3,ISBLANK(Actuals!K12)),"",Actuals!K12)</f>
      </c>
      <c r="AJ10" s="530">
        <f>IF(OR(9&gt;$B$3,ISBLANK(Actuals!K12)),"",Budget!K12-Actuals!K12)</f>
      </c>
      <c r="AK10" s="530">
        <f>IFERROR(IF(OR(9&gt;$B$3,ISBLANK(Actuals!K12)),"",(Budget!K12-Actuals!K12)/ABS(Budget!K12)),"")</f>
      </c>
      <c r="AL10" s="529">
        <f>Budget!L12</f>
        <v>5357779.86</v>
      </c>
      <c r="AM10" s="529">
        <f>IF(OR(10&gt;$B$3,ISBLANK(Actuals!L12)),"",Actuals!L12)</f>
      </c>
      <c r="AN10" s="530">
        <f>IF(OR(10&gt;$B$3,ISBLANK(Actuals!L12)),"",Budget!L12-Actuals!L12)</f>
      </c>
      <c r="AO10" s="530">
        <f>IFERROR(IF(OR(10&gt;$B$3,ISBLANK(Actuals!L12)),"",(Budget!L12-Actuals!L12)/ABS(Budget!L12)),"")</f>
      </c>
      <c r="AP10" s="529">
        <f>Budget!M12</f>
        <v>5341883.63</v>
      </c>
      <c r="AQ10" s="529">
        <f>IF(OR(11&gt;$B$3,ISBLANK(Actuals!M12)),"",Actuals!M12)</f>
      </c>
      <c r="AR10" s="530">
        <f>IF(OR(11&gt;$B$3,ISBLANK(Actuals!M12)),"",Budget!M12-Actuals!M12)</f>
      </c>
      <c r="AS10" s="530">
        <f>IFERROR(IF(OR(11&gt;$B$3,ISBLANK(Actuals!M12)),"",(Budget!M12-Actuals!M12)/ABS(Budget!M12)),"")</f>
      </c>
      <c r="AT10" s="529">
        <f>Budget!N12</f>
        <v>4998563.51</v>
      </c>
      <c r="AU10" s="529">
        <f>IF(OR(12&gt;$B$3,ISBLANK(Actuals!N12)),"",Actuals!N12)</f>
      </c>
      <c r="AV10" s="530">
        <f>IF(OR(12&gt;$B$3,ISBLANK(Actuals!N12)),"",Budget!N12-Actuals!N12)</f>
      </c>
      <c r="AW10" s="530">
        <f>IFERROR(IF(OR(12&gt;$B$3,ISBLANK(Actuals!N12)),"",(Budget!N12-Actuals!N12)/ABS(Budget!N12)),"")</f>
      </c>
      <c r="AX10" s="531">
        <f>SUMPRODUCT((Actuals!C12:N12&lt;&gt;"")*(Budget!C12:N12))</f>
        <v>21393489.18</v>
      </c>
      <c r="AY10" s="531">
        <f>SUM(Actuals!C12:N12)</f>
        <v>19191458.97</v>
      </c>
      <c r="AZ10" s="532">
        <f>AX10-AY10</f>
        <v>2202030.21</v>
      </c>
    </row>
    <row r="11" ht="15" customFormat="1" customHeight="1" s="381">
      <c r="A11" s="528" t="inlineStr">
        <is>
          <t>COGS — Trades &amp; Site Costs</t>
        </is>
      </c>
      <c r="B11" s="529">
        <f>Budget!C14</f>
        <v>-2653995.85</v>
      </c>
      <c r="C11" s="529">
        <f>IF(OR(1&gt;$B$3,ISBLANK(Actuals!C14)),"",Actuals!C14)</f>
        <v>-1233067.43</v>
      </c>
      <c r="D11" s="530">
        <f>IF(OR(1&gt;$B$3,ISBLANK(Actuals!C14)),"",Budget!C14-Actuals!C14)</f>
        <v>-1420928.42</v>
      </c>
      <c r="E11" s="530">
        <f>IFERROR(IF(OR(1&gt;$B$3,ISBLANK(Actuals!C14)),"",(Budget!C14-Actuals!C14)/ABS(Budget!C14)),"")</f>
        <v>-0.535392103194133</v>
      </c>
      <c r="F11" s="529">
        <f>Budget!D14</f>
        <v>-2933528.7</v>
      </c>
      <c r="G11" s="529">
        <f>IF(OR(2&gt;$B$3,ISBLANK(Actuals!D14)),"",Actuals!D14)</f>
        <v>-3073522.36</v>
      </c>
      <c r="H11" s="530">
        <f>IF(OR(2&gt;$B$3,ISBLANK(Actuals!D14)),"",Budget!D14-Actuals!D14)</f>
        <v>139993.66</v>
      </c>
      <c r="I11" s="530">
        <f>IFERROR(IF(OR(2&gt;$B$3,ISBLANK(Actuals!D14)),"",(Budget!D14-Actuals!D14)/ABS(Budget!D14)),"")</f>
        <v>0.0477219329744412</v>
      </c>
      <c r="J11" s="529">
        <f>Budget!E14</f>
        <v>-3209528.94</v>
      </c>
      <c r="K11" s="529">
        <f>IF(OR(3&gt;$B$3,ISBLANK(Actuals!E14)),"",Actuals!E14)</f>
        <v>-2078031.64</v>
      </c>
      <c r="L11" s="530">
        <f>IF(OR(3&gt;$B$3,ISBLANK(Actuals!E14)),"",Budget!E14-Actuals!E14)</f>
        <v>-1131497.3</v>
      </c>
      <c r="M11" s="530">
        <f>IFERROR(IF(OR(3&gt;$B$3,ISBLANK(Actuals!E14)),"",(Budget!E14-Actuals!E14)/ABS(Budget!E14)),"")</f>
        <v>-0.352543105593558</v>
      </c>
      <c r="N11" s="529">
        <f>Budget!F14</f>
        <v>-3471205.82</v>
      </c>
      <c r="O11" s="529">
        <f>IF(OR(4&gt;$B$3,ISBLANK(Actuals!F14)),"",Actuals!F14)</f>
        <v>-3244999.65</v>
      </c>
      <c r="P11" s="530">
        <f>IF(OR(4&gt;$B$3,ISBLANK(Actuals!F14)),"",Budget!F14-Actuals!F14)</f>
        <v>-226206.17</v>
      </c>
      <c r="Q11" s="530">
        <f>IFERROR(IF(OR(4&gt;$B$3,ISBLANK(Actuals!F14)),"",(Budget!F14-Actuals!F14)/ABS(Budget!F14)),"")</f>
        <v>-0.0651664527342835</v>
      </c>
      <c r="R11" s="529">
        <f>Budget!G14</f>
        <v>-4411909.08</v>
      </c>
      <c r="S11" s="529">
        <f>IF(OR(5&gt;$B$3,ISBLANK(Actuals!G14)),"",Actuals!G14)</f>
        <v>-3950524.93</v>
      </c>
      <c r="T11" s="530">
        <f>IF(OR(5&gt;$B$3,ISBLANK(Actuals!G14)),"",Budget!G14-Actuals!G14)</f>
        <v>-461384.15</v>
      </c>
      <c r="U11" s="530">
        <f>IFERROR(IF(OR(5&gt;$B$3,ISBLANK(Actuals!G14)),"",(Budget!G14-Actuals!G14)/ABS(Budget!G14)),"")</f>
        <v>-0.104576985072412</v>
      </c>
      <c r="V11" s="529">
        <f>Budget!H14</f>
        <v>-4713320.79</v>
      </c>
      <c r="W11" s="529">
        <f>IF(OR(6&gt;$B$3,ISBLANK(Actuals!H14)),"",Actuals!H14)</f>
        <v>-5610911.85</v>
      </c>
      <c r="X11" s="530">
        <f>IF(OR(6&gt;$B$3,ISBLANK(Actuals!H14)),"",Budget!H14-Actuals!H14)</f>
        <v>897591.06</v>
      </c>
      <c r="Y11" s="530">
        <f>IFERROR(IF(OR(6&gt;$B$3,ISBLANK(Actuals!H14)),"",(Budget!H14-Actuals!H14)/ABS(Budget!H14)),"")</f>
        <v>0.190437082471528</v>
      </c>
      <c r="Z11" s="529">
        <f>Budget!I14</f>
        <v>-4969335.52</v>
      </c>
      <c r="AA11" s="529">
        <f>IF(OR(7&gt;$B$3,ISBLANK(Actuals!I14)),"",Actuals!I14)</f>
      </c>
      <c r="AB11" s="530">
        <f>IF(OR(7&gt;$B$3,ISBLANK(Actuals!I14)),"",Budget!I14-Actuals!I14)</f>
      </c>
      <c r="AC11" s="530">
        <f>IFERROR(IF(OR(7&gt;$B$3,ISBLANK(Actuals!I14)),"",(Budget!I14-Actuals!I14)/ABS(Budget!I14)),"")</f>
      </c>
      <c r="AD11" s="529">
        <f>Budget!J14</f>
        <v>-5167809.94</v>
      </c>
      <c r="AE11" s="529">
        <f>IF(OR(8&gt;$B$3,ISBLANK(Actuals!J14)),"",Actuals!J14)</f>
      </c>
      <c r="AF11" s="530">
        <f>IF(OR(8&gt;$B$3,ISBLANK(Actuals!J14)),"",Budget!J14-Actuals!J14)</f>
      </c>
      <c r="AG11" s="530">
        <f>IFERROR(IF(OR(8&gt;$B$3,ISBLANK(Actuals!J14)),"",(Budget!J14-Actuals!J14)/ABS(Budget!J14)),"")</f>
      </c>
      <c r="AH11" s="529">
        <f>Budget!K14</f>
        <v>-5299239.86</v>
      </c>
      <c r="AI11" s="529">
        <f>IF(OR(9&gt;$B$3,ISBLANK(Actuals!K14)),"",Actuals!K14)</f>
      </c>
      <c r="AJ11" s="530">
        <f>IF(OR(9&gt;$B$3,ISBLANK(Actuals!K14)),"",Budget!K14-Actuals!K14)</f>
      </c>
      <c r="AK11" s="530">
        <f>IFERROR(IF(OR(9&gt;$B$3,ISBLANK(Actuals!K14)),"",(Budget!K14-Actuals!K14)/ABS(Budget!K14)),"")</f>
      </c>
      <c r="AL11" s="529">
        <f>Budget!L14</f>
        <v>-5357779.86</v>
      </c>
      <c r="AM11" s="529">
        <f>IF(OR(10&gt;$B$3,ISBLANK(Actuals!L14)),"",Actuals!L14)</f>
      </c>
      <c r="AN11" s="530">
        <f>IF(OR(10&gt;$B$3,ISBLANK(Actuals!L14)),"",Budget!L14-Actuals!L14)</f>
      </c>
      <c r="AO11" s="530">
        <f>IFERROR(IF(OR(10&gt;$B$3,ISBLANK(Actuals!L14)),"",(Budget!L14-Actuals!L14)/ABS(Budget!L14)),"")</f>
      </c>
      <c r="AP11" s="529">
        <f>Budget!M14</f>
        <v>-5341883.63</v>
      </c>
      <c r="AQ11" s="529">
        <f>IF(OR(11&gt;$B$3,ISBLANK(Actuals!M14)),"",Actuals!M14)</f>
      </c>
      <c r="AR11" s="530">
        <f>IF(OR(11&gt;$B$3,ISBLANK(Actuals!M14)),"",Budget!M14-Actuals!M14)</f>
      </c>
      <c r="AS11" s="530">
        <f>IFERROR(IF(OR(11&gt;$B$3,ISBLANK(Actuals!M14)),"",(Budget!M14-Actuals!M14)/ABS(Budget!M14)),"")</f>
      </c>
      <c r="AT11" s="529">
        <f>Budget!N14</f>
        <v>-4998563.51</v>
      </c>
      <c r="AU11" s="529">
        <f>IF(OR(12&gt;$B$3,ISBLANK(Actuals!N14)),"",Actuals!N14)</f>
      </c>
      <c r="AV11" s="530">
        <f>IF(OR(12&gt;$B$3,ISBLANK(Actuals!N14)),"",Budget!N14-Actuals!N14)</f>
      </c>
      <c r="AW11" s="530">
        <f>IFERROR(IF(OR(12&gt;$B$3,ISBLANK(Actuals!N14)),"",(Budget!N14-Actuals!N14)/ABS(Budget!N14)),"")</f>
      </c>
      <c r="AX11" s="531">
        <f>SUMPRODUCT((Actuals!C14:N14&lt;&gt;"")*(Budget!C14:N14))</f>
        <v>-21393489.18</v>
      </c>
      <c r="AY11" s="531">
        <f>SUM(Actuals!C14:N14)</f>
        <v>-19191057.86</v>
      </c>
      <c r="AZ11" s="532">
        <f>AX11-AY11</f>
        <v>-2202431.32</v>
      </c>
    </row>
    <row r="12" ht="15" customFormat="1" customHeight="1" s="381">
      <c r="A12" s="528" t="inlineStr">
        <is>
          <t>Bonding Revenue</t>
        </is>
      </c>
      <c r="B12" s="529">
        <f>Budget!C15</f>
        <v>0</v>
      </c>
      <c r="C12" s="529">
        <f>IF(OR(1&gt;$B$3,ISBLANK(Actuals!C15)),"",Actuals!C15)</f>
        <v>0</v>
      </c>
      <c r="D12" s="530">
        <f>IF(OR(1&gt;$B$3,ISBLANK(Actuals!C15)),"",Budget!C15-Actuals!C15)</f>
        <v>0</v>
      </c>
      <c r="E12" s="530">
        <f>IFERROR(IF(OR(1&gt;$B$3,ISBLANK(Actuals!C15)),"",(Budget!C15-Actuals!C15)/ABS(Budget!C15)),"")</f>
      </c>
      <c r="F12" s="529">
        <f>Budget!D15</f>
        <v>0</v>
      </c>
      <c r="G12" s="529">
        <f>IF(OR(2&gt;$B$3,ISBLANK(Actuals!D15)),"",Actuals!D15)</f>
        <v>0</v>
      </c>
      <c r="H12" s="530">
        <f>IF(OR(2&gt;$B$3,ISBLANK(Actuals!D15)),"",Budget!D15-Actuals!D15)</f>
        <v>0</v>
      </c>
      <c r="I12" s="530">
        <f>IFERROR(IF(OR(2&gt;$B$3,ISBLANK(Actuals!D15)),"",(Budget!D15-Actuals!D15)/ABS(Budget!D15)),"")</f>
      </c>
      <c r="J12" s="529">
        <f>Budget!E15</f>
        <v>0</v>
      </c>
      <c r="K12" s="529">
        <f>IF(OR(3&gt;$B$3,ISBLANK(Actuals!E15)),"",Actuals!E15)</f>
        <v>0</v>
      </c>
      <c r="L12" s="530">
        <f>IF(OR(3&gt;$B$3,ISBLANK(Actuals!E15)),"",Budget!E15-Actuals!E15)</f>
        <v>0</v>
      </c>
      <c r="M12" s="530">
        <f>IFERROR(IF(OR(3&gt;$B$3,ISBLANK(Actuals!E15)),"",(Budget!E15-Actuals!E15)/ABS(Budget!E15)),"")</f>
      </c>
      <c r="N12" s="529">
        <f>Budget!F15</f>
        <v>0</v>
      </c>
      <c r="O12" s="529">
        <f>IF(OR(4&gt;$B$3,ISBLANK(Actuals!F15)),"",Actuals!F15)</f>
        <v>0</v>
      </c>
      <c r="P12" s="530">
        <f>IF(OR(4&gt;$B$3,ISBLANK(Actuals!F15)),"",Budget!F15-Actuals!F15)</f>
        <v>0</v>
      </c>
      <c r="Q12" s="530">
        <f>IFERROR(IF(OR(4&gt;$B$3,ISBLANK(Actuals!F15)),"",(Budget!F15-Actuals!F15)/ABS(Budget!F15)),"")</f>
      </c>
      <c r="R12" s="529">
        <f>Budget!G15</f>
        <v>0</v>
      </c>
      <c r="S12" s="529">
        <f>IF(OR(5&gt;$B$3,ISBLANK(Actuals!G15)),"",Actuals!G15)</f>
        <v>0</v>
      </c>
      <c r="T12" s="530">
        <f>IF(OR(5&gt;$B$3,ISBLANK(Actuals!G15)),"",Budget!G15-Actuals!G15)</f>
        <v>0</v>
      </c>
      <c r="U12" s="530">
        <f>IFERROR(IF(OR(5&gt;$B$3,ISBLANK(Actuals!G15)),"",(Budget!G15-Actuals!G15)/ABS(Budget!G15)),"")</f>
      </c>
      <c r="V12" s="529">
        <f>Budget!H15</f>
        <v>0</v>
      </c>
      <c r="W12" s="529">
        <f>IF(OR(6&gt;$B$3,ISBLANK(Actuals!H15)),"",Actuals!H15)</f>
        <v>0</v>
      </c>
      <c r="X12" s="530">
        <f>IF(OR(6&gt;$B$3,ISBLANK(Actuals!H15)),"",Budget!H15-Actuals!H15)</f>
        <v>0</v>
      </c>
      <c r="Y12" s="530">
        <f>IFERROR(IF(OR(6&gt;$B$3,ISBLANK(Actuals!H15)),"",(Budget!H15-Actuals!H15)/ABS(Budget!H15)),"")</f>
      </c>
      <c r="Z12" s="529">
        <f>Budget!I15</f>
        <v>0</v>
      </c>
      <c r="AA12" s="529">
        <f>IF(OR(7&gt;$B$3,ISBLANK(Actuals!I15)),"",Actuals!I15)</f>
      </c>
      <c r="AB12" s="530">
        <f>IF(OR(7&gt;$B$3,ISBLANK(Actuals!I15)),"",Budget!I15-Actuals!I15)</f>
      </c>
      <c r="AC12" s="530">
        <f>IFERROR(IF(OR(7&gt;$B$3,ISBLANK(Actuals!I15)),"",(Budget!I15-Actuals!I15)/ABS(Budget!I15)),"")</f>
      </c>
      <c r="AD12" s="529">
        <f>Budget!J15</f>
        <v>0</v>
      </c>
      <c r="AE12" s="529">
        <f>IF(OR(8&gt;$B$3,ISBLANK(Actuals!J15)),"",Actuals!J15)</f>
      </c>
      <c r="AF12" s="530">
        <f>IF(OR(8&gt;$B$3,ISBLANK(Actuals!J15)),"",Budget!J15-Actuals!J15)</f>
      </c>
      <c r="AG12" s="530">
        <f>IFERROR(IF(OR(8&gt;$B$3,ISBLANK(Actuals!J15)),"",(Budget!J15-Actuals!J15)/ABS(Budget!J15)),"")</f>
      </c>
      <c r="AH12" s="529">
        <f>Budget!K15</f>
        <v>0</v>
      </c>
      <c r="AI12" s="529">
        <f>IF(OR(9&gt;$B$3,ISBLANK(Actuals!K15)),"",Actuals!K15)</f>
      </c>
      <c r="AJ12" s="530">
        <f>IF(OR(9&gt;$B$3,ISBLANK(Actuals!K15)),"",Budget!K15-Actuals!K15)</f>
      </c>
      <c r="AK12" s="530">
        <f>IFERROR(IF(OR(9&gt;$B$3,ISBLANK(Actuals!K15)),"",(Budget!K15-Actuals!K15)/ABS(Budget!K15)),"")</f>
      </c>
      <c r="AL12" s="529">
        <f>Budget!L15</f>
        <v>0</v>
      </c>
      <c r="AM12" s="529">
        <f>IF(OR(10&gt;$B$3,ISBLANK(Actuals!L15)),"",Actuals!L15)</f>
      </c>
      <c r="AN12" s="530">
        <f>IF(OR(10&gt;$B$3,ISBLANK(Actuals!L15)),"",Budget!L15-Actuals!L15)</f>
      </c>
      <c r="AO12" s="530">
        <f>IFERROR(IF(OR(10&gt;$B$3,ISBLANK(Actuals!L15)),"",(Budget!L15-Actuals!L15)/ABS(Budget!L15)),"")</f>
      </c>
      <c r="AP12" s="529">
        <f>Budget!M15</f>
        <v>0</v>
      </c>
      <c r="AQ12" s="529">
        <f>IF(OR(11&gt;$B$3,ISBLANK(Actuals!M15)),"",Actuals!M15)</f>
      </c>
      <c r="AR12" s="530">
        <f>IF(OR(11&gt;$B$3,ISBLANK(Actuals!M15)),"",Budget!M15-Actuals!M15)</f>
      </c>
      <c r="AS12" s="530">
        <f>IFERROR(IF(OR(11&gt;$B$3,ISBLANK(Actuals!M15)),"",(Budget!M15-Actuals!M15)/ABS(Budget!M15)),"")</f>
      </c>
      <c r="AT12" s="529">
        <f>Budget!N15</f>
        <v>0</v>
      </c>
      <c r="AU12" s="529">
        <f>IF(OR(12&gt;$B$3,ISBLANK(Actuals!N15)),"",Actuals!N15)</f>
      </c>
      <c r="AV12" s="530">
        <f>IF(OR(12&gt;$B$3,ISBLANK(Actuals!N15)),"",Budget!N15-Actuals!N15)</f>
      </c>
      <c r="AW12" s="530">
        <f>IFERROR(IF(OR(12&gt;$B$3,ISBLANK(Actuals!N15)),"",(Budget!N15-Actuals!N15)/ABS(Budget!N15)),"")</f>
      </c>
      <c r="AX12" s="531">
        <f>SUMPRODUCT((Actuals!C15:N15&lt;&gt;"")*(Budget!C15:N15))</f>
        <v>0</v>
      </c>
      <c r="AY12" s="531">
        <f>SUM(Actuals!C15:N15)</f>
        <v>0</v>
      </c>
      <c r="AZ12" s="532">
        <f>AX12-AY12</f>
        <v>0</v>
      </c>
    </row>
    <row r="13" ht="15" customFormat="1" customHeight="1" s="381">
      <c r="A13" s="528" t="inlineStr">
        <is>
          <t>Bonding Costs</t>
        </is>
      </c>
      <c r="B13" s="529">
        <f>Budget!C16</f>
        <v>0</v>
      </c>
      <c r="C13" s="529">
        <f>IF(OR(1&gt;$B$3,ISBLANK(Actuals!C16)),"",Actuals!C16)</f>
        <v>-1966.5</v>
      </c>
      <c r="D13" s="530">
        <f>IF(OR(1&gt;$B$3,ISBLANK(Actuals!C16)),"",Budget!C16-Actuals!C16)</f>
        <v>1966.5</v>
      </c>
      <c r="E13" s="530">
        <f>IFERROR(IF(OR(1&gt;$B$3,ISBLANK(Actuals!C16)),"",(Budget!C16-Actuals!C16)/ABS(Budget!C16)),"")</f>
      </c>
      <c r="F13" s="529">
        <f>Budget!D16</f>
        <v>0</v>
      </c>
      <c r="G13" s="529">
        <f>IF(OR(2&gt;$B$3,ISBLANK(Actuals!D16)),"",Actuals!D16)</f>
        <v>0</v>
      </c>
      <c r="H13" s="530">
        <f>IF(OR(2&gt;$B$3,ISBLANK(Actuals!D16)),"",Budget!D16-Actuals!D16)</f>
        <v>0</v>
      </c>
      <c r="I13" s="530">
        <f>IFERROR(IF(OR(2&gt;$B$3,ISBLANK(Actuals!D16)),"",(Budget!D16-Actuals!D16)/ABS(Budget!D16)),"")</f>
      </c>
      <c r="J13" s="529">
        <f>Budget!E16</f>
        <v>0</v>
      </c>
      <c r="K13" s="529">
        <f>IF(OR(3&gt;$B$3,ISBLANK(Actuals!E16)),"",Actuals!E16)</f>
        <v>0</v>
      </c>
      <c r="L13" s="530">
        <f>IF(OR(3&gt;$B$3,ISBLANK(Actuals!E16)),"",Budget!E16-Actuals!E16)</f>
        <v>0</v>
      </c>
      <c r="M13" s="530">
        <f>IFERROR(IF(OR(3&gt;$B$3,ISBLANK(Actuals!E16)),"",(Budget!E16-Actuals!E16)/ABS(Budget!E16)),"")</f>
      </c>
      <c r="N13" s="529">
        <f>Budget!F16</f>
        <v>0</v>
      </c>
      <c r="O13" s="529">
        <f>IF(OR(4&gt;$B$3,ISBLANK(Actuals!F16)),"",Actuals!F16)</f>
        <v>0</v>
      </c>
      <c r="P13" s="530">
        <f>IF(OR(4&gt;$B$3,ISBLANK(Actuals!F16)),"",Budget!F16-Actuals!F16)</f>
        <v>0</v>
      </c>
      <c r="Q13" s="530">
        <f>IFERROR(IF(OR(4&gt;$B$3,ISBLANK(Actuals!F16)),"",(Budget!F16-Actuals!F16)/ABS(Budget!F16)),"")</f>
      </c>
      <c r="R13" s="529">
        <f>Budget!G16</f>
        <v>0</v>
      </c>
      <c r="S13" s="529">
        <f>IF(OR(5&gt;$B$3,ISBLANK(Actuals!G16)),"",Actuals!G16)</f>
        <v>0</v>
      </c>
      <c r="T13" s="530">
        <f>IF(OR(5&gt;$B$3,ISBLANK(Actuals!G16)),"",Budget!G16-Actuals!G16)</f>
        <v>0</v>
      </c>
      <c r="U13" s="530">
        <f>IFERROR(IF(OR(5&gt;$B$3,ISBLANK(Actuals!G16)),"",(Budget!G16-Actuals!G16)/ABS(Budget!G16)),"")</f>
      </c>
      <c r="V13" s="529">
        <f>Budget!H16</f>
        <v>0</v>
      </c>
      <c r="W13" s="529">
        <f>IF(OR(6&gt;$B$3,ISBLANK(Actuals!H16)),"",Actuals!H16)</f>
        <v>0</v>
      </c>
      <c r="X13" s="530">
        <f>IF(OR(6&gt;$B$3,ISBLANK(Actuals!H16)),"",Budget!H16-Actuals!H16)</f>
        <v>0</v>
      </c>
      <c r="Y13" s="530">
        <f>IFERROR(IF(OR(6&gt;$B$3,ISBLANK(Actuals!H16)),"",(Budget!H16-Actuals!H16)/ABS(Budget!H16)),"")</f>
      </c>
      <c r="Z13" s="529">
        <f>Budget!I16</f>
        <v>0</v>
      </c>
      <c r="AA13" s="529">
        <f>IF(OR(7&gt;$B$3,ISBLANK(Actuals!I16)),"",Actuals!I16)</f>
      </c>
      <c r="AB13" s="530">
        <f>IF(OR(7&gt;$B$3,ISBLANK(Actuals!I16)),"",Budget!I16-Actuals!I16)</f>
      </c>
      <c r="AC13" s="530">
        <f>IFERROR(IF(OR(7&gt;$B$3,ISBLANK(Actuals!I16)),"",(Budget!I16-Actuals!I16)/ABS(Budget!I16)),"")</f>
      </c>
      <c r="AD13" s="529">
        <f>Budget!J16</f>
        <v>0</v>
      </c>
      <c r="AE13" s="529">
        <f>IF(OR(8&gt;$B$3,ISBLANK(Actuals!J16)),"",Actuals!J16)</f>
      </c>
      <c r="AF13" s="530">
        <f>IF(OR(8&gt;$B$3,ISBLANK(Actuals!J16)),"",Budget!J16-Actuals!J16)</f>
      </c>
      <c r="AG13" s="530">
        <f>IFERROR(IF(OR(8&gt;$B$3,ISBLANK(Actuals!J16)),"",(Budget!J16-Actuals!J16)/ABS(Budget!J16)),"")</f>
      </c>
      <c r="AH13" s="529">
        <f>Budget!K16</f>
        <v>0</v>
      </c>
      <c r="AI13" s="529">
        <f>IF(OR(9&gt;$B$3,ISBLANK(Actuals!K16)),"",Actuals!K16)</f>
      </c>
      <c r="AJ13" s="530">
        <f>IF(OR(9&gt;$B$3,ISBLANK(Actuals!K16)),"",Budget!K16-Actuals!K16)</f>
      </c>
      <c r="AK13" s="530">
        <f>IFERROR(IF(OR(9&gt;$B$3,ISBLANK(Actuals!K16)),"",(Budget!K16-Actuals!K16)/ABS(Budget!K16)),"")</f>
      </c>
      <c r="AL13" s="529">
        <f>Budget!L16</f>
        <v>0</v>
      </c>
      <c r="AM13" s="529">
        <f>IF(OR(10&gt;$B$3,ISBLANK(Actuals!L16)),"",Actuals!L16)</f>
      </c>
      <c r="AN13" s="530">
        <f>IF(OR(10&gt;$B$3,ISBLANK(Actuals!L16)),"",Budget!L16-Actuals!L16)</f>
      </c>
      <c r="AO13" s="530">
        <f>IFERROR(IF(OR(10&gt;$B$3,ISBLANK(Actuals!L16)),"",(Budget!L16-Actuals!L16)/ABS(Budget!L16)),"")</f>
      </c>
      <c r="AP13" s="529">
        <f>Budget!M16</f>
        <v>0</v>
      </c>
      <c r="AQ13" s="529">
        <f>IF(OR(11&gt;$B$3,ISBLANK(Actuals!M16)),"",Actuals!M16)</f>
      </c>
      <c r="AR13" s="530">
        <f>IF(OR(11&gt;$B$3,ISBLANK(Actuals!M16)),"",Budget!M16-Actuals!M16)</f>
      </c>
      <c r="AS13" s="530">
        <f>IFERROR(IF(OR(11&gt;$B$3,ISBLANK(Actuals!M16)),"",(Budget!M16-Actuals!M16)/ABS(Budget!M16)),"")</f>
      </c>
      <c r="AT13" s="529">
        <f>Budget!N16</f>
        <v>0</v>
      </c>
      <c r="AU13" s="529">
        <f>IF(OR(12&gt;$B$3,ISBLANK(Actuals!N16)),"",Actuals!N16)</f>
      </c>
      <c r="AV13" s="530">
        <f>IF(OR(12&gt;$B$3,ISBLANK(Actuals!N16)),"",Budget!N16-Actuals!N16)</f>
      </c>
      <c r="AW13" s="530">
        <f>IFERROR(IF(OR(12&gt;$B$3,ISBLANK(Actuals!N16)),"",(Budget!N16-Actuals!N16)/ABS(Budget!N16)),"")</f>
      </c>
      <c r="AX13" s="531">
        <f>SUMPRODUCT((Actuals!C16:N16&lt;&gt;"")*(Budget!C16:N16))</f>
        <v>0</v>
      </c>
      <c r="AY13" s="531">
        <f>SUM(Actuals!C16:N16)</f>
        <v>-1966.5</v>
      </c>
      <c r="AZ13" s="532">
        <f>AX13-AY13</f>
        <v>1966.5</v>
      </c>
    </row>
    <row r="14" ht="15" customFormat="1" customHeight="1" s="381">
      <c r="A14" s="528" t="inlineStr">
        <is>
          <t>Gross Profit</t>
        </is>
      </c>
      <c r="B14" s="529">
        <f>Budget!C17</f>
        <v>324259.89</v>
      </c>
      <c r="C14" s="529">
        <f>IF(OR(1&gt;$B$3,ISBLANK(Actuals!C17)),"",Actuals!C17)</f>
        <v>218756.86</v>
      </c>
      <c r="D14" s="530">
        <f>IF(OR(1&gt;$B$3,ISBLANK(Actuals!C17)),"",Budget!C17-Actuals!C17)</f>
        <v>105503.03</v>
      </c>
      <c r="E14" s="530">
        <f>IFERROR(IF(OR(1&gt;$B$3,ISBLANK(Actuals!C17)),"",(Budget!C17-Actuals!C17)/ABS(Budget!C17)),"")</f>
        <v>0.32536565037384</v>
      </c>
      <c r="F14" s="529">
        <f>Budget!D17</f>
        <v>339504.55</v>
      </c>
      <c r="G14" s="529">
        <f>IF(OR(2&gt;$B$3,ISBLANK(Actuals!D17)),"",Actuals!D17)</f>
        <v>-51000.77</v>
      </c>
      <c r="H14" s="530">
        <f>IF(OR(2&gt;$B$3,ISBLANK(Actuals!D17)),"",Budget!D17-Actuals!D17)</f>
        <v>390505.32</v>
      </c>
      <c r="I14" s="530">
        <f>IFERROR(IF(OR(2&gt;$B$3,ISBLANK(Actuals!D17)),"",(Budget!D17-Actuals!D17)/ABS(Budget!D17)),"")</f>
        <v>1.15022116787536</v>
      </c>
      <c r="J14" s="529">
        <f>Budget!E17</f>
        <v>354679.96</v>
      </c>
      <c r="K14" s="529">
        <f>IF(OR(3&gt;$B$3,ISBLANK(Actuals!E17)),"",Actuals!E17)</f>
        <v>594184.52</v>
      </c>
      <c r="L14" s="530">
        <f>IF(OR(3&gt;$B$3,ISBLANK(Actuals!E17)),"",Budget!E17-Actuals!E17)</f>
        <v>-239504.56</v>
      </c>
      <c r="M14" s="530">
        <f>IFERROR(IF(OR(3&gt;$B$3,ISBLANK(Actuals!E17)),"",(Budget!E17-Actuals!E17)/ABS(Budget!E17)),"")</f>
        <v>-0.675269502116782</v>
      </c>
      <c r="N14" s="529">
        <f>Budget!F17</f>
        <v>369182.36</v>
      </c>
      <c r="O14" s="529">
        <f>IF(OR(4&gt;$B$3,ISBLANK(Actuals!F17)),"",Actuals!F17)</f>
        <v>447358.25</v>
      </c>
      <c r="P14" s="530">
        <f>IF(OR(4&gt;$B$3,ISBLANK(Actuals!F17)),"",Budget!F17-Actuals!F17)</f>
        <v>-78175.8900000005</v>
      </c>
      <c r="Q14" s="530">
        <f>IFERROR(IF(OR(4&gt;$B$3,ISBLANK(Actuals!F17)),"",(Budget!F17-Actuals!F17)/ABS(Budget!F17)),"")</f>
        <v>-0.211754131481256</v>
      </c>
      <c r="R14" s="529">
        <f>Budget!G17</f>
        <v>523342.55</v>
      </c>
      <c r="S14" s="529">
        <f>IF(OR(5&gt;$B$3,ISBLANK(Actuals!G17)),"",Actuals!G17)</f>
        <v>465536.7</v>
      </c>
      <c r="T14" s="530">
        <f>IF(OR(5&gt;$B$3,ISBLANK(Actuals!G17)),"",Budget!G17-Actuals!G17)</f>
        <v>57805.8500000003</v>
      </c>
      <c r="U14" s="530">
        <f>IFERROR(IF(OR(5&gt;$B$3,ISBLANK(Actuals!G17)),"",(Budget!G17-Actuals!G17)/ABS(Budget!G17)),"")</f>
        <v>0.110455092940561</v>
      </c>
      <c r="V14" s="529">
        <f>Budget!H17</f>
        <v>540018.13</v>
      </c>
      <c r="W14" s="529">
        <f>IF(OR(6&gt;$B$3,ISBLANK(Actuals!H17)),"",Actuals!H17)</f>
        <v>641351.130000001</v>
      </c>
      <c r="X14" s="530">
        <f>IF(OR(6&gt;$B$3,ISBLANK(Actuals!H17)),"",Budget!H17-Actuals!H17)</f>
        <v>-101333.000000001</v>
      </c>
      <c r="Y14" s="530">
        <f>IFERROR(IF(OR(6&gt;$B$3,ISBLANK(Actuals!H17)),"",(Budget!H17-Actuals!H17)/ABS(Budget!H17)),"")</f>
        <v>-0.187647403615876</v>
      </c>
      <c r="Z14" s="529">
        <f>Budget!I17</f>
        <v>554251.95</v>
      </c>
      <c r="AA14" s="529">
        <f>IF(OR(7&gt;$B$3,ISBLANK(Actuals!I17)),"",Actuals!I17)</f>
      </c>
      <c r="AB14" s="530">
        <f>IF(OR(7&gt;$B$3,ISBLANK(Actuals!I17)),"",Budget!I17-Actuals!I17)</f>
      </c>
      <c r="AC14" s="530">
        <f>IFERROR(IF(OR(7&gt;$B$3,ISBLANK(Actuals!I17)),"",(Budget!I17-Actuals!I17)/ABS(Budget!I17)),"")</f>
      </c>
      <c r="AD14" s="529">
        <f>Budget!J17</f>
        <v>565364.09</v>
      </c>
      <c r="AE14" s="529">
        <f>IF(OR(8&gt;$B$3,ISBLANK(Actuals!J17)),"",Actuals!J17)</f>
      </c>
      <c r="AF14" s="530">
        <f>IF(OR(8&gt;$B$3,ISBLANK(Actuals!J17)),"",Budget!J17-Actuals!J17)</f>
      </c>
      <c r="AG14" s="530">
        <f>IFERROR(IF(OR(8&gt;$B$3,ISBLANK(Actuals!J17)),"",(Budget!J17-Actuals!J17)/ABS(Budget!J17)),"")</f>
      </c>
      <c r="AH14" s="529">
        <f>Budget!K17</f>
        <v>572823.45</v>
      </c>
      <c r="AI14" s="529">
        <f>IF(OR(9&gt;$B$3,ISBLANK(Actuals!K17)),"",Actuals!K17)</f>
      </c>
      <c r="AJ14" s="530">
        <f>IF(OR(9&gt;$B$3,ISBLANK(Actuals!K17)),"",Budget!K17-Actuals!K17)</f>
      </c>
      <c r="AK14" s="530">
        <f>IFERROR(IF(OR(9&gt;$B$3,ISBLANK(Actuals!K17)),"",(Budget!K17-Actuals!K17)/ABS(Budget!K17)),"")</f>
      </c>
      <c r="AL14" s="529">
        <f>Budget!L17</f>
        <v>576304.38</v>
      </c>
      <c r="AM14" s="529">
        <f>IF(OR(10&gt;$B$3,ISBLANK(Actuals!L17)),"",Actuals!L17)</f>
      </c>
      <c r="AN14" s="530">
        <f>IF(OR(10&gt;$B$3,ISBLANK(Actuals!L17)),"",Budget!L17-Actuals!L17)</f>
      </c>
      <c r="AO14" s="530">
        <f>IFERROR(IF(OR(10&gt;$B$3,ISBLANK(Actuals!L17)),"",(Budget!L17-Actuals!L17)/ABS(Budget!L17)),"")</f>
      </c>
      <c r="AP14" s="529">
        <f>Budget!M17</f>
        <v>575721.48</v>
      </c>
      <c r="AQ14" s="529">
        <f>IF(OR(11&gt;$B$3,ISBLANK(Actuals!M17)),"",Actuals!M17)</f>
      </c>
      <c r="AR14" s="530">
        <f>IF(OR(11&gt;$B$3,ISBLANK(Actuals!M17)),"",Budget!M17-Actuals!M17)</f>
      </c>
      <c r="AS14" s="530">
        <f>IFERROR(IF(OR(11&gt;$B$3,ISBLANK(Actuals!M17)),"",(Budget!M17-Actuals!M17)/ABS(Budget!M17)),"")</f>
      </c>
      <c r="AT14" s="529">
        <f>Budget!N17</f>
        <v>526839.16</v>
      </c>
      <c r="AU14" s="529">
        <f>IF(OR(12&gt;$B$3,ISBLANK(Actuals!N17)),"",Actuals!N17)</f>
      </c>
      <c r="AV14" s="530">
        <f>IF(OR(12&gt;$B$3,ISBLANK(Actuals!N17)),"",Budget!N17-Actuals!N17)</f>
      </c>
      <c r="AW14" s="530">
        <f>IFERROR(IF(OR(12&gt;$B$3,ISBLANK(Actuals!N17)),"",(Budget!N17-Actuals!N17)/ABS(Budget!N17)),"")</f>
      </c>
      <c r="AX14" s="531">
        <f>SUMPRODUCT((Actuals!C17:N17&lt;&gt;"")*(Budget!C17:N17))</f>
        <v>5822291.95</v>
      </c>
      <c r="AY14" s="531">
        <f>SUM(Actuals!C17:N17)</f>
        <v>2316186.69</v>
      </c>
      <c r="AZ14" s="532">
        <f>AX14-AY14</f>
        <v>3506105.26</v>
      </c>
    </row>
    <row r="15" ht="15" customFormat="1" customHeight="1" s="381">
      <c r="A15" s="528" t="inlineStr">
        <is>
          <t>5000-1000 Payroll</t>
        </is>
      </c>
      <c r="B15" s="529">
        <f>Budget!C21</f>
        <v>-176250.01</v>
      </c>
      <c r="C15" s="529">
        <f>IF(OR(1&gt;$B$3,ISBLANK(Actuals!C21)),"",Actuals!C21)</f>
        <v>-144550.9</v>
      </c>
      <c r="D15" s="530">
        <f>IF(OR(1&gt;$B$3,ISBLANK(Actuals!C21)),"",Budget!C21-Actuals!C21)</f>
        <v>-31699.11</v>
      </c>
      <c r="E15" s="530">
        <f>IFERROR(IF(OR(1&gt;$B$3,ISBLANK(Actuals!C21)),"",(Budget!C21-Actuals!C21)/ABS(Budget!C21)),"")</f>
        <v>-0.179853096178548</v>
      </c>
      <c r="F15" s="529">
        <f>Budget!D21</f>
        <v>-176250.01</v>
      </c>
      <c r="G15" s="529">
        <f>IF(OR(2&gt;$B$3,ISBLANK(Actuals!D21)),"",Actuals!D21)</f>
        <v>-150672.84</v>
      </c>
      <c r="H15" s="530">
        <f>IF(OR(2&gt;$B$3,ISBLANK(Actuals!D21)),"",Budget!D21-Actuals!D21)</f>
        <v>-25577.17</v>
      </c>
      <c r="I15" s="530">
        <f>IFERROR(IF(OR(2&gt;$B$3,ISBLANK(Actuals!D21)),"",(Budget!D21-Actuals!D21)/ABS(Budget!D21)),"")</f>
        <v>-0.145118686801777</v>
      </c>
      <c r="J15" s="529">
        <f>Budget!E21</f>
        <v>-176250.01</v>
      </c>
      <c r="K15" s="529">
        <f>IF(OR(3&gt;$B$3,ISBLANK(Actuals!E21)),"",Actuals!E21)</f>
        <v>-178867.86</v>
      </c>
      <c r="L15" s="530">
        <f>IF(OR(3&gt;$B$3,ISBLANK(Actuals!E21)),"",Budget!E21-Actuals!E21)</f>
        <v>2617.84999999998</v>
      </c>
      <c r="M15" s="530">
        <f>IFERROR(IF(OR(3&gt;$B$3,ISBLANK(Actuals!E21)),"",(Budget!E21-Actuals!E21)/ABS(Budget!E21)),"")</f>
        <v>0.0148530488026638</v>
      </c>
      <c r="N15" s="529">
        <f>Budget!F21</f>
        <v>-176250.01</v>
      </c>
      <c r="O15" s="529">
        <f>IF(OR(4&gt;$B$3,ISBLANK(Actuals!F21)),"",Actuals!F21)</f>
        <v>-187693.63</v>
      </c>
      <c r="P15" s="530">
        <f>IF(OR(4&gt;$B$3,ISBLANK(Actuals!F21)),"",Budget!F21-Actuals!F21)</f>
        <v>11443.62</v>
      </c>
      <c r="Q15" s="530">
        <f>IFERROR(IF(OR(4&gt;$B$3,ISBLANK(Actuals!F21)),"",(Budget!F21-Actuals!F21)/ABS(Budget!F21)),"")</f>
        <v>0.0649283367416546</v>
      </c>
      <c r="R15" s="529">
        <f>Budget!G21</f>
        <v>-176250.01</v>
      </c>
      <c r="S15" s="529">
        <f>IF(OR(5&gt;$B$3,ISBLANK(Actuals!G21)),"",Actuals!G21)</f>
        <v>-295949.1</v>
      </c>
      <c r="T15" s="530">
        <f>IF(OR(5&gt;$B$3,ISBLANK(Actuals!G21)),"",Budget!G21-Actuals!G21)</f>
        <v>119699.09</v>
      </c>
      <c r="U15" s="530">
        <f>IFERROR(IF(OR(5&gt;$B$3,ISBLANK(Actuals!G21)),"",(Budget!G21-Actuals!G21)/ABS(Budget!G21)),"")</f>
        <v>0.679143734516667</v>
      </c>
      <c r="V15" s="529">
        <f>Budget!H21</f>
        <v>-176250.01</v>
      </c>
      <c r="W15" s="529">
        <f>IF(OR(6&gt;$B$3,ISBLANK(Actuals!H21)),"",Actuals!H21)</f>
        <v>-198645.92</v>
      </c>
      <c r="X15" s="530">
        <f>IF(OR(6&gt;$B$3,ISBLANK(Actuals!H21)),"",Budget!H21-Actuals!H21)</f>
        <v>22395.91</v>
      </c>
      <c r="Y15" s="530">
        <f>IFERROR(IF(OR(6&gt;$B$3,ISBLANK(Actuals!H21)),"",(Budget!H21-Actuals!H21)/ABS(Budget!H21)),"")</f>
        <v>0.127068985698214</v>
      </c>
      <c r="Z15" s="529">
        <f>Budget!I21</f>
        <v>-176250.01</v>
      </c>
      <c r="AA15" s="529">
        <f>IF(OR(7&gt;$B$3,ISBLANK(Actuals!I21)),"",Actuals!I21)</f>
      </c>
      <c r="AB15" s="530">
        <f>IF(OR(7&gt;$B$3,ISBLANK(Actuals!I21)),"",Budget!I21-Actuals!I21)</f>
      </c>
      <c r="AC15" s="530">
        <f>IFERROR(IF(OR(7&gt;$B$3,ISBLANK(Actuals!I21)),"",(Budget!I21-Actuals!I21)/ABS(Budget!I21)),"")</f>
      </c>
      <c r="AD15" s="529">
        <f>Budget!J21</f>
        <v>-176250.01</v>
      </c>
      <c r="AE15" s="529">
        <f>IF(OR(8&gt;$B$3,ISBLANK(Actuals!J21)),"",Actuals!J21)</f>
      </c>
      <c r="AF15" s="530">
        <f>IF(OR(8&gt;$B$3,ISBLANK(Actuals!J21)),"",Budget!J21-Actuals!J21)</f>
      </c>
      <c r="AG15" s="530">
        <f>IFERROR(IF(OR(8&gt;$B$3,ISBLANK(Actuals!J21)),"",(Budget!J21-Actuals!J21)/ABS(Budget!J21)),"")</f>
      </c>
      <c r="AH15" s="529">
        <f>Budget!K21</f>
        <v>-176250.01</v>
      </c>
      <c r="AI15" s="529">
        <f>IF(OR(9&gt;$B$3,ISBLANK(Actuals!K21)),"",Actuals!K21)</f>
      </c>
      <c r="AJ15" s="530">
        <f>IF(OR(9&gt;$B$3,ISBLANK(Actuals!K21)),"",Budget!K21-Actuals!K21)</f>
      </c>
      <c r="AK15" s="530">
        <f>IFERROR(IF(OR(9&gt;$B$3,ISBLANK(Actuals!K21)),"",(Budget!K21-Actuals!K21)/ABS(Budget!K21)),"")</f>
      </c>
      <c r="AL15" s="529">
        <f>Budget!L21</f>
        <v>-176250.01</v>
      </c>
      <c r="AM15" s="529">
        <f>IF(OR(10&gt;$B$3,ISBLANK(Actuals!L21)),"",Actuals!L21)</f>
      </c>
      <c r="AN15" s="530">
        <f>IF(OR(10&gt;$B$3,ISBLANK(Actuals!L21)),"",Budget!L21-Actuals!L21)</f>
      </c>
      <c r="AO15" s="530">
        <f>IFERROR(IF(OR(10&gt;$B$3,ISBLANK(Actuals!L21)),"",(Budget!L21-Actuals!L21)/ABS(Budget!L21)),"")</f>
      </c>
      <c r="AP15" s="529">
        <f>Budget!M21</f>
        <v>-176250.01</v>
      </c>
      <c r="AQ15" s="529">
        <f>IF(OR(11&gt;$B$3,ISBLANK(Actuals!M21)),"",Actuals!M21)</f>
      </c>
      <c r="AR15" s="530">
        <f>IF(OR(11&gt;$B$3,ISBLANK(Actuals!M21)),"",Budget!M21-Actuals!M21)</f>
      </c>
      <c r="AS15" s="530">
        <f>IFERROR(IF(OR(11&gt;$B$3,ISBLANK(Actuals!M21)),"",(Budget!M21-Actuals!M21)/ABS(Budget!M21)),"")</f>
      </c>
      <c r="AT15" s="529">
        <f>Budget!N21</f>
        <v>-176250.01</v>
      </c>
      <c r="AU15" s="529">
        <f>IF(OR(12&gt;$B$3,ISBLANK(Actuals!N21)),"",Actuals!N21)</f>
      </c>
      <c r="AV15" s="530">
        <f>IF(OR(12&gt;$B$3,ISBLANK(Actuals!N21)),"",Budget!N21-Actuals!N21)</f>
      </c>
      <c r="AW15" s="530">
        <f>IFERROR(IF(OR(12&gt;$B$3,ISBLANK(Actuals!N21)),"",(Budget!N21-Actuals!N21)/ABS(Budget!N21)),"")</f>
      </c>
      <c r="AX15" s="531">
        <f>SUMPRODUCT((Actuals!C21:N21&lt;&gt;"")*(Budget!C21:N21))</f>
        <v>-1057500.06</v>
      </c>
      <c r="AY15" s="531">
        <f>SUM(Actuals!C21:N21)</f>
        <v>-1156380.25</v>
      </c>
      <c r="AZ15" s="532">
        <f>AX15-AY15</f>
        <v>98880.1899999999</v>
      </c>
    </row>
    <row r="16" ht="15" customFormat="1" customHeight="1" s="381">
      <c r="A16" s="528" t="inlineStr">
        <is>
          <t>5000-1001 Payroll Taxes</t>
        </is>
      </c>
      <c r="B16" s="529">
        <f>Budget!C22</f>
        <v>-26437.5</v>
      </c>
      <c r="C16" s="529">
        <f>IF(OR(1&gt;$B$3,ISBLANK(Actuals!C22)),"",Actuals!C22)</f>
        <v>-7450.37</v>
      </c>
      <c r="D16" s="530">
        <f>IF(OR(1&gt;$B$3,ISBLANK(Actuals!C22)),"",Budget!C22-Actuals!C22)</f>
        <v>-18987.13</v>
      </c>
      <c r="E16" s="530">
        <f>IFERROR(IF(OR(1&gt;$B$3,ISBLANK(Actuals!C22)),"",(Budget!C22-Actuals!C22)/ABS(Budget!C22)),"")</f>
        <v>-0.718189314420804</v>
      </c>
      <c r="F16" s="529">
        <f>Budget!D22</f>
        <v>-26437.5</v>
      </c>
      <c r="G16" s="529">
        <f>IF(OR(2&gt;$B$3,ISBLANK(Actuals!D22)),"",Actuals!D22)</f>
        <v>-10567.2</v>
      </c>
      <c r="H16" s="530">
        <f>IF(OR(2&gt;$B$3,ISBLANK(Actuals!D22)),"",Budget!D22-Actuals!D22)</f>
        <v>-15870.3</v>
      </c>
      <c r="I16" s="530">
        <f>IFERROR(IF(OR(2&gt;$B$3,ISBLANK(Actuals!D22)),"",(Budget!D22-Actuals!D22)/ABS(Budget!D22)),"")</f>
        <v>-0.600295035460993</v>
      </c>
      <c r="J16" s="529">
        <f>Budget!E22</f>
        <v>-26437.5</v>
      </c>
      <c r="K16" s="529">
        <f>IF(OR(3&gt;$B$3,ISBLANK(Actuals!E22)),"",Actuals!E22)</f>
        <v>-17033.3</v>
      </c>
      <c r="L16" s="530">
        <f>IF(OR(3&gt;$B$3,ISBLANK(Actuals!E22)),"",Budget!E22-Actuals!E22)</f>
        <v>-9404.2</v>
      </c>
      <c r="M16" s="530">
        <f>IFERROR(IF(OR(3&gt;$B$3,ISBLANK(Actuals!E22)),"",(Budget!E22-Actuals!E22)/ABS(Budget!E22)),"")</f>
        <v>-0.355714420803783</v>
      </c>
      <c r="N16" s="529">
        <f>Budget!F22</f>
        <v>-26437.5</v>
      </c>
      <c r="O16" s="529">
        <f>IF(OR(4&gt;$B$3,ISBLANK(Actuals!F22)),"",Actuals!F22)</f>
        <v>-14599.57</v>
      </c>
      <c r="P16" s="530">
        <f>IF(OR(4&gt;$B$3,ISBLANK(Actuals!F22)),"",Budget!F22-Actuals!F22)</f>
        <v>-11837.93</v>
      </c>
      <c r="Q16" s="530">
        <f>IFERROR(IF(OR(4&gt;$B$3,ISBLANK(Actuals!F22)),"",(Budget!F22-Actuals!F22)/ABS(Budget!F22)),"")</f>
        <v>-0.447770401891253</v>
      </c>
      <c r="R16" s="529">
        <f>Budget!G22</f>
        <v>-26437.5</v>
      </c>
      <c r="S16" s="529">
        <f>IF(OR(5&gt;$B$3,ISBLANK(Actuals!G22)),"",Actuals!G22)</f>
        <v>-23689.02</v>
      </c>
      <c r="T16" s="530">
        <f>IF(OR(5&gt;$B$3,ISBLANK(Actuals!G22)),"",Budget!G22-Actuals!G22)</f>
        <v>-2748.48</v>
      </c>
      <c r="U16" s="530">
        <f>IFERROR(IF(OR(5&gt;$B$3,ISBLANK(Actuals!G22)),"",(Budget!G22-Actuals!G22)/ABS(Budget!G22)),"")</f>
        <v>-0.103961418439716</v>
      </c>
      <c r="V16" s="529">
        <f>Budget!H22</f>
        <v>-26437.5</v>
      </c>
      <c r="W16" s="529">
        <f>IF(OR(6&gt;$B$3,ISBLANK(Actuals!H22)),"",Actuals!H22)</f>
        <v>-14793.67</v>
      </c>
      <c r="X16" s="530">
        <f>IF(OR(6&gt;$B$3,ISBLANK(Actuals!H22)),"",Budget!H22-Actuals!H22)</f>
        <v>-11643.83</v>
      </c>
      <c r="Y16" s="530">
        <f>IFERROR(IF(OR(6&gt;$B$3,ISBLANK(Actuals!H22)),"",(Budget!H22-Actuals!H22)/ABS(Budget!H22)),"")</f>
        <v>-0.440428557919622</v>
      </c>
      <c r="Z16" s="529">
        <f>Budget!I22</f>
        <v>-26437.5</v>
      </c>
      <c r="AA16" s="529">
        <f>IF(OR(7&gt;$B$3,ISBLANK(Actuals!I22)),"",Actuals!I22)</f>
      </c>
      <c r="AB16" s="530">
        <f>IF(OR(7&gt;$B$3,ISBLANK(Actuals!I22)),"",Budget!I22-Actuals!I22)</f>
      </c>
      <c r="AC16" s="530">
        <f>IFERROR(IF(OR(7&gt;$B$3,ISBLANK(Actuals!I22)),"",(Budget!I22-Actuals!I22)/ABS(Budget!I22)),"")</f>
      </c>
      <c r="AD16" s="529">
        <f>Budget!J22</f>
        <v>-26437.5</v>
      </c>
      <c r="AE16" s="529">
        <f>IF(OR(8&gt;$B$3,ISBLANK(Actuals!J22)),"",Actuals!J22)</f>
      </c>
      <c r="AF16" s="530">
        <f>IF(OR(8&gt;$B$3,ISBLANK(Actuals!J22)),"",Budget!J22-Actuals!J22)</f>
      </c>
      <c r="AG16" s="530">
        <f>IFERROR(IF(OR(8&gt;$B$3,ISBLANK(Actuals!J22)),"",(Budget!J22-Actuals!J22)/ABS(Budget!J22)),"")</f>
      </c>
      <c r="AH16" s="529">
        <f>Budget!K22</f>
        <v>-26437.5</v>
      </c>
      <c r="AI16" s="529">
        <f>IF(OR(9&gt;$B$3,ISBLANK(Actuals!K22)),"",Actuals!K22)</f>
      </c>
      <c r="AJ16" s="530">
        <f>IF(OR(9&gt;$B$3,ISBLANK(Actuals!K22)),"",Budget!K22-Actuals!K22)</f>
      </c>
      <c r="AK16" s="530">
        <f>IFERROR(IF(OR(9&gt;$B$3,ISBLANK(Actuals!K22)),"",(Budget!K22-Actuals!K22)/ABS(Budget!K22)),"")</f>
      </c>
      <c r="AL16" s="529">
        <f>Budget!L22</f>
        <v>-26437.5</v>
      </c>
      <c r="AM16" s="529">
        <f>IF(OR(10&gt;$B$3,ISBLANK(Actuals!L22)),"",Actuals!L22)</f>
      </c>
      <c r="AN16" s="530">
        <f>IF(OR(10&gt;$B$3,ISBLANK(Actuals!L22)),"",Budget!L22-Actuals!L22)</f>
      </c>
      <c r="AO16" s="530">
        <f>IFERROR(IF(OR(10&gt;$B$3,ISBLANK(Actuals!L22)),"",(Budget!L22-Actuals!L22)/ABS(Budget!L22)),"")</f>
      </c>
      <c r="AP16" s="529">
        <f>Budget!M22</f>
        <v>-26437.5</v>
      </c>
      <c r="AQ16" s="529">
        <f>IF(OR(11&gt;$B$3,ISBLANK(Actuals!M22)),"",Actuals!M22)</f>
      </c>
      <c r="AR16" s="530">
        <f>IF(OR(11&gt;$B$3,ISBLANK(Actuals!M22)),"",Budget!M22-Actuals!M22)</f>
      </c>
      <c r="AS16" s="530">
        <f>IFERROR(IF(OR(11&gt;$B$3,ISBLANK(Actuals!M22)),"",(Budget!M22-Actuals!M22)/ABS(Budget!M22)),"")</f>
      </c>
      <c r="AT16" s="529">
        <f>Budget!N22</f>
        <v>-26437.5</v>
      </c>
      <c r="AU16" s="529">
        <f>IF(OR(12&gt;$B$3,ISBLANK(Actuals!N22)),"",Actuals!N22)</f>
      </c>
      <c r="AV16" s="530">
        <f>IF(OR(12&gt;$B$3,ISBLANK(Actuals!N22)),"",Budget!N22-Actuals!N22)</f>
      </c>
      <c r="AW16" s="530">
        <f>IFERROR(IF(OR(12&gt;$B$3,ISBLANK(Actuals!N22)),"",(Budget!N22-Actuals!N22)/ABS(Budget!N22)),"")</f>
      </c>
      <c r="AX16" s="531">
        <f>SUMPRODUCT((Actuals!C22:N22&lt;&gt;"")*(Budget!C22:N22))</f>
        <v>-158625</v>
      </c>
      <c r="AY16" s="531">
        <f>SUM(Actuals!C22:N22)</f>
        <v>-88133.13</v>
      </c>
      <c r="AZ16" s="532">
        <f>AX16-AY16</f>
        <v>-70491.87</v>
      </c>
    </row>
    <row r="17" ht="15" customFormat="1" customHeight="1" s="381">
      <c r="A17" s="528" t="inlineStr">
        <is>
          <t>SP Allocated to LV</t>
        </is>
      </c>
      <c r="B17" s="529">
        <f>Budget!C23</f>
        <v>-58683.33</v>
      </c>
      <c r="C17" s="529">
        <f>IF(OR(1&gt;$B$3,ISBLANK(Actuals!C23)),"",Actuals!C23)</f>
      </c>
      <c r="D17" s="530">
        <f>IF(OR(1&gt;$B$3,ISBLANK(Actuals!C23)),"",Budget!C23-Actuals!C23)</f>
      </c>
      <c r="E17" s="530">
        <f>IFERROR(IF(OR(1&gt;$B$3,ISBLANK(Actuals!C23)),"",(Budget!C23-Actuals!C23)/ABS(Budget!C23)),"")</f>
      </c>
      <c r="F17" s="529">
        <f>Budget!D23</f>
        <v>-58683.33</v>
      </c>
      <c r="G17" s="529">
        <f>IF(OR(2&gt;$B$3,ISBLANK(Actuals!D23)),"",Actuals!D23)</f>
      </c>
      <c r="H17" s="530">
        <f>IF(OR(2&gt;$B$3,ISBLANK(Actuals!D23)),"",Budget!D23-Actuals!D23)</f>
      </c>
      <c r="I17" s="530">
        <f>IFERROR(IF(OR(2&gt;$B$3,ISBLANK(Actuals!D23)),"",(Budget!D23-Actuals!D23)/ABS(Budget!D23)),"")</f>
      </c>
      <c r="J17" s="529">
        <f>Budget!E23</f>
        <v>-58683.33</v>
      </c>
      <c r="K17" s="529">
        <f>IF(OR(3&gt;$B$3,ISBLANK(Actuals!E23)),"",Actuals!E23)</f>
      </c>
      <c r="L17" s="530">
        <f>IF(OR(3&gt;$B$3,ISBLANK(Actuals!E23)),"",Budget!E23-Actuals!E23)</f>
      </c>
      <c r="M17" s="530">
        <f>IFERROR(IF(OR(3&gt;$B$3,ISBLANK(Actuals!E23)),"",(Budget!E23-Actuals!E23)/ABS(Budget!E23)),"")</f>
      </c>
      <c r="N17" s="529">
        <f>Budget!F23</f>
        <v>-58683.33</v>
      </c>
      <c r="O17" s="529">
        <f>IF(OR(4&gt;$B$3,ISBLANK(Actuals!F23)),"",Actuals!F23)</f>
        <v>0</v>
      </c>
      <c r="P17" s="530">
        <f>IF(OR(4&gt;$B$3,ISBLANK(Actuals!F23)),"",Budget!F23-Actuals!F23)</f>
        <v>-58683.33</v>
      </c>
      <c r="Q17" s="530">
        <f>IFERROR(IF(OR(4&gt;$B$3,ISBLANK(Actuals!F23)),"",(Budget!F23-Actuals!F23)/ABS(Budget!F23)),"")</f>
        <v>-1</v>
      </c>
      <c r="R17" s="529">
        <f>Budget!G23</f>
        <v>-58683.33</v>
      </c>
      <c r="S17" s="529">
        <f>IF(OR(5&gt;$B$3,ISBLANK(Actuals!G23)),"",Actuals!G23)</f>
        <v>0</v>
      </c>
      <c r="T17" s="530">
        <f>IF(OR(5&gt;$B$3,ISBLANK(Actuals!G23)),"",Budget!G23-Actuals!G23)</f>
        <v>-58683.33</v>
      </c>
      <c r="U17" s="530">
        <f>IFERROR(IF(OR(5&gt;$B$3,ISBLANK(Actuals!G23)),"",(Budget!G23-Actuals!G23)/ABS(Budget!G23)),"")</f>
        <v>-1</v>
      </c>
      <c r="V17" s="529">
        <f>Budget!H23</f>
        <v>-58683.33</v>
      </c>
      <c r="W17" s="529">
        <f>IF(OR(6&gt;$B$3,ISBLANK(Actuals!H23)),"",Actuals!H23)</f>
        <v>0</v>
      </c>
      <c r="X17" s="530">
        <f>IF(OR(6&gt;$B$3,ISBLANK(Actuals!H23)),"",Budget!H23-Actuals!H23)</f>
        <v>-58683.33</v>
      </c>
      <c r="Y17" s="530">
        <f>IFERROR(IF(OR(6&gt;$B$3,ISBLANK(Actuals!H23)),"",(Budget!H23-Actuals!H23)/ABS(Budget!H23)),"")</f>
        <v>-1</v>
      </c>
      <c r="Z17" s="529">
        <f>Budget!I23</f>
        <v>-58683.33</v>
      </c>
      <c r="AA17" s="529">
        <f>IF(OR(7&gt;$B$3,ISBLANK(Actuals!I23)),"",Actuals!I23)</f>
      </c>
      <c r="AB17" s="530">
        <f>IF(OR(7&gt;$B$3,ISBLANK(Actuals!I23)),"",Budget!I23-Actuals!I23)</f>
      </c>
      <c r="AC17" s="530">
        <f>IFERROR(IF(OR(7&gt;$B$3,ISBLANK(Actuals!I23)),"",(Budget!I23-Actuals!I23)/ABS(Budget!I23)),"")</f>
      </c>
      <c r="AD17" s="529">
        <f>Budget!J23</f>
        <v>-58683.33</v>
      </c>
      <c r="AE17" s="529">
        <f>IF(OR(8&gt;$B$3,ISBLANK(Actuals!J23)),"",Actuals!J23)</f>
      </c>
      <c r="AF17" s="530">
        <f>IF(OR(8&gt;$B$3,ISBLANK(Actuals!J23)),"",Budget!J23-Actuals!J23)</f>
      </c>
      <c r="AG17" s="530">
        <f>IFERROR(IF(OR(8&gt;$B$3,ISBLANK(Actuals!J23)),"",(Budget!J23-Actuals!J23)/ABS(Budget!J23)),"")</f>
      </c>
      <c r="AH17" s="529">
        <f>Budget!K23</f>
        <v>-58683.33</v>
      </c>
      <c r="AI17" s="529">
        <f>IF(OR(9&gt;$B$3,ISBLANK(Actuals!K23)),"",Actuals!K23)</f>
      </c>
      <c r="AJ17" s="530">
        <f>IF(OR(9&gt;$B$3,ISBLANK(Actuals!K23)),"",Budget!K23-Actuals!K23)</f>
      </c>
      <c r="AK17" s="530">
        <f>IFERROR(IF(OR(9&gt;$B$3,ISBLANK(Actuals!K23)),"",(Budget!K23-Actuals!K23)/ABS(Budget!K23)),"")</f>
      </c>
      <c r="AL17" s="529">
        <f>Budget!L23</f>
        <v>-58683.33</v>
      </c>
      <c r="AM17" s="529">
        <f>IF(OR(10&gt;$B$3,ISBLANK(Actuals!L23)),"",Actuals!L23)</f>
      </c>
      <c r="AN17" s="530">
        <f>IF(OR(10&gt;$B$3,ISBLANK(Actuals!L23)),"",Budget!L23-Actuals!L23)</f>
      </c>
      <c r="AO17" s="530">
        <f>IFERROR(IF(OR(10&gt;$B$3,ISBLANK(Actuals!L23)),"",(Budget!L23-Actuals!L23)/ABS(Budget!L23)),"")</f>
      </c>
      <c r="AP17" s="529">
        <f>Budget!M23</f>
        <v>-58683.33</v>
      </c>
      <c r="AQ17" s="529">
        <f>IF(OR(11&gt;$B$3,ISBLANK(Actuals!M23)),"",Actuals!M23)</f>
      </c>
      <c r="AR17" s="530">
        <f>IF(OR(11&gt;$B$3,ISBLANK(Actuals!M23)),"",Budget!M23-Actuals!M23)</f>
      </c>
      <c r="AS17" s="530">
        <f>IFERROR(IF(OR(11&gt;$B$3,ISBLANK(Actuals!M23)),"",(Budget!M23-Actuals!M23)/ABS(Budget!M23)),"")</f>
      </c>
      <c r="AT17" s="529">
        <f>Budget!N23</f>
        <v>-58683.33</v>
      </c>
      <c r="AU17" s="529">
        <f>IF(OR(12&gt;$B$3,ISBLANK(Actuals!N23)),"",Actuals!N23)</f>
      </c>
      <c r="AV17" s="530">
        <f>IF(OR(12&gt;$B$3,ISBLANK(Actuals!N23)),"",Budget!N23-Actuals!N23)</f>
      </c>
      <c r="AW17" s="530">
        <f>IFERROR(IF(OR(12&gt;$B$3,ISBLANK(Actuals!N23)),"",(Budget!N23-Actuals!N23)/ABS(Budget!N23)),"")</f>
      </c>
      <c r="AX17" s="531">
        <f>SUMPRODUCT((Actuals!C23:N23&lt;&gt;"")*(Budget!C23:N23))</f>
        <v>-176049.99</v>
      </c>
      <c r="AY17" s="531">
        <f>SUM(Actuals!C23:N23)</f>
        <v>0</v>
      </c>
      <c r="AZ17" s="532">
        <f>AX17-AY17</f>
        <v>-176049.99</v>
      </c>
    </row>
    <row r="18" ht="15" customFormat="1" customHeight="1" s="381">
      <c r="A18" s="528" t="inlineStr">
        <is>
          <t>5000-1002 Employee Benefits</t>
        </is>
      </c>
      <c r="B18" s="529">
        <f>Budget!C24</f>
        <v>-25071.7</v>
      </c>
      <c r="C18" s="529">
        <f>IF(OR(1&gt;$B$3,ISBLANK(Actuals!C24)),"",Actuals!C24)</f>
        <v>-9482.97</v>
      </c>
      <c r="D18" s="530">
        <f>IF(OR(1&gt;$B$3,ISBLANK(Actuals!C24)),"",Budget!C24-Actuals!C24)</f>
        <v>-15588.73</v>
      </c>
      <c r="E18" s="530">
        <f>IFERROR(IF(OR(1&gt;$B$3,ISBLANK(Actuals!C24)),"",(Budget!C24-Actuals!C24)/ABS(Budget!C24)),"")</f>
        <v>-0.621765975183175</v>
      </c>
      <c r="F18" s="529">
        <f>Budget!D24</f>
        <v>-25071.7</v>
      </c>
      <c r="G18" s="529">
        <f>IF(OR(2&gt;$B$3,ISBLANK(Actuals!D24)),"",Actuals!D24)</f>
        <v>-10343.29</v>
      </c>
      <c r="H18" s="530">
        <f>IF(OR(2&gt;$B$3,ISBLANK(Actuals!D24)),"",Budget!D24-Actuals!D24)</f>
        <v>-14728.41</v>
      </c>
      <c r="I18" s="530">
        <f>IFERROR(IF(OR(2&gt;$B$3,ISBLANK(Actuals!D24)),"",(Budget!D24-Actuals!D24)/ABS(Budget!D24)),"")</f>
        <v>-0.587451588843198</v>
      </c>
      <c r="J18" s="529">
        <f>Budget!E24</f>
        <v>-25071.7</v>
      </c>
      <c r="K18" s="529">
        <f>IF(OR(3&gt;$B$3,ISBLANK(Actuals!E24)),"",Actuals!E24)</f>
        <v>-3729.48</v>
      </c>
      <c r="L18" s="530">
        <f>IF(OR(3&gt;$B$3,ISBLANK(Actuals!E24)),"",Budget!E24-Actuals!E24)</f>
        <v>-21342.22</v>
      </c>
      <c r="M18" s="530">
        <f>IFERROR(IF(OR(3&gt;$B$3,ISBLANK(Actuals!E24)),"",(Budget!E24-Actuals!E24)/ABS(Budget!E24)),"")</f>
        <v>-0.851247422392578</v>
      </c>
      <c r="N18" s="529">
        <f>Budget!F24</f>
        <v>-25071.7</v>
      </c>
      <c r="O18" s="529">
        <f>IF(OR(4&gt;$B$3,ISBLANK(Actuals!F24)),"",Actuals!F24)</f>
        <v>-3206.79</v>
      </c>
      <c r="P18" s="530">
        <f>IF(OR(4&gt;$B$3,ISBLANK(Actuals!F24)),"",Budget!F24-Actuals!F24)</f>
        <v>-21864.91</v>
      </c>
      <c r="Q18" s="530">
        <f>IFERROR(IF(OR(4&gt;$B$3,ISBLANK(Actuals!F24)),"",(Budget!F24-Actuals!F24)/ABS(Budget!F24)),"")</f>
        <v>-0.872095230877842</v>
      </c>
      <c r="R18" s="529">
        <f>Budget!G24</f>
        <v>-25071.7</v>
      </c>
      <c r="S18" s="529">
        <f>IF(OR(5&gt;$B$3,ISBLANK(Actuals!G24)),"",Actuals!G24)</f>
        <v>10942.55</v>
      </c>
      <c r="T18" s="530">
        <f>IF(OR(5&gt;$B$3,ISBLANK(Actuals!G24)),"",Budget!G24-Actuals!G24)</f>
        <v>-36014.25</v>
      </c>
      <c r="U18" s="530">
        <f>IFERROR(IF(OR(5&gt;$B$3,ISBLANK(Actuals!G24)),"",(Budget!G24-Actuals!G24)/ABS(Budget!G24)),"")</f>
        <v>-1.43645026065245</v>
      </c>
      <c r="V18" s="529">
        <f>Budget!H24</f>
        <v>-25071.7</v>
      </c>
      <c r="W18" s="529">
        <f>IF(OR(6&gt;$B$3,ISBLANK(Actuals!H24)),"",Actuals!H24)</f>
        <v>-8982.91</v>
      </c>
      <c r="X18" s="530">
        <f>IF(OR(6&gt;$B$3,ISBLANK(Actuals!H24)),"",Budget!H24-Actuals!H24)</f>
        <v>-16088.79</v>
      </c>
      <c r="Y18" s="530">
        <f>IFERROR(IF(OR(6&gt;$B$3,ISBLANK(Actuals!H24)),"",(Budget!H24-Actuals!H24)/ABS(Budget!H24)),"")</f>
        <v>-0.641711172357678</v>
      </c>
      <c r="Z18" s="529">
        <f>Budget!I24</f>
        <v>-25071.7</v>
      </c>
      <c r="AA18" s="529">
        <f>IF(OR(7&gt;$B$3,ISBLANK(Actuals!I24)),"",Actuals!I24)</f>
      </c>
      <c r="AB18" s="530">
        <f>IF(OR(7&gt;$B$3,ISBLANK(Actuals!I24)),"",Budget!I24-Actuals!I24)</f>
      </c>
      <c r="AC18" s="530">
        <f>IFERROR(IF(OR(7&gt;$B$3,ISBLANK(Actuals!I24)),"",(Budget!I24-Actuals!I24)/ABS(Budget!I24)),"")</f>
      </c>
      <c r="AD18" s="529">
        <f>Budget!J24</f>
        <v>-25071.7</v>
      </c>
      <c r="AE18" s="529">
        <f>IF(OR(8&gt;$B$3,ISBLANK(Actuals!J24)),"",Actuals!J24)</f>
      </c>
      <c r="AF18" s="530">
        <f>IF(OR(8&gt;$B$3,ISBLANK(Actuals!J24)),"",Budget!J24-Actuals!J24)</f>
      </c>
      <c r="AG18" s="530">
        <f>IFERROR(IF(OR(8&gt;$B$3,ISBLANK(Actuals!J24)),"",(Budget!J24-Actuals!J24)/ABS(Budget!J24)),"")</f>
      </c>
      <c r="AH18" s="529">
        <f>Budget!K24</f>
        <v>-25071.7</v>
      </c>
      <c r="AI18" s="529">
        <f>IF(OR(9&gt;$B$3,ISBLANK(Actuals!K24)),"",Actuals!K24)</f>
      </c>
      <c r="AJ18" s="530">
        <f>IF(OR(9&gt;$B$3,ISBLANK(Actuals!K24)),"",Budget!K24-Actuals!K24)</f>
      </c>
      <c r="AK18" s="530">
        <f>IFERROR(IF(OR(9&gt;$B$3,ISBLANK(Actuals!K24)),"",(Budget!K24-Actuals!K24)/ABS(Budget!K24)),"")</f>
      </c>
      <c r="AL18" s="529">
        <f>Budget!L24</f>
        <v>-25071.7</v>
      </c>
      <c r="AM18" s="529">
        <f>IF(OR(10&gt;$B$3,ISBLANK(Actuals!L24)),"",Actuals!L24)</f>
      </c>
      <c r="AN18" s="530">
        <f>IF(OR(10&gt;$B$3,ISBLANK(Actuals!L24)),"",Budget!L24-Actuals!L24)</f>
      </c>
      <c r="AO18" s="530">
        <f>IFERROR(IF(OR(10&gt;$B$3,ISBLANK(Actuals!L24)),"",(Budget!L24-Actuals!L24)/ABS(Budget!L24)),"")</f>
      </c>
      <c r="AP18" s="529">
        <f>Budget!M24</f>
        <v>-25071.7</v>
      </c>
      <c r="AQ18" s="529">
        <f>IF(OR(11&gt;$B$3,ISBLANK(Actuals!M24)),"",Actuals!M24)</f>
      </c>
      <c r="AR18" s="530">
        <f>IF(OR(11&gt;$B$3,ISBLANK(Actuals!M24)),"",Budget!M24-Actuals!M24)</f>
      </c>
      <c r="AS18" s="530">
        <f>IFERROR(IF(OR(11&gt;$B$3,ISBLANK(Actuals!M24)),"",(Budget!M24-Actuals!M24)/ABS(Budget!M24)),"")</f>
      </c>
      <c r="AT18" s="529">
        <f>Budget!N24</f>
        <v>-25071.7</v>
      </c>
      <c r="AU18" s="529">
        <f>IF(OR(12&gt;$B$3,ISBLANK(Actuals!N24)),"",Actuals!N24)</f>
      </c>
      <c r="AV18" s="530">
        <f>IF(OR(12&gt;$B$3,ISBLANK(Actuals!N24)),"",Budget!N24-Actuals!N24)</f>
      </c>
      <c r="AW18" s="530">
        <f>IFERROR(IF(OR(12&gt;$B$3,ISBLANK(Actuals!N24)),"",(Budget!N24-Actuals!N24)/ABS(Budget!N24)),"")</f>
      </c>
      <c r="AX18" s="531">
        <f>SUMPRODUCT((Actuals!C24:N24&lt;&gt;"")*(Budget!C24:N24))</f>
        <v>-150430.2</v>
      </c>
      <c r="AY18" s="531">
        <f>SUM(Actuals!C24:N24)</f>
        <v>-24802.89</v>
      </c>
      <c r="AZ18" s="532">
        <f>AX18-AY18</f>
        <v>-125627.31</v>
      </c>
    </row>
    <row r="19" ht="15" customFormat="1" customHeight="1" s="381">
      <c r="A19" s="528" t="inlineStr">
        <is>
          <t>5000-1003 Workers Comp</t>
        </is>
      </c>
      <c r="B19" s="529">
        <f>Budget!C25</f>
        <v>-1731.41</v>
      </c>
      <c r="C19" s="529">
        <f>IF(OR(1&gt;$B$3,ISBLANK(Actuals!C25)),"",Actuals!C25)</f>
        <v>-2542.47</v>
      </c>
      <c r="D19" s="530">
        <f>IF(OR(1&gt;$B$3,ISBLANK(Actuals!C25)),"",Budget!C25-Actuals!C25)</f>
        <v>811.06</v>
      </c>
      <c r="E19" s="530">
        <f>IFERROR(IF(OR(1&gt;$B$3,ISBLANK(Actuals!C25)),"",(Budget!C25-Actuals!C25)/ABS(Budget!C25)),"")</f>
        <v>0.468439017910258</v>
      </c>
      <c r="F19" s="529">
        <f>Budget!D25</f>
        <v>-1731.41</v>
      </c>
      <c r="G19" s="529">
        <f>IF(OR(2&gt;$B$3,ISBLANK(Actuals!D25)),"",Actuals!D25)</f>
        <v>-1618.75</v>
      </c>
      <c r="H19" s="530">
        <f>IF(OR(2&gt;$B$3,ISBLANK(Actuals!D25)),"",Budget!D25-Actuals!D25)</f>
        <v>-112.66</v>
      </c>
      <c r="I19" s="530">
        <f>IFERROR(IF(OR(2&gt;$B$3,ISBLANK(Actuals!D25)),"",(Budget!D25-Actuals!D25)/ABS(Budget!D25)),"")</f>
        <v>-0.0650683546935735</v>
      </c>
      <c r="J19" s="529">
        <f>Budget!E25</f>
        <v>-1731.41</v>
      </c>
      <c r="K19" s="529">
        <f>IF(OR(3&gt;$B$3,ISBLANK(Actuals!E25)),"",Actuals!E25)</f>
        <v>3406.77</v>
      </c>
      <c r="L19" s="530">
        <f>IF(OR(3&gt;$B$3,ISBLANK(Actuals!E25)),"",Budget!E25-Actuals!E25)</f>
        <v>-5138.18</v>
      </c>
      <c r="M19" s="530">
        <f>IFERROR(IF(OR(3&gt;$B$3,ISBLANK(Actuals!E25)),"",(Budget!E25-Actuals!E25)/ABS(Budget!E25)),"")</f>
        <v>-2.96762754055943</v>
      </c>
      <c r="N19" s="529">
        <f>Budget!F25</f>
        <v>-1731.41</v>
      </c>
      <c r="O19" s="529">
        <f>IF(OR(4&gt;$B$3,ISBLANK(Actuals!F25)),"",Actuals!F25)</f>
        <v>2575.42</v>
      </c>
      <c r="P19" s="530">
        <f>IF(OR(4&gt;$B$3,ISBLANK(Actuals!F25)),"",Budget!F25-Actuals!F25)</f>
        <v>-4306.83</v>
      </c>
      <c r="Q19" s="530">
        <f>IFERROR(IF(OR(4&gt;$B$3,ISBLANK(Actuals!F25)),"",(Budget!F25-Actuals!F25)/ABS(Budget!F25)),"")</f>
        <v>-2.48746975008808</v>
      </c>
      <c r="R19" s="529">
        <f>Budget!G25</f>
        <v>-1731.41</v>
      </c>
      <c r="S19" s="529">
        <f>IF(OR(5&gt;$B$3,ISBLANK(Actuals!G25)),"",Actuals!G25)</f>
        <v>-1896.11</v>
      </c>
      <c r="T19" s="530">
        <f>IF(OR(5&gt;$B$3,ISBLANK(Actuals!G25)),"",Budget!G25-Actuals!G25)</f>
        <v>164.7</v>
      </c>
      <c r="U19" s="530">
        <f>IFERROR(IF(OR(5&gt;$B$3,ISBLANK(Actuals!G25)),"",(Budget!G25-Actuals!G25)/ABS(Budget!G25)),"")</f>
        <v>0.0951247826915634</v>
      </c>
      <c r="V19" s="529">
        <f>Budget!H25</f>
        <v>-1731.41</v>
      </c>
      <c r="W19" s="529">
        <f>IF(OR(6&gt;$B$3,ISBLANK(Actuals!H25)),"",Actuals!H25)</f>
        <v>-2888.37</v>
      </c>
      <c r="X19" s="530">
        <f>IF(OR(6&gt;$B$3,ISBLANK(Actuals!H25)),"",Budget!H25-Actuals!H25)</f>
        <v>1156.96</v>
      </c>
      <c r="Y19" s="530">
        <f>IFERROR(IF(OR(6&gt;$B$3,ISBLANK(Actuals!H25)),"",(Budget!H25-Actuals!H25)/ABS(Budget!H25)),"")</f>
        <v>0.668218388481064</v>
      </c>
      <c r="Z19" s="529">
        <f>Budget!I25</f>
        <v>-1731.41</v>
      </c>
      <c r="AA19" s="529">
        <f>IF(OR(7&gt;$B$3,ISBLANK(Actuals!I25)),"",Actuals!I25)</f>
      </c>
      <c r="AB19" s="530">
        <f>IF(OR(7&gt;$B$3,ISBLANK(Actuals!I25)),"",Budget!I25-Actuals!I25)</f>
      </c>
      <c r="AC19" s="530">
        <f>IFERROR(IF(OR(7&gt;$B$3,ISBLANK(Actuals!I25)),"",(Budget!I25-Actuals!I25)/ABS(Budget!I25)),"")</f>
      </c>
      <c r="AD19" s="529">
        <f>Budget!J25</f>
        <v>-1731.41</v>
      </c>
      <c r="AE19" s="529">
        <f>IF(OR(8&gt;$B$3,ISBLANK(Actuals!J25)),"",Actuals!J25)</f>
      </c>
      <c r="AF19" s="530">
        <f>IF(OR(8&gt;$B$3,ISBLANK(Actuals!J25)),"",Budget!J25-Actuals!J25)</f>
      </c>
      <c r="AG19" s="530">
        <f>IFERROR(IF(OR(8&gt;$B$3,ISBLANK(Actuals!J25)),"",(Budget!J25-Actuals!J25)/ABS(Budget!J25)),"")</f>
      </c>
      <c r="AH19" s="529">
        <f>Budget!K25</f>
        <v>-1731.41</v>
      </c>
      <c r="AI19" s="529">
        <f>IF(OR(9&gt;$B$3,ISBLANK(Actuals!K25)),"",Actuals!K25)</f>
      </c>
      <c r="AJ19" s="530">
        <f>IF(OR(9&gt;$B$3,ISBLANK(Actuals!K25)),"",Budget!K25-Actuals!K25)</f>
      </c>
      <c r="AK19" s="530">
        <f>IFERROR(IF(OR(9&gt;$B$3,ISBLANK(Actuals!K25)),"",(Budget!K25-Actuals!K25)/ABS(Budget!K25)),"")</f>
      </c>
      <c r="AL19" s="529">
        <f>Budget!L25</f>
        <v>-1731.41</v>
      </c>
      <c r="AM19" s="529">
        <f>IF(OR(10&gt;$B$3,ISBLANK(Actuals!L25)),"",Actuals!L25)</f>
      </c>
      <c r="AN19" s="530">
        <f>IF(OR(10&gt;$B$3,ISBLANK(Actuals!L25)),"",Budget!L25-Actuals!L25)</f>
      </c>
      <c r="AO19" s="530">
        <f>IFERROR(IF(OR(10&gt;$B$3,ISBLANK(Actuals!L25)),"",(Budget!L25-Actuals!L25)/ABS(Budget!L25)),"")</f>
      </c>
      <c r="AP19" s="529">
        <f>Budget!M25</f>
        <v>-1731.41</v>
      </c>
      <c r="AQ19" s="529">
        <f>IF(OR(11&gt;$B$3,ISBLANK(Actuals!M25)),"",Actuals!M25)</f>
      </c>
      <c r="AR19" s="530">
        <f>IF(OR(11&gt;$B$3,ISBLANK(Actuals!M25)),"",Budget!M25-Actuals!M25)</f>
      </c>
      <c r="AS19" s="530">
        <f>IFERROR(IF(OR(11&gt;$B$3,ISBLANK(Actuals!M25)),"",(Budget!M25-Actuals!M25)/ABS(Budget!M25)),"")</f>
      </c>
      <c r="AT19" s="529">
        <f>Budget!N25</f>
        <v>-1731.41</v>
      </c>
      <c r="AU19" s="529">
        <f>IF(OR(12&gt;$B$3,ISBLANK(Actuals!N25)),"",Actuals!N25)</f>
      </c>
      <c r="AV19" s="530">
        <f>IF(OR(12&gt;$B$3,ISBLANK(Actuals!N25)),"",Budget!N25-Actuals!N25)</f>
      </c>
      <c r="AW19" s="530">
        <f>IFERROR(IF(OR(12&gt;$B$3,ISBLANK(Actuals!N25)),"",(Budget!N25-Actuals!N25)/ABS(Budget!N25)),"")</f>
      </c>
      <c r="AX19" s="531">
        <f>SUMPRODUCT((Actuals!C25:N25&lt;&gt;"")*(Budget!C25:N25))</f>
        <v>-10388.46</v>
      </c>
      <c r="AY19" s="531">
        <f>SUM(Actuals!C25:N25)</f>
        <v>-2963.51</v>
      </c>
      <c r="AZ19" s="532">
        <f>AX19-AY19</f>
        <v>-7424.95</v>
      </c>
    </row>
    <row r="20" ht="15" customFormat="1" customHeight="1" s="381">
      <c r="A20" s="528" t="inlineStr">
        <is>
          <t>5000-1005 Payroll Servicing Fees</t>
        </is>
      </c>
      <c r="B20" s="529">
        <f>Budget!C26</f>
        <v>-1008</v>
      </c>
      <c r="C20" s="529">
        <f>IF(OR(1&gt;$B$3,ISBLANK(Actuals!C26)),"",Actuals!C26)</f>
        <v>-195</v>
      </c>
      <c r="D20" s="530">
        <f>IF(OR(1&gt;$B$3,ISBLANK(Actuals!C26)),"",Budget!C26-Actuals!C26)</f>
        <v>-813</v>
      </c>
      <c r="E20" s="530">
        <f>IFERROR(IF(OR(1&gt;$B$3,ISBLANK(Actuals!C26)),"",(Budget!C26-Actuals!C26)/ABS(Budget!C26)),"")</f>
        <v>-0.806547619047619</v>
      </c>
      <c r="F20" s="529">
        <f>Budget!D26</f>
        <v>-1008</v>
      </c>
      <c r="G20" s="529">
        <f>IF(OR(2&gt;$B$3,ISBLANK(Actuals!D26)),"",Actuals!D26)</f>
        <v>-200</v>
      </c>
      <c r="H20" s="530">
        <f>IF(OR(2&gt;$B$3,ISBLANK(Actuals!D26)),"",Budget!D26-Actuals!D26)</f>
        <v>-808</v>
      </c>
      <c r="I20" s="530">
        <f>IFERROR(IF(OR(2&gt;$B$3,ISBLANK(Actuals!D26)),"",(Budget!D26-Actuals!D26)/ABS(Budget!D26)),"")</f>
        <v>-0.801587301587302</v>
      </c>
      <c r="J20" s="529">
        <f>Budget!E26</f>
        <v>-1008</v>
      </c>
      <c r="K20" s="529">
        <f>IF(OR(3&gt;$B$3,ISBLANK(Actuals!E26)),"",Actuals!E26)</f>
        <v>0</v>
      </c>
      <c r="L20" s="530">
        <f>IF(OR(3&gt;$B$3,ISBLANK(Actuals!E26)),"",Budget!E26-Actuals!E26)</f>
        <v>-1008</v>
      </c>
      <c r="M20" s="530">
        <f>IFERROR(IF(OR(3&gt;$B$3,ISBLANK(Actuals!E26)),"",(Budget!E26-Actuals!E26)/ABS(Budget!E26)),"")</f>
        <v>-1</v>
      </c>
      <c r="N20" s="529">
        <f>Budget!F26</f>
        <v>-1008</v>
      </c>
      <c r="O20" s="529">
        <f>IF(OR(4&gt;$B$3,ISBLANK(Actuals!F26)),"",Actuals!F26)</f>
        <v>0</v>
      </c>
      <c r="P20" s="530">
        <f>IF(OR(4&gt;$B$3,ISBLANK(Actuals!F26)),"",Budget!F26-Actuals!F26)</f>
        <v>-1008</v>
      </c>
      <c r="Q20" s="530">
        <f>IFERROR(IF(OR(4&gt;$B$3,ISBLANK(Actuals!F26)),"",(Budget!F26-Actuals!F26)/ABS(Budget!F26)),"")</f>
        <v>-1</v>
      </c>
      <c r="R20" s="529">
        <f>Budget!G26</f>
        <v>-1008</v>
      </c>
      <c r="S20" s="529">
        <f>IF(OR(5&gt;$B$3,ISBLANK(Actuals!G26)),"",Actuals!G26)</f>
        <v>0</v>
      </c>
      <c r="T20" s="530">
        <f>IF(OR(5&gt;$B$3,ISBLANK(Actuals!G26)),"",Budget!G26-Actuals!G26)</f>
        <v>-1008</v>
      </c>
      <c r="U20" s="530">
        <f>IFERROR(IF(OR(5&gt;$B$3,ISBLANK(Actuals!G26)),"",(Budget!G26-Actuals!G26)/ABS(Budget!G26)),"")</f>
        <v>-1</v>
      </c>
      <c r="V20" s="529">
        <f>Budget!H26</f>
        <v>-1008</v>
      </c>
      <c r="W20" s="529">
        <f>IF(OR(6&gt;$B$3,ISBLANK(Actuals!H26)),"",Actuals!H26)</f>
        <v>0</v>
      </c>
      <c r="X20" s="530">
        <f>IF(OR(6&gt;$B$3,ISBLANK(Actuals!H26)),"",Budget!H26-Actuals!H26)</f>
        <v>-1008</v>
      </c>
      <c r="Y20" s="530">
        <f>IFERROR(IF(OR(6&gt;$B$3,ISBLANK(Actuals!H26)),"",(Budget!H26-Actuals!H26)/ABS(Budget!H26)),"")</f>
        <v>-1</v>
      </c>
      <c r="Z20" s="529">
        <f>Budget!I26</f>
        <v>-1008</v>
      </c>
      <c r="AA20" s="529">
        <f>IF(OR(7&gt;$B$3,ISBLANK(Actuals!I26)),"",Actuals!I26)</f>
      </c>
      <c r="AB20" s="530">
        <f>IF(OR(7&gt;$B$3,ISBLANK(Actuals!I26)),"",Budget!I26-Actuals!I26)</f>
      </c>
      <c r="AC20" s="530">
        <f>IFERROR(IF(OR(7&gt;$B$3,ISBLANK(Actuals!I26)),"",(Budget!I26-Actuals!I26)/ABS(Budget!I26)),"")</f>
      </c>
      <c r="AD20" s="529">
        <f>Budget!J26</f>
        <v>-1008</v>
      </c>
      <c r="AE20" s="529">
        <f>IF(OR(8&gt;$B$3,ISBLANK(Actuals!J26)),"",Actuals!J26)</f>
      </c>
      <c r="AF20" s="530">
        <f>IF(OR(8&gt;$B$3,ISBLANK(Actuals!J26)),"",Budget!J26-Actuals!J26)</f>
      </c>
      <c r="AG20" s="530">
        <f>IFERROR(IF(OR(8&gt;$B$3,ISBLANK(Actuals!J26)),"",(Budget!J26-Actuals!J26)/ABS(Budget!J26)),"")</f>
      </c>
      <c r="AH20" s="529">
        <f>Budget!K26</f>
        <v>-1008</v>
      </c>
      <c r="AI20" s="529">
        <f>IF(OR(9&gt;$B$3,ISBLANK(Actuals!K26)),"",Actuals!K26)</f>
      </c>
      <c r="AJ20" s="530">
        <f>IF(OR(9&gt;$B$3,ISBLANK(Actuals!K26)),"",Budget!K26-Actuals!K26)</f>
      </c>
      <c r="AK20" s="530">
        <f>IFERROR(IF(OR(9&gt;$B$3,ISBLANK(Actuals!K26)),"",(Budget!K26-Actuals!K26)/ABS(Budget!K26)),"")</f>
      </c>
      <c r="AL20" s="529">
        <f>Budget!L26</f>
        <v>-1008</v>
      </c>
      <c r="AM20" s="529">
        <f>IF(OR(10&gt;$B$3,ISBLANK(Actuals!L26)),"",Actuals!L26)</f>
      </c>
      <c r="AN20" s="530">
        <f>IF(OR(10&gt;$B$3,ISBLANK(Actuals!L26)),"",Budget!L26-Actuals!L26)</f>
      </c>
      <c r="AO20" s="530">
        <f>IFERROR(IF(OR(10&gt;$B$3,ISBLANK(Actuals!L26)),"",(Budget!L26-Actuals!L26)/ABS(Budget!L26)),"")</f>
      </c>
      <c r="AP20" s="529">
        <f>Budget!M26</f>
        <v>-1008</v>
      </c>
      <c r="AQ20" s="529">
        <f>IF(OR(11&gt;$B$3,ISBLANK(Actuals!M26)),"",Actuals!M26)</f>
      </c>
      <c r="AR20" s="530">
        <f>IF(OR(11&gt;$B$3,ISBLANK(Actuals!M26)),"",Budget!M26-Actuals!M26)</f>
      </c>
      <c r="AS20" s="530">
        <f>IFERROR(IF(OR(11&gt;$B$3,ISBLANK(Actuals!M26)),"",(Budget!M26-Actuals!M26)/ABS(Budget!M26)),"")</f>
      </c>
      <c r="AT20" s="529">
        <f>Budget!N26</f>
        <v>-1008</v>
      </c>
      <c r="AU20" s="529">
        <f>IF(OR(12&gt;$B$3,ISBLANK(Actuals!N26)),"",Actuals!N26)</f>
      </c>
      <c r="AV20" s="530">
        <f>IF(OR(12&gt;$B$3,ISBLANK(Actuals!N26)),"",Budget!N26-Actuals!N26)</f>
      </c>
      <c r="AW20" s="530">
        <f>IFERROR(IF(OR(12&gt;$B$3,ISBLANK(Actuals!N26)),"",(Budget!N26-Actuals!N26)/ABS(Budget!N26)),"")</f>
      </c>
      <c r="AX20" s="531">
        <f>SUMPRODUCT((Actuals!C26:N26&lt;&gt;"")*(Budget!C26:N26))</f>
        <v>-6048</v>
      </c>
      <c r="AY20" s="531">
        <f>SUM(Actuals!C26:N26)</f>
        <v>-395</v>
      </c>
      <c r="AZ20" s="532">
        <f>AX20-AY20</f>
        <v>-5653</v>
      </c>
    </row>
    <row r="21" ht="15" customFormat="1" customHeight="1" s="381">
      <c r="A21" s="528" t="inlineStr">
        <is>
          <t>5000-1007 Payroll - Consultants</t>
        </is>
      </c>
      <c r="B21" s="529">
        <f>Budget!C27</f>
        <v>0</v>
      </c>
      <c r="C21" s="529">
        <f>IF(OR(1&gt;$B$3,ISBLANK(Actuals!C27)),"",Actuals!C27)</f>
        <v>-33002.28</v>
      </c>
      <c r="D21" s="530">
        <f>IF(OR(1&gt;$B$3,ISBLANK(Actuals!C27)),"",Budget!C27-Actuals!C27)</f>
        <v>33002.28</v>
      </c>
      <c r="E21" s="530">
        <f>IFERROR(IF(OR(1&gt;$B$3,ISBLANK(Actuals!C27)),"",(Budget!C27-Actuals!C27)/ABS(Budget!C27)),"")</f>
      </c>
      <c r="F21" s="529">
        <f>Budget!D27</f>
        <v>0</v>
      </c>
      <c r="G21" s="529">
        <f>IF(OR(2&gt;$B$3,ISBLANK(Actuals!D27)),"",Actuals!D27)</f>
        <v>-29166.66</v>
      </c>
      <c r="H21" s="530">
        <f>IF(OR(2&gt;$B$3,ISBLANK(Actuals!D27)),"",Budget!D27-Actuals!D27)</f>
        <v>29166.66</v>
      </c>
      <c r="I21" s="530">
        <f>IFERROR(IF(OR(2&gt;$B$3,ISBLANK(Actuals!D27)),"",(Budget!D27-Actuals!D27)/ABS(Budget!D27)),"")</f>
      </c>
      <c r="J21" s="529">
        <f>Budget!E27</f>
        <v>0</v>
      </c>
      <c r="K21" s="529">
        <f>IF(OR(3&gt;$B$3,ISBLANK(Actuals!E27)),"",Actuals!E27)</f>
        <v>-41666.66</v>
      </c>
      <c r="L21" s="530">
        <f>IF(OR(3&gt;$B$3,ISBLANK(Actuals!E27)),"",Budget!E27-Actuals!E27)</f>
        <v>41666.66</v>
      </c>
      <c r="M21" s="530">
        <f>IFERROR(IF(OR(3&gt;$B$3,ISBLANK(Actuals!E27)),"",(Budget!E27-Actuals!E27)/ABS(Budget!E27)),"")</f>
      </c>
      <c r="N21" s="529">
        <f>Budget!F27</f>
        <v>0</v>
      </c>
      <c r="O21" s="529">
        <f>IF(OR(4&gt;$B$3,ISBLANK(Actuals!F27)),"",Actuals!F27)</f>
        <v>-29166.66</v>
      </c>
      <c r="P21" s="530">
        <f>IF(OR(4&gt;$B$3,ISBLANK(Actuals!F27)),"",Budget!F27-Actuals!F27)</f>
        <v>29166.66</v>
      </c>
      <c r="Q21" s="530">
        <f>IFERROR(IF(OR(4&gt;$B$3,ISBLANK(Actuals!F27)),"",(Budget!F27-Actuals!F27)/ABS(Budget!F27)),"")</f>
      </c>
      <c r="R21" s="529">
        <f>Budget!G27</f>
        <v>0</v>
      </c>
      <c r="S21" s="529">
        <f>IF(OR(5&gt;$B$3,ISBLANK(Actuals!G27)),"",Actuals!G27)</f>
        <v>-29166.66</v>
      </c>
      <c r="T21" s="530">
        <f>IF(OR(5&gt;$B$3,ISBLANK(Actuals!G27)),"",Budget!G27-Actuals!G27)</f>
        <v>29166.66</v>
      </c>
      <c r="U21" s="530">
        <f>IFERROR(IF(OR(5&gt;$B$3,ISBLANK(Actuals!G27)),"",(Budget!G27-Actuals!G27)/ABS(Budget!G27)),"")</f>
      </c>
      <c r="V21" s="529">
        <f>Budget!H27</f>
        <v>0</v>
      </c>
      <c r="W21" s="529">
        <f>IF(OR(6&gt;$B$3,ISBLANK(Actuals!H27)),"",Actuals!H27)</f>
        <v>-29166.66</v>
      </c>
      <c r="X21" s="530">
        <f>IF(OR(6&gt;$B$3,ISBLANK(Actuals!H27)),"",Budget!H27-Actuals!H27)</f>
        <v>29166.66</v>
      </c>
      <c r="Y21" s="530">
        <f>IFERROR(IF(OR(6&gt;$B$3,ISBLANK(Actuals!H27)),"",(Budget!H27-Actuals!H27)/ABS(Budget!H27)),"")</f>
      </c>
      <c r="Z21" s="529">
        <f>Budget!I27</f>
        <v>0</v>
      </c>
      <c r="AA21" s="529">
        <f>IF(OR(7&gt;$B$3,ISBLANK(Actuals!I27)),"",Actuals!I27)</f>
      </c>
      <c r="AB21" s="530">
        <f>IF(OR(7&gt;$B$3,ISBLANK(Actuals!I27)),"",Budget!I27-Actuals!I27)</f>
      </c>
      <c r="AC21" s="530">
        <f>IFERROR(IF(OR(7&gt;$B$3,ISBLANK(Actuals!I27)),"",(Budget!I27-Actuals!I27)/ABS(Budget!I27)),"")</f>
      </c>
      <c r="AD21" s="529">
        <f>Budget!J27</f>
        <v>0</v>
      </c>
      <c r="AE21" s="529">
        <f>IF(OR(8&gt;$B$3,ISBLANK(Actuals!J27)),"",Actuals!J27)</f>
      </c>
      <c r="AF21" s="530">
        <f>IF(OR(8&gt;$B$3,ISBLANK(Actuals!J27)),"",Budget!J27-Actuals!J27)</f>
      </c>
      <c r="AG21" s="530">
        <f>IFERROR(IF(OR(8&gt;$B$3,ISBLANK(Actuals!J27)),"",(Budget!J27-Actuals!J27)/ABS(Budget!J27)),"")</f>
      </c>
      <c r="AH21" s="529">
        <f>Budget!K27</f>
        <v>0</v>
      </c>
      <c r="AI21" s="529">
        <f>IF(OR(9&gt;$B$3,ISBLANK(Actuals!K27)),"",Actuals!K27)</f>
      </c>
      <c r="AJ21" s="530">
        <f>IF(OR(9&gt;$B$3,ISBLANK(Actuals!K27)),"",Budget!K27-Actuals!K27)</f>
      </c>
      <c r="AK21" s="530">
        <f>IFERROR(IF(OR(9&gt;$B$3,ISBLANK(Actuals!K27)),"",(Budget!K27-Actuals!K27)/ABS(Budget!K27)),"")</f>
      </c>
      <c r="AL21" s="529">
        <f>Budget!L27</f>
        <v>0</v>
      </c>
      <c r="AM21" s="529">
        <f>IF(OR(10&gt;$B$3,ISBLANK(Actuals!L27)),"",Actuals!L27)</f>
      </c>
      <c r="AN21" s="530">
        <f>IF(OR(10&gt;$B$3,ISBLANK(Actuals!L27)),"",Budget!L27-Actuals!L27)</f>
      </c>
      <c r="AO21" s="530">
        <f>IFERROR(IF(OR(10&gt;$B$3,ISBLANK(Actuals!L27)),"",(Budget!L27-Actuals!L27)/ABS(Budget!L27)),"")</f>
      </c>
      <c r="AP21" s="529">
        <f>Budget!M27</f>
        <v>0</v>
      </c>
      <c r="AQ21" s="529">
        <f>IF(OR(11&gt;$B$3,ISBLANK(Actuals!M27)),"",Actuals!M27)</f>
      </c>
      <c r="AR21" s="530">
        <f>IF(OR(11&gt;$B$3,ISBLANK(Actuals!M27)),"",Budget!M27-Actuals!M27)</f>
      </c>
      <c r="AS21" s="530">
        <f>IFERROR(IF(OR(11&gt;$B$3,ISBLANK(Actuals!M27)),"",(Budget!M27-Actuals!M27)/ABS(Budget!M27)),"")</f>
      </c>
      <c r="AT21" s="529">
        <f>Budget!N27</f>
        <v>0</v>
      </c>
      <c r="AU21" s="529">
        <f>IF(OR(12&gt;$B$3,ISBLANK(Actuals!N27)),"",Actuals!N27)</f>
      </c>
      <c r="AV21" s="530">
        <f>IF(OR(12&gt;$B$3,ISBLANK(Actuals!N27)),"",Budget!N27-Actuals!N27)</f>
      </c>
      <c r="AW21" s="530">
        <f>IFERROR(IF(OR(12&gt;$B$3,ISBLANK(Actuals!N27)),"",(Budget!N27-Actuals!N27)/ABS(Budget!N27)),"")</f>
      </c>
      <c r="AX21" s="531">
        <f>SUMPRODUCT((Actuals!C27:N27&lt;&gt;"")*(Budget!C27:N27))</f>
        <v>0</v>
      </c>
      <c r="AY21" s="531">
        <f>SUM(Actuals!C27:N27)</f>
        <v>-191335.58</v>
      </c>
      <c r="AZ21" s="532">
        <f>AX21-AY21</f>
        <v>191335.58</v>
      </c>
    </row>
    <row r="22" ht="15" customFormat="1" customHeight="1" s="381">
      <c r="A22" s="528" t="inlineStr">
        <is>
          <t>5000-1018 Payroll - Self Performed Trades</t>
        </is>
      </c>
      <c r="B22" s="529">
        <f>Budget!C28</f>
        <v>0</v>
      </c>
      <c r="C22" s="529">
        <f>IF(OR(1&gt;$B$3,ISBLANK(Actuals!C28)),"",Actuals!C28)</f>
        <v>0</v>
      </c>
      <c r="D22" s="530">
        <f>IF(OR(1&gt;$B$3,ISBLANK(Actuals!C28)),"",Budget!C28-Actuals!C28)</f>
        <v>0</v>
      </c>
      <c r="E22" s="530">
        <f>IFERROR(IF(OR(1&gt;$B$3,ISBLANK(Actuals!C28)),"",(Budget!C28-Actuals!C28)/ABS(Budget!C28)),"")</f>
      </c>
      <c r="F22" s="529">
        <f>Budget!D28</f>
        <v>0</v>
      </c>
      <c r="G22" s="529">
        <f>IF(OR(2&gt;$B$3,ISBLANK(Actuals!D28)),"",Actuals!D28)</f>
        <v>0</v>
      </c>
      <c r="H22" s="530">
        <f>IF(OR(2&gt;$B$3,ISBLANK(Actuals!D28)),"",Budget!D28-Actuals!D28)</f>
        <v>0</v>
      </c>
      <c r="I22" s="530">
        <f>IFERROR(IF(OR(2&gt;$B$3,ISBLANK(Actuals!D28)),"",(Budget!D28-Actuals!D28)/ABS(Budget!D28)),"")</f>
      </c>
      <c r="J22" s="529">
        <f>Budget!E28</f>
        <v>0</v>
      </c>
      <c r="K22" s="529">
        <f>IF(OR(3&gt;$B$3,ISBLANK(Actuals!E28)),"",Actuals!E28)</f>
        <v>0</v>
      </c>
      <c r="L22" s="530">
        <f>IF(OR(3&gt;$B$3,ISBLANK(Actuals!E28)),"",Budget!E28-Actuals!E28)</f>
        <v>0</v>
      </c>
      <c r="M22" s="530">
        <f>IFERROR(IF(OR(3&gt;$B$3,ISBLANK(Actuals!E28)),"",(Budget!E28-Actuals!E28)/ABS(Budget!E28)),"")</f>
      </c>
      <c r="N22" s="529">
        <f>Budget!F28</f>
        <v>0</v>
      </c>
      <c r="O22" s="529">
        <f>IF(OR(4&gt;$B$3,ISBLANK(Actuals!F28)),"",Actuals!F28)</f>
        <v>251304.48</v>
      </c>
      <c r="P22" s="530">
        <f>IF(OR(4&gt;$B$3,ISBLANK(Actuals!F28)),"",Budget!F28-Actuals!F28)</f>
        <v>-251304.48</v>
      </c>
      <c r="Q22" s="530">
        <f>IFERROR(IF(OR(4&gt;$B$3,ISBLANK(Actuals!F28)),"",(Budget!F28-Actuals!F28)/ABS(Budget!F28)),"")</f>
      </c>
      <c r="R22" s="529">
        <f>Budget!G28</f>
        <v>0</v>
      </c>
      <c r="S22" s="529">
        <f>IF(OR(5&gt;$B$3,ISBLANK(Actuals!G28)),"",Actuals!G28)</f>
        <v>81510</v>
      </c>
      <c r="T22" s="530">
        <f>IF(OR(5&gt;$B$3,ISBLANK(Actuals!G28)),"",Budget!G28-Actuals!G28)</f>
        <v>-81510</v>
      </c>
      <c r="U22" s="530">
        <f>IFERROR(IF(OR(5&gt;$B$3,ISBLANK(Actuals!G28)),"",(Budget!G28-Actuals!G28)/ABS(Budget!G28)),"")</f>
      </c>
      <c r="V22" s="529">
        <f>Budget!H28</f>
        <v>0</v>
      </c>
      <c r="W22" s="529">
        <f>IF(OR(6&gt;$B$3,ISBLANK(Actuals!H28)),"",Actuals!H28)</f>
        <v>0</v>
      </c>
      <c r="X22" s="530">
        <f>IF(OR(6&gt;$B$3,ISBLANK(Actuals!H28)),"",Budget!H28-Actuals!H28)</f>
        <v>0</v>
      </c>
      <c r="Y22" s="530">
        <f>IFERROR(IF(OR(6&gt;$B$3,ISBLANK(Actuals!H28)),"",(Budget!H28-Actuals!H28)/ABS(Budget!H28)),"")</f>
      </c>
      <c r="Z22" s="529">
        <f>Budget!I28</f>
        <v>0</v>
      </c>
      <c r="AA22" s="529">
        <f>IF(OR(7&gt;$B$3,ISBLANK(Actuals!I28)),"",Actuals!I28)</f>
      </c>
      <c r="AB22" s="530">
        <f>IF(OR(7&gt;$B$3,ISBLANK(Actuals!I28)),"",Budget!I28-Actuals!I28)</f>
      </c>
      <c r="AC22" s="530">
        <f>IFERROR(IF(OR(7&gt;$B$3,ISBLANK(Actuals!I28)),"",(Budget!I28-Actuals!I28)/ABS(Budget!I28)),"")</f>
      </c>
      <c r="AD22" s="529">
        <f>Budget!J28</f>
        <v>0</v>
      </c>
      <c r="AE22" s="529">
        <f>IF(OR(8&gt;$B$3,ISBLANK(Actuals!J28)),"",Actuals!J28)</f>
      </c>
      <c r="AF22" s="530">
        <f>IF(OR(8&gt;$B$3,ISBLANK(Actuals!J28)),"",Budget!J28-Actuals!J28)</f>
      </c>
      <c r="AG22" s="530">
        <f>IFERROR(IF(OR(8&gt;$B$3,ISBLANK(Actuals!J28)),"",(Budget!J28-Actuals!J28)/ABS(Budget!J28)),"")</f>
      </c>
      <c r="AH22" s="529">
        <f>Budget!K28</f>
        <v>0</v>
      </c>
      <c r="AI22" s="529">
        <f>IF(OR(9&gt;$B$3,ISBLANK(Actuals!K28)),"",Actuals!K28)</f>
      </c>
      <c r="AJ22" s="530">
        <f>IF(OR(9&gt;$B$3,ISBLANK(Actuals!K28)),"",Budget!K28-Actuals!K28)</f>
      </c>
      <c r="AK22" s="530">
        <f>IFERROR(IF(OR(9&gt;$B$3,ISBLANK(Actuals!K28)),"",(Budget!K28-Actuals!K28)/ABS(Budget!K28)),"")</f>
      </c>
      <c r="AL22" s="529">
        <f>Budget!L28</f>
        <v>0</v>
      </c>
      <c r="AM22" s="529">
        <f>IF(OR(10&gt;$B$3,ISBLANK(Actuals!L28)),"",Actuals!L28)</f>
      </c>
      <c r="AN22" s="530">
        <f>IF(OR(10&gt;$B$3,ISBLANK(Actuals!L28)),"",Budget!L28-Actuals!L28)</f>
      </c>
      <c r="AO22" s="530">
        <f>IFERROR(IF(OR(10&gt;$B$3,ISBLANK(Actuals!L28)),"",(Budget!L28-Actuals!L28)/ABS(Budget!L28)),"")</f>
      </c>
      <c r="AP22" s="529">
        <f>Budget!M28</f>
        <v>0</v>
      </c>
      <c r="AQ22" s="529">
        <f>IF(OR(11&gt;$B$3,ISBLANK(Actuals!M28)),"",Actuals!M28)</f>
      </c>
      <c r="AR22" s="530">
        <f>IF(OR(11&gt;$B$3,ISBLANK(Actuals!M28)),"",Budget!M28-Actuals!M28)</f>
      </c>
      <c r="AS22" s="530">
        <f>IFERROR(IF(OR(11&gt;$B$3,ISBLANK(Actuals!M28)),"",(Budget!M28-Actuals!M28)/ABS(Budget!M28)),"")</f>
      </c>
      <c r="AT22" s="529">
        <f>Budget!N28</f>
        <v>0</v>
      </c>
      <c r="AU22" s="529">
        <f>IF(OR(12&gt;$B$3,ISBLANK(Actuals!N28)),"",Actuals!N28)</f>
      </c>
      <c r="AV22" s="530">
        <f>IF(OR(12&gt;$B$3,ISBLANK(Actuals!N28)),"",Budget!N28-Actuals!N28)</f>
      </c>
      <c r="AW22" s="530">
        <f>IFERROR(IF(OR(12&gt;$B$3,ISBLANK(Actuals!N28)),"",(Budget!N28-Actuals!N28)/ABS(Budget!N28)),"")</f>
      </c>
      <c r="AX22" s="531">
        <f>SUMPRODUCT((Actuals!C28:N28&lt;&gt;"")*(Budget!C28:N28))</f>
        <v>0</v>
      </c>
      <c r="AY22" s="531">
        <f>SUM(Actuals!C28:N28)</f>
        <v>332814.48</v>
      </c>
      <c r="AZ22" s="532">
        <f>AX22-AY22</f>
        <v>-332814.48</v>
      </c>
    </row>
    <row r="23" ht="15" customFormat="1" customHeight="1" s="381">
      <c r="A23" s="528" t="inlineStr">
        <is>
          <t>5100-1000 Rent Expense</t>
        </is>
      </c>
      <c r="B23" s="529">
        <f>Budget!C29</f>
        <v>-10000</v>
      </c>
      <c r="C23" s="529">
        <f>IF(OR(1&gt;$B$3,ISBLANK(Actuals!C29)),"",Actuals!C29)</f>
        <v>-10400</v>
      </c>
      <c r="D23" s="530">
        <f>IF(OR(1&gt;$B$3,ISBLANK(Actuals!C29)),"",Budget!C29-Actuals!C29)</f>
        <v>400</v>
      </c>
      <c r="E23" s="530">
        <f>IFERROR(IF(OR(1&gt;$B$3,ISBLANK(Actuals!C29)),"",(Budget!C29-Actuals!C29)/ABS(Budget!C29)),"")</f>
        <v>0.04</v>
      </c>
      <c r="F23" s="529">
        <f>Budget!D29</f>
        <v>-10000</v>
      </c>
      <c r="G23" s="529">
        <f>IF(OR(2&gt;$B$3,ISBLANK(Actuals!D29)),"",Actuals!D29)</f>
        <v>-10400</v>
      </c>
      <c r="H23" s="530">
        <f>IF(OR(2&gt;$B$3,ISBLANK(Actuals!D29)),"",Budget!D29-Actuals!D29)</f>
        <v>400</v>
      </c>
      <c r="I23" s="530">
        <f>IFERROR(IF(OR(2&gt;$B$3,ISBLANK(Actuals!D29)),"",(Budget!D29-Actuals!D29)/ABS(Budget!D29)),"")</f>
        <v>0.04</v>
      </c>
      <c r="J23" s="529">
        <f>Budget!E29</f>
        <v>-10000</v>
      </c>
      <c r="K23" s="529">
        <f>IF(OR(3&gt;$B$3,ISBLANK(Actuals!E29)),"",Actuals!E29)</f>
        <v>-400</v>
      </c>
      <c r="L23" s="530">
        <f>IF(OR(3&gt;$B$3,ISBLANK(Actuals!E29)),"",Budget!E29-Actuals!E29)</f>
        <v>-9600</v>
      </c>
      <c r="M23" s="530">
        <f>IFERROR(IF(OR(3&gt;$B$3,ISBLANK(Actuals!E29)),"",(Budget!E29-Actuals!E29)/ABS(Budget!E29)),"")</f>
        <v>-0.96</v>
      </c>
      <c r="N23" s="529">
        <f>Budget!F29</f>
        <v>-10000</v>
      </c>
      <c r="O23" s="529">
        <f>IF(OR(4&gt;$B$3,ISBLANK(Actuals!F29)),"",Actuals!F29)</f>
        <v>-10400</v>
      </c>
      <c r="P23" s="530">
        <f>IF(OR(4&gt;$B$3,ISBLANK(Actuals!F29)),"",Budget!F29-Actuals!F29)</f>
        <v>400</v>
      </c>
      <c r="Q23" s="530">
        <f>IFERROR(IF(OR(4&gt;$B$3,ISBLANK(Actuals!F29)),"",(Budget!F29-Actuals!F29)/ABS(Budget!F29)),"")</f>
        <v>0.04</v>
      </c>
      <c r="R23" s="529">
        <f>Budget!G29</f>
        <v>-10000</v>
      </c>
      <c r="S23" s="529">
        <f>IF(OR(5&gt;$B$3,ISBLANK(Actuals!G29)),"",Actuals!G29)</f>
        <v>-20400</v>
      </c>
      <c r="T23" s="530">
        <f>IF(OR(5&gt;$B$3,ISBLANK(Actuals!G29)),"",Budget!G29-Actuals!G29)</f>
        <v>10400</v>
      </c>
      <c r="U23" s="530">
        <f>IFERROR(IF(OR(5&gt;$B$3,ISBLANK(Actuals!G29)),"",(Budget!G29-Actuals!G29)/ABS(Budget!G29)),"")</f>
        <v>1.04</v>
      </c>
      <c r="V23" s="529">
        <f>Budget!H29</f>
        <v>-10000</v>
      </c>
      <c r="W23" s="529">
        <f>IF(OR(6&gt;$B$3,ISBLANK(Actuals!H29)),"",Actuals!H29)</f>
        <v>-20405</v>
      </c>
      <c r="X23" s="530">
        <f>IF(OR(6&gt;$B$3,ISBLANK(Actuals!H29)),"",Budget!H29-Actuals!H29)</f>
        <v>10405</v>
      </c>
      <c r="Y23" s="530">
        <f>IFERROR(IF(OR(6&gt;$B$3,ISBLANK(Actuals!H29)),"",(Budget!H29-Actuals!H29)/ABS(Budget!H29)),"")</f>
        <v>1.0405</v>
      </c>
      <c r="Z23" s="529">
        <f>Budget!I29</f>
        <v>-10200</v>
      </c>
      <c r="AA23" s="529">
        <f>IF(OR(7&gt;$B$3,ISBLANK(Actuals!I29)),"",Actuals!I29)</f>
      </c>
      <c r="AB23" s="530">
        <f>IF(OR(7&gt;$B$3,ISBLANK(Actuals!I29)),"",Budget!I29-Actuals!I29)</f>
      </c>
      <c r="AC23" s="530">
        <f>IFERROR(IF(OR(7&gt;$B$3,ISBLANK(Actuals!I29)),"",(Budget!I29-Actuals!I29)/ABS(Budget!I29)),"")</f>
      </c>
      <c r="AD23" s="529">
        <f>Budget!J29</f>
        <v>-10200</v>
      </c>
      <c r="AE23" s="529">
        <f>IF(OR(8&gt;$B$3,ISBLANK(Actuals!J29)),"",Actuals!J29)</f>
      </c>
      <c r="AF23" s="530">
        <f>IF(OR(8&gt;$B$3,ISBLANK(Actuals!J29)),"",Budget!J29-Actuals!J29)</f>
      </c>
      <c r="AG23" s="530">
        <f>IFERROR(IF(OR(8&gt;$B$3,ISBLANK(Actuals!J29)),"",(Budget!J29-Actuals!J29)/ABS(Budget!J29)),"")</f>
      </c>
      <c r="AH23" s="529">
        <f>Budget!K29</f>
        <v>-10200</v>
      </c>
      <c r="AI23" s="529">
        <f>IF(OR(9&gt;$B$3,ISBLANK(Actuals!K29)),"",Actuals!K29)</f>
      </c>
      <c r="AJ23" s="530">
        <f>IF(OR(9&gt;$B$3,ISBLANK(Actuals!K29)),"",Budget!K29-Actuals!K29)</f>
      </c>
      <c r="AK23" s="530">
        <f>IFERROR(IF(OR(9&gt;$B$3,ISBLANK(Actuals!K29)),"",(Budget!K29-Actuals!K29)/ABS(Budget!K29)),"")</f>
      </c>
      <c r="AL23" s="529">
        <f>Budget!L29</f>
        <v>-10200</v>
      </c>
      <c r="AM23" s="529">
        <f>IF(OR(10&gt;$B$3,ISBLANK(Actuals!L29)),"",Actuals!L29)</f>
      </c>
      <c r="AN23" s="530">
        <f>IF(OR(10&gt;$B$3,ISBLANK(Actuals!L29)),"",Budget!L29-Actuals!L29)</f>
      </c>
      <c r="AO23" s="530">
        <f>IFERROR(IF(OR(10&gt;$B$3,ISBLANK(Actuals!L29)),"",(Budget!L29-Actuals!L29)/ABS(Budget!L29)),"")</f>
      </c>
      <c r="AP23" s="529">
        <f>Budget!M29</f>
        <v>-10200</v>
      </c>
      <c r="AQ23" s="529">
        <f>IF(OR(11&gt;$B$3,ISBLANK(Actuals!M29)),"",Actuals!M29)</f>
      </c>
      <c r="AR23" s="530">
        <f>IF(OR(11&gt;$B$3,ISBLANK(Actuals!M29)),"",Budget!M29-Actuals!M29)</f>
      </c>
      <c r="AS23" s="530">
        <f>IFERROR(IF(OR(11&gt;$B$3,ISBLANK(Actuals!M29)),"",(Budget!M29-Actuals!M29)/ABS(Budget!M29)),"")</f>
      </c>
      <c r="AT23" s="529">
        <f>Budget!N29</f>
        <v>-10200</v>
      </c>
      <c r="AU23" s="529">
        <f>IF(OR(12&gt;$B$3,ISBLANK(Actuals!N29)),"",Actuals!N29)</f>
      </c>
      <c r="AV23" s="530">
        <f>IF(OR(12&gt;$B$3,ISBLANK(Actuals!N29)),"",Budget!N29-Actuals!N29)</f>
      </c>
      <c r="AW23" s="530">
        <f>IFERROR(IF(OR(12&gt;$B$3,ISBLANK(Actuals!N29)),"",(Budget!N29-Actuals!N29)/ABS(Budget!N29)),"")</f>
      </c>
      <c r="AX23" s="531">
        <f>SUMPRODUCT((Actuals!C29:N29&lt;&gt;"")*(Budget!C29:N29))</f>
        <v>-60000</v>
      </c>
      <c r="AY23" s="531">
        <f>SUM(Actuals!C29:N29)</f>
        <v>-72405</v>
      </c>
      <c r="AZ23" s="532">
        <f>AX23-AY23</f>
        <v>12405</v>
      </c>
    </row>
    <row r="24" ht="15" customFormat="1" customHeight="1" s="381">
      <c r="A24" s="528" t="inlineStr">
        <is>
          <t>5200-1000 Office Supplies and Expenses</t>
        </is>
      </c>
      <c r="B24" s="529">
        <f>Budget!C30</f>
        <v>-2800</v>
      </c>
      <c r="C24" s="529">
        <f>IF(OR(1&gt;$B$3,ISBLANK(Actuals!C30)),"",Actuals!C30)</f>
        <v>-1988</v>
      </c>
      <c r="D24" s="530">
        <f>IF(OR(1&gt;$B$3,ISBLANK(Actuals!C30)),"",Budget!C30-Actuals!C30)</f>
        <v>-812</v>
      </c>
      <c r="E24" s="530">
        <f>IFERROR(IF(OR(1&gt;$B$3,ISBLANK(Actuals!C30)),"",(Budget!C30-Actuals!C30)/ABS(Budget!C30)),"")</f>
        <v>-0.29</v>
      </c>
      <c r="F24" s="529">
        <f>Budget!D30</f>
        <v>-2800</v>
      </c>
      <c r="G24" s="529">
        <f>IF(OR(2&gt;$B$3,ISBLANK(Actuals!D30)),"",Actuals!D30)</f>
        <v>-955.32</v>
      </c>
      <c r="H24" s="530">
        <f>IF(OR(2&gt;$B$3,ISBLANK(Actuals!D30)),"",Budget!D30-Actuals!D30)</f>
        <v>-1844.68</v>
      </c>
      <c r="I24" s="530">
        <f>IFERROR(IF(OR(2&gt;$B$3,ISBLANK(Actuals!D30)),"",(Budget!D30-Actuals!D30)/ABS(Budget!D30)),"")</f>
        <v>-0.658814285714286</v>
      </c>
      <c r="J24" s="529">
        <f>Budget!E30</f>
        <v>-2800</v>
      </c>
      <c r="K24" s="529">
        <f>IF(OR(3&gt;$B$3,ISBLANK(Actuals!E30)),"",Actuals!E30)</f>
        <v>-9130.61</v>
      </c>
      <c r="L24" s="530">
        <f>IF(OR(3&gt;$B$3,ISBLANK(Actuals!E30)),"",Budget!E30-Actuals!E30)</f>
        <v>6330.61</v>
      </c>
      <c r="M24" s="530">
        <f>IFERROR(IF(OR(3&gt;$B$3,ISBLANK(Actuals!E30)),"",(Budget!E30-Actuals!E30)/ABS(Budget!E30)),"")</f>
        <v>2.26093214285714</v>
      </c>
      <c r="N24" s="529">
        <f>Budget!F30</f>
        <v>-2800</v>
      </c>
      <c r="O24" s="529">
        <f>IF(OR(4&gt;$B$3,ISBLANK(Actuals!F30)),"",Actuals!F30)</f>
        <v>-1028.89</v>
      </c>
      <c r="P24" s="530">
        <f>IF(OR(4&gt;$B$3,ISBLANK(Actuals!F30)),"",Budget!F30-Actuals!F30)</f>
        <v>-1771.11</v>
      </c>
      <c r="Q24" s="530">
        <f>IFERROR(IF(OR(4&gt;$B$3,ISBLANK(Actuals!F30)),"",(Budget!F30-Actuals!F30)/ABS(Budget!F30)),"")</f>
        <v>-0.632539285714286</v>
      </c>
      <c r="R24" s="529">
        <f>Budget!G30</f>
        <v>-2800</v>
      </c>
      <c r="S24" s="529">
        <f>IF(OR(5&gt;$B$3,ISBLANK(Actuals!G30)),"",Actuals!G30)</f>
        <v>-7005.14</v>
      </c>
      <c r="T24" s="530">
        <f>IF(OR(5&gt;$B$3,ISBLANK(Actuals!G30)),"",Budget!G30-Actuals!G30)</f>
        <v>4205.14</v>
      </c>
      <c r="U24" s="530">
        <f>IFERROR(IF(OR(5&gt;$B$3,ISBLANK(Actuals!G30)),"",(Budget!G30-Actuals!G30)/ABS(Budget!G30)),"")</f>
        <v>1.50183571428571</v>
      </c>
      <c r="V24" s="529">
        <f>Budget!H30</f>
        <v>-2800</v>
      </c>
      <c r="W24" s="529">
        <f>IF(OR(6&gt;$B$3,ISBLANK(Actuals!H30)),"",Actuals!H30)</f>
        <v>-4121.06</v>
      </c>
      <c r="X24" s="530">
        <f>IF(OR(6&gt;$B$3,ISBLANK(Actuals!H30)),"",Budget!H30-Actuals!H30)</f>
        <v>1321.06</v>
      </c>
      <c r="Y24" s="530">
        <f>IFERROR(IF(OR(6&gt;$B$3,ISBLANK(Actuals!H30)),"",(Budget!H30-Actuals!H30)/ABS(Budget!H30)),"")</f>
        <v>0.471807142857143</v>
      </c>
      <c r="Z24" s="529">
        <f>Budget!I30</f>
        <v>-2856</v>
      </c>
      <c r="AA24" s="529">
        <f>IF(OR(7&gt;$B$3,ISBLANK(Actuals!I30)),"",Actuals!I30)</f>
      </c>
      <c r="AB24" s="530">
        <f>IF(OR(7&gt;$B$3,ISBLANK(Actuals!I30)),"",Budget!I30-Actuals!I30)</f>
      </c>
      <c r="AC24" s="530">
        <f>IFERROR(IF(OR(7&gt;$B$3,ISBLANK(Actuals!I30)),"",(Budget!I30-Actuals!I30)/ABS(Budget!I30)),"")</f>
      </c>
      <c r="AD24" s="529">
        <f>Budget!J30</f>
        <v>-2856</v>
      </c>
      <c r="AE24" s="529">
        <f>IF(OR(8&gt;$B$3,ISBLANK(Actuals!J30)),"",Actuals!J30)</f>
      </c>
      <c r="AF24" s="530">
        <f>IF(OR(8&gt;$B$3,ISBLANK(Actuals!J30)),"",Budget!J30-Actuals!J30)</f>
      </c>
      <c r="AG24" s="530">
        <f>IFERROR(IF(OR(8&gt;$B$3,ISBLANK(Actuals!J30)),"",(Budget!J30-Actuals!J30)/ABS(Budget!J30)),"")</f>
      </c>
      <c r="AH24" s="529">
        <f>Budget!K30</f>
        <v>-2856</v>
      </c>
      <c r="AI24" s="529">
        <f>IF(OR(9&gt;$B$3,ISBLANK(Actuals!K30)),"",Actuals!K30)</f>
      </c>
      <c r="AJ24" s="530">
        <f>IF(OR(9&gt;$B$3,ISBLANK(Actuals!K30)),"",Budget!K30-Actuals!K30)</f>
      </c>
      <c r="AK24" s="530">
        <f>IFERROR(IF(OR(9&gt;$B$3,ISBLANK(Actuals!K30)),"",(Budget!K30-Actuals!K30)/ABS(Budget!K30)),"")</f>
      </c>
      <c r="AL24" s="529">
        <f>Budget!L30</f>
        <v>-2856</v>
      </c>
      <c r="AM24" s="529">
        <f>IF(OR(10&gt;$B$3,ISBLANK(Actuals!L30)),"",Actuals!L30)</f>
      </c>
      <c r="AN24" s="530">
        <f>IF(OR(10&gt;$B$3,ISBLANK(Actuals!L30)),"",Budget!L30-Actuals!L30)</f>
      </c>
      <c r="AO24" s="530">
        <f>IFERROR(IF(OR(10&gt;$B$3,ISBLANK(Actuals!L30)),"",(Budget!L30-Actuals!L30)/ABS(Budget!L30)),"")</f>
      </c>
      <c r="AP24" s="529">
        <f>Budget!M30</f>
        <v>-2856</v>
      </c>
      <c r="AQ24" s="529">
        <f>IF(OR(11&gt;$B$3,ISBLANK(Actuals!M30)),"",Actuals!M30)</f>
      </c>
      <c r="AR24" s="530">
        <f>IF(OR(11&gt;$B$3,ISBLANK(Actuals!M30)),"",Budget!M30-Actuals!M30)</f>
      </c>
      <c r="AS24" s="530">
        <f>IFERROR(IF(OR(11&gt;$B$3,ISBLANK(Actuals!M30)),"",(Budget!M30-Actuals!M30)/ABS(Budget!M30)),"")</f>
      </c>
      <c r="AT24" s="529">
        <f>Budget!N30</f>
        <v>-2856</v>
      </c>
      <c r="AU24" s="529">
        <f>IF(OR(12&gt;$B$3,ISBLANK(Actuals!N30)),"",Actuals!N30)</f>
      </c>
      <c r="AV24" s="530">
        <f>IF(OR(12&gt;$B$3,ISBLANK(Actuals!N30)),"",Budget!N30-Actuals!N30)</f>
      </c>
      <c r="AW24" s="530">
        <f>IFERROR(IF(OR(12&gt;$B$3,ISBLANK(Actuals!N30)),"",(Budget!N30-Actuals!N30)/ABS(Budget!N30)),"")</f>
      </c>
      <c r="AX24" s="531">
        <f>SUMPRODUCT((Actuals!C30:N30&lt;&gt;"")*(Budget!C30:N30))</f>
        <v>-16800</v>
      </c>
      <c r="AY24" s="531">
        <f>SUM(Actuals!C30:N30)</f>
        <v>-24229.02</v>
      </c>
      <c r="AZ24" s="532">
        <f>AX24-AY24</f>
        <v>7429.02</v>
      </c>
    </row>
    <row r="25" ht="15" customFormat="1" customHeight="1" s="381">
      <c r="A25" s="528" t="inlineStr">
        <is>
          <t>5200-1002 Printing and Reproduction</t>
        </is>
      </c>
      <c r="B25" s="529">
        <f>Budget!C31</f>
        <v>0</v>
      </c>
      <c r="C25" s="529">
        <f>IF(OR(1&gt;$B$3,ISBLANK(Actuals!C31)),"",Actuals!C31)</f>
        <v>0</v>
      </c>
      <c r="D25" s="530">
        <f>IF(OR(1&gt;$B$3,ISBLANK(Actuals!C31)),"",Budget!C31-Actuals!C31)</f>
        <v>0</v>
      </c>
      <c r="E25" s="530">
        <f>IFERROR(IF(OR(1&gt;$B$3,ISBLANK(Actuals!C31)),"",(Budget!C31-Actuals!C31)/ABS(Budget!C31)),"")</f>
      </c>
      <c r="F25" s="529">
        <f>Budget!D31</f>
        <v>0</v>
      </c>
      <c r="G25" s="529">
        <f>IF(OR(2&gt;$B$3,ISBLANK(Actuals!D31)),"",Actuals!D31)</f>
        <v>0</v>
      </c>
      <c r="H25" s="530">
        <f>IF(OR(2&gt;$B$3,ISBLANK(Actuals!D31)),"",Budget!D31-Actuals!D31)</f>
        <v>0</v>
      </c>
      <c r="I25" s="530">
        <f>IFERROR(IF(OR(2&gt;$B$3,ISBLANK(Actuals!D31)),"",(Budget!D31-Actuals!D31)/ABS(Budget!D31)),"")</f>
      </c>
      <c r="J25" s="529">
        <f>Budget!E31</f>
        <v>0</v>
      </c>
      <c r="K25" s="529">
        <f>IF(OR(3&gt;$B$3,ISBLANK(Actuals!E31)),"",Actuals!E31)</f>
        <v>-1077.38</v>
      </c>
      <c r="L25" s="530">
        <f>IF(OR(3&gt;$B$3,ISBLANK(Actuals!E31)),"",Budget!E31-Actuals!E31)</f>
        <v>1077.38</v>
      </c>
      <c r="M25" s="530">
        <f>IFERROR(IF(OR(3&gt;$B$3,ISBLANK(Actuals!E31)),"",(Budget!E31-Actuals!E31)/ABS(Budget!E31)),"")</f>
      </c>
      <c r="N25" s="529">
        <f>Budget!F31</f>
        <v>0</v>
      </c>
      <c r="O25" s="529">
        <f>IF(OR(4&gt;$B$3,ISBLANK(Actuals!F31)),"",Actuals!F31)</f>
        <v>-211.28</v>
      </c>
      <c r="P25" s="530">
        <f>IF(OR(4&gt;$B$3,ISBLANK(Actuals!F31)),"",Budget!F31-Actuals!F31)</f>
        <v>211.28</v>
      </c>
      <c r="Q25" s="530">
        <f>IFERROR(IF(OR(4&gt;$B$3,ISBLANK(Actuals!F31)),"",(Budget!F31-Actuals!F31)/ABS(Budget!F31)),"")</f>
      </c>
      <c r="R25" s="529">
        <f>Budget!G31</f>
        <v>0</v>
      </c>
      <c r="S25" s="529">
        <f>IF(OR(5&gt;$B$3,ISBLANK(Actuals!G31)),"",Actuals!G31)</f>
        <v>-1254.17</v>
      </c>
      <c r="T25" s="530">
        <f>IF(OR(5&gt;$B$3,ISBLANK(Actuals!G31)),"",Budget!G31-Actuals!G31)</f>
        <v>1254.17</v>
      </c>
      <c r="U25" s="530">
        <f>IFERROR(IF(OR(5&gt;$B$3,ISBLANK(Actuals!G31)),"",(Budget!G31-Actuals!G31)/ABS(Budget!G31)),"")</f>
      </c>
      <c r="V25" s="529">
        <f>Budget!H31</f>
        <v>0</v>
      </c>
      <c r="W25" s="529">
        <f>IF(OR(6&gt;$B$3,ISBLANK(Actuals!H31)),"",Actuals!H31)</f>
        <v>0</v>
      </c>
      <c r="X25" s="530">
        <f>IF(OR(6&gt;$B$3,ISBLANK(Actuals!H31)),"",Budget!H31-Actuals!H31)</f>
        <v>0</v>
      </c>
      <c r="Y25" s="530">
        <f>IFERROR(IF(OR(6&gt;$B$3,ISBLANK(Actuals!H31)),"",(Budget!H31-Actuals!H31)/ABS(Budget!H31)),"")</f>
      </c>
      <c r="Z25" s="529">
        <f>Budget!I31</f>
        <v>0</v>
      </c>
      <c r="AA25" s="529">
        <f>IF(OR(7&gt;$B$3,ISBLANK(Actuals!I31)),"",Actuals!I31)</f>
      </c>
      <c r="AB25" s="530">
        <f>IF(OR(7&gt;$B$3,ISBLANK(Actuals!I31)),"",Budget!I31-Actuals!I31)</f>
      </c>
      <c r="AC25" s="530">
        <f>IFERROR(IF(OR(7&gt;$B$3,ISBLANK(Actuals!I31)),"",(Budget!I31-Actuals!I31)/ABS(Budget!I31)),"")</f>
      </c>
      <c r="AD25" s="529">
        <f>Budget!J31</f>
        <v>0</v>
      </c>
      <c r="AE25" s="529">
        <f>IF(OR(8&gt;$B$3,ISBLANK(Actuals!J31)),"",Actuals!J31)</f>
      </c>
      <c r="AF25" s="530">
        <f>IF(OR(8&gt;$B$3,ISBLANK(Actuals!J31)),"",Budget!J31-Actuals!J31)</f>
      </c>
      <c r="AG25" s="530">
        <f>IFERROR(IF(OR(8&gt;$B$3,ISBLANK(Actuals!J31)),"",(Budget!J31-Actuals!J31)/ABS(Budget!J31)),"")</f>
      </c>
      <c r="AH25" s="529">
        <f>Budget!K31</f>
        <v>0</v>
      </c>
      <c r="AI25" s="529">
        <f>IF(OR(9&gt;$B$3,ISBLANK(Actuals!K31)),"",Actuals!K31)</f>
      </c>
      <c r="AJ25" s="530">
        <f>IF(OR(9&gt;$B$3,ISBLANK(Actuals!K31)),"",Budget!K31-Actuals!K31)</f>
      </c>
      <c r="AK25" s="530">
        <f>IFERROR(IF(OR(9&gt;$B$3,ISBLANK(Actuals!K31)),"",(Budget!K31-Actuals!K31)/ABS(Budget!K31)),"")</f>
      </c>
      <c r="AL25" s="529">
        <f>Budget!L31</f>
        <v>0</v>
      </c>
      <c r="AM25" s="529">
        <f>IF(OR(10&gt;$B$3,ISBLANK(Actuals!L31)),"",Actuals!L31)</f>
      </c>
      <c r="AN25" s="530">
        <f>IF(OR(10&gt;$B$3,ISBLANK(Actuals!L31)),"",Budget!L31-Actuals!L31)</f>
      </c>
      <c r="AO25" s="530">
        <f>IFERROR(IF(OR(10&gt;$B$3,ISBLANK(Actuals!L31)),"",(Budget!L31-Actuals!L31)/ABS(Budget!L31)),"")</f>
      </c>
      <c r="AP25" s="529">
        <f>Budget!M31</f>
        <v>0</v>
      </c>
      <c r="AQ25" s="529">
        <f>IF(OR(11&gt;$B$3,ISBLANK(Actuals!M31)),"",Actuals!M31)</f>
      </c>
      <c r="AR25" s="530">
        <f>IF(OR(11&gt;$B$3,ISBLANK(Actuals!M31)),"",Budget!M31-Actuals!M31)</f>
      </c>
      <c r="AS25" s="530">
        <f>IFERROR(IF(OR(11&gt;$B$3,ISBLANK(Actuals!M31)),"",(Budget!M31-Actuals!M31)/ABS(Budget!M31)),"")</f>
      </c>
      <c r="AT25" s="529">
        <f>Budget!N31</f>
        <v>0</v>
      </c>
      <c r="AU25" s="529">
        <f>IF(OR(12&gt;$B$3,ISBLANK(Actuals!N31)),"",Actuals!N31)</f>
      </c>
      <c r="AV25" s="530">
        <f>IF(OR(12&gt;$B$3,ISBLANK(Actuals!N31)),"",Budget!N31-Actuals!N31)</f>
      </c>
      <c r="AW25" s="530">
        <f>IFERROR(IF(OR(12&gt;$B$3,ISBLANK(Actuals!N31)),"",(Budget!N31-Actuals!N31)/ABS(Budget!N31)),"")</f>
      </c>
      <c r="AX25" s="531">
        <f>SUMPRODUCT((Actuals!C31:N31&lt;&gt;"")*(Budget!C31:N31))</f>
        <v>0</v>
      </c>
      <c r="AY25" s="531">
        <f>SUM(Actuals!C31:N31)</f>
        <v>-2542.83</v>
      </c>
      <c r="AZ25" s="532">
        <f>AX25-AY25</f>
        <v>2542.83</v>
      </c>
    </row>
    <row r="26" ht="15" customFormat="1" customHeight="1" s="381">
      <c r="A26" s="528" t="inlineStr">
        <is>
          <t>5200-1050 Computer and IT Expenses</t>
        </is>
      </c>
      <c r="B26" s="529">
        <f>Budget!C32</f>
        <v>-3300</v>
      </c>
      <c r="C26" s="529">
        <f>IF(OR(1&gt;$B$3,ISBLANK(Actuals!C32)),"",Actuals!C32)</f>
        <v>-79</v>
      </c>
      <c r="D26" s="530">
        <f>IF(OR(1&gt;$B$3,ISBLANK(Actuals!C32)),"",Budget!C32-Actuals!C32)</f>
        <v>-3221</v>
      </c>
      <c r="E26" s="530">
        <f>IFERROR(IF(OR(1&gt;$B$3,ISBLANK(Actuals!C32)),"",(Budget!C32-Actuals!C32)/ABS(Budget!C32)),"")</f>
        <v>-0.976060606060606</v>
      </c>
      <c r="F26" s="529">
        <f>Budget!D32</f>
        <v>-3300</v>
      </c>
      <c r="G26" s="529">
        <f>IF(OR(2&gt;$B$3,ISBLANK(Actuals!D32)),"",Actuals!D32)</f>
        <v>0</v>
      </c>
      <c r="H26" s="530">
        <f>IF(OR(2&gt;$B$3,ISBLANK(Actuals!D32)),"",Budget!D32-Actuals!D32)</f>
        <v>-3300</v>
      </c>
      <c r="I26" s="530">
        <f>IFERROR(IF(OR(2&gt;$B$3,ISBLANK(Actuals!D32)),"",(Budget!D32-Actuals!D32)/ABS(Budget!D32)),"")</f>
        <v>-1</v>
      </c>
      <c r="J26" s="529">
        <f>Budget!E32</f>
        <v>-3300</v>
      </c>
      <c r="K26" s="529">
        <f>IF(OR(3&gt;$B$3,ISBLANK(Actuals!E32)),"",Actuals!E32)</f>
        <v>0</v>
      </c>
      <c r="L26" s="530">
        <f>IF(OR(3&gt;$B$3,ISBLANK(Actuals!E32)),"",Budget!E32-Actuals!E32)</f>
        <v>-3300</v>
      </c>
      <c r="M26" s="530">
        <f>IFERROR(IF(OR(3&gt;$B$3,ISBLANK(Actuals!E32)),"",(Budget!E32-Actuals!E32)/ABS(Budget!E32)),"")</f>
        <v>-1</v>
      </c>
      <c r="N26" s="529">
        <f>Budget!F32</f>
        <v>-3300</v>
      </c>
      <c r="O26" s="529">
        <f>IF(OR(4&gt;$B$3,ISBLANK(Actuals!F32)),"",Actuals!F32)</f>
        <v>0</v>
      </c>
      <c r="P26" s="530">
        <f>IF(OR(4&gt;$B$3,ISBLANK(Actuals!F32)),"",Budget!F32-Actuals!F32)</f>
        <v>-3300</v>
      </c>
      <c r="Q26" s="530">
        <f>IFERROR(IF(OR(4&gt;$B$3,ISBLANK(Actuals!F32)),"",(Budget!F32-Actuals!F32)/ABS(Budget!F32)),"")</f>
        <v>-1</v>
      </c>
      <c r="R26" s="529">
        <f>Budget!G32</f>
        <v>-3300</v>
      </c>
      <c r="S26" s="529">
        <f>IF(OR(5&gt;$B$3,ISBLANK(Actuals!G32)),"",Actuals!G32)</f>
        <v>0</v>
      </c>
      <c r="T26" s="530">
        <f>IF(OR(5&gt;$B$3,ISBLANK(Actuals!G32)),"",Budget!G32-Actuals!G32)</f>
        <v>-3300</v>
      </c>
      <c r="U26" s="530">
        <f>IFERROR(IF(OR(5&gt;$B$3,ISBLANK(Actuals!G32)),"",(Budget!G32-Actuals!G32)/ABS(Budget!G32)),"")</f>
        <v>-1</v>
      </c>
      <c r="V26" s="529">
        <f>Budget!H32</f>
        <v>-3300</v>
      </c>
      <c r="W26" s="529">
        <f>IF(OR(6&gt;$B$3,ISBLANK(Actuals!H32)),"",Actuals!H32)</f>
        <v>0</v>
      </c>
      <c r="X26" s="530">
        <f>IF(OR(6&gt;$B$3,ISBLANK(Actuals!H32)),"",Budget!H32-Actuals!H32)</f>
        <v>-3300</v>
      </c>
      <c r="Y26" s="530">
        <f>IFERROR(IF(OR(6&gt;$B$3,ISBLANK(Actuals!H32)),"",(Budget!H32-Actuals!H32)/ABS(Budget!H32)),"")</f>
        <v>-1</v>
      </c>
      <c r="Z26" s="529">
        <f>Budget!I32</f>
        <v>-3366</v>
      </c>
      <c r="AA26" s="529">
        <f>IF(OR(7&gt;$B$3,ISBLANK(Actuals!I32)),"",Actuals!I32)</f>
      </c>
      <c r="AB26" s="530">
        <f>IF(OR(7&gt;$B$3,ISBLANK(Actuals!I32)),"",Budget!I32-Actuals!I32)</f>
      </c>
      <c r="AC26" s="530">
        <f>IFERROR(IF(OR(7&gt;$B$3,ISBLANK(Actuals!I32)),"",(Budget!I32-Actuals!I32)/ABS(Budget!I32)),"")</f>
      </c>
      <c r="AD26" s="529">
        <f>Budget!J32</f>
        <v>-3366</v>
      </c>
      <c r="AE26" s="529">
        <f>IF(OR(8&gt;$B$3,ISBLANK(Actuals!J32)),"",Actuals!J32)</f>
      </c>
      <c r="AF26" s="530">
        <f>IF(OR(8&gt;$B$3,ISBLANK(Actuals!J32)),"",Budget!J32-Actuals!J32)</f>
      </c>
      <c r="AG26" s="530">
        <f>IFERROR(IF(OR(8&gt;$B$3,ISBLANK(Actuals!J32)),"",(Budget!J32-Actuals!J32)/ABS(Budget!J32)),"")</f>
      </c>
      <c r="AH26" s="529">
        <f>Budget!K32</f>
        <v>-3366</v>
      </c>
      <c r="AI26" s="529">
        <f>IF(OR(9&gt;$B$3,ISBLANK(Actuals!K32)),"",Actuals!K32)</f>
      </c>
      <c r="AJ26" s="530">
        <f>IF(OR(9&gt;$B$3,ISBLANK(Actuals!K32)),"",Budget!K32-Actuals!K32)</f>
      </c>
      <c r="AK26" s="530">
        <f>IFERROR(IF(OR(9&gt;$B$3,ISBLANK(Actuals!K32)),"",(Budget!K32-Actuals!K32)/ABS(Budget!K32)),"")</f>
      </c>
      <c r="AL26" s="529">
        <f>Budget!L32</f>
        <v>-3366</v>
      </c>
      <c r="AM26" s="529">
        <f>IF(OR(10&gt;$B$3,ISBLANK(Actuals!L32)),"",Actuals!L32)</f>
      </c>
      <c r="AN26" s="530">
        <f>IF(OR(10&gt;$B$3,ISBLANK(Actuals!L32)),"",Budget!L32-Actuals!L32)</f>
      </c>
      <c r="AO26" s="530">
        <f>IFERROR(IF(OR(10&gt;$B$3,ISBLANK(Actuals!L32)),"",(Budget!L32-Actuals!L32)/ABS(Budget!L32)),"")</f>
      </c>
      <c r="AP26" s="529">
        <f>Budget!M32</f>
        <v>-3366</v>
      </c>
      <c r="AQ26" s="529">
        <f>IF(OR(11&gt;$B$3,ISBLANK(Actuals!M32)),"",Actuals!M32)</f>
      </c>
      <c r="AR26" s="530">
        <f>IF(OR(11&gt;$B$3,ISBLANK(Actuals!M32)),"",Budget!M32-Actuals!M32)</f>
      </c>
      <c r="AS26" s="530">
        <f>IFERROR(IF(OR(11&gt;$B$3,ISBLANK(Actuals!M32)),"",(Budget!M32-Actuals!M32)/ABS(Budget!M32)),"")</f>
      </c>
      <c r="AT26" s="529">
        <f>Budget!N32</f>
        <v>-3366</v>
      </c>
      <c r="AU26" s="529">
        <f>IF(OR(12&gt;$B$3,ISBLANK(Actuals!N32)),"",Actuals!N32)</f>
      </c>
      <c r="AV26" s="530">
        <f>IF(OR(12&gt;$B$3,ISBLANK(Actuals!N32)),"",Budget!N32-Actuals!N32)</f>
      </c>
      <c r="AW26" s="530">
        <f>IFERROR(IF(OR(12&gt;$B$3,ISBLANK(Actuals!N32)),"",(Budget!N32-Actuals!N32)/ABS(Budget!N32)),"")</f>
      </c>
      <c r="AX26" s="531">
        <f>SUMPRODUCT((Actuals!C32:N32&lt;&gt;"")*(Budget!C32:N32))</f>
        <v>-19800</v>
      </c>
      <c r="AY26" s="531">
        <f>SUM(Actuals!C32:N32)</f>
        <v>-79</v>
      </c>
      <c r="AZ26" s="532">
        <f>AX26-AY26</f>
        <v>-19721</v>
      </c>
    </row>
    <row r="27" ht="15" customFormat="1" customHeight="1" s="381">
      <c r="A27" s="528" t="inlineStr">
        <is>
          <t>5200-1053 IT Software and Subscriptions</t>
        </is>
      </c>
      <c r="B27" s="529">
        <f>Budget!C33</f>
        <v>0</v>
      </c>
      <c r="C27" s="529">
        <f>IF(OR(1&gt;$B$3,ISBLANK(Actuals!C33)),"",Actuals!C33)</f>
        <v>-3405.64</v>
      </c>
      <c r="D27" s="530">
        <f>IF(OR(1&gt;$B$3,ISBLANK(Actuals!C33)),"",Budget!C33-Actuals!C33)</f>
        <v>3405.64</v>
      </c>
      <c r="E27" s="530">
        <f>IFERROR(IF(OR(1&gt;$B$3,ISBLANK(Actuals!C33)),"",(Budget!C33-Actuals!C33)/ABS(Budget!C33)),"")</f>
      </c>
      <c r="F27" s="529">
        <f>Budget!D33</f>
        <v>0</v>
      </c>
      <c r="G27" s="529">
        <f>IF(OR(2&gt;$B$3,ISBLANK(Actuals!D33)),"",Actuals!D33)</f>
        <v>-5015.38</v>
      </c>
      <c r="H27" s="530">
        <f>IF(OR(2&gt;$B$3,ISBLANK(Actuals!D33)),"",Budget!D33-Actuals!D33)</f>
        <v>5015.38</v>
      </c>
      <c r="I27" s="530">
        <f>IFERROR(IF(OR(2&gt;$B$3,ISBLANK(Actuals!D33)),"",(Budget!D33-Actuals!D33)/ABS(Budget!D33)),"")</f>
      </c>
      <c r="J27" s="529">
        <f>Budget!E33</f>
        <v>0</v>
      </c>
      <c r="K27" s="529">
        <f>IF(OR(3&gt;$B$3,ISBLANK(Actuals!E33)),"",Actuals!E33)</f>
        <v>-7481.39</v>
      </c>
      <c r="L27" s="530">
        <f>IF(OR(3&gt;$B$3,ISBLANK(Actuals!E33)),"",Budget!E33-Actuals!E33)</f>
        <v>7481.39</v>
      </c>
      <c r="M27" s="530">
        <f>IFERROR(IF(OR(3&gt;$B$3,ISBLANK(Actuals!E33)),"",(Budget!E33-Actuals!E33)/ABS(Budget!E33)),"")</f>
      </c>
      <c r="N27" s="529">
        <f>Budget!F33</f>
        <v>0</v>
      </c>
      <c r="O27" s="529">
        <f>IF(OR(4&gt;$B$3,ISBLANK(Actuals!F33)),"",Actuals!F33)</f>
        <v>-5111.12</v>
      </c>
      <c r="P27" s="530">
        <f>IF(OR(4&gt;$B$3,ISBLANK(Actuals!F33)),"",Budget!F33-Actuals!F33)</f>
        <v>5111.12</v>
      </c>
      <c r="Q27" s="530">
        <f>IFERROR(IF(OR(4&gt;$B$3,ISBLANK(Actuals!F33)),"",(Budget!F33-Actuals!F33)/ABS(Budget!F33)),"")</f>
      </c>
      <c r="R27" s="529">
        <f>Budget!G33</f>
        <v>0</v>
      </c>
      <c r="S27" s="529">
        <f>IF(OR(5&gt;$B$3,ISBLANK(Actuals!G33)),"",Actuals!G33)</f>
        <v>-4038.48</v>
      </c>
      <c r="T27" s="530">
        <f>IF(OR(5&gt;$B$3,ISBLANK(Actuals!G33)),"",Budget!G33-Actuals!G33)</f>
        <v>4038.48</v>
      </c>
      <c r="U27" s="530">
        <f>IFERROR(IF(OR(5&gt;$B$3,ISBLANK(Actuals!G33)),"",(Budget!G33-Actuals!G33)/ABS(Budget!G33)),"")</f>
      </c>
      <c r="V27" s="529">
        <f>Budget!H33</f>
        <v>0</v>
      </c>
      <c r="W27" s="529">
        <f>IF(OR(6&gt;$B$3,ISBLANK(Actuals!H33)),"",Actuals!H33)</f>
        <v>-6114.98</v>
      </c>
      <c r="X27" s="530">
        <f>IF(OR(6&gt;$B$3,ISBLANK(Actuals!H33)),"",Budget!H33-Actuals!H33)</f>
        <v>6114.98</v>
      </c>
      <c r="Y27" s="530">
        <f>IFERROR(IF(OR(6&gt;$B$3,ISBLANK(Actuals!H33)),"",(Budget!H33-Actuals!H33)/ABS(Budget!H33)),"")</f>
      </c>
      <c r="Z27" s="529">
        <f>Budget!I33</f>
        <v>0</v>
      </c>
      <c r="AA27" s="529">
        <f>IF(OR(7&gt;$B$3,ISBLANK(Actuals!I33)),"",Actuals!I33)</f>
      </c>
      <c r="AB27" s="530">
        <f>IF(OR(7&gt;$B$3,ISBLANK(Actuals!I33)),"",Budget!I33-Actuals!I33)</f>
      </c>
      <c r="AC27" s="530">
        <f>IFERROR(IF(OR(7&gt;$B$3,ISBLANK(Actuals!I33)),"",(Budget!I33-Actuals!I33)/ABS(Budget!I33)),"")</f>
      </c>
      <c r="AD27" s="529">
        <f>Budget!J33</f>
        <v>0</v>
      </c>
      <c r="AE27" s="529">
        <f>IF(OR(8&gt;$B$3,ISBLANK(Actuals!J33)),"",Actuals!J33)</f>
      </c>
      <c r="AF27" s="530">
        <f>IF(OR(8&gt;$B$3,ISBLANK(Actuals!J33)),"",Budget!J33-Actuals!J33)</f>
      </c>
      <c r="AG27" s="530">
        <f>IFERROR(IF(OR(8&gt;$B$3,ISBLANK(Actuals!J33)),"",(Budget!J33-Actuals!J33)/ABS(Budget!J33)),"")</f>
      </c>
      <c r="AH27" s="529">
        <f>Budget!K33</f>
        <v>0</v>
      </c>
      <c r="AI27" s="529">
        <f>IF(OR(9&gt;$B$3,ISBLANK(Actuals!K33)),"",Actuals!K33)</f>
      </c>
      <c r="AJ27" s="530">
        <f>IF(OR(9&gt;$B$3,ISBLANK(Actuals!K33)),"",Budget!K33-Actuals!K33)</f>
      </c>
      <c r="AK27" s="530">
        <f>IFERROR(IF(OR(9&gt;$B$3,ISBLANK(Actuals!K33)),"",(Budget!K33-Actuals!K33)/ABS(Budget!K33)),"")</f>
      </c>
      <c r="AL27" s="529">
        <f>Budget!L33</f>
        <v>0</v>
      </c>
      <c r="AM27" s="529">
        <f>IF(OR(10&gt;$B$3,ISBLANK(Actuals!L33)),"",Actuals!L33)</f>
      </c>
      <c r="AN27" s="530">
        <f>IF(OR(10&gt;$B$3,ISBLANK(Actuals!L33)),"",Budget!L33-Actuals!L33)</f>
      </c>
      <c r="AO27" s="530">
        <f>IFERROR(IF(OR(10&gt;$B$3,ISBLANK(Actuals!L33)),"",(Budget!L33-Actuals!L33)/ABS(Budget!L33)),"")</f>
      </c>
      <c r="AP27" s="529">
        <f>Budget!M33</f>
        <v>0</v>
      </c>
      <c r="AQ27" s="529">
        <f>IF(OR(11&gt;$B$3,ISBLANK(Actuals!M33)),"",Actuals!M33)</f>
      </c>
      <c r="AR27" s="530">
        <f>IF(OR(11&gt;$B$3,ISBLANK(Actuals!M33)),"",Budget!M33-Actuals!M33)</f>
      </c>
      <c r="AS27" s="530">
        <f>IFERROR(IF(OR(11&gt;$B$3,ISBLANK(Actuals!M33)),"",(Budget!M33-Actuals!M33)/ABS(Budget!M33)),"")</f>
      </c>
      <c r="AT27" s="529">
        <f>Budget!N33</f>
        <v>0</v>
      </c>
      <c r="AU27" s="529">
        <f>IF(OR(12&gt;$B$3,ISBLANK(Actuals!N33)),"",Actuals!N33)</f>
      </c>
      <c r="AV27" s="530">
        <f>IF(OR(12&gt;$B$3,ISBLANK(Actuals!N33)),"",Budget!N33-Actuals!N33)</f>
      </c>
      <c r="AW27" s="530">
        <f>IFERROR(IF(OR(12&gt;$B$3,ISBLANK(Actuals!N33)),"",(Budget!N33-Actuals!N33)/ABS(Budget!N33)),"")</f>
      </c>
      <c r="AX27" s="531">
        <f>SUMPRODUCT((Actuals!C33:N33&lt;&gt;"")*(Budget!C33:N33))</f>
        <v>0</v>
      </c>
      <c r="AY27" s="531">
        <f>SUM(Actuals!C33:N33)</f>
        <v>-31166.99</v>
      </c>
      <c r="AZ27" s="532">
        <f>AX27-AY27</f>
        <v>31166.99</v>
      </c>
    </row>
    <row r="28" ht="15" customFormat="1" customHeight="1" s="381">
      <c r="A28" s="528" t="inlineStr">
        <is>
          <t>5200-1054 Telephone Expenses</t>
        </is>
      </c>
      <c r="B28" s="529">
        <f>Budget!C34</f>
        <v>-300</v>
      </c>
      <c r="C28" s="529">
        <f>IF(OR(1&gt;$B$3,ISBLANK(Actuals!C34)),"",Actuals!C34)</f>
        <v>0</v>
      </c>
      <c r="D28" s="530">
        <f>IF(OR(1&gt;$B$3,ISBLANK(Actuals!C34)),"",Budget!C34-Actuals!C34)</f>
        <v>-300</v>
      </c>
      <c r="E28" s="530">
        <f>IFERROR(IF(OR(1&gt;$B$3,ISBLANK(Actuals!C34)),"",(Budget!C34-Actuals!C34)/ABS(Budget!C34)),"")</f>
        <v>-1</v>
      </c>
      <c r="F28" s="529">
        <f>Budget!D34</f>
        <v>-300</v>
      </c>
      <c r="G28" s="529">
        <f>IF(OR(2&gt;$B$3,ISBLANK(Actuals!D34)),"",Actuals!D34)</f>
        <v>-1766.48</v>
      </c>
      <c r="H28" s="530">
        <f>IF(OR(2&gt;$B$3,ISBLANK(Actuals!D34)),"",Budget!D34-Actuals!D34)</f>
        <v>1466.48</v>
      </c>
      <c r="I28" s="530">
        <f>IFERROR(IF(OR(2&gt;$B$3,ISBLANK(Actuals!D34)),"",(Budget!D34-Actuals!D34)/ABS(Budget!D34)),"")</f>
        <v>4.88826666666667</v>
      </c>
      <c r="J28" s="529">
        <f>Budget!E34</f>
        <v>-300</v>
      </c>
      <c r="K28" s="529">
        <f>IF(OR(3&gt;$B$3,ISBLANK(Actuals!E34)),"",Actuals!E34)</f>
        <v>-441.62</v>
      </c>
      <c r="L28" s="530">
        <f>IF(OR(3&gt;$B$3,ISBLANK(Actuals!E34)),"",Budget!E34-Actuals!E34)</f>
        <v>141.62</v>
      </c>
      <c r="M28" s="530">
        <f>IFERROR(IF(OR(3&gt;$B$3,ISBLANK(Actuals!E34)),"",(Budget!E34-Actuals!E34)/ABS(Budget!E34)),"")</f>
        <v>0.472066666666667</v>
      </c>
      <c r="N28" s="529">
        <f>Budget!F34</f>
        <v>-300</v>
      </c>
      <c r="O28" s="529">
        <f>IF(OR(4&gt;$B$3,ISBLANK(Actuals!F34)),"",Actuals!F34)</f>
        <v>-441.62</v>
      </c>
      <c r="P28" s="530">
        <f>IF(OR(4&gt;$B$3,ISBLANK(Actuals!F34)),"",Budget!F34-Actuals!F34)</f>
        <v>141.62</v>
      </c>
      <c r="Q28" s="530">
        <f>IFERROR(IF(OR(4&gt;$B$3,ISBLANK(Actuals!F34)),"",(Budget!F34-Actuals!F34)/ABS(Budget!F34)),"")</f>
        <v>0.472066666666667</v>
      </c>
      <c r="R28" s="529">
        <f>Budget!G34</f>
        <v>-300</v>
      </c>
      <c r="S28" s="529">
        <f>IF(OR(5&gt;$B$3,ISBLANK(Actuals!G34)),"",Actuals!G34)</f>
        <v>-578.62</v>
      </c>
      <c r="T28" s="530">
        <f>IF(OR(5&gt;$B$3,ISBLANK(Actuals!G34)),"",Budget!G34-Actuals!G34)</f>
        <v>278.62</v>
      </c>
      <c r="U28" s="530">
        <f>IFERROR(IF(OR(5&gt;$B$3,ISBLANK(Actuals!G34)),"",(Budget!G34-Actuals!G34)/ABS(Budget!G34)),"")</f>
        <v>0.928733333333333</v>
      </c>
      <c r="V28" s="529">
        <f>Budget!H34</f>
        <v>-300</v>
      </c>
      <c r="W28" s="529">
        <f>IF(OR(6&gt;$B$3,ISBLANK(Actuals!H34)),"",Actuals!H34)</f>
        <v>-491.62</v>
      </c>
      <c r="X28" s="530">
        <f>IF(OR(6&gt;$B$3,ISBLANK(Actuals!H34)),"",Budget!H34-Actuals!H34)</f>
        <v>191.62</v>
      </c>
      <c r="Y28" s="530">
        <f>IFERROR(IF(OR(6&gt;$B$3,ISBLANK(Actuals!H34)),"",(Budget!H34-Actuals!H34)/ABS(Budget!H34)),"")</f>
        <v>0.638733333333333</v>
      </c>
      <c r="Z28" s="529">
        <f>Budget!I34</f>
        <v>-306</v>
      </c>
      <c r="AA28" s="529">
        <f>IF(OR(7&gt;$B$3,ISBLANK(Actuals!I34)),"",Actuals!I34)</f>
      </c>
      <c r="AB28" s="530">
        <f>IF(OR(7&gt;$B$3,ISBLANK(Actuals!I34)),"",Budget!I34-Actuals!I34)</f>
      </c>
      <c r="AC28" s="530">
        <f>IFERROR(IF(OR(7&gt;$B$3,ISBLANK(Actuals!I34)),"",(Budget!I34-Actuals!I34)/ABS(Budget!I34)),"")</f>
      </c>
      <c r="AD28" s="529">
        <f>Budget!J34</f>
        <v>-306</v>
      </c>
      <c r="AE28" s="529">
        <f>IF(OR(8&gt;$B$3,ISBLANK(Actuals!J34)),"",Actuals!J34)</f>
      </c>
      <c r="AF28" s="530">
        <f>IF(OR(8&gt;$B$3,ISBLANK(Actuals!J34)),"",Budget!J34-Actuals!J34)</f>
      </c>
      <c r="AG28" s="530">
        <f>IFERROR(IF(OR(8&gt;$B$3,ISBLANK(Actuals!J34)),"",(Budget!J34-Actuals!J34)/ABS(Budget!J34)),"")</f>
      </c>
      <c r="AH28" s="529">
        <f>Budget!K34</f>
        <v>-306</v>
      </c>
      <c r="AI28" s="529">
        <f>IF(OR(9&gt;$B$3,ISBLANK(Actuals!K34)),"",Actuals!K34)</f>
      </c>
      <c r="AJ28" s="530">
        <f>IF(OR(9&gt;$B$3,ISBLANK(Actuals!K34)),"",Budget!K34-Actuals!K34)</f>
      </c>
      <c r="AK28" s="530">
        <f>IFERROR(IF(OR(9&gt;$B$3,ISBLANK(Actuals!K34)),"",(Budget!K34-Actuals!K34)/ABS(Budget!K34)),"")</f>
      </c>
      <c r="AL28" s="529">
        <f>Budget!L34</f>
        <v>-306</v>
      </c>
      <c r="AM28" s="529">
        <f>IF(OR(10&gt;$B$3,ISBLANK(Actuals!L34)),"",Actuals!L34)</f>
      </c>
      <c r="AN28" s="530">
        <f>IF(OR(10&gt;$B$3,ISBLANK(Actuals!L34)),"",Budget!L34-Actuals!L34)</f>
      </c>
      <c r="AO28" s="530">
        <f>IFERROR(IF(OR(10&gt;$B$3,ISBLANK(Actuals!L34)),"",(Budget!L34-Actuals!L34)/ABS(Budget!L34)),"")</f>
      </c>
      <c r="AP28" s="529">
        <f>Budget!M34</f>
        <v>-306</v>
      </c>
      <c r="AQ28" s="529">
        <f>IF(OR(11&gt;$B$3,ISBLANK(Actuals!M34)),"",Actuals!M34)</f>
      </c>
      <c r="AR28" s="530">
        <f>IF(OR(11&gt;$B$3,ISBLANK(Actuals!M34)),"",Budget!M34-Actuals!M34)</f>
      </c>
      <c r="AS28" s="530">
        <f>IFERROR(IF(OR(11&gt;$B$3,ISBLANK(Actuals!M34)),"",(Budget!M34-Actuals!M34)/ABS(Budget!M34)),"")</f>
      </c>
      <c r="AT28" s="529">
        <f>Budget!N34</f>
        <v>-306</v>
      </c>
      <c r="AU28" s="529">
        <f>IF(OR(12&gt;$B$3,ISBLANK(Actuals!N34)),"",Actuals!N34)</f>
      </c>
      <c r="AV28" s="530">
        <f>IF(OR(12&gt;$B$3,ISBLANK(Actuals!N34)),"",Budget!N34-Actuals!N34)</f>
      </c>
      <c r="AW28" s="530">
        <f>IFERROR(IF(OR(12&gt;$B$3,ISBLANK(Actuals!N34)),"",(Budget!N34-Actuals!N34)/ABS(Budget!N34)),"")</f>
      </c>
      <c r="AX28" s="531">
        <f>SUMPRODUCT((Actuals!C34:N34&lt;&gt;"")*(Budget!C34:N34))</f>
        <v>-1800</v>
      </c>
      <c r="AY28" s="531">
        <f>SUM(Actuals!C34:N34)</f>
        <v>-3719.96</v>
      </c>
      <c r="AZ28" s="532">
        <f>AX28-AY28</f>
        <v>1919.96</v>
      </c>
    </row>
    <row r="29" ht="15" customFormat="1" customHeight="1" s="381">
      <c r="A29" s="528" t="inlineStr">
        <is>
          <t>5300-1050 Meals and Entertainment</t>
        </is>
      </c>
      <c r="B29" s="529">
        <f>Budget!C35</f>
        <v>-1500</v>
      </c>
      <c r="C29" s="529">
        <f>IF(OR(1&gt;$B$3,ISBLANK(Actuals!C35)),"",Actuals!C35)</f>
        <v>-681.77</v>
      </c>
      <c r="D29" s="530">
        <f>IF(OR(1&gt;$B$3,ISBLANK(Actuals!C35)),"",Budget!C35-Actuals!C35)</f>
        <v>-818.23</v>
      </c>
      <c r="E29" s="530">
        <f>IFERROR(IF(OR(1&gt;$B$3,ISBLANK(Actuals!C35)),"",(Budget!C35-Actuals!C35)/ABS(Budget!C35)),"")</f>
        <v>-0.545486666666667</v>
      </c>
      <c r="F29" s="529">
        <f>Budget!D35</f>
        <v>-1500</v>
      </c>
      <c r="G29" s="529">
        <f>IF(OR(2&gt;$B$3,ISBLANK(Actuals!D35)),"",Actuals!D35)</f>
        <v>-600.14</v>
      </c>
      <c r="H29" s="530">
        <f>IF(OR(2&gt;$B$3,ISBLANK(Actuals!D35)),"",Budget!D35-Actuals!D35)</f>
        <v>-899.86</v>
      </c>
      <c r="I29" s="530">
        <f>IFERROR(IF(OR(2&gt;$B$3,ISBLANK(Actuals!D35)),"",(Budget!D35-Actuals!D35)/ABS(Budget!D35)),"")</f>
        <v>-0.599906666666667</v>
      </c>
      <c r="J29" s="529">
        <f>Budget!E35</f>
        <v>-1500</v>
      </c>
      <c r="K29" s="529">
        <f>IF(OR(3&gt;$B$3,ISBLANK(Actuals!E35)),"",Actuals!E35)</f>
        <v>-2121.95</v>
      </c>
      <c r="L29" s="530">
        <f>IF(OR(3&gt;$B$3,ISBLANK(Actuals!E35)),"",Budget!E35-Actuals!E35)</f>
        <v>621.95</v>
      </c>
      <c r="M29" s="530">
        <f>IFERROR(IF(OR(3&gt;$B$3,ISBLANK(Actuals!E35)),"",(Budget!E35-Actuals!E35)/ABS(Budget!E35)),"")</f>
        <v>0.414633333333333</v>
      </c>
      <c r="N29" s="529">
        <f>Budget!F35</f>
        <v>-1500</v>
      </c>
      <c r="O29" s="529">
        <f>IF(OR(4&gt;$B$3,ISBLANK(Actuals!F35)),"",Actuals!F35)</f>
        <v>-840.49</v>
      </c>
      <c r="P29" s="530">
        <f>IF(OR(4&gt;$B$3,ISBLANK(Actuals!F35)),"",Budget!F35-Actuals!F35)</f>
        <v>-659.51</v>
      </c>
      <c r="Q29" s="530">
        <f>IFERROR(IF(OR(4&gt;$B$3,ISBLANK(Actuals!F35)),"",(Budget!F35-Actuals!F35)/ABS(Budget!F35)),"")</f>
        <v>-0.439673333333333</v>
      </c>
      <c r="R29" s="529">
        <f>Budget!G35</f>
        <v>-1500</v>
      </c>
      <c r="S29" s="529">
        <f>IF(OR(5&gt;$B$3,ISBLANK(Actuals!G35)),"",Actuals!G35)</f>
        <v>-847.85</v>
      </c>
      <c r="T29" s="530">
        <f>IF(OR(5&gt;$B$3,ISBLANK(Actuals!G35)),"",Budget!G35-Actuals!G35)</f>
        <v>-652.15</v>
      </c>
      <c r="U29" s="530">
        <f>IFERROR(IF(OR(5&gt;$B$3,ISBLANK(Actuals!G35)),"",(Budget!G35-Actuals!G35)/ABS(Budget!G35)),"")</f>
        <v>-0.434766666666667</v>
      </c>
      <c r="V29" s="529">
        <f>Budget!H35</f>
        <v>-1500</v>
      </c>
      <c r="W29" s="529">
        <f>IF(OR(6&gt;$B$3,ISBLANK(Actuals!H35)),"",Actuals!H35)</f>
        <v>-486.63</v>
      </c>
      <c r="X29" s="530">
        <f>IF(OR(6&gt;$B$3,ISBLANK(Actuals!H35)),"",Budget!H35-Actuals!H35)</f>
        <v>-1013.37</v>
      </c>
      <c r="Y29" s="530">
        <f>IFERROR(IF(OR(6&gt;$B$3,ISBLANK(Actuals!H35)),"",(Budget!H35-Actuals!H35)/ABS(Budget!H35)),"")</f>
        <v>-0.67558</v>
      </c>
      <c r="Z29" s="529">
        <f>Budget!I35</f>
        <v>-1530</v>
      </c>
      <c r="AA29" s="529">
        <f>IF(OR(7&gt;$B$3,ISBLANK(Actuals!I35)),"",Actuals!I35)</f>
      </c>
      <c r="AB29" s="530">
        <f>IF(OR(7&gt;$B$3,ISBLANK(Actuals!I35)),"",Budget!I35-Actuals!I35)</f>
      </c>
      <c r="AC29" s="530">
        <f>IFERROR(IF(OR(7&gt;$B$3,ISBLANK(Actuals!I35)),"",(Budget!I35-Actuals!I35)/ABS(Budget!I35)),"")</f>
      </c>
      <c r="AD29" s="529">
        <f>Budget!J35</f>
        <v>-1530</v>
      </c>
      <c r="AE29" s="529">
        <f>IF(OR(8&gt;$B$3,ISBLANK(Actuals!J35)),"",Actuals!J35)</f>
      </c>
      <c r="AF29" s="530">
        <f>IF(OR(8&gt;$B$3,ISBLANK(Actuals!J35)),"",Budget!J35-Actuals!J35)</f>
      </c>
      <c r="AG29" s="530">
        <f>IFERROR(IF(OR(8&gt;$B$3,ISBLANK(Actuals!J35)),"",(Budget!J35-Actuals!J35)/ABS(Budget!J35)),"")</f>
      </c>
      <c r="AH29" s="529">
        <f>Budget!K35</f>
        <v>-1530</v>
      </c>
      <c r="AI29" s="529">
        <f>IF(OR(9&gt;$B$3,ISBLANK(Actuals!K35)),"",Actuals!K35)</f>
      </c>
      <c r="AJ29" s="530">
        <f>IF(OR(9&gt;$B$3,ISBLANK(Actuals!K35)),"",Budget!K35-Actuals!K35)</f>
      </c>
      <c r="AK29" s="530">
        <f>IFERROR(IF(OR(9&gt;$B$3,ISBLANK(Actuals!K35)),"",(Budget!K35-Actuals!K35)/ABS(Budget!K35)),"")</f>
      </c>
      <c r="AL29" s="529">
        <f>Budget!L35</f>
        <v>-1530</v>
      </c>
      <c r="AM29" s="529">
        <f>IF(OR(10&gt;$B$3,ISBLANK(Actuals!L35)),"",Actuals!L35)</f>
      </c>
      <c r="AN29" s="530">
        <f>IF(OR(10&gt;$B$3,ISBLANK(Actuals!L35)),"",Budget!L35-Actuals!L35)</f>
      </c>
      <c r="AO29" s="530">
        <f>IFERROR(IF(OR(10&gt;$B$3,ISBLANK(Actuals!L35)),"",(Budget!L35-Actuals!L35)/ABS(Budget!L35)),"")</f>
      </c>
      <c r="AP29" s="529">
        <f>Budget!M35</f>
        <v>-1530</v>
      </c>
      <c r="AQ29" s="529">
        <f>IF(OR(11&gt;$B$3,ISBLANK(Actuals!M35)),"",Actuals!M35)</f>
      </c>
      <c r="AR29" s="530">
        <f>IF(OR(11&gt;$B$3,ISBLANK(Actuals!M35)),"",Budget!M35-Actuals!M35)</f>
      </c>
      <c r="AS29" s="530">
        <f>IFERROR(IF(OR(11&gt;$B$3,ISBLANK(Actuals!M35)),"",(Budget!M35-Actuals!M35)/ABS(Budget!M35)),"")</f>
      </c>
      <c r="AT29" s="529">
        <f>Budget!N35</f>
        <v>-1530</v>
      </c>
      <c r="AU29" s="529">
        <f>IF(OR(12&gt;$B$3,ISBLANK(Actuals!N35)),"",Actuals!N35)</f>
      </c>
      <c r="AV29" s="530">
        <f>IF(OR(12&gt;$B$3,ISBLANK(Actuals!N35)),"",Budget!N35-Actuals!N35)</f>
      </c>
      <c r="AW29" s="530">
        <f>IFERROR(IF(OR(12&gt;$B$3,ISBLANK(Actuals!N35)),"",(Budget!N35-Actuals!N35)/ABS(Budget!N35)),"")</f>
      </c>
      <c r="AX29" s="531">
        <f>SUMPRODUCT((Actuals!C35:N35&lt;&gt;"")*(Budget!C35:N35))</f>
        <v>-9000</v>
      </c>
      <c r="AY29" s="531">
        <f>SUM(Actuals!C35:N35)</f>
        <v>-5578.83</v>
      </c>
      <c r="AZ29" s="532">
        <f>AX29-AY29</f>
        <v>-3421.17</v>
      </c>
    </row>
    <row r="30" ht="15" customFormat="1" customHeight="1" s="381">
      <c r="A30" s="528" t="inlineStr">
        <is>
          <t>5500-1000 Legal and Professional Fees</t>
        </is>
      </c>
      <c r="B30" s="529">
        <f>Budget!C36</f>
        <v>-1000</v>
      </c>
      <c r="C30" s="529">
        <f>IF(OR(1&gt;$B$3,ISBLANK(Actuals!C36)),"",Actuals!C36)</f>
        <v>-2187.5</v>
      </c>
      <c r="D30" s="530">
        <f>IF(OR(1&gt;$B$3,ISBLANK(Actuals!C36)),"",Budget!C36-Actuals!C36)</f>
        <v>1187.5</v>
      </c>
      <c r="E30" s="530">
        <f>IFERROR(IF(OR(1&gt;$B$3,ISBLANK(Actuals!C36)),"",(Budget!C36-Actuals!C36)/ABS(Budget!C36)),"")</f>
        <v>1.1875</v>
      </c>
      <c r="F30" s="529">
        <f>Budget!D36</f>
        <v>-1000</v>
      </c>
      <c r="G30" s="529">
        <f>IF(OR(2&gt;$B$3,ISBLANK(Actuals!D36)),"",Actuals!D36)</f>
        <v>0</v>
      </c>
      <c r="H30" s="530">
        <f>IF(OR(2&gt;$B$3,ISBLANK(Actuals!D36)),"",Budget!D36-Actuals!D36)</f>
        <v>-1000</v>
      </c>
      <c r="I30" s="530">
        <f>IFERROR(IF(OR(2&gt;$B$3,ISBLANK(Actuals!D36)),"",(Budget!D36-Actuals!D36)/ABS(Budget!D36)),"")</f>
        <v>-1</v>
      </c>
      <c r="J30" s="529">
        <f>Budget!E36</f>
        <v>-1000</v>
      </c>
      <c r="K30" s="529">
        <f>IF(OR(3&gt;$B$3,ISBLANK(Actuals!E36)),"",Actuals!E36)</f>
        <v>-1625</v>
      </c>
      <c r="L30" s="530">
        <f>IF(OR(3&gt;$B$3,ISBLANK(Actuals!E36)),"",Budget!E36-Actuals!E36)</f>
        <v>625</v>
      </c>
      <c r="M30" s="530">
        <f>IFERROR(IF(OR(3&gt;$B$3,ISBLANK(Actuals!E36)),"",(Budget!E36-Actuals!E36)/ABS(Budget!E36)),"")</f>
        <v>0.625</v>
      </c>
      <c r="N30" s="529">
        <f>Budget!F36</f>
        <v>-1000</v>
      </c>
      <c r="O30" s="529">
        <f>IF(OR(4&gt;$B$3,ISBLANK(Actuals!F36)),"",Actuals!F36)</f>
        <v>0</v>
      </c>
      <c r="P30" s="530">
        <f>IF(OR(4&gt;$B$3,ISBLANK(Actuals!F36)),"",Budget!F36-Actuals!F36)</f>
        <v>-1000</v>
      </c>
      <c r="Q30" s="530">
        <f>IFERROR(IF(OR(4&gt;$B$3,ISBLANK(Actuals!F36)),"",(Budget!F36-Actuals!F36)/ABS(Budget!F36)),"")</f>
        <v>-1</v>
      </c>
      <c r="R30" s="529">
        <f>Budget!G36</f>
        <v>-1000</v>
      </c>
      <c r="S30" s="529">
        <f>IF(OR(5&gt;$B$3,ISBLANK(Actuals!G36)),"",Actuals!G36)</f>
        <v>0</v>
      </c>
      <c r="T30" s="530">
        <f>IF(OR(5&gt;$B$3,ISBLANK(Actuals!G36)),"",Budget!G36-Actuals!G36)</f>
        <v>-1000</v>
      </c>
      <c r="U30" s="530">
        <f>IFERROR(IF(OR(5&gt;$B$3,ISBLANK(Actuals!G36)),"",(Budget!G36-Actuals!G36)/ABS(Budget!G36)),"")</f>
        <v>-1</v>
      </c>
      <c r="V30" s="529">
        <f>Budget!H36</f>
        <v>-1000</v>
      </c>
      <c r="W30" s="529">
        <f>IF(OR(6&gt;$B$3,ISBLANK(Actuals!H36)),"",Actuals!H36)</f>
        <v>0</v>
      </c>
      <c r="X30" s="530">
        <f>IF(OR(6&gt;$B$3,ISBLANK(Actuals!H36)),"",Budget!H36-Actuals!H36)</f>
        <v>-1000</v>
      </c>
      <c r="Y30" s="530">
        <f>IFERROR(IF(OR(6&gt;$B$3,ISBLANK(Actuals!H36)),"",(Budget!H36-Actuals!H36)/ABS(Budget!H36)),"")</f>
        <v>-1</v>
      </c>
      <c r="Z30" s="529">
        <f>Budget!I36</f>
        <v>-1020</v>
      </c>
      <c r="AA30" s="529">
        <f>IF(OR(7&gt;$B$3,ISBLANK(Actuals!I36)),"",Actuals!I36)</f>
      </c>
      <c r="AB30" s="530">
        <f>IF(OR(7&gt;$B$3,ISBLANK(Actuals!I36)),"",Budget!I36-Actuals!I36)</f>
      </c>
      <c r="AC30" s="530">
        <f>IFERROR(IF(OR(7&gt;$B$3,ISBLANK(Actuals!I36)),"",(Budget!I36-Actuals!I36)/ABS(Budget!I36)),"")</f>
      </c>
      <c r="AD30" s="529">
        <f>Budget!J36</f>
        <v>-1020</v>
      </c>
      <c r="AE30" s="529">
        <f>IF(OR(8&gt;$B$3,ISBLANK(Actuals!J36)),"",Actuals!J36)</f>
      </c>
      <c r="AF30" s="530">
        <f>IF(OR(8&gt;$B$3,ISBLANK(Actuals!J36)),"",Budget!J36-Actuals!J36)</f>
      </c>
      <c r="AG30" s="530">
        <f>IFERROR(IF(OR(8&gt;$B$3,ISBLANK(Actuals!J36)),"",(Budget!J36-Actuals!J36)/ABS(Budget!J36)),"")</f>
      </c>
      <c r="AH30" s="529">
        <f>Budget!K36</f>
        <v>-1020</v>
      </c>
      <c r="AI30" s="529">
        <f>IF(OR(9&gt;$B$3,ISBLANK(Actuals!K36)),"",Actuals!K36)</f>
      </c>
      <c r="AJ30" s="530">
        <f>IF(OR(9&gt;$B$3,ISBLANK(Actuals!K36)),"",Budget!K36-Actuals!K36)</f>
      </c>
      <c r="AK30" s="530">
        <f>IFERROR(IF(OR(9&gt;$B$3,ISBLANK(Actuals!K36)),"",(Budget!K36-Actuals!K36)/ABS(Budget!K36)),"")</f>
      </c>
      <c r="AL30" s="529">
        <f>Budget!L36</f>
        <v>-1020</v>
      </c>
      <c r="AM30" s="529">
        <f>IF(OR(10&gt;$B$3,ISBLANK(Actuals!L36)),"",Actuals!L36)</f>
      </c>
      <c r="AN30" s="530">
        <f>IF(OR(10&gt;$B$3,ISBLANK(Actuals!L36)),"",Budget!L36-Actuals!L36)</f>
      </c>
      <c r="AO30" s="530">
        <f>IFERROR(IF(OR(10&gt;$B$3,ISBLANK(Actuals!L36)),"",(Budget!L36-Actuals!L36)/ABS(Budget!L36)),"")</f>
      </c>
      <c r="AP30" s="529">
        <f>Budget!M36</f>
        <v>-1020</v>
      </c>
      <c r="AQ30" s="529">
        <f>IF(OR(11&gt;$B$3,ISBLANK(Actuals!M36)),"",Actuals!M36)</f>
      </c>
      <c r="AR30" s="530">
        <f>IF(OR(11&gt;$B$3,ISBLANK(Actuals!M36)),"",Budget!M36-Actuals!M36)</f>
      </c>
      <c r="AS30" s="530">
        <f>IFERROR(IF(OR(11&gt;$B$3,ISBLANK(Actuals!M36)),"",(Budget!M36-Actuals!M36)/ABS(Budget!M36)),"")</f>
      </c>
      <c r="AT30" s="529">
        <f>Budget!N36</f>
        <v>-1020</v>
      </c>
      <c r="AU30" s="529">
        <f>IF(OR(12&gt;$B$3,ISBLANK(Actuals!N36)),"",Actuals!N36)</f>
      </c>
      <c r="AV30" s="530">
        <f>IF(OR(12&gt;$B$3,ISBLANK(Actuals!N36)),"",Budget!N36-Actuals!N36)</f>
      </c>
      <c r="AW30" s="530">
        <f>IFERROR(IF(OR(12&gt;$B$3,ISBLANK(Actuals!N36)),"",(Budget!N36-Actuals!N36)/ABS(Budget!N36)),"")</f>
      </c>
      <c r="AX30" s="531">
        <f>SUMPRODUCT((Actuals!C36:N36&lt;&gt;"")*(Budget!C36:N36))</f>
        <v>-6000</v>
      </c>
      <c r="AY30" s="531">
        <f>SUM(Actuals!C36:N36)</f>
        <v>-3812.5</v>
      </c>
      <c r="AZ30" s="532">
        <f>AX30-AY30</f>
        <v>-2187.5</v>
      </c>
    </row>
    <row r="31" ht="15" customFormat="1" customHeight="1" s="381">
      <c r="A31" s="528" t="inlineStr">
        <is>
          <t>5500-1002 Accounting Consulting and Overhead</t>
        </is>
      </c>
      <c r="B31" s="529">
        <f>Budget!C37</f>
        <v>-1000</v>
      </c>
      <c r="C31" s="529">
        <f>IF(OR(1&gt;$B$3,ISBLANK(Actuals!C37)),"",Actuals!C37)</f>
        <v>0</v>
      </c>
      <c r="D31" s="530">
        <f>IF(OR(1&gt;$B$3,ISBLANK(Actuals!C37)),"",Budget!C37-Actuals!C37)</f>
        <v>-1000</v>
      </c>
      <c r="E31" s="530">
        <f>IFERROR(IF(OR(1&gt;$B$3,ISBLANK(Actuals!C37)),"",(Budget!C37-Actuals!C37)/ABS(Budget!C37)),"")</f>
        <v>-1</v>
      </c>
      <c r="F31" s="529">
        <f>Budget!D37</f>
        <v>-1000</v>
      </c>
      <c r="G31" s="529">
        <f>IF(OR(2&gt;$B$3,ISBLANK(Actuals!D37)),"",Actuals!D37)</f>
        <v>-12349</v>
      </c>
      <c r="H31" s="530">
        <f>IF(OR(2&gt;$B$3,ISBLANK(Actuals!D37)),"",Budget!D37-Actuals!D37)</f>
        <v>11349</v>
      </c>
      <c r="I31" s="530">
        <f>IFERROR(IF(OR(2&gt;$B$3,ISBLANK(Actuals!D37)),"",(Budget!D37-Actuals!D37)/ABS(Budget!D37)),"")</f>
        <v>11.349</v>
      </c>
      <c r="J31" s="529">
        <f>Budget!E37</f>
        <v>-1000</v>
      </c>
      <c r="K31" s="529">
        <f>IF(OR(3&gt;$B$3,ISBLANK(Actuals!E37)),"",Actuals!E37)</f>
        <v>-5400</v>
      </c>
      <c r="L31" s="530">
        <f>IF(OR(3&gt;$B$3,ISBLANK(Actuals!E37)),"",Budget!E37-Actuals!E37)</f>
        <v>4400</v>
      </c>
      <c r="M31" s="530">
        <f>IFERROR(IF(OR(3&gt;$B$3,ISBLANK(Actuals!E37)),"",(Budget!E37-Actuals!E37)/ABS(Budget!E37)),"")</f>
        <v>4.4</v>
      </c>
      <c r="N31" s="529">
        <f>Budget!F37</f>
        <v>-1000</v>
      </c>
      <c r="O31" s="529">
        <f>IF(OR(4&gt;$B$3,ISBLANK(Actuals!F37)),"",Actuals!F37)</f>
        <v>-4377</v>
      </c>
      <c r="P31" s="530">
        <f>IF(OR(4&gt;$B$3,ISBLANK(Actuals!F37)),"",Budget!F37-Actuals!F37)</f>
        <v>3377</v>
      </c>
      <c r="Q31" s="530">
        <f>IFERROR(IF(OR(4&gt;$B$3,ISBLANK(Actuals!F37)),"",(Budget!F37-Actuals!F37)/ABS(Budget!F37)),"")</f>
        <v>3.377</v>
      </c>
      <c r="R31" s="529">
        <f>Budget!G37</f>
        <v>-1000</v>
      </c>
      <c r="S31" s="529">
        <f>IF(OR(5&gt;$B$3,ISBLANK(Actuals!G37)),"",Actuals!G37)</f>
        <v>-11750</v>
      </c>
      <c r="T31" s="530">
        <f>IF(OR(5&gt;$B$3,ISBLANK(Actuals!G37)),"",Budget!G37-Actuals!G37)</f>
        <v>10750</v>
      </c>
      <c r="U31" s="530">
        <f>IFERROR(IF(OR(5&gt;$B$3,ISBLANK(Actuals!G37)),"",(Budget!G37-Actuals!G37)/ABS(Budget!G37)),"")</f>
        <v>10.75</v>
      </c>
      <c r="V31" s="529">
        <f>Budget!H37</f>
        <v>-1000</v>
      </c>
      <c r="W31" s="529">
        <f>IF(OR(6&gt;$B$3,ISBLANK(Actuals!H37)),"",Actuals!H37)</f>
        <v>0</v>
      </c>
      <c r="X31" s="530">
        <f>IF(OR(6&gt;$B$3,ISBLANK(Actuals!H37)),"",Budget!H37-Actuals!H37)</f>
        <v>-1000</v>
      </c>
      <c r="Y31" s="530">
        <f>IFERROR(IF(OR(6&gt;$B$3,ISBLANK(Actuals!H37)),"",(Budget!H37-Actuals!H37)/ABS(Budget!H37)),"")</f>
        <v>-1</v>
      </c>
      <c r="Z31" s="529">
        <f>Budget!I37</f>
        <v>-1020</v>
      </c>
      <c r="AA31" s="529">
        <f>IF(OR(7&gt;$B$3,ISBLANK(Actuals!I37)),"",Actuals!I37)</f>
      </c>
      <c r="AB31" s="530">
        <f>IF(OR(7&gt;$B$3,ISBLANK(Actuals!I37)),"",Budget!I37-Actuals!I37)</f>
      </c>
      <c r="AC31" s="530">
        <f>IFERROR(IF(OR(7&gt;$B$3,ISBLANK(Actuals!I37)),"",(Budget!I37-Actuals!I37)/ABS(Budget!I37)),"")</f>
      </c>
      <c r="AD31" s="529">
        <f>Budget!J37</f>
        <v>-1020</v>
      </c>
      <c r="AE31" s="529">
        <f>IF(OR(8&gt;$B$3,ISBLANK(Actuals!J37)),"",Actuals!J37)</f>
      </c>
      <c r="AF31" s="530">
        <f>IF(OR(8&gt;$B$3,ISBLANK(Actuals!J37)),"",Budget!J37-Actuals!J37)</f>
      </c>
      <c r="AG31" s="530">
        <f>IFERROR(IF(OR(8&gt;$B$3,ISBLANK(Actuals!J37)),"",(Budget!J37-Actuals!J37)/ABS(Budget!J37)),"")</f>
      </c>
      <c r="AH31" s="529">
        <f>Budget!K37</f>
        <v>-1020</v>
      </c>
      <c r="AI31" s="529">
        <f>IF(OR(9&gt;$B$3,ISBLANK(Actuals!K37)),"",Actuals!K37)</f>
      </c>
      <c r="AJ31" s="530">
        <f>IF(OR(9&gt;$B$3,ISBLANK(Actuals!K37)),"",Budget!K37-Actuals!K37)</f>
      </c>
      <c r="AK31" s="530">
        <f>IFERROR(IF(OR(9&gt;$B$3,ISBLANK(Actuals!K37)),"",(Budget!K37-Actuals!K37)/ABS(Budget!K37)),"")</f>
      </c>
      <c r="AL31" s="529">
        <f>Budget!L37</f>
        <v>-1020</v>
      </c>
      <c r="AM31" s="529">
        <f>IF(OR(10&gt;$B$3,ISBLANK(Actuals!L37)),"",Actuals!L37)</f>
      </c>
      <c r="AN31" s="530">
        <f>IF(OR(10&gt;$B$3,ISBLANK(Actuals!L37)),"",Budget!L37-Actuals!L37)</f>
      </c>
      <c r="AO31" s="530">
        <f>IFERROR(IF(OR(10&gt;$B$3,ISBLANK(Actuals!L37)),"",(Budget!L37-Actuals!L37)/ABS(Budget!L37)),"")</f>
      </c>
      <c r="AP31" s="529">
        <f>Budget!M37</f>
        <v>-1020</v>
      </c>
      <c r="AQ31" s="529">
        <f>IF(OR(11&gt;$B$3,ISBLANK(Actuals!M37)),"",Actuals!M37)</f>
      </c>
      <c r="AR31" s="530">
        <f>IF(OR(11&gt;$B$3,ISBLANK(Actuals!M37)),"",Budget!M37-Actuals!M37)</f>
      </c>
      <c r="AS31" s="530">
        <f>IFERROR(IF(OR(11&gt;$B$3,ISBLANK(Actuals!M37)),"",(Budget!M37-Actuals!M37)/ABS(Budget!M37)),"")</f>
      </c>
      <c r="AT31" s="529">
        <f>Budget!N37</f>
        <v>-1020</v>
      </c>
      <c r="AU31" s="529">
        <f>IF(OR(12&gt;$B$3,ISBLANK(Actuals!N37)),"",Actuals!N37)</f>
      </c>
      <c r="AV31" s="530">
        <f>IF(OR(12&gt;$B$3,ISBLANK(Actuals!N37)),"",Budget!N37-Actuals!N37)</f>
      </c>
      <c r="AW31" s="530">
        <f>IFERROR(IF(OR(12&gt;$B$3,ISBLANK(Actuals!N37)),"",(Budget!N37-Actuals!N37)/ABS(Budget!N37)),"")</f>
      </c>
      <c r="AX31" s="531">
        <f>SUMPRODUCT((Actuals!C37:N37&lt;&gt;"")*(Budget!C37:N37))</f>
        <v>-6000</v>
      </c>
      <c r="AY31" s="531">
        <f>SUM(Actuals!C37:N37)</f>
        <v>-33876</v>
      </c>
      <c r="AZ31" s="532">
        <f>AX31-AY31</f>
        <v>27876</v>
      </c>
    </row>
    <row r="32" ht="15" customFormat="1" customHeight="1" s="381">
      <c r="A32" s="528" t="inlineStr">
        <is>
          <t>5500-1004 Consultants and Other Professional Expenses</t>
        </is>
      </c>
      <c r="B32" s="529">
        <f>Budget!C38</f>
        <v>0</v>
      </c>
      <c r="C32" s="529">
        <f>IF(OR(1&gt;$B$3,ISBLANK(Actuals!C38)),"",Actuals!C38)</f>
        <v>0</v>
      </c>
      <c r="D32" s="530">
        <f>IF(OR(1&gt;$B$3,ISBLANK(Actuals!C38)),"",Budget!C38-Actuals!C38)</f>
        <v>0</v>
      </c>
      <c r="E32" s="530">
        <f>IFERROR(IF(OR(1&gt;$B$3,ISBLANK(Actuals!C38)),"",(Budget!C38-Actuals!C38)/ABS(Budget!C38)),"")</f>
      </c>
      <c r="F32" s="529">
        <f>Budget!D38</f>
        <v>0</v>
      </c>
      <c r="G32" s="529">
        <f>IF(OR(2&gt;$B$3,ISBLANK(Actuals!D38)),"",Actuals!D38)</f>
        <v>0</v>
      </c>
      <c r="H32" s="530">
        <f>IF(OR(2&gt;$B$3,ISBLANK(Actuals!D38)),"",Budget!D38-Actuals!D38)</f>
        <v>0</v>
      </c>
      <c r="I32" s="530">
        <f>IFERROR(IF(OR(2&gt;$B$3,ISBLANK(Actuals!D38)),"",(Budget!D38-Actuals!D38)/ABS(Budget!D38)),"")</f>
      </c>
      <c r="J32" s="529">
        <f>Budget!E38</f>
        <v>0</v>
      </c>
      <c r="K32" s="529">
        <f>IF(OR(3&gt;$B$3,ISBLANK(Actuals!E38)),"",Actuals!E38)</f>
        <v>-750.4</v>
      </c>
      <c r="L32" s="530">
        <f>IF(OR(3&gt;$B$3,ISBLANK(Actuals!E38)),"",Budget!E38-Actuals!E38)</f>
        <v>750.4</v>
      </c>
      <c r="M32" s="530">
        <f>IFERROR(IF(OR(3&gt;$B$3,ISBLANK(Actuals!E38)),"",(Budget!E38-Actuals!E38)/ABS(Budget!E38)),"")</f>
      </c>
      <c r="N32" s="529">
        <f>Budget!F38</f>
        <v>0</v>
      </c>
      <c r="O32" s="529">
        <f>IF(OR(4&gt;$B$3,ISBLANK(Actuals!F38)),"",Actuals!F38)</f>
        <v>0</v>
      </c>
      <c r="P32" s="530">
        <f>IF(OR(4&gt;$B$3,ISBLANK(Actuals!F38)),"",Budget!F38-Actuals!F38)</f>
        <v>0</v>
      </c>
      <c r="Q32" s="530">
        <f>IFERROR(IF(OR(4&gt;$B$3,ISBLANK(Actuals!F38)),"",(Budget!F38-Actuals!F38)/ABS(Budget!F38)),"")</f>
      </c>
      <c r="R32" s="529">
        <f>Budget!G38</f>
        <v>0</v>
      </c>
      <c r="S32" s="529">
        <f>IF(OR(5&gt;$B$3,ISBLANK(Actuals!G38)),"",Actuals!G38)</f>
        <v>0</v>
      </c>
      <c r="T32" s="530">
        <f>IF(OR(5&gt;$B$3,ISBLANK(Actuals!G38)),"",Budget!G38-Actuals!G38)</f>
        <v>0</v>
      </c>
      <c r="U32" s="530">
        <f>IFERROR(IF(OR(5&gt;$B$3,ISBLANK(Actuals!G38)),"",(Budget!G38-Actuals!G38)/ABS(Budget!G38)),"")</f>
      </c>
      <c r="V32" s="529">
        <f>Budget!H38</f>
        <v>0</v>
      </c>
      <c r="W32" s="529">
        <f>IF(OR(6&gt;$B$3,ISBLANK(Actuals!H38)),"",Actuals!H38)</f>
        <v>0</v>
      </c>
      <c r="X32" s="530">
        <f>IF(OR(6&gt;$B$3,ISBLANK(Actuals!H38)),"",Budget!H38-Actuals!H38)</f>
        <v>0</v>
      </c>
      <c r="Y32" s="530">
        <f>IFERROR(IF(OR(6&gt;$B$3,ISBLANK(Actuals!H38)),"",(Budget!H38-Actuals!H38)/ABS(Budget!H38)),"")</f>
      </c>
      <c r="Z32" s="529">
        <f>Budget!I38</f>
        <v>0</v>
      </c>
      <c r="AA32" s="529">
        <f>IF(OR(7&gt;$B$3,ISBLANK(Actuals!I38)),"",Actuals!I38)</f>
      </c>
      <c r="AB32" s="530">
        <f>IF(OR(7&gt;$B$3,ISBLANK(Actuals!I38)),"",Budget!I38-Actuals!I38)</f>
      </c>
      <c r="AC32" s="530">
        <f>IFERROR(IF(OR(7&gt;$B$3,ISBLANK(Actuals!I38)),"",(Budget!I38-Actuals!I38)/ABS(Budget!I38)),"")</f>
      </c>
      <c r="AD32" s="529">
        <f>Budget!J38</f>
        <v>0</v>
      </c>
      <c r="AE32" s="529">
        <f>IF(OR(8&gt;$B$3,ISBLANK(Actuals!J38)),"",Actuals!J38)</f>
      </c>
      <c r="AF32" s="530">
        <f>IF(OR(8&gt;$B$3,ISBLANK(Actuals!J38)),"",Budget!J38-Actuals!J38)</f>
      </c>
      <c r="AG32" s="530">
        <f>IFERROR(IF(OR(8&gt;$B$3,ISBLANK(Actuals!J38)),"",(Budget!J38-Actuals!J38)/ABS(Budget!J38)),"")</f>
      </c>
      <c r="AH32" s="529">
        <f>Budget!K38</f>
        <v>0</v>
      </c>
      <c r="AI32" s="529">
        <f>IF(OR(9&gt;$B$3,ISBLANK(Actuals!K38)),"",Actuals!K38)</f>
      </c>
      <c r="AJ32" s="530">
        <f>IF(OR(9&gt;$B$3,ISBLANK(Actuals!K38)),"",Budget!K38-Actuals!K38)</f>
      </c>
      <c r="AK32" s="530">
        <f>IFERROR(IF(OR(9&gt;$B$3,ISBLANK(Actuals!K38)),"",(Budget!K38-Actuals!K38)/ABS(Budget!K38)),"")</f>
      </c>
      <c r="AL32" s="529">
        <f>Budget!L38</f>
        <v>0</v>
      </c>
      <c r="AM32" s="529">
        <f>IF(OR(10&gt;$B$3,ISBLANK(Actuals!L38)),"",Actuals!L38)</f>
      </c>
      <c r="AN32" s="530">
        <f>IF(OR(10&gt;$B$3,ISBLANK(Actuals!L38)),"",Budget!L38-Actuals!L38)</f>
      </c>
      <c r="AO32" s="530">
        <f>IFERROR(IF(OR(10&gt;$B$3,ISBLANK(Actuals!L38)),"",(Budget!L38-Actuals!L38)/ABS(Budget!L38)),"")</f>
      </c>
      <c r="AP32" s="529">
        <f>Budget!M38</f>
        <v>0</v>
      </c>
      <c r="AQ32" s="529">
        <f>IF(OR(11&gt;$B$3,ISBLANK(Actuals!M38)),"",Actuals!M38)</f>
      </c>
      <c r="AR32" s="530">
        <f>IF(OR(11&gt;$B$3,ISBLANK(Actuals!M38)),"",Budget!M38-Actuals!M38)</f>
      </c>
      <c r="AS32" s="530">
        <f>IFERROR(IF(OR(11&gt;$B$3,ISBLANK(Actuals!M38)),"",(Budget!M38-Actuals!M38)/ABS(Budget!M38)),"")</f>
      </c>
      <c r="AT32" s="529">
        <f>Budget!N38</f>
        <v>0</v>
      </c>
      <c r="AU32" s="529">
        <f>IF(OR(12&gt;$B$3,ISBLANK(Actuals!N38)),"",Actuals!N38)</f>
      </c>
      <c r="AV32" s="530">
        <f>IF(OR(12&gt;$B$3,ISBLANK(Actuals!N38)),"",Budget!N38-Actuals!N38)</f>
      </c>
      <c r="AW32" s="530">
        <f>IFERROR(IF(OR(12&gt;$B$3,ISBLANK(Actuals!N38)),"",(Budget!N38-Actuals!N38)/ABS(Budget!N38)),"")</f>
      </c>
      <c r="AX32" s="531">
        <f>SUMPRODUCT((Actuals!C38:N38&lt;&gt;"")*(Budget!C38:N38))</f>
        <v>0</v>
      </c>
      <c r="AY32" s="531">
        <f>SUM(Actuals!C38:N38)</f>
        <v>-750.4</v>
      </c>
      <c r="AZ32" s="532">
        <f>AX32-AY32</f>
        <v>750.4</v>
      </c>
    </row>
    <row r="33" ht="15" customFormat="1" customHeight="1" s="381">
      <c r="A33" s="528" t="inlineStr">
        <is>
          <t>5500-1050 General Insurance</t>
        </is>
      </c>
      <c r="B33" s="529">
        <f>Budget!C39</f>
        <v>-1666.67</v>
      </c>
      <c r="C33" s="529">
        <f>IF(OR(1&gt;$B$3,ISBLANK(Actuals!C39)),"",Actuals!C39)</f>
        <v>-1474.63</v>
      </c>
      <c r="D33" s="530">
        <f>IF(OR(1&gt;$B$3,ISBLANK(Actuals!C39)),"",Budget!C39-Actuals!C39)</f>
        <v>-192.04</v>
      </c>
      <c r="E33" s="530">
        <f>IFERROR(IF(OR(1&gt;$B$3,ISBLANK(Actuals!C39)),"",(Budget!C39-Actuals!C39)/ABS(Budget!C39)),"")</f>
        <v>-0.115223769552461</v>
      </c>
      <c r="F33" s="529">
        <f>Budget!D39</f>
        <v>-1666.67</v>
      </c>
      <c r="G33" s="529">
        <f>IF(OR(2&gt;$B$3,ISBLANK(Actuals!D39)),"",Actuals!D39)</f>
        <v>-1449.33</v>
      </c>
      <c r="H33" s="530">
        <f>IF(OR(2&gt;$B$3,ISBLANK(Actuals!D39)),"",Budget!D39-Actuals!D39)</f>
        <v>-217.34</v>
      </c>
      <c r="I33" s="530">
        <f>IFERROR(IF(OR(2&gt;$B$3,ISBLANK(Actuals!D39)),"",(Budget!D39-Actuals!D39)/ABS(Budget!D39)),"")</f>
        <v>-0.130403739192522</v>
      </c>
      <c r="J33" s="529">
        <f>Budget!E39</f>
        <v>-1666.67</v>
      </c>
      <c r="K33" s="529">
        <f>IF(OR(3&gt;$B$3,ISBLANK(Actuals!E39)),"",Actuals!E39)</f>
        <v>-2328.76</v>
      </c>
      <c r="L33" s="530">
        <f>IF(OR(3&gt;$B$3,ISBLANK(Actuals!E39)),"",Budget!E39-Actuals!E39)</f>
        <v>662.09</v>
      </c>
      <c r="M33" s="530">
        <f>IFERROR(IF(OR(3&gt;$B$3,ISBLANK(Actuals!E39)),"",(Budget!E39-Actuals!E39)/ABS(Budget!E39)),"")</f>
        <v>0.397253205493589</v>
      </c>
      <c r="N33" s="529">
        <f>Budget!F39</f>
        <v>-1666.67</v>
      </c>
      <c r="O33" s="529">
        <f>IF(OR(4&gt;$B$3,ISBLANK(Actuals!F39)),"",Actuals!F39)</f>
        <v>-2249.56</v>
      </c>
      <c r="P33" s="530">
        <f>IF(OR(4&gt;$B$3,ISBLANK(Actuals!F39)),"",Budget!F39-Actuals!F39)</f>
        <v>582.89</v>
      </c>
      <c r="Q33" s="530">
        <f>IFERROR(IF(OR(4&gt;$B$3,ISBLANK(Actuals!F39)),"",(Budget!F39-Actuals!F39)/ABS(Budget!F39)),"")</f>
        <v>0.349733300533399</v>
      </c>
      <c r="R33" s="529">
        <f>Budget!G39</f>
        <v>-1666.67</v>
      </c>
      <c r="S33" s="529">
        <f>IF(OR(5&gt;$B$3,ISBLANK(Actuals!G39)),"",Actuals!G39)</f>
        <v>-2759.48</v>
      </c>
      <c r="T33" s="530">
        <f>IF(OR(5&gt;$B$3,ISBLANK(Actuals!G39)),"",Budget!G39-Actuals!G39)</f>
        <v>1092.81</v>
      </c>
      <c r="U33" s="530">
        <f>IFERROR(IF(OR(5&gt;$B$3,ISBLANK(Actuals!G39)),"",(Budget!G39-Actuals!G39)/ABS(Budget!G39)),"")</f>
        <v>0.655684688630623</v>
      </c>
      <c r="V33" s="529">
        <f>Budget!H39</f>
        <v>-1666.67</v>
      </c>
      <c r="W33" s="529">
        <f>IF(OR(6&gt;$B$3,ISBLANK(Actuals!H39)),"",Actuals!H39)</f>
        <v>-2749.12</v>
      </c>
      <c r="X33" s="530">
        <f>IF(OR(6&gt;$B$3,ISBLANK(Actuals!H39)),"",Budget!H39-Actuals!H39)</f>
        <v>1082.45</v>
      </c>
      <c r="Y33" s="530">
        <f>IFERROR(IF(OR(6&gt;$B$3,ISBLANK(Actuals!H39)),"",(Budget!H39-Actuals!H39)/ABS(Budget!H39)),"")</f>
        <v>0.649468701062598</v>
      </c>
      <c r="Z33" s="529">
        <f>Budget!I39</f>
        <v>-1700</v>
      </c>
      <c r="AA33" s="529">
        <f>IF(OR(7&gt;$B$3,ISBLANK(Actuals!I39)),"",Actuals!I39)</f>
      </c>
      <c r="AB33" s="530">
        <f>IF(OR(7&gt;$B$3,ISBLANK(Actuals!I39)),"",Budget!I39-Actuals!I39)</f>
      </c>
      <c r="AC33" s="530">
        <f>IFERROR(IF(OR(7&gt;$B$3,ISBLANK(Actuals!I39)),"",(Budget!I39-Actuals!I39)/ABS(Budget!I39)),"")</f>
      </c>
      <c r="AD33" s="529">
        <f>Budget!J39</f>
        <v>-1700</v>
      </c>
      <c r="AE33" s="529">
        <f>IF(OR(8&gt;$B$3,ISBLANK(Actuals!J39)),"",Actuals!J39)</f>
      </c>
      <c r="AF33" s="530">
        <f>IF(OR(8&gt;$B$3,ISBLANK(Actuals!J39)),"",Budget!J39-Actuals!J39)</f>
      </c>
      <c r="AG33" s="530">
        <f>IFERROR(IF(OR(8&gt;$B$3,ISBLANK(Actuals!J39)),"",(Budget!J39-Actuals!J39)/ABS(Budget!J39)),"")</f>
      </c>
      <c r="AH33" s="529">
        <f>Budget!K39</f>
        <v>-1700</v>
      </c>
      <c r="AI33" s="529">
        <f>IF(OR(9&gt;$B$3,ISBLANK(Actuals!K39)),"",Actuals!K39)</f>
      </c>
      <c r="AJ33" s="530">
        <f>IF(OR(9&gt;$B$3,ISBLANK(Actuals!K39)),"",Budget!K39-Actuals!K39)</f>
      </c>
      <c r="AK33" s="530">
        <f>IFERROR(IF(OR(9&gt;$B$3,ISBLANK(Actuals!K39)),"",(Budget!K39-Actuals!K39)/ABS(Budget!K39)),"")</f>
      </c>
      <c r="AL33" s="529">
        <f>Budget!L39</f>
        <v>-1700</v>
      </c>
      <c r="AM33" s="529">
        <f>IF(OR(10&gt;$B$3,ISBLANK(Actuals!L39)),"",Actuals!L39)</f>
      </c>
      <c r="AN33" s="530">
        <f>IF(OR(10&gt;$B$3,ISBLANK(Actuals!L39)),"",Budget!L39-Actuals!L39)</f>
      </c>
      <c r="AO33" s="530">
        <f>IFERROR(IF(OR(10&gt;$B$3,ISBLANK(Actuals!L39)),"",(Budget!L39-Actuals!L39)/ABS(Budget!L39)),"")</f>
      </c>
      <c r="AP33" s="529">
        <f>Budget!M39</f>
        <v>-1700</v>
      </c>
      <c r="AQ33" s="529">
        <f>IF(OR(11&gt;$B$3,ISBLANK(Actuals!M39)),"",Actuals!M39)</f>
      </c>
      <c r="AR33" s="530">
        <f>IF(OR(11&gt;$B$3,ISBLANK(Actuals!M39)),"",Budget!M39-Actuals!M39)</f>
      </c>
      <c r="AS33" s="530">
        <f>IFERROR(IF(OR(11&gt;$B$3,ISBLANK(Actuals!M39)),"",(Budget!M39-Actuals!M39)/ABS(Budget!M39)),"")</f>
      </c>
      <c r="AT33" s="529">
        <f>Budget!N39</f>
        <v>-1700</v>
      </c>
      <c r="AU33" s="529">
        <f>IF(OR(12&gt;$B$3,ISBLANK(Actuals!N39)),"",Actuals!N39)</f>
      </c>
      <c r="AV33" s="530">
        <f>IF(OR(12&gt;$B$3,ISBLANK(Actuals!N39)),"",Budget!N39-Actuals!N39)</f>
      </c>
      <c r="AW33" s="530">
        <f>IFERROR(IF(OR(12&gt;$B$3,ISBLANK(Actuals!N39)),"",(Budget!N39-Actuals!N39)/ABS(Budget!N39)),"")</f>
      </c>
      <c r="AX33" s="531">
        <f>SUMPRODUCT((Actuals!C39:N39&lt;&gt;"")*(Budget!C39:N39))</f>
        <v>-10000.02</v>
      </c>
      <c r="AY33" s="531">
        <f>SUM(Actuals!C39:N39)</f>
        <v>-13010.88</v>
      </c>
      <c r="AZ33" s="532">
        <f>AX33-AY33</f>
        <v>3010.86</v>
      </c>
    </row>
    <row r="34" ht="15" customFormat="1" customHeight="1" s="381">
      <c r="A34" s="528" t="inlineStr">
        <is>
          <t>5700-1003 Other Utilities</t>
        </is>
      </c>
      <c r="B34" s="529">
        <f>Budget!C40</f>
        <v>-1000</v>
      </c>
      <c r="C34" s="529">
        <f>IF(OR(1&gt;$B$3,ISBLANK(Actuals!C40)),"",Actuals!C40)</f>
        <v>-1417.61</v>
      </c>
      <c r="D34" s="530">
        <f>IF(OR(1&gt;$B$3,ISBLANK(Actuals!C40)),"",Budget!C40-Actuals!C40)</f>
        <v>417.61</v>
      </c>
      <c r="E34" s="530">
        <f>IFERROR(IF(OR(1&gt;$B$3,ISBLANK(Actuals!C40)),"",(Budget!C40-Actuals!C40)/ABS(Budget!C40)),"")</f>
        <v>0.41761</v>
      </c>
      <c r="F34" s="529">
        <f>Budget!D40</f>
        <v>-1000</v>
      </c>
      <c r="G34" s="529">
        <f>IF(OR(2&gt;$B$3,ISBLANK(Actuals!D40)),"",Actuals!D40)</f>
        <v>-2730.36</v>
      </c>
      <c r="H34" s="530">
        <f>IF(OR(2&gt;$B$3,ISBLANK(Actuals!D40)),"",Budget!D40-Actuals!D40)</f>
        <v>1730.36</v>
      </c>
      <c r="I34" s="530">
        <f>IFERROR(IF(OR(2&gt;$B$3,ISBLANK(Actuals!D40)),"",(Budget!D40-Actuals!D40)/ABS(Budget!D40)),"")</f>
        <v>1.73036</v>
      </c>
      <c r="J34" s="529">
        <f>Budget!E40</f>
        <v>-1000</v>
      </c>
      <c r="K34" s="529">
        <f>IF(OR(3&gt;$B$3,ISBLANK(Actuals!E40)),"",Actuals!E40)</f>
        <v>-1818.05</v>
      </c>
      <c r="L34" s="530">
        <f>IF(OR(3&gt;$B$3,ISBLANK(Actuals!E40)),"",Budget!E40-Actuals!E40)</f>
        <v>818.05</v>
      </c>
      <c r="M34" s="530">
        <f>IFERROR(IF(OR(3&gt;$B$3,ISBLANK(Actuals!E40)),"",(Budget!E40-Actuals!E40)/ABS(Budget!E40)),"")</f>
        <v>0.81805</v>
      </c>
      <c r="N34" s="529">
        <f>Budget!F40</f>
        <v>-1000</v>
      </c>
      <c r="O34" s="529">
        <f>IF(OR(4&gt;$B$3,ISBLANK(Actuals!F40)),"",Actuals!F40)</f>
        <v>-3307.74</v>
      </c>
      <c r="P34" s="530">
        <f>IF(OR(4&gt;$B$3,ISBLANK(Actuals!F40)),"",Budget!F40-Actuals!F40)</f>
        <v>2307.74</v>
      </c>
      <c r="Q34" s="530">
        <f>IFERROR(IF(OR(4&gt;$B$3,ISBLANK(Actuals!F40)),"",(Budget!F40-Actuals!F40)/ABS(Budget!F40)),"")</f>
        <v>2.30774</v>
      </c>
      <c r="R34" s="529">
        <f>Budget!G40</f>
        <v>-1000</v>
      </c>
      <c r="S34" s="529">
        <f>IF(OR(5&gt;$B$3,ISBLANK(Actuals!G40)),"",Actuals!G40)</f>
        <v>-1257.74</v>
      </c>
      <c r="T34" s="530">
        <f>IF(OR(5&gt;$B$3,ISBLANK(Actuals!G40)),"",Budget!G40-Actuals!G40)</f>
        <v>257.74</v>
      </c>
      <c r="U34" s="530">
        <f>IFERROR(IF(OR(5&gt;$B$3,ISBLANK(Actuals!G40)),"",(Budget!G40-Actuals!G40)/ABS(Budget!G40)),"")</f>
        <v>0.25774</v>
      </c>
      <c r="V34" s="529">
        <f>Budget!H40</f>
        <v>-1000</v>
      </c>
      <c r="W34" s="529">
        <f>IF(OR(6&gt;$B$3,ISBLANK(Actuals!H40)),"",Actuals!H40)</f>
        <v>-3372.74</v>
      </c>
      <c r="X34" s="530">
        <f>IF(OR(6&gt;$B$3,ISBLANK(Actuals!H40)),"",Budget!H40-Actuals!H40)</f>
        <v>2372.74</v>
      </c>
      <c r="Y34" s="530">
        <f>IFERROR(IF(OR(6&gt;$B$3,ISBLANK(Actuals!H40)),"",(Budget!H40-Actuals!H40)/ABS(Budget!H40)),"")</f>
        <v>2.37274</v>
      </c>
      <c r="Z34" s="529">
        <f>Budget!I40</f>
        <v>-1020</v>
      </c>
      <c r="AA34" s="529">
        <f>IF(OR(7&gt;$B$3,ISBLANK(Actuals!I40)),"",Actuals!I40)</f>
      </c>
      <c r="AB34" s="530">
        <f>IF(OR(7&gt;$B$3,ISBLANK(Actuals!I40)),"",Budget!I40-Actuals!I40)</f>
      </c>
      <c r="AC34" s="530">
        <f>IFERROR(IF(OR(7&gt;$B$3,ISBLANK(Actuals!I40)),"",(Budget!I40-Actuals!I40)/ABS(Budget!I40)),"")</f>
      </c>
      <c r="AD34" s="529">
        <f>Budget!J40</f>
        <v>-1020</v>
      </c>
      <c r="AE34" s="529">
        <f>IF(OR(8&gt;$B$3,ISBLANK(Actuals!J40)),"",Actuals!J40)</f>
      </c>
      <c r="AF34" s="530">
        <f>IF(OR(8&gt;$B$3,ISBLANK(Actuals!J40)),"",Budget!J40-Actuals!J40)</f>
      </c>
      <c r="AG34" s="530">
        <f>IFERROR(IF(OR(8&gt;$B$3,ISBLANK(Actuals!J40)),"",(Budget!J40-Actuals!J40)/ABS(Budget!J40)),"")</f>
      </c>
      <c r="AH34" s="529">
        <f>Budget!K40</f>
        <v>-1020</v>
      </c>
      <c r="AI34" s="529">
        <f>IF(OR(9&gt;$B$3,ISBLANK(Actuals!K40)),"",Actuals!K40)</f>
      </c>
      <c r="AJ34" s="530">
        <f>IF(OR(9&gt;$B$3,ISBLANK(Actuals!K40)),"",Budget!K40-Actuals!K40)</f>
      </c>
      <c r="AK34" s="530">
        <f>IFERROR(IF(OR(9&gt;$B$3,ISBLANK(Actuals!K40)),"",(Budget!K40-Actuals!K40)/ABS(Budget!K40)),"")</f>
      </c>
      <c r="AL34" s="529">
        <f>Budget!L40</f>
        <v>-1020</v>
      </c>
      <c r="AM34" s="529">
        <f>IF(OR(10&gt;$B$3,ISBLANK(Actuals!L40)),"",Actuals!L40)</f>
      </c>
      <c r="AN34" s="530">
        <f>IF(OR(10&gt;$B$3,ISBLANK(Actuals!L40)),"",Budget!L40-Actuals!L40)</f>
      </c>
      <c r="AO34" s="530">
        <f>IFERROR(IF(OR(10&gt;$B$3,ISBLANK(Actuals!L40)),"",(Budget!L40-Actuals!L40)/ABS(Budget!L40)),"")</f>
      </c>
      <c r="AP34" s="529">
        <f>Budget!M40</f>
        <v>-1020</v>
      </c>
      <c r="AQ34" s="529">
        <f>IF(OR(11&gt;$B$3,ISBLANK(Actuals!M40)),"",Actuals!M40)</f>
      </c>
      <c r="AR34" s="530">
        <f>IF(OR(11&gt;$B$3,ISBLANK(Actuals!M40)),"",Budget!M40-Actuals!M40)</f>
      </c>
      <c r="AS34" s="530">
        <f>IFERROR(IF(OR(11&gt;$B$3,ISBLANK(Actuals!M40)),"",(Budget!M40-Actuals!M40)/ABS(Budget!M40)),"")</f>
      </c>
      <c r="AT34" s="529">
        <f>Budget!N40</f>
        <v>-1020</v>
      </c>
      <c r="AU34" s="529">
        <f>IF(OR(12&gt;$B$3,ISBLANK(Actuals!N40)),"",Actuals!N40)</f>
      </c>
      <c r="AV34" s="530">
        <f>IF(OR(12&gt;$B$3,ISBLANK(Actuals!N40)),"",Budget!N40-Actuals!N40)</f>
      </c>
      <c r="AW34" s="530">
        <f>IFERROR(IF(OR(12&gt;$B$3,ISBLANK(Actuals!N40)),"",(Budget!N40-Actuals!N40)/ABS(Budget!N40)),"")</f>
      </c>
      <c r="AX34" s="531">
        <f>SUMPRODUCT((Actuals!C40:N40&lt;&gt;"")*(Budget!C40:N40))</f>
        <v>-6000</v>
      </c>
      <c r="AY34" s="531">
        <f>SUM(Actuals!C40:N40)</f>
        <v>-13904.24</v>
      </c>
      <c r="AZ34" s="532">
        <f>AX34-AY34</f>
        <v>7904.24</v>
      </c>
    </row>
    <row r="35" ht="15" customFormat="1" customHeight="1" s="381">
      <c r="A35" s="528" t="inlineStr">
        <is>
          <t>5800-1003 Consulting Fee</t>
        </is>
      </c>
      <c r="B35" s="529">
        <f>Budget!C41</f>
        <v>0</v>
      </c>
      <c r="C35" s="529">
        <f>IF(OR(1&gt;$B$3,ISBLANK(Actuals!C41)),"",Actuals!C41)</f>
        <v>0</v>
      </c>
      <c r="D35" s="530">
        <f>IF(OR(1&gt;$B$3,ISBLANK(Actuals!C41)),"",Budget!C41-Actuals!C41)</f>
        <v>0</v>
      </c>
      <c r="E35" s="530">
        <f>IFERROR(IF(OR(1&gt;$B$3,ISBLANK(Actuals!C41)),"",(Budget!C41-Actuals!C41)/ABS(Budget!C41)),"")</f>
      </c>
      <c r="F35" s="529">
        <f>Budget!D41</f>
        <v>0</v>
      </c>
      <c r="G35" s="529">
        <f>IF(OR(2&gt;$B$3,ISBLANK(Actuals!D41)),"",Actuals!D41)</f>
        <v>0</v>
      </c>
      <c r="H35" s="530">
        <f>IF(OR(2&gt;$B$3,ISBLANK(Actuals!D41)),"",Budget!D41-Actuals!D41)</f>
        <v>0</v>
      </c>
      <c r="I35" s="530">
        <f>IFERROR(IF(OR(2&gt;$B$3,ISBLANK(Actuals!D41)),"",(Budget!D41-Actuals!D41)/ABS(Budget!D41)),"")</f>
      </c>
      <c r="J35" s="529">
        <f>Budget!E41</f>
        <v>0</v>
      </c>
      <c r="K35" s="529">
        <f>IF(OR(3&gt;$B$3,ISBLANK(Actuals!E41)),"",Actuals!E41)</f>
        <v>-41990</v>
      </c>
      <c r="L35" s="530">
        <f>IF(OR(3&gt;$B$3,ISBLANK(Actuals!E41)),"",Budget!E41-Actuals!E41)</f>
        <v>41990</v>
      </c>
      <c r="M35" s="530">
        <f>IFERROR(IF(OR(3&gt;$B$3,ISBLANK(Actuals!E41)),"",(Budget!E41-Actuals!E41)/ABS(Budget!E41)),"")</f>
      </c>
      <c r="N35" s="529">
        <f>Budget!F41</f>
        <v>0</v>
      </c>
      <c r="O35" s="529">
        <f>IF(OR(4&gt;$B$3,ISBLANK(Actuals!F41)),"",Actuals!F41)</f>
        <v>-42500</v>
      </c>
      <c r="P35" s="530">
        <f>IF(OR(4&gt;$B$3,ISBLANK(Actuals!F41)),"",Budget!F41-Actuals!F41)</f>
        <v>42500</v>
      </c>
      <c r="Q35" s="530">
        <f>IFERROR(IF(OR(4&gt;$B$3,ISBLANK(Actuals!F41)),"",(Budget!F41-Actuals!F41)/ABS(Budget!F41)),"")</f>
      </c>
      <c r="R35" s="529">
        <f>Budget!G41</f>
        <v>0</v>
      </c>
      <c r="S35" s="529">
        <f>IF(OR(5&gt;$B$3,ISBLANK(Actuals!G41)),"",Actuals!G41)</f>
        <v>-21000</v>
      </c>
      <c r="T35" s="530">
        <f>IF(OR(5&gt;$B$3,ISBLANK(Actuals!G41)),"",Budget!G41-Actuals!G41)</f>
        <v>21000</v>
      </c>
      <c r="U35" s="530">
        <f>IFERROR(IF(OR(5&gt;$B$3,ISBLANK(Actuals!G41)),"",(Budget!G41-Actuals!G41)/ABS(Budget!G41)),"")</f>
      </c>
      <c r="V35" s="529">
        <f>Budget!H41</f>
        <v>0</v>
      </c>
      <c r="W35" s="529">
        <f>IF(OR(6&gt;$B$3,ISBLANK(Actuals!H41)),"",Actuals!H41)</f>
        <v>0</v>
      </c>
      <c r="X35" s="530">
        <f>IF(OR(6&gt;$B$3,ISBLANK(Actuals!H41)),"",Budget!H41-Actuals!H41)</f>
        <v>0</v>
      </c>
      <c r="Y35" s="530">
        <f>IFERROR(IF(OR(6&gt;$B$3,ISBLANK(Actuals!H41)),"",(Budget!H41-Actuals!H41)/ABS(Budget!H41)),"")</f>
      </c>
      <c r="Z35" s="529">
        <f>Budget!I41</f>
        <v>0</v>
      </c>
      <c r="AA35" s="529">
        <f>IF(OR(7&gt;$B$3,ISBLANK(Actuals!I41)),"",Actuals!I41)</f>
      </c>
      <c r="AB35" s="530">
        <f>IF(OR(7&gt;$B$3,ISBLANK(Actuals!I41)),"",Budget!I41-Actuals!I41)</f>
      </c>
      <c r="AC35" s="530">
        <f>IFERROR(IF(OR(7&gt;$B$3,ISBLANK(Actuals!I41)),"",(Budget!I41-Actuals!I41)/ABS(Budget!I41)),"")</f>
      </c>
      <c r="AD35" s="529">
        <f>Budget!J41</f>
        <v>0</v>
      </c>
      <c r="AE35" s="529">
        <f>IF(OR(8&gt;$B$3,ISBLANK(Actuals!J41)),"",Actuals!J41)</f>
      </c>
      <c r="AF35" s="530">
        <f>IF(OR(8&gt;$B$3,ISBLANK(Actuals!J41)),"",Budget!J41-Actuals!J41)</f>
      </c>
      <c r="AG35" s="530">
        <f>IFERROR(IF(OR(8&gt;$B$3,ISBLANK(Actuals!J41)),"",(Budget!J41-Actuals!J41)/ABS(Budget!J41)),"")</f>
      </c>
      <c r="AH35" s="529">
        <f>Budget!K41</f>
        <v>0</v>
      </c>
      <c r="AI35" s="529">
        <f>IF(OR(9&gt;$B$3,ISBLANK(Actuals!K41)),"",Actuals!K41)</f>
      </c>
      <c r="AJ35" s="530">
        <f>IF(OR(9&gt;$B$3,ISBLANK(Actuals!K41)),"",Budget!K41-Actuals!K41)</f>
      </c>
      <c r="AK35" s="530">
        <f>IFERROR(IF(OR(9&gt;$B$3,ISBLANK(Actuals!K41)),"",(Budget!K41-Actuals!K41)/ABS(Budget!K41)),"")</f>
      </c>
      <c r="AL35" s="529">
        <f>Budget!L41</f>
        <v>0</v>
      </c>
      <c r="AM35" s="529">
        <f>IF(OR(10&gt;$B$3,ISBLANK(Actuals!L41)),"",Actuals!L41)</f>
      </c>
      <c r="AN35" s="530">
        <f>IF(OR(10&gt;$B$3,ISBLANK(Actuals!L41)),"",Budget!L41-Actuals!L41)</f>
      </c>
      <c r="AO35" s="530">
        <f>IFERROR(IF(OR(10&gt;$B$3,ISBLANK(Actuals!L41)),"",(Budget!L41-Actuals!L41)/ABS(Budget!L41)),"")</f>
      </c>
      <c r="AP35" s="529">
        <f>Budget!M41</f>
        <v>0</v>
      </c>
      <c r="AQ35" s="529">
        <f>IF(OR(11&gt;$B$3,ISBLANK(Actuals!M41)),"",Actuals!M41)</f>
      </c>
      <c r="AR35" s="530">
        <f>IF(OR(11&gt;$B$3,ISBLANK(Actuals!M41)),"",Budget!M41-Actuals!M41)</f>
      </c>
      <c r="AS35" s="530">
        <f>IFERROR(IF(OR(11&gt;$B$3,ISBLANK(Actuals!M41)),"",(Budget!M41-Actuals!M41)/ABS(Budget!M41)),"")</f>
      </c>
      <c r="AT35" s="529">
        <f>Budget!N41</f>
        <v>0</v>
      </c>
      <c r="AU35" s="529">
        <f>IF(OR(12&gt;$B$3,ISBLANK(Actuals!N41)),"",Actuals!N41)</f>
      </c>
      <c r="AV35" s="530">
        <f>IF(OR(12&gt;$B$3,ISBLANK(Actuals!N41)),"",Budget!N41-Actuals!N41)</f>
      </c>
      <c r="AW35" s="530">
        <f>IFERROR(IF(OR(12&gt;$B$3,ISBLANK(Actuals!N41)),"",(Budget!N41-Actuals!N41)/ABS(Budget!N41)),"")</f>
      </c>
      <c r="AX35" s="531">
        <f>SUMPRODUCT((Actuals!C41:N41&lt;&gt;"")*(Budget!C41:N41))</f>
        <v>0</v>
      </c>
      <c r="AY35" s="531">
        <f>SUM(Actuals!C41:N41)</f>
        <v>-105490</v>
      </c>
      <c r="AZ35" s="532">
        <f>AX35-AY35</f>
        <v>105490</v>
      </c>
    </row>
    <row r="36" ht="15" customFormat="1" customHeight="1" s="381">
      <c r="A36" s="528" t="inlineStr">
        <is>
          <t>5900-1000 Security Monitoring</t>
        </is>
      </c>
      <c r="B36" s="529">
        <f>Budget!C42</f>
        <v>0</v>
      </c>
      <c r="C36" s="529">
        <f>IF(OR(1&gt;$B$3,ISBLANK(Actuals!C42)),"",Actuals!C42)</f>
        <v>-165</v>
      </c>
      <c r="D36" s="530">
        <f>IF(OR(1&gt;$B$3,ISBLANK(Actuals!C42)),"",Budget!C42-Actuals!C42)</f>
        <v>165</v>
      </c>
      <c r="E36" s="530">
        <f>IFERROR(IF(OR(1&gt;$B$3,ISBLANK(Actuals!C42)),"",(Budget!C42-Actuals!C42)/ABS(Budget!C42)),"")</f>
      </c>
      <c r="F36" s="529">
        <f>Budget!D42</f>
        <v>0</v>
      </c>
      <c r="G36" s="529">
        <f>IF(OR(2&gt;$B$3,ISBLANK(Actuals!D42)),"",Actuals!D42)</f>
        <v>0</v>
      </c>
      <c r="H36" s="530">
        <f>IF(OR(2&gt;$B$3,ISBLANK(Actuals!D42)),"",Budget!D42-Actuals!D42)</f>
        <v>0</v>
      </c>
      <c r="I36" s="530">
        <f>IFERROR(IF(OR(2&gt;$B$3,ISBLANK(Actuals!D42)),"",(Budget!D42-Actuals!D42)/ABS(Budget!D42)),"")</f>
      </c>
      <c r="J36" s="529">
        <f>Budget!E42</f>
        <v>0</v>
      </c>
      <c r="K36" s="529">
        <f>IF(OR(3&gt;$B$3,ISBLANK(Actuals!E42)),"",Actuals!E42)</f>
        <v>0</v>
      </c>
      <c r="L36" s="530">
        <f>IF(OR(3&gt;$B$3,ISBLANK(Actuals!E42)),"",Budget!E42-Actuals!E42)</f>
        <v>0</v>
      </c>
      <c r="M36" s="530">
        <f>IFERROR(IF(OR(3&gt;$B$3,ISBLANK(Actuals!E42)),"",(Budget!E42-Actuals!E42)/ABS(Budget!E42)),"")</f>
      </c>
      <c r="N36" s="529">
        <f>Budget!F42</f>
        <v>0</v>
      </c>
      <c r="O36" s="529">
        <f>IF(OR(4&gt;$B$3,ISBLANK(Actuals!F42)),"",Actuals!F42)</f>
        <v>-165</v>
      </c>
      <c r="P36" s="530">
        <f>IF(OR(4&gt;$B$3,ISBLANK(Actuals!F42)),"",Budget!F42-Actuals!F42)</f>
        <v>165</v>
      </c>
      <c r="Q36" s="530">
        <f>IFERROR(IF(OR(4&gt;$B$3,ISBLANK(Actuals!F42)),"",(Budget!F42-Actuals!F42)/ABS(Budget!F42)),"")</f>
      </c>
      <c r="R36" s="529">
        <f>Budget!G42</f>
        <v>0</v>
      </c>
      <c r="S36" s="529">
        <f>IF(OR(5&gt;$B$3,ISBLANK(Actuals!G42)),"",Actuals!G42)</f>
        <v>0</v>
      </c>
      <c r="T36" s="530">
        <f>IF(OR(5&gt;$B$3,ISBLANK(Actuals!G42)),"",Budget!G42-Actuals!G42)</f>
        <v>0</v>
      </c>
      <c r="U36" s="530">
        <f>IFERROR(IF(OR(5&gt;$B$3,ISBLANK(Actuals!G42)),"",(Budget!G42-Actuals!G42)/ABS(Budget!G42)),"")</f>
      </c>
      <c r="V36" s="529">
        <f>Budget!H42</f>
        <v>0</v>
      </c>
      <c r="W36" s="529">
        <f>IF(OR(6&gt;$B$3,ISBLANK(Actuals!H42)),"",Actuals!H42)</f>
        <v>-165</v>
      </c>
      <c r="X36" s="530">
        <f>IF(OR(6&gt;$B$3,ISBLANK(Actuals!H42)),"",Budget!H42-Actuals!H42)</f>
        <v>165</v>
      </c>
      <c r="Y36" s="530">
        <f>IFERROR(IF(OR(6&gt;$B$3,ISBLANK(Actuals!H42)),"",(Budget!H42-Actuals!H42)/ABS(Budget!H42)),"")</f>
      </c>
      <c r="Z36" s="529">
        <f>Budget!I42</f>
        <v>0</v>
      </c>
      <c r="AA36" s="529">
        <f>IF(OR(7&gt;$B$3,ISBLANK(Actuals!I42)),"",Actuals!I42)</f>
      </c>
      <c r="AB36" s="530">
        <f>IF(OR(7&gt;$B$3,ISBLANK(Actuals!I42)),"",Budget!I42-Actuals!I42)</f>
      </c>
      <c r="AC36" s="530">
        <f>IFERROR(IF(OR(7&gt;$B$3,ISBLANK(Actuals!I42)),"",(Budget!I42-Actuals!I42)/ABS(Budget!I42)),"")</f>
      </c>
      <c r="AD36" s="529">
        <f>Budget!J42</f>
        <v>0</v>
      </c>
      <c r="AE36" s="529">
        <f>IF(OR(8&gt;$B$3,ISBLANK(Actuals!J42)),"",Actuals!J42)</f>
      </c>
      <c r="AF36" s="530">
        <f>IF(OR(8&gt;$B$3,ISBLANK(Actuals!J42)),"",Budget!J42-Actuals!J42)</f>
      </c>
      <c r="AG36" s="530">
        <f>IFERROR(IF(OR(8&gt;$B$3,ISBLANK(Actuals!J42)),"",(Budget!J42-Actuals!J42)/ABS(Budget!J42)),"")</f>
      </c>
      <c r="AH36" s="529">
        <f>Budget!K42</f>
        <v>0</v>
      </c>
      <c r="AI36" s="529">
        <f>IF(OR(9&gt;$B$3,ISBLANK(Actuals!K42)),"",Actuals!K42)</f>
      </c>
      <c r="AJ36" s="530">
        <f>IF(OR(9&gt;$B$3,ISBLANK(Actuals!K42)),"",Budget!K42-Actuals!K42)</f>
      </c>
      <c r="AK36" s="530">
        <f>IFERROR(IF(OR(9&gt;$B$3,ISBLANK(Actuals!K42)),"",(Budget!K42-Actuals!K42)/ABS(Budget!K42)),"")</f>
      </c>
      <c r="AL36" s="529">
        <f>Budget!L42</f>
        <v>0</v>
      </c>
      <c r="AM36" s="529">
        <f>IF(OR(10&gt;$B$3,ISBLANK(Actuals!L42)),"",Actuals!L42)</f>
      </c>
      <c r="AN36" s="530">
        <f>IF(OR(10&gt;$B$3,ISBLANK(Actuals!L42)),"",Budget!L42-Actuals!L42)</f>
      </c>
      <c r="AO36" s="530">
        <f>IFERROR(IF(OR(10&gt;$B$3,ISBLANK(Actuals!L42)),"",(Budget!L42-Actuals!L42)/ABS(Budget!L42)),"")</f>
      </c>
      <c r="AP36" s="529">
        <f>Budget!M42</f>
        <v>0</v>
      </c>
      <c r="AQ36" s="529">
        <f>IF(OR(11&gt;$B$3,ISBLANK(Actuals!M42)),"",Actuals!M42)</f>
      </c>
      <c r="AR36" s="530">
        <f>IF(OR(11&gt;$B$3,ISBLANK(Actuals!M42)),"",Budget!M42-Actuals!M42)</f>
      </c>
      <c r="AS36" s="530">
        <f>IFERROR(IF(OR(11&gt;$B$3,ISBLANK(Actuals!M42)),"",(Budget!M42-Actuals!M42)/ABS(Budget!M42)),"")</f>
      </c>
      <c r="AT36" s="529">
        <f>Budget!N42</f>
        <v>0</v>
      </c>
      <c r="AU36" s="529">
        <f>IF(OR(12&gt;$B$3,ISBLANK(Actuals!N42)),"",Actuals!N42)</f>
      </c>
      <c r="AV36" s="530">
        <f>IF(OR(12&gt;$B$3,ISBLANK(Actuals!N42)),"",Budget!N42-Actuals!N42)</f>
      </c>
      <c r="AW36" s="530">
        <f>IFERROR(IF(OR(12&gt;$B$3,ISBLANK(Actuals!N42)),"",(Budget!N42-Actuals!N42)/ABS(Budget!N42)),"")</f>
      </c>
      <c r="AX36" s="531">
        <f>SUMPRODUCT((Actuals!C42:N42&lt;&gt;"")*(Budget!C42:N42))</f>
        <v>0</v>
      </c>
      <c r="AY36" s="531">
        <f>SUM(Actuals!C42:N42)</f>
        <v>-495</v>
      </c>
      <c r="AZ36" s="532">
        <f>AX36-AY36</f>
        <v>495</v>
      </c>
    </row>
    <row r="37" ht="15" customFormat="1" customHeight="1" s="381">
      <c r="A37" s="528" t="inlineStr">
        <is>
          <t>5900-1002 Repairs and Maintenance</t>
        </is>
      </c>
      <c r="B37" s="529">
        <f>Budget!C43</f>
        <v>0</v>
      </c>
      <c r="C37" s="529">
        <f>IF(OR(1&gt;$B$3,ISBLANK(Actuals!C43)),"",Actuals!C43)</f>
        <v>0</v>
      </c>
      <c r="D37" s="530">
        <f>IF(OR(1&gt;$B$3,ISBLANK(Actuals!C43)),"",Budget!C43-Actuals!C43)</f>
        <v>0</v>
      </c>
      <c r="E37" s="530">
        <f>IFERROR(IF(OR(1&gt;$B$3,ISBLANK(Actuals!C43)),"",(Budget!C43-Actuals!C43)/ABS(Budget!C43)),"")</f>
      </c>
      <c r="F37" s="529">
        <f>Budget!D43</f>
        <v>0</v>
      </c>
      <c r="G37" s="529">
        <f>IF(OR(2&gt;$B$3,ISBLANK(Actuals!D43)),"",Actuals!D43)</f>
        <v>0</v>
      </c>
      <c r="H37" s="530">
        <f>IF(OR(2&gt;$B$3,ISBLANK(Actuals!D43)),"",Budget!D43-Actuals!D43)</f>
        <v>0</v>
      </c>
      <c r="I37" s="530">
        <f>IFERROR(IF(OR(2&gt;$B$3,ISBLANK(Actuals!D43)),"",(Budget!D43-Actuals!D43)/ABS(Budget!D43)),"")</f>
      </c>
      <c r="J37" s="529">
        <f>Budget!E43</f>
        <v>0</v>
      </c>
      <c r="K37" s="529">
        <f>IF(OR(3&gt;$B$3,ISBLANK(Actuals!E43)),"",Actuals!E43)</f>
        <v>0</v>
      </c>
      <c r="L37" s="530">
        <f>IF(OR(3&gt;$B$3,ISBLANK(Actuals!E43)),"",Budget!E43-Actuals!E43)</f>
        <v>0</v>
      </c>
      <c r="M37" s="530">
        <f>IFERROR(IF(OR(3&gt;$B$3,ISBLANK(Actuals!E43)),"",(Budget!E43-Actuals!E43)/ABS(Budget!E43)),"")</f>
      </c>
      <c r="N37" s="529">
        <f>Budget!F43</f>
        <v>0</v>
      </c>
      <c r="O37" s="529">
        <f>IF(OR(4&gt;$B$3,ISBLANK(Actuals!F43)),"",Actuals!F43)</f>
        <v>-1036.49</v>
      </c>
      <c r="P37" s="530">
        <f>IF(OR(4&gt;$B$3,ISBLANK(Actuals!F43)),"",Budget!F43-Actuals!F43)</f>
        <v>1036.49</v>
      </c>
      <c r="Q37" s="530">
        <f>IFERROR(IF(OR(4&gt;$B$3,ISBLANK(Actuals!F43)),"",(Budget!F43-Actuals!F43)/ABS(Budget!F43)),"")</f>
      </c>
      <c r="R37" s="529">
        <f>Budget!G43</f>
        <v>0</v>
      </c>
      <c r="S37" s="529">
        <f>IF(OR(5&gt;$B$3,ISBLANK(Actuals!G43)),"",Actuals!G43)</f>
        <v>0</v>
      </c>
      <c r="T37" s="530">
        <f>IF(OR(5&gt;$B$3,ISBLANK(Actuals!G43)),"",Budget!G43-Actuals!G43)</f>
        <v>0</v>
      </c>
      <c r="U37" s="530">
        <f>IFERROR(IF(OR(5&gt;$B$3,ISBLANK(Actuals!G43)),"",(Budget!G43-Actuals!G43)/ABS(Budget!G43)),"")</f>
      </c>
      <c r="V37" s="529">
        <f>Budget!H43</f>
        <v>0</v>
      </c>
      <c r="W37" s="529">
        <f>IF(OR(6&gt;$B$3,ISBLANK(Actuals!H43)),"",Actuals!H43)</f>
        <v>-4308.58</v>
      </c>
      <c r="X37" s="530">
        <f>IF(OR(6&gt;$B$3,ISBLANK(Actuals!H43)),"",Budget!H43-Actuals!H43)</f>
        <v>4308.58</v>
      </c>
      <c r="Y37" s="530">
        <f>IFERROR(IF(OR(6&gt;$B$3,ISBLANK(Actuals!H43)),"",(Budget!H43-Actuals!H43)/ABS(Budget!H43)),"")</f>
      </c>
      <c r="Z37" s="529">
        <f>Budget!I43</f>
        <v>0</v>
      </c>
      <c r="AA37" s="529">
        <f>IF(OR(7&gt;$B$3,ISBLANK(Actuals!I43)),"",Actuals!I43)</f>
      </c>
      <c r="AB37" s="530">
        <f>IF(OR(7&gt;$B$3,ISBLANK(Actuals!I43)),"",Budget!I43-Actuals!I43)</f>
      </c>
      <c r="AC37" s="530">
        <f>IFERROR(IF(OR(7&gt;$B$3,ISBLANK(Actuals!I43)),"",(Budget!I43-Actuals!I43)/ABS(Budget!I43)),"")</f>
      </c>
      <c r="AD37" s="529">
        <f>Budget!J43</f>
        <v>0</v>
      </c>
      <c r="AE37" s="529">
        <f>IF(OR(8&gt;$B$3,ISBLANK(Actuals!J43)),"",Actuals!J43)</f>
      </c>
      <c r="AF37" s="530">
        <f>IF(OR(8&gt;$B$3,ISBLANK(Actuals!J43)),"",Budget!J43-Actuals!J43)</f>
      </c>
      <c r="AG37" s="530">
        <f>IFERROR(IF(OR(8&gt;$B$3,ISBLANK(Actuals!J43)),"",(Budget!J43-Actuals!J43)/ABS(Budget!J43)),"")</f>
      </c>
      <c r="AH37" s="529">
        <f>Budget!K43</f>
        <v>0</v>
      </c>
      <c r="AI37" s="529">
        <f>IF(OR(9&gt;$B$3,ISBLANK(Actuals!K43)),"",Actuals!K43)</f>
      </c>
      <c r="AJ37" s="530">
        <f>IF(OR(9&gt;$B$3,ISBLANK(Actuals!K43)),"",Budget!K43-Actuals!K43)</f>
      </c>
      <c r="AK37" s="530">
        <f>IFERROR(IF(OR(9&gt;$B$3,ISBLANK(Actuals!K43)),"",(Budget!K43-Actuals!K43)/ABS(Budget!K43)),"")</f>
      </c>
      <c r="AL37" s="529">
        <f>Budget!L43</f>
        <v>0</v>
      </c>
      <c r="AM37" s="529">
        <f>IF(OR(10&gt;$B$3,ISBLANK(Actuals!L43)),"",Actuals!L43)</f>
      </c>
      <c r="AN37" s="530">
        <f>IF(OR(10&gt;$B$3,ISBLANK(Actuals!L43)),"",Budget!L43-Actuals!L43)</f>
      </c>
      <c r="AO37" s="530">
        <f>IFERROR(IF(OR(10&gt;$B$3,ISBLANK(Actuals!L43)),"",(Budget!L43-Actuals!L43)/ABS(Budget!L43)),"")</f>
      </c>
      <c r="AP37" s="529">
        <f>Budget!M43</f>
        <v>0</v>
      </c>
      <c r="AQ37" s="529">
        <f>IF(OR(11&gt;$B$3,ISBLANK(Actuals!M43)),"",Actuals!M43)</f>
      </c>
      <c r="AR37" s="530">
        <f>IF(OR(11&gt;$B$3,ISBLANK(Actuals!M43)),"",Budget!M43-Actuals!M43)</f>
      </c>
      <c r="AS37" s="530">
        <f>IFERROR(IF(OR(11&gt;$B$3,ISBLANK(Actuals!M43)),"",(Budget!M43-Actuals!M43)/ABS(Budget!M43)),"")</f>
      </c>
      <c r="AT37" s="529">
        <f>Budget!N43</f>
        <v>0</v>
      </c>
      <c r="AU37" s="529">
        <f>IF(OR(12&gt;$B$3,ISBLANK(Actuals!N43)),"",Actuals!N43)</f>
      </c>
      <c r="AV37" s="530">
        <f>IF(OR(12&gt;$B$3,ISBLANK(Actuals!N43)),"",Budget!N43-Actuals!N43)</f>
      </c>
      <c r="AW37" s="530">
        <f>IFERROR(IF(OR(12&gt;$B$3,ISBLANK(Actuals!N43)),"",(Budget!N43-Actuals!N43)/ABS(Budget!N43)),"")</f>
      </c>
      <c r="AX37" s="531">
        <f>SUMPRODUCT((Actuals!C43:N43&lt;&gt;"")*(Budget!C43:N43))</f>
        <v>0</v>
      </c>
      <c r="AY37" s="531">
        <f>SUM(Actuals!C43:N43)</f>
        <v>-5345.07</v>
      </c>
      <c r="AZ37" s="532">
        <f>AX37-AY37</f>
        <v>5345.07</v>
      </c>
    </row>
    <row r="38" ht="15" customFormat="1" customHeight="1" s="381">
      <c r="A38" s="528" t="inlineStr">
        <is>
          <t>5900-1003 Janitorial and Cleaning Expenses</t>
        </is>
      </c>
      <c r="B38" s="529">
        <f>Budget!C44</f>
        <v>0</v>
      </c>
      <c r="C38" s="529">
        <f>IF(OR(1&gt;$B$3,ISBLANK(Actuals!C44)),"",Actuals!C44)</f>
        <v>-550</v>
      </c>
      <c r="D38" s="530">
        <f>IF(OR(1&gt;$B$3,ISBLANK(Actuals!C44)),"",Budget!C44-Actuals!C44)</f>
        <v>550</v>
      </c>
      <c r="E38" s="530">
        <f>IFERROR(IF(OR(1&gt;$B$3,ISBLANK(Actuals!C44)),"",(Budget!C44-Actuals!C44)/ABS(Budget!C44)),"")</f>
      </c>
      <c r="F38" s="529">
        <f>Budget!D44</f>
        <v>0</v>
      </c>
      <c r="G38" s="529">
        <f>IF(OR(2&gt;$B$3,ISBLANK(Actuals!D44)),"",Actuals!D44)</f>
        <v>-550</v>
      </c>
      <c r="H38" s="530">
        <f>IF(OR(2&gt;$B$3,ISBLANK(Actuals!D44)),"",Budget!D44-Actuals!D44)</f>
        <v>550</v>
      </c>
      <c r="I38" s="530">
        <f>IFERROR(IF(OR(2&gt;$B$3,ISBLANK(Actuals!D44)),"",(Budget!D44-Actuals!D44)/ABS(Budget!D44)),"")</f>
      </c>
      <c r="J38" s="529">
        <f>Budget!E44</f>
        <v>0</v>
      </c>
      <c r="K38" s="529">
        <f>IF(OR(3&gt;$B$3,ISBLANK(Actuals!E44)),"",Actuals!E44)</f>
        <v>-550</v>
      </c>
      <c r="L38" s="530">
        <f>IF(OR(3&gt;$B$3,ISBLANK(Actuals!E44)),"",Budget!E44-Actuals!E44)</f>
        <v>550</v>
      </c>
      <c r="M38" s="530">
        <f>IFERROR(IF(OR(3&gt;$B$3,ISBLANK(Actuals!E44)),"",(Budget!E44-Actuals!E44)/ABS(Budget!E44)),"")</f>
      </c>
      <c r="N38" s="529">
        <f>Budget!F44</f>
        <v>0</v>
      </c>
      <c r="O38" s="529">
        <f>IF(OR(4&gt;$B$3,ISBLANK(Actuals!F44)),"",Actuals!F44)</f>
        <v>-600</v>
      </c>
      <c r="P38" s="530">
        <f>IF(OR(4&gt;$B$3,ISBLANK(Actuals!F44)),"",Budget!F44-Actuals!F44)</f>
        <v>600</v>
      </c>
      <c r="Q38" s="530">
        <f>IFERROR(IF(OR(4&gt;$B$3,ISBLANK(Actuals!F44)),"",(Budget!F44-Actuals!F44)/ABS(Budget!F44)),"")</f>
      </c>
      <c r="R38" s="529">
        <f>Budget!G44</f>
        <v>0</v>
      </c>
      <c r="S38" s="529">
        <f>IF(OR(5&gt;$B$3,ISBLANK(Actuals!G44)),"",Actuals!G44)</f>
        <v>-650</v>
      </c>
      <c r="T38" s="530">
        <f>IF(OR(5&gt;$B$3,ISBLANK(Actuals!G44)),"",Budget!G44-Actuals!G44)</f>
        <v>650</v>
      </c>
      <c r="U38" s="530">
        <f>IFERROR(IF(OR(5&gt;$B$3,ISBLANK(Actuals!G44)),"",(Budget!G44-Actuals!G44)/ABS(Budget!G44)),"")</f>
      </c>
      <c r="V38" s="529">
        <f>Budget!H44</f>
        <v>0</v>
      </c>
      <c r="W38" s="529">
        <f>IF(OR(6&gt;$B$3,ISBLANK(Actuals!H44)),"",Actuals!H44)</f>
        <v>-575</v>
      </c>
      <c r="X38" s="530">
        <f>IF(OR(6&gt;$B$3,ISBLANK(Actuals!H44)),"",Budget!H44-Actuals!H44)</f>
        <v>575</v>
      </c>
      <c r="Y38" s="530">
        <f>IFERROR(IF(OR(6&gt;$B$3,ISBLANK(Actuals!H44)),"",(Budget!H44-Actuals!H44)/ABS(Budget!H44)),"")</f>
      </c>
      <c r="Z38" s="529">
        <f>Budget!I44</f>
        <v>0</v>
      </c>
      <c r="AA38" s="529">
        <f>IF(OR(7&gt;$B$3,ISBLANK(Actuals!I44)),"",Actuals!I44)</f>
      </c>
      <c r="AB38" s="530">
        <f>IF(OR(7&gt;$B$3,ISBLANK(Actuals!I44)),"",Budget!I44-Actuals!I44)</f>
      </c>
      <c r="AC38" s="530">
        <f>IFERROR(IF(OR(7&gt;$B$3,ISBLANK(Actuals!I44)),"",(Budget!I44-Actuals!I44)/ABS(Budget!I44)),"")</f>
      </c>
      <c r="AD38" s="529">
        <f>Budget!J44</f>
        <v>0</v>
      </c>
      <c r="AE38" s="529">
        <f>IF(OR(8&gt;$B$3,ISBLANK(Actuals!J44)),"",Actuals!J44)</f>
      </c>
      <c r="AF38" s="530">
        <f>IF(OR(8&gt;$B$3,ISBLANK(Actuals!J44)),"",Budget!J44-Actuals!J44)</f>
      </c>
      <c r="AG38" s="530">
        <f>IFERROR(IF(OR(8&gt;$B$3,ISBLANK(Actuals!J44)),"",(Budget!J44-Actuals!J44)/ABS(Budget!J44)),"")</f>
      </c>
      <c r="AH38" s="529">
        <f>Budget!K44</f>
        <v>0</v>
      </c>
      <c r="AI38" s="529">
        <f>IF(OR(9&gt;$B$3,ISBLANK(Actuals!K44)),"",Actuals!K44)</f>
      </c>
      <c r="AJ38" s="530">
        <f>IF(OR(9&gt;$B$3,ISBLANK(Actuals!K44)),"",Budget!K44-Actuals!K44)</f>
      </c>
      <c r="AK38" s="530">
        <f>IFERROR(IF(OR(9&gt;$B$3,ISBLANK(Actuals!K44)),"",(Budget!K44-Actuals!K44)/ABS(Budget!K44)),"")</f>
      </c>
      <c r="AL38" s="529">
        <f>Budget!L44</f>
        <v>0</v>
      </c>
      <c r="AM38" s="529">
        <f>IF(OR(10&gt;$B$3,ISBLANK(Actuals!L44)),"",Actuals!L44)</f>
      </c>
      <c r="AN38" s="530">
        <f>IF(OR(10&gt;$B$3,ISBLANK(Actuals!L44)),"",Budget!L44-Actuals!L44)</f>
      </c>
      <c r="AO38" s="530">
        <f>IFERROR(IF(OR(10&gt;$B$3,ISBLANK(Actuals!L44)),"",(Budget!L44-Actuals!L44)/ABS(Budget!L44)),"")</f>
      </c>
      <c r="AP38" s="529">
        <f>Budget!M44</f>
        <v>0</v>
      </c>
      <c r="AQ38" s="529">
        <f>IF(OR(11&gt;$B$3,ISBLANK(Actuals!M44)),"",Actuals!M44)</f>
      </c>
      <c r="AR38" s="530">
        <f>IF(OR(11&gt;$B$3,ISBLANK(Actuals!M44)),"",Budget!M44-Actuals!M44)</f>
      </c>
      <c r="AS38" s="530">
        <f>IFERROR(IF(OR(11&gt;$B$3,ISBLANK(Actuals!M44)),"",(Budget!M44-Actuals!M44)/ABS(Budget!M44)),"")</f>
      </c>
      <c r="AT38" s="529">
        <f>Budget!N44</f>
        <v>0</v>
      </c>
      <c r="AU38" s="529">
        <f>IF(OR(12&gt;$B$3,ISBLANK(Actuals!N44)),"",Actuals!N44)</f>
      </c>
      <c r="AV38" s="530">
        <f>IF(OR(12&gt;$B$3,ISBLANK(Actuals!N44)),"",Budget!N44-Actuals!N44)</f>
      </c>
      <c r="AW38" s="530">
        <f>IFERROR(IF(OR(12&gt;$B$3,ISBLANK(Actuals!N44)),"",(Budget!N44-Actuals!N44)/ABS(Budget!N44)),"")</f>
      </c>
      <c r="AX38" s="531">
        <f>SUMPRODUCT((Actuals!C44:N44&lt;&gt;"")*(Budget!C44:N44))</f>
        <v>0</v>
      </c>
      <c r="AY38" s="531">
        <f>SUM(Actuals!C44:N44)</f>
        <v>-3475</v>
      </c>
      <c r="AZ38" s="532">
        <f>AX38-AY38</f>
        <v>3475</v>
      </c>
    </row>
    <row r="39" ht="15" customFormat="1" customHeight="1" s="381">
      <c r="A39" s="528" t="inlineStr">
        <is>
          <t>5900-1005 Supplies and Other Job Site Overhead</t>
        </is>
      </c>
      <c r="B39" s="529">
        <f>Budget!C45</f>
        <v>-4166.67</v>
      </c>
      <c r="C39" s="529">
        <f>IF(OR(1&gt;$B$3,ISBLANK(Actuals!C45)),"",Actuals!C45)</f>
        <v>-19223.75</v>
      </c>
      <c r="D39" s="530">
        <f>IF(OR(1&gt;$B$3,ISBLANK(Actuals!C45)),"",Budget!C45-Actuals!C45)</f>
        <v>15057.08</v>
      </c>
      <c r="E39" s="530">
        <f>IFERROR(IF(OR(1&gt;$B$3,ISBLANK(Actuals!C45)),"",(Budget!C45-Actuals!C45)/ABS(Budget!C45)),"")</f>
        <v>3.61369630904295</v>
      </c>
      <c r="F39" s="529">
        <f>Budget!D45</f>
        <v>-4166.67</v>
      </c>
      <c r="G39" s="529">
        <f>IF(OR(2&gt;$B$3,ISBLANK(Actuals!D45)),"",Actuals!D45)</f>
        <v>-13381.97</v>
      </c>
      <c r="H39" s="530">
        <f>IF(OR(2&gt;$B$3,ISBLANK(Actuals!D45)),"",Budget!D45-Actuals!D45)</f>
        <v>9215.3</v>
      </c>
      <c r="I39" s="530">
        <f>IFERROR(IF(OR(2&gt;$B$3,ISBLANK(Actuals!D45)),"",(Budget!D45-Actuals!D45)/ABS(Budget!D45)),"")</f>
        <v>2.21167023066382</v>
      </c>
      <c r="J39" s="529">
        <f>Budget!E45</f>
        <v>-4166.67</v>
      </c>
      <c r="K39" s="529">
        <f>IF(OR(3&gt;$B$3,ISBLANK(Actuals!E45)),"",Actuals!E45)</f>
        <v>-20308.69</v>
      </c>
      <c r="L39" s="530">
        <f>IF(OR(3&gt;$B$3,ISBLANK(Actuals!E45)),"",Budget!E45-Actuals!E45)</f>
        <v>16142.02</v>
      </c>
      <c r="M39" s="530">
        <f>IFERROR(IF(OR(3&gt;$B$3,ISBLANK(Actuals!E45)),"",(Budget!E45-Actuals!E45)/ABS(Budget!E45)),"")</f>
        <v>3.87408170073464</v>
      </c>
      <c r="N39" s="529">
        <f>Budget!F45</f>
        <v>-4166.67</v>
      </c>
      <c r="O39" s="529">
        <f>IF(OR(4&gt;$B$3,ISBLANK(Actuals!F45)),"",Actuals!F45)</f>
        <v>-16948.76</v>
      </c>
      <c r="P39" s="530">
        <f>IF(OR(4&gt;$B$3,ISBLANK(Actuals!F45)),"",Budget!F45-Actuals!F45)</f>
        <v>12782.09</v>
      </c>
      <c r="Q39" s="530">
        <f>IFERROR(IF(OR(4&gt;$B$3,ISBLANK(Actuals!F45)),"",(Budget!F45-Actuals!F45)/ABS(Budget!F45)),"")</f>
        <v>3.06769914584068</v>
      </c>
      <c r="R39" s="529">
        <f>Budget!G45</f>
        <v>-4166.67</v>
      </c>
      <c r="S39" s="529">
        <f>IF(OR(5&gt;$B$3,ISBLANK(Actuals!G45)),"",Actuals!G45)</f>
        <v>-29716.98</v>
      </c>
      <c r="T39" s="530">
        <f>IF(OR(5&gt;$B$3,ISBLANK(Actuals!G45)),"",Budget!G45-Actuals!G45)</f>
        <v>25550.31</v>
      </c>
      <c r="U39" s="530">
        <f>IFERROR(IF(OR(5&gt;$B$3,ISBLANK(Actuals!G45)),"",(Budget!G45-Actuals!G45)/ABS(Budget!G45)),"")</f>
        <v>6.1320694943444</v>
      </c>
      <c r="V39" s="529">
        <f>Budget!H45</f>
        <v>-4166.67</v>
      </c>
      <c r="W39" s="529">
        <f>IF(OR(6&gt;$B$3,ISBLANK(Actuals!H45)),"",Actuals!H45)</f>
        <v>-11335.64</v>
      </c>
      <c r="X39" s="530">
        <f>IF(OR(6&gt;$B$3,ISBLANK(Actuals!H45)),"",Budget!H45-Actuals!H45)</f>
        <v>7168.97</v>
      </c>
      <c r="Y39" s="530">
        <f>IFERROR(IF(OR(6&gt;$B$3,ISBLANK(Actuals!H45)),"",(Budget!H45-Actuals!H45)/ABS(Budget!H45)),"")</f>
        <v>1.72055142355886</v>
      </c>
      <c r="Z39" s="529">
        <f>Budget!I45</f>
        <v>-4250</v>
      </c>
      <c r="AA39" s="529">
        <f>IF(OR(7&gt;$B$3,ISBLANK(Actuals!I45)),"",Actuals!I45)</f>
      </c>
      <c r="AB39" s="530">
        <f>IF(OR(7&gt;$B$3,ISBLANK(Actuals!I45)),"",Budget!I45-Actuals!I45)</f>
      </c>
      <c r="AC39" s="530">
        <f>IFERROR(IF(OR(7&gt;$B$3,ISBLANK(Actuals!I45)),"",(Budget!I45-Actuals!I45)/ABS(Budget!I45)),"")</f>
      </c>
      <c r="AD39" s="529">
        <f>Budget!J45</f>
        <v>-4250</v>
      </c>
      <c r="AE39" s="529">
        <f>IF(OR(8&gt;$B$3,ISBLANK(Actuals!J45)),"",Actuals!J45)</f>
      </c>
      <c r="AF39" s="530">
        <f>IF(OR(8&gt;$B$3,ISBLANK(Actuals!J45)),"",Budget!J45-Actuals!J45)</f>
      </c>
      <c r="AG39" s="530">
        <f>IFERROR(IF(OR(8&gt;$B$3,ISBLANK(Actuals!J45)),"",(Budget!J45-Actuals!J45)/ABS(Budget!J45)),"")</f>
      </c>
      <c r="AH39" s="529">
        <f>Budget!K45</f>
        <v>-4250</v>
      </c>
      <c r="AI39" s="529">
        <f>IF(OR(9&gt;$B$3,ISBLANK(Actuals!K45)),"",Actuals!K45)</f>
      </c>
      <c r="AJ39" s="530">
        <f>IF(OR(9&gt;$B$3,ISBLANK(Actuals!K45)),"",Budget!K45-Actuals!K45)</f>
      </c>
      <c r="AK39" s="530">
        <f>IFERROR(IF(OR(9&gt;$B$3,ISBLANK(Actuals!K45)),"",(Budget!K45-Actuals!K45)/ABS(Budget!K45)),"")</f>
      </c>
      <c r="AL39" s="529">
        <f>Budget!L45</f>
        <v>-4250</v>
      </c>
      <c r="AM39" s="529">
        <f>IF(OR(10&gt;$B$3,ISBLANK(Actuals!L45)),"",Actuals!L45)</f>
      </c>
      <c r="AN39" s="530">
        <f>IF(OR(10&gt;$B$3,ISBLANK(Actuals!L45)),"",Budget!L45-Actuals!L45)</f>
      </c>
      <c r="AO39" s="530">
        <f>IFERROR(IF(OR(10&gt;$B$3,ISBLANK(Actuals!L45)),"",(Budget!L45-Actuals!L45)/ABS(Budget!L45)),"")</f>
      </c>
      <c r="AP39" s="529">
        <f>Budget!M45</f>
        <v>-4250</v>
      </c>
      <c r="AQ39" s="529">
        <f>IF(OR(11&gt;$B$3,ISBLANK(Actuals!M45)),"",Actuals!M45)</f>
      </c>
      <c r="AR39" s="530">
        <f>IF(OR(11&gt;$B$3,ISBLANK(Actuals!M45)),"",Budget!M45-Actuals!M45)</f>
      </c>
      <c r="AS39" s="530">
        <f>IFERROR(IF(OR(11&gt;$B$3,ISBLANK(Actuals!M45)),"",(Budget!M45-Actuals!M45)/ABS(Budget!M45)),"")</f>
      </c>
      <c r="AT39" s="529">
        <f>Budget!N45</f>
        <v>-4250</v>
      </c>
      <c r="AU39" s="529">
        <f>IF(OR(12&gt;$B$3,ISBLANK(Actuals!N45)),"",Actuals!N45)</f>
      </c>
      <c r="AV39" s="530">
        <f>IF(OR(12&gt;$B$3,ISBLANK(Actuals!N45)),"",Budget!N45-Actuals!N45)</f>
      </c>
      <c r="AW39" s="530">
        <f>IFERROR(IF(OR(12&gt;$B$3,ISBLANK(Actuals!N45)),"",(Budget!N45-Actuals!N45)/ABS(Budget!N45)),"")</f>
      </c>
      <c r="AX39" s="531">
        <f>SUMPRODUCT((Actuals!C45:N45&lt;&gt;"")*(Budget!C45:N45))</f>
        <v>-25000.02</v>
      </c>
      <c r="AY39" s="531">
        <f>SUM(Actuals!C45:N45)</f>
        <v>-110915.79</v>
      </c>
      <c r="AZ39" s="532">
        <f>AX39-AY39</f>
        <v>85915.77</v>
      </c>
    </row>
    <row r="40" ht="15" customFormat="1" customHeight="1" s="381">
      <c r="A40" s="528" t="inlineStr">
        <is>
          <t>5900-1006 Auto and Truck Expense</t>
        </is>
      </c>
      <c r="B40" s="529">
        <f>Budget!C46</f>
        <v>-1000</v>
      </c>
      <c r="C40" s="529">
        <f>IF(OR(1&gt;$B$3,ISBLANK(Actuals!C46)),"",Actuals!C46)</f>
        <v>-1909.98</v>
      </c>
      <c r="D40" s="530">
        <f>IF(OR(1&gt;$B$3,ISBLANK(Actuals!C46)),"",Budget!C46-Actuals!C46)</f>
        <v>909.98</v>
      </c>
      <c r="E40" s="530">
        <f>IFERROR(IF(OR(1&gt;$B$3,ISBLANK(Actuals!C46)),"",(Budget!C46-Actuals!C46)/ABS(Budget!C46)),"")</f>
        <v>0.90998</v>
      </c>
      <c r="F40" s="529">
        <f>Budget!D46</f>
        <v>-1000</v>
      </c>
      <c r="G40" s="529">
        <f>IF(OR(2&gt;$B$3,ISBLANK(Actuals!D46)),"",Actuals!D46)</f>
        <v>-190.1</v>
      </c>
      <c r="H40" s="530">
        <f>IF(OR(2&gt;$B$3,ISBLANK(Actuals!D46)),"",Budget!D46-Actuals!D46)</f>
        <v>-809.9</v>
      </c>
      <c r="I40" s="530">
        <f>IFERROR(IF(OR(2&gt;$B$3,ISBLANK(Actuals!D46)),"",(Budget!D46-Actuals!D46)/ABS(Budget!D46)),"")</f>
        <v>-0.8099</v>
      </c>
      <c r="J40" s="529">
        <f>Budget!E46</f>
        <v>-1000</v>
      </c>
      <c r="K40" s="529">
        <f>IF(OR(3&gt;$B$3,ISBLANK(Actuals!E46)),"",Actuals!E46)</f>
        <v>-2166.92</v>
      </c>
      <c r="L40" s="530">
        <f>IF(OR(3&gt;$B$3,ISBLANK(Actuals!E46)),"",Budget!E46-Actuals!E46)</f>
        <v>1166.92</v>
      </c>
      <c r="M40" s="530">
        <f>IFERROR(IF(OR(3&gt;$B$3,ISBLANK(Actuals!E46)),"",(Budget!E46-Actuals!E46)/ABS(Budget!E46)),"")</f>
        <v>1.16692</v>
      </c>
      <c r="N40" s="529">
        <f>Budget!F46</f>
        <v>-1000</v>
      </c>
      <c r="O40" s="529">
        <f>IF(OR(4&gt;$B$3,ISBLANK(Actuals!F46)),"",Actuals!F46)</f>
        <v>-1816.95</v>
      </c>
      <c r="P40" s="530">
        <f>IF(OR(4&gt;$B$3,ISBLANK(Actuals!F46)),"",Budget!F46-Actuals!F46)</f>
        <v>816.95</v>
      </c>
      <c r="Q40" s="530">
        <f>IFERROR(IF(OR(4&gt;$B$3,ISBLANK(Actuals!F46)),"",(Budget!F46-Actuals!F46)/ABS(Budget!F46)),"")</f>
        <v>0.81695</v>
      </c>
      <c r="R40" s="529">
        <f>Budget!G46</f>
        <v>-1000</v>
      </c>
      <c r="S40" s="529">
        <f>IF(OR(5&gt;$B$3,ISBLANK(Actuals!G46)),"",Actuals!G46)</f>
        <v>-1452.9</v>
      </c>
      <c r="T40" s="530">
        <f>IF(OR(5&gt;$B$3,ISBLANK(Actuals!G46)),"",Budget!G46-Actuals!G46)</f>
        <v>452.9</v>
      </c>
      <c r="U40" s="530">
        <f>IFERROR(IF(OR(5&gt;$B$3,ISBLANK(Actuals!G46)),"",(Budget!G46-Actuals!G46)/ABS(Budget!G46)),"")</f>
        <v>0.4529</v>
      </c>
      <c r="V40" s="529">
        <f>Budget!H46</f>
        <v>-1000</v>
      </c>
      <c r="W40" s="529">
        <f>IF(OR(6&gt;$B$3,ISBLANK(Actuals!H46)),"",Actuals!H46)</f>
        <v>-13918.31</v>
      </c>
      <c r="X40" s="530">
        <f>IF(OR(6&gt;$B$3,ISBLANK(Actuals!H46)),"",Budget!H46-Actuals!H46)</f>
        <v>12918.31</v>
      </c>
      <c r="Y40" s="530">
        <f>IFERROR(IF(OR(6&gt;$B$3,ISBLANK(Actuals!H46)),"",(Budget!H46-Actuals!H46)/ABS(Budget!H46)),"")</f>
        <v>12.91831</v>
      </c>
      <c r="Z40" s="529">
        <f>Budget!I46</f>
        <v>-1020</v>
      </c>
      <c r="AA40" s="529">
        <f>IF(OR(7&gt;$B$3,ISBLANK(Actuals!I46)),"",Actuals!I46)</f>
      </c>
      <c r="AB40" s="530">
        <f>IF(OR(7&gt;$B$3,ISBLANK(Actuals!I46)),"",Budget!I46-Actuals!I46)</f>
      </c>
      <c r="AC40" s="530">
        <f>IFERROR(IF(OR(7&gt;$B$3,ISBLANK(Actuals!I46)),"",(Budget!I46-Actuals!I46)/ABS(Budget!I46)),"")</f>
      </c>
      <c r="AD40" s="529">
        <f>Budget!J46</f>
        <v>-1020</v>
      </c>
      <c r="AE40" s="529">
        <f>IF(OR(8&gt;$B$3,ISBLANK(Actuals!J46)),"",Actuals!J46)</f>
      </c>
      <c r="AF40" s="530">
        <f>IF(OR(8&gt;$B$3,ISBLANK(Actuals!J46)),"",Budget!J46-Actuals!J46)</f>
      </c>
      <c r="AG40" s="530">
        <f>IFERROR(IF(OR(8&gt;$B$3,ISBLANK(Actuals!J46)),"",(Budget!J46-Actuals!J46)/ABS(Budget!J46)),"")</f>
      </c>
      <c r="AH40" s="529">
        <f>Budget!K46</f>
        <v>-1020</v>
      </c>
      <c r="AI40" s="529">
        <f>IF(OR(9&gt;$B$3,ISBLANK(Actuals!K46)),"",Actuals!K46)</f>
      </c>
      <c r="AJ40" s="530">
        <f>IF(OR(9&gt;$B$3,ISBLANK(Actuals!K46)),"",Budget!K46-Actuals!K46)</f>
      </c>
      <c r="AK40" s="530">
        <f>IFERROR(IF(OR(9&gt;$B$3,ISBLANK(Actuals!K46)),"",(Budget!K46-Actuals!K46)/ABS(Budget!K46)),"")</f>
      </c>
      <c r="AL40" s="529">
        <f>Budget!L46</f>
        <v>-1020</v>
      </c>
      <c r="AM40" s="529">
        <f>IF(OR(10&gt;$B$3,ISBLANK(Actuals!L46)),"",Actuals!L46)</f>
      </c>
      <c r="AN40" s="530">
        <f>IF(OR(10&gt;$B$3,ISBLANK(Actuals!L46)),"",Budget!L46-Actuals!L46)</f>
      </c>
      <c r="AO40" s="530">
        <f>IFERROR(IF(OR(10&gt;$B$3,ISBLANK(Actuals!L46)),"",(Budget!L46-Actuals!L46)/ABS(Budget!L46)),"")</f>
      </c>
      <c r="AP40" s="529">
        <f>Budget!M46</f>
        <v>-1020</v>
      </c>
      <c r="AQ40" s="529">
        <f>IF(OR(11&gt;$B$3,ISBLANK(Actuals!M46)),"",Actuals!M46)</f>
      </c>
      <c r="AR40" s="530">
        <f>IF(OR(11&gt;$B$3,ISBLANK(Actuals!M46)),"",Budget!M46-Actuals!M46)</f>
      </c>
      <c r="AS40" s="530">
        <f>IFERROR(IF(OR(11&gt;$B$3,ISBLANK(Actuals!M46)),"",(Budget!M46-Actuals!M46)/ABS(Budget!M46)),"")</f>
      </c>
      <c r="AT40" s="529">
        <f>Budget!N46</f>
        <v>-1020</v>
      </c>
      <c r="AU40" s="529">
        <f>IF(OR(12&gt;$B$3,ISBLANK(Actuals!N46)),"",Actuals!N46)</f>
      </c>
      <c r="AV40" s="530">
        <f>IF(OR(12&gt;$B$3,ISBLANK(Actuals!N46)),"",Budget!N46-Actuals!N46)</f>
      </c>
      <c r="AW40" s="530">
        <f>IFERROR(IF(OR(12&gt;$B$3,ISBLANK(Actuals!N46)),"",(Budget!N46-Actuals!N46)/ABS(Budget!N46)),"")</f>
      </c>
      <c r="AX40" s="531">
        <f>SUMPRODUCT((Actuals!C46:N46&lt;&gt;"")*(Budget!C46:N46))</f>
        <v>-6000</v>
      </c>
      <c r="AY40" s="531">
        <f>SUM(Actuals!C46:N46)</f>
        <v>-21455.16</v>
      </c>
      <c r="AZ40" s="532">
        <f>AX40-AY40</f>
        <v>15455.16</v>
      </c>
    </row>
    <row r="41" ht="15" customFormat="1" customHeight="1" s="381">
      <c r="A41" s="528" t="inlineStr">
        <is>
          <t>5900-1007 Landscaping</t>
        </is>
      </c>
      <c r="B41" s="529">
        <f>Budget!C47</f>
        <v>0</v>
      </c>
      <c r="C41" s="529">
        <f>IF(OR(1&gt;$B$3,ISBLANK(Actuals!C47)),"",Actuals!C47)</f>
        <v>-320</v>
      </c>
      <c r="D41" s="530">
        <f>IF(OR(1&gt;$B$3,ISBLANK(Actuals!C47)),"",Budget!C47-Actuals!C47)</f>
        <v>320</v>
      </c>
      <c r="E41" s="530">
        <f>IFERROR(IF(OR(1&gt;$B$3,ISBLANK(Actuals!C47)),"",(Budget!C47-Actuals!C47)/ABS(Budget!C47)),"")</f>
      </c>
      <c r="F41" s="529">
        <f>Budget!D47</f>
        <v>0</v>
      </c>
      <c r="G41" s="529">
        <f>IF(OR(2&gt;$B$3,ISBLANK(Actuals!D47)),"",Actuals!D47)</f>
        <v>-160</v>
      </c>
      <c r="H41" s="530">
        <f>IF(OR(2&gt;$B$3,ISBLANK(Actuals!D47)),"",Budget!D47-Actuals!D47)</f>
        <v>160</v>
      </c>
      <c r="I41" s="530">
        <f>IFERROR(IF(OR(2&gt;$B$3,ISBLANK(Actuals!D47)),"",(Budget!D47-Actuals!D47)/ABS(Budget!D47)),"")</f>
      </c>
      <c r="J41" s="529">
        <f>Budget!E47</f>
        <v>0</v>
      </c>
      <c r="K41" s="529">
        <f>IF(OR(3&gt;$B$3,ISBLANK(Actuals!E47)),"",Actuals!E47)</f>
        <v>0</v>
      </c>
      <c r="L41" s="530">
        <f>IF(OR(3&gt;$B$3,ISBLANK(Actuals!E47)),"",Budget!E47-Actuals!E47)</f>
        <v>0</v>
      </c>
      <c r="M41" s="530">
        <f>IFERROR(IF(OR(3&gt;$B$3,ISBLANK(Actuals!E47)),"",(Budget!E47-Actuals!E47)/ABS(Budget!E47)),"")</f>
      </c>
      <c r="N41" s="529">
        <f>Budget!F47</f>
        <v>0</v>
      </c>
      <c r="O41" s="529">
        <f>IF(OR(4&gt;$B$3,ISBLANK(Actuals!F47)),"",Actuals!F47)</f>
        <v>0</v>
      </c>
      <c r="P41" s="530">
        <f>IF(OR(4&gt;$B$3,ISBLANK(Actuals!F47)),"",Budget!F47-Actuals!F47)</f>
        <v>0</v>
      </c>
      <c r="Q41" s="530">
        <f>IFERROR(IF(OR(4&gt;$B$3,ISBLANK(Actuals!F47)),"",(Budget!F47-Actuals!F47)/ABS(Budget!F47)),"")</f>
      </c>
      <c r="R41" s="529">
        <f>Budget!G47</f>
        <v>0</v>
      </c>
      <c r="S41" s="529">
        <f>IF(OR(5&gt;$B$3,ISBLANK(Actuals!G47)),"",Actuals!G47)</f>
        <v>-320</v>
      </c>
      <c r="T41" s="530">
        <f>IF(OR(5&gt;$B$3,ISBLANK(Actuals!G47)),"",Budget!G47-Actuals!G47)</f>
        <v>320</v>
      </c>
      <c r="U41" s="530">
        <f>IFERROR(IF(OR(5&gt;$B$3,ISBLANK(Actuals!G47)),"",(Budget!G47-Actuals!G47)/ABS(Budget!G47)),"")</f>
      </c>
      <c r="V41" s="529">
        <f>Budget!H47</f>
        <v>0</v>
      </c>
      <c r="W41" s="529">
        <f>IF(OR(6&gt;$B$3,ISBLANK(Actuals!H47)),"",Actuals!H47)</f>
        <v>-320</v>
      </c>
      <c r="X41" s="530">
        <f>IF(OR(6&gt;$B$3,ISBLANK(Actuals!H47)),"",Budget!H47-Actuals!H47)</f>
        <v>320</v>
      </c>
      <c r="Y41" s="530">
        <f>IFERROR(IF(OR(6&gt;$B$3,ISBLANK(Actuals!H47)),"",(Budget!H47-Actuals!H47)/ABS(Budget!H47)),"")</f>
      </c>
      <c r="Z41" s="529">
        <f>Budget!I47</f>
        <v>0</v>
      </c>
      <c r="AA41" s="529">
        <f>IF(OR(7&gt;$B$3,ISBLANK(Actuals!I47)),"",Actuals!I47)</f>
      </c>
      <c r="AB41" s="530">
        <f>IF(OR(7&gt;$B$3,ISBLANK(Actuals!I47)),"",Budget!I47-Actuals!I47)</f>
      </c>
      <c r="AC41" s="530">
        <f>IFERROR(IF(OR(7&gt;$B$3,ISBLANK(Actuals!I47)),"",(Budget!I47-Actuals!I47)/ABS(Budget!I47)),"")</f>
      </c>
      <c r="AD41" s="529">
        <f>Budget!J47</f>
        <v>0</v>
      </c>
      <c r="AE41" s="529">
        <f>IF(OR(8&gt;$B$3,ISBLANK(Actuals!J47)),"",Actuals!J47)</f>
      </c>
      <c r="AF41" s="530">
        <f>IF(OR(8&gt;$B$3,ISBLANK(Actuals!J47)),"",Budget!J47-Actuals!J47)</f>
      </c>
      <c r="AG41" s="530">
        <f>IFERROR(IF(OR(8&gt;$B$3,ISBLANK(Actuals!J47)),"",(Budget!J47-Actuals!J47)/ABS(Budget!J47)),"")</f>
      </c>
      <c r="AH41" s="529">
        <f>Budget!K47</f>
        <v>0</v>
      </c>
      <c r="AI41" s="529">
        <f>IF(OR(9&gt;$B$3,ISBLANK(Actuals!K47)),"",Actuals!K47)</f>
      </c>
      <c r="AJ41" s="530">
        <f>IF(OR(9&gt;$B$3,ISBLANK(Actuals!K47)),"",Budget!K47-Actuals!K47)</f>
      </c>
      <c r="AK41" s="530">
        <f>IFERROR(IF(OR(9&gt;$B$3,ISBLANK(Actuals!K47)),"",(Budget!K47-Actuals!K47)/ABS(Budget!K47)),"")</f>
      </c>
      <c r="AL41" s="529">
        <f>Budget!L47</f>
        <v>0</v>
      </c>
      <c r="AM41" s="529">
        <f>IF(OR(10&gt;$B$3,ISBLANK(Actuals!L47)),"",Actuals!L47)</f>
      </c>
      <c r="AN41" s="530">
        <f>IF(OR(10&gt;$B$3,ISBLANK(Actuals!L47)),"",Budget!L47-Actuals!L47)</f>
      </c>
      <c r="AO41" s="530">
        <f>IFERROR(IF(OR(10&gt;$B$3,ISBLANK(Actuals!L47)),"",(Budget!L47-Actuals!L47)/ABS(Budget!L47)),"")</f>
      </c>
      <c r="AP41" s="529">
        <f>Budget!M47</f>
        <v>0</v>
      </c>
      <c r="AQ41" s="529">
        <f>IF(OR(11&gt;$B$3,ISBLANK(Actuals!M47)),"",Actuals!M47)</f>
      </c>
      <c r="AR41" s="530">
        <f>IF(OR(11&gt;$B$3,ISBLANK(Actuals!M47)),"",Budget!M47-Actuals!M47)</f>
      </c>
      <c r="AS41" s="530">
        <f>IFERROR(IF(OR(11&gt;$B$3,ISBLANK(Actuals!M47)),"",(Budget!M47-Actuals!M47)/ABS(Budget!M47)),"")</f>
      </c>
      <c r="AT41" s="529">
        <f>Budget!N47</f>
        <v>0</v>
      </c>
      <c r="AU41" s="529">
        <f>IF(OR(12&gt;$B$3,ISBLANK(Actuals!N47)),"",Actuals!N47)</f>
      </c>
      <c r="AV41" s="530">
        <f>IF(OR(12&gt;$B$3,ISBLANK(Actuals!N47)),"",Budget!N47-Actuals!N47)</f>
      </c>
      <c r="AW41" s="530">
        <f>IFERROR(IF(OR(12&gt;$B$3,ISBLANK(Actuals!N47)),"",(Budget!N47-Actuals!N47)/ABS(Budget!N47)),"")</f>
      </c>
      <c r="AX41" s="531">
        <f>SUMPRODUCT((Actuals!C47:N47&lt;&gt;"")*(Budget!C47:N47))</f>
        <v>0</v>
      </c>
      <c r="AY41" s="531">
        <f>SUM(Actuals!C47:N47)</f>
        <v>-1120</v>
      </c>
      <c r="AZ41" s="532">
        <f>AX41-AY41</f>
        <v>1120</v>
      </c>
    </row>
    <row r="42" ht="15" customFormat="1" customHeight="1" s="381">
      <c r="A42" s="528" t="inlineStr">
        <is>
          <t>5900-1040 Warranty and Other Job Adjustments</t>
        </is>
      </c>
      <c r="B42" s="529">
        <f>Budget!C48</f>
        <v>-4166.67</v>
      </c>
      <c r="C42" s="529">
        <f>IF(OR(1&gt;$B$3,ISBLANK(Actuals!C48)),"",Actuals!C48)</f>
        <v>-17660.72</v>
      </c>
      <c r="D42" s="530">
        <f>IF(OR(1&gt;$B$3,ISBLANK(Actuals!C48)),"",Budget!C48-Actuals!C48)</f>
        <v>13494.05</v>
      </c>
      <c r="E42" s="530">
        <f>IFERROR(IF(OR(1&gt;$B$3,ISBLANK(Actuals!C48)),"",(Budget!C48-Actuals!C48)/ABS(Budget!C48)),"")</f>
        <v>3.23856940914447</v>
      </c>
      <c r="F42" s="529">
        <f>Budget!D48</f>
        <v>-4166.67</v>
      </c>
      <c r="G42" s="529">
        <f>IF(OR(2&gt;$B$3,ISBLANK(Actuals!D48)),"",Actuals!D48)</f>
        <v>-5799</v>
      </c>
      <c r="H42" s="530">
        <f>IF(OR(2&gt;$B$3,ISBLANK(Actuals!D48)),"",Budget!D48-Actuals!D48)</f>
        <v>1632.33</v>
      </c>
      <c r="I42" s="530">
        <f>IFERROR(IF(OR(2&gt;$B$3,ISBLANK(Actuals!D48)),"",(Budget!D48-Actuals!D48)/ABS(Budget!D48)),"")</f>
        <v>0.391758886592891</v>
      </c>
      <c r="J42" s="529">
        <f>Budget!E48</f>
        <v>-4166.67</v>
      </c>
      <c r="K42" s="529">
        <f>IF(OR(3&gt;$B$3,ISBLANK(Actuals!E48)),"",Actuals!E48)</f>
        <v>-3432.18</v>
      </c>
      <c r="L42" s="530">
        <f>IF(OR(3&gt;$B$3,ISBLANK(Actuals!E48)),"",Budget!E48-Actuals!E48)</f>
        <v>-734.49</v>
      </c>
      <c r="M42" s="530">
        <f>IFERROR(IF(OR(3&gt;$B$3,ISBLANK(Actuals!E48)),"",(Budget!E48-Actuals!E48)/ABS(Budget!E48)),"")</f>
        <v>-0.176277458978033</v>
      </c>
      <c r="N42" s="529">
        <f>Budget!F48</f>
        <v>-4166.67</v>
      </c>
      <c r="O42" s="529">
        <f>IF(OR(4&gt;$B$3,ISBLANK(Actuals!F48)),"",Actuals!F48)</f>
        <v>0</v>
      </c>
      <c r="P42" s="530">
        <f>IF(OR(4&gt;$B$3,ISBLANK(Actuals!F48)),"",Budget!F48-Actuals!F48)</f>
        <v>-4166.67</v>
      </c>
      <c r="Q42" s="530">
        <f>IFERROR(IF(OR(4&gt;$B$3,ISBLANK(Actuals!F48)),"",(Budget!F48-Actuals!F48)/ABS(Budget!F48)),"")</f>
        <v>-1</v>
      </c>
      <c r="R42" s="529">
        <f>Budget!G48</f>
        <v>-4166.67</v>
      </c>
      <c r="S42" s="529">
        <f>IF(OR(5&gt;$B$3,ISBLANK(Actuals!G48)),"",Actuals!G48)</f>
        <v>-73874.29</v>
      </c>
      <c r="T42" s="530">
        <f>IF(OR(5&gt;$B$3,ISBLANK(Actuals!G48)),"",Budget!G48-Actuals!G48)</f>
        <v>69707.62</v>
      </c>
      <c r="U42" s="530">
        <f>IFERROR(IF(OR(5&gt;$B$3,ISBLANK(Actuals!G48)),"",(Budget!G48-Actuals!G48)/ABS(Budget!G48)),"")</f>
        <v>16.7298154161477</v>
      </c>
      <c r="V42" s="529">
        <f>Budget!H48</f>
        <v>-4166.67</v>
      </c>
      <c r="W42" s="529">
        <f>IF(OR(6&gt;$B$3,ISBLANK(Actuals!H48)),"",Actuals!H48)</f>
        <v>0</v>
      </c>
      <c r="X42" s="530">
        <f>IF(OR(6&gt;$B$3,ISBLANK(Actuals!H48)),"",Budget!H48-Actuals!H48)</f>
        <v>-4166.67</v>
      </c>
      <c r="Y42" s="530">
        <f>IFERROR(IF(OR(6&gt;$B$3,ISBLANK(Actuals!H48)),"",(Budget!H48-Actuals!H48)/ABS(Budget!H48)),"")</f>
        <v>-1</v>
      </c>
      <c r="Z42" s="529">
        <f>Budget!I48</f>
        <v>-4250</v>
      </c>
      <c r="AA42" s="529">
        <f>IF(OR(7&gt;$B$3,ISBLANK(Actuals!I48)),"",Actuals!I48)</f>
      </c>
      <c r="AB42" s="530">
        <f>IF(OR(7&gt;$B$3,ISBLANK(Actuals!I48)),"",Budget!I48-Actuals!I48)</f>
      </c>
      <c r="AC42" s="530">
        <f>IFERROR(IF(OR(7&gt;$B$3,ISBLANK(Actuals!I48)),"",(Budget!I48-Actuals!I48)/ABS(Budget!I48)),"")</f>
      </c>
      <c r="AD42" s="529">
        <f>Budget!J48</f>
        <v>-4250</v>
      </c>
      <c r="AE42" s="529">
        <f>IF(OR(8&gt;$B$3,ISBLANK(Actuals!J48)),"",Actuals!J48)</f>
      </c>
      <c r="AF42" s="530">
        <f>IF(OR(8&gt;$B$3,ISBLANK(Actuals!J48)),"",Budget!J48-Actuals!J48)</f>
      </c>
      <c r="AG42" s="530">
        <f>IFERROR(IF(OR(8&gt;$B$3,ISBLANK(Actuals!J48)),"",(Budget!J48-Actuals!J48)/ABS(Budget!J48)),"")</f>
      </c>
      <c r="AH42" s="529">
        <f>Budget!K48</f>
        <v>-4250</v>
      </c>
      <c r="AI42" s="529">
        <f>IF(OR(9&gt;$B$3,ISBLANK(Actuals!K48)),"",Actuals!K48)</f>
      </c>
      <c r="AJ42" s="530">
        <f>IF(OR(9&gt;$B$3,ISBLANK(Actuals!K48)),"",Budget!K48-Actuals!K48)</f>
      </c>
      <c r="AK42" s="530">
        <f>IFERROR(IF(OR(9&gt;$B$3,ISBLANK(Actuals!K48)),"",(Budget!K48-Actuals!K48)/ABS(Budget!K48)),"")</f>
      </c>
      <c r="AL42" s="529">
        <f>Budget!L48</f>
        <v>-4250</v>
      </c>
      <c r="AM42" s="529">
        <f>IF(OR(10&gt;$B$3,ISBLANK(Actuals!L48)),"",Actuals!L48)</f>
      </c>
      <c r="AN42" s="530">
        <f>IF(OR(10&gt;$B$3,ISBLANK(Actuals!L48)),"",Budget!L48-Actuals!L48)</f>
      </c>
      <c r="AO42" s="530">
        <f>IFERROR(IF(OR(10&gt;$B$3,ISBLANK(Actuals!L48)),"",(Budget!L48-Actuals!L48)/ABS(Budget!L48)),"")</f>
      </c>
      <c r="AP42" s="529">
        <f>Budget!M48</f>
        <v>-4250</v>
      </c>
      <c r="AQ42" s="529">
        <f>IF(OR(11&gt;$B$3,ISBLANK(Actuals!M48)),"",Actuals!M48)</f>
      </c>
      <c r="AR42" s="530">
        <f>IF(OR(11&gt;$B$3,ISBLANK(Actuals!M48)),"",Budget!M48-Actuals!M48)</f>
      </c>
      <c r="AS42" s="530">
        <f>IFERROR(IF(OR(11&gt;$B$3,ISBLANK(Actuals!M48)),"",(Budget!M48-Actuals!M48)/ABS(Budget!M48)),"")</f>
      </c>
      <c r="AT42" s="529">
        <f>Budget!N48</f>
        <v>-4250</v>
      </c>
      <c r="AU42" s="529">
        <f>IF(OR(12&gt;$B$3,ISBLANK(Actuals!N48)),"",Actuals!N48)</f>
      </c>
      <c r="AV42" s="530">
        <f>IF(OR(12&gt;$B$3,ISBLANK(Actuals!N48)),"",Budget!N48-Actuals!N48)</f>
      </c>
      <c r="AW42" s="530">
        <f>IFERROR(IF(OR(12&gt;$B$3,ISBLANK(Actuals!N48)),"",(Budget!N48-Actuals!N48)/ABS(Budget!N48)),"")</f>
      </c>
      <c r="AX42" s="531">
        <f>SUMPRODUCT((Actuals!C48:N48&lt;&gt;"")*(Budget!C48:N48))</f>
        <v>-25000.02</v>
      </c>
      <c r="AY42" s="531">
        <f>SUM(Actuals!C48:N48)</f>
        <v>-100766.19</v>
      </c>
      <c r="AZ42" s="532">
        <f>AX42-AY42</f>
        <v>75766.17</v>
      </c>
    </row>
    <row r="43" ht="15" customFormat="1" customHeight="1" s="381">
      <c r="A43" s="528" t="inlineStr">
        <is>
          <t>5900-1075 Miscellaneous Expense</t>
        </is>
      </c>
      <c r="B43" s="529">
        <f>Budget!C49</f>
        <v>0</v>
      </c>
      <c r="C43" s="529">
        <f>IF(OR(1&gt;$B$3,ISBLANK(Actuals!C49)),"",Actuals!C49)</f>
        <v>-1913.91</v>
      </c>
      <c r="D43" s="530">
        <f>IF(OR(1&gt;$B$3,ISBLANK(Actuals!C49)),"",Budget!C49-Actuals!C49)</f>
        <v>1913.91</v>
      </c>
      <c r="E43" s="530">
        <f>IFERROR(IF(OR(1&gt;$B$3,ISBLANK(Actuals!C49)),"",(Budget!C49-Actuals!C49)/ABS(Budget!C49)),"")</f>
      </c>
      <c r="F43" s="529">
        <f>Budget!D49</f>
        <v>0</v>
      </c>
      <c r="G43" s="529">
        <f>IF(OR(2&gt;$B$3,ISBLANK(Actuals!D49)),"",Actuals!D49)</f>
        <v>-2254.72</v>
      </c>
      <c r="H43" s="530">
        <f>IF(OR(2&gt;$B$3,ISBLANK(Actuals!D49)),"",Budget!D49-Actuals!D49)</f>
        <v>2254.72</v>
      </c>
      <c r="I43" s="530">
        <f>IFERROR(IF(OR(2&gt;$B$3,ISBLANK(Actuals!D49)),"",(Budget!D49-Actuals!D49)/ABS(Budget!D49)),"")</f>
      </c>
      <c r="J43" s="529">
        <f>Budget!E49</f>
        <v>0</v>
      </c>
      <c r="K43" s="529">
        <f>IF(OR(3&gt;$B$3,ISBLANK(Actuals!E49)),"",Actuals!E49)</f>
        <v>-1913.91</v>
      </c>
      <c r="L43" s="530">
        <f>IF(OR(3&gt;$B$3,ISBLANK(Actuals!E49)),"",Budget!E49-Actuals!E49)</f>
        <v>1913.91</v>
      </c>
      <c r="M43" s="530">
        <f>IFERROR(IF(OR(3&gt;$B$3,ISBLANK(Actuals!E49)),"",(Budget!E49-Actuals!E49)/ABS(Budget!E49)),"")</f>
      </c>
      <c r="N43" s="529">
        <f>Budget!F49</f>
        <v>0</v>
      </c>
      <c r="O43" s="529">
        <f>IF(OR(4&gt;$B$3,ISBLANK(Actuals!F49)),"",Actuals!F49)</f>
        <v>-1609.91</v>
      </c>
      <c r="P43" s="530">
        <f>IF(OR(4&gt;$B$3,ISBLANK(Actuals!F49)),"",Budget!F49-Actuals!F49)</f>
        <v>1609.91</v>
      </c>
      <c r="Q43" s="530">
        <f>IFERROR(IF(OR(4&gt;$B$3,ISBLANK(Actuals!F49)),"",(Budget!F49-Actuals!F49)/ABS(Budget!F49)),"")</f>
      </c>
      <c r="R43" s="529">
        <f>Budget!G49</f>
        <v>0</v>
      </c>
      <c r="S43" s="529">
        <f>IF(OR(5&gt;$B$3,ISBLANK(Actuals!G49)),"",Actuals!G49)</f>
        <v>-2760.86</v>
      </c>
      <c r="T43" s="530">
        <f>IF(OR(5&gt;$B$3,ISBLANK(Actuals!G49)),"",Budget!G49-Actuals!G49)</f>
        <v>2760.86</v>
      </c>
      <c r="U43" s="530">
        <f>IFERROR(IF(OR(5&gt;$B$3,ISBLANK(Actuals!G49)),"",(Budget!G49-Actuals!G49)/ABS(Budget!G49)),"")</f>
      </c>
      <c r="V43" s="529">
        <f>Budget!H49</f>
        <v>0</v>
      </c>
      <c r="W43" s="529">
        <f>IF(OR(6&gt;$B$3,ISBLANK(Actuals!H49)),"",Actuals!H49)</f>
        <v>0</v>
      </c>
      <c r="X43" s="530">
        <f>IF(OR(6&gt;$B$3,ISBLANK(Actuals!H49)),"",Budget!H49-Actuals!H49)</f>
        <v>0</v>
      </c>
      <c r="Y43" s="530">
        <f>IFERROR(IF(OR(6&gt;$B$3,ISBLANK(Actuals!H49)),"",(Budget!H49-Actuals!H49)/ABS(Budget!H49)),"")</f>
      </c>
      <c r="Z43" s="529">
        <f>Budget!I49</f>
        <v>0</v>
      </c>
      <c r="AA43" s="529">
        <f>IF(OR(7&gt;$B$3,ISBLANK(Actuals!I49)),"",Actuals!I49)</f>
      </c>
      <c r="AB43" s="530">
        <f>IF(OR(7&gt;$B$3,ISBLANK(Actuals!I49)),"",Budget!I49-Actuals!I49)</f>
      </c>
      <c r="AC43" s="530">
        <f>IFERROR(IF(OR(7&gt;$B$3,ISBLANK(Actuals!I49)),"",(Budget!I49-Actuals!I49)/ABS(Budget!I49)),"")</f>
      </c>
      <c r="AD43" s="529">
        <f>Budget!J49</f>
        <v>0</v>
      </c>
      <c r="AE43" s="529">
        <f>IF(OR(8&gt;$B$3,ISBLANK(Actuals!J49)),"",Actuals!J49)</f>
      </c>
      <c r="AF43" s="530">
        <f>IF(OR(8&gt;$B$3,ISBLANK(Actuals!J49)),"",Budget!J49-Actuals!J49)</f>
      </c>
      <c r="AG43" s="530">
        <f>IFERROR(IF(OR(8&gt;$B$3,ISBLANK(Actuals!J49)),"",(Budget!J49-Actuals!J49)/ABS(Budget!J49)),"")</f>
      </c>
      <c r="AH43" s="529">
        <f>Budget!K49</f>
        <v>0</v>
      </c>
      <c r="AI43" s="529">
        <f>IF(OR(9&gt;$B$3,ISBLANK(Actuals!K49)),"",Actuals!K49)</f>
      </c>
      <c r="AJ43" s="530">
        <f>IF(OR(9&gt;$B$3,ISBLANK(Actuals!K49)),"",Budget!K49-Actuals!K49)</f>
      </c>
      <c r="AK43" s="530">
        <f>IFERROR(IF(OR(9&gt;$B$3,ISBLANK(Actuals!K49)),"",(Budget!K49-Actuals!K49)/ABS(Budget!K49)),"")</f>
      </c>
      <c r="AL43" s="529">
        <f>Budget!L49</f>
        <v>0</v>
      </c>
      <c r="AM43" s="529">
        <f>IF(OR(10&gt;$B$3,ISBLANK(Actuals!L49)),"",Actuals!L49)</f>
      </c>
      <c r="AN43" s="530">
        <f>IF(OR(10&gt;$B$3,ISBLANK(Actuals!L49)),"",Budget!L49-Actuals!L49)</f>
      </c>
      <c r="AO43" s="530">
        <f>IFERROR(IF(OR(10&gt;$B$3,ISBLANK(Actuals!L49)),"",(Budget!L49-Actuals!L49)/ABS(Budget!L49)),"")</f>
      </c>
      <c r="AP43" s="529">
        <f>Budget!M49</f>
        <v>0</v>
      </c>
      <c r="AQ43" s="529">
        <f>IF(OR(11&gt;$B$3,ISBLANK(Actuals!M49)),"",Actuals!M49)</f>
      </c>
      <c r="AR43" s="530">
        <f>IF(OR(11&gt;$B$3,ISBLANK(Actuals!M49)),"",Budget!M49-Actuals!M49)</f>
      </c>
      <c r="AS43" s="530">
        <f>IFERROR(IF(OR(11&gt;$B$3,ISBLANK(Actuals!M49)),"",(Budget!M49-Actuals!M49)/ABS(Budget!M49)),"")</f>
      </c>
      <c r="AT43" s="529">
        <f>Budget!N49</f>
        <v>0</v>
      </c>
      <c r="AU43" s="529">
        <f>IF(OR(12&gt;$B$3,ISBLANK(Actuals!N49)),"",Actuals!N49)</f>
      </c>
      <c r="AV43" s="530">
        <f>IF(OR(12&gt;$B$3,ISBLANK(Actuals!N49)),"",Budget!N49-Actuals!N49)</f>
      </c>
      <c r="AW43" s="530">
        <f>IFERROR(IF(OR(12&gt;$B$3,ISBLANK(Actuals!N49)),"",(Budget!N49-Actuals!N49)/ABS(Budget!N49)),"")</f>
      </c>
      <c r="AX43" s="531">
        <f>SUMPRODUCT((Actuals!C49:N49&lt;&gt;"")*(Budget!C49:N49))</f>
        <v>0</v>
      </c>
      <c r="AY43" s="531">
        <f>SUM(Actuals!C49:N49)</f>
        <v>-10453.31</v>
      </c>
      <c r="AZ43" s="532">
        <f>AX43-AY43</f>
        <v>10453.31</v>
      </c>
    </row>
    <row r="44" ht="15" customFormat="1" customHeight="1" s="381">
      <c r="A44" s="528" t="inlineStr">
        <is>
          <t>5900-1080 Bank Service Charges</t>
        </is>
      </c>
      <c r="B44" s="529">
        <f>Budget!C50</f>
        <v>-166.67</v>
      </c>
      <c r="C44" s="529">
        <f>IF(OR(1&gt;$B$3,ISBLANK(Actuals!C50)),"",Actuals!C50)</f>
        <v>0</v>
      </c>
      <c r="D44" s="530">
        <f>IF(OR(1&gt;$B$3,ISBLANK(Actuals!C50)),"",Budget!C50-Actuals!C50)</f>
        <v>-166.67</v>
      </c>
      <c r="E44" s="530">
        <f>IFERROR(IF(OR(1&gt;$B$3,ISBLANK(Actuals!C50)),"",(Budget!C50-Actuals!C50)/ABS(Budget!C50)),"")</f>
        <v>-1</v>
      </c>
      <c r="F44" s="529">
        <f>Budget!D50</f>
        <v>-166.67</v>
      </c>
      <c r="G44" s="529">
        <f>IF(OR(2&gt;$B$3,ISBLANK(Actuals!D50)),"",Actuals!D50)</f>
        <v>-75</v>
      </c>
      <c r="H44" s="530">
        <f>IF(OR(2&gt;$B$3,ISBLANK(Actuals!D50)),"",Budget!D50-Actuals!D50)</f>
        <v>-91.67</v>
      </c>
      <c r="I44" s="530">
        <f>IFERROR(IF(OR(2&gt;$B$3,ISBLANK(Actuals!D50)),"",(Budget!D50-Actuals!D50)/ABS(Budget!D50)),"")</f>
        <v>-0.550008999820004</v>
      </c>
      <c r="J44" s="529">
        <f>Budget!E50</f>
        <v>-166.67</v>
      </c>
      <c r="K44" s="529">
        <f>IF(OR(3&gt;$B$3,ISBLANK(Actuals!E50)),"",Actuals!E50)</f>
        <v>-5</v>
      </c>
      <c r="L44" s="530">
        <f>IF(OR(3&gt;$B$3,ISBLANK(Actuals!E50)),"",Budget!E50-Actuals!E50)</f>
        <v>-161.67</v>
      </c>
      <c r="M44" s="530">
        <f>IFERROR(IF(OR(3&gt;$B$3,ISBLANK(Actuals!E50)),"",(Budget!E50-Actuals!E50)/ABS(Budget!E50)),"")</f>
        <v>-0.970000599988</v>
      </c>
      <c r="N44" s="529">
        <f>Budget!F50</f>
        <v>-166.67</v>
      </c>
      <c r="O44" s="529">
        <f>IF(OR(4&gt;$B$3,ISBLANK(Actuals!F50)),"",Actuals!F50)</f>
        <v>0</v>
      </c>
      <c r="P44" s="530">
        <f>IF(OR(4&gt;$B$3,ISBLANK(Actuals!F50)),"",Budget!F50-Actuals!F50)</f>
        <v>-166.67</v>
      </c>
      <c r="Q44" s="530">
        <f>IFERROR(IF(OR(4&gt;$B$3,ISBLANK(Actuals!F50)),"",(Budget!F50-Actuals!F50)/ABS(Budget!F50)),"")</f>
        <v>-1</v>
      </c>
      <c r="R44" s="529">
        <f>Budget!G50</f>
        <v>-166.67</v>
      </c>
      <c r="S44" s="529">
        <f>IF(OR(5&gt;$B$3,ISBLANK(Actuals!G50)),"",Actuals!G50)</f>
        <v>0</v>
      </c>
      <c r="T44" s="530">
        <f>IF(OR(5&gt;$B$3,ISBLANK(Actuals!G50)),"",Budget!G50-Actuals!G50)</f>
        <v>-166.67</v>
      </c>
      <c r="U44" s="530">
        <f>IFERROR(IF(OR(5&gt;$B$3,ISBLANK(Actuals!G50)),"",(Budget!G50-Actuals!G50)/ABS(Budget!G50)),"")</f>
        <v>-1</v>
      </c>
      <c r="V44" s="529">
        <f>Budget!H50</f>
        <v>-166.67</v>
      </c>
      <c r="W44" s="529">
        <f>IF(OR(6&gt;$B$3,ISBLANK(Actuals!H50)),"",Actuals!H50)</f>
        <v>0</v>
      </c>
      <c r="X44" s="530">
        <f>IF(OR(6&gt;$B$3,ISBLANK(Actuals!H50)),"",Budget!H50-Actuals!H50)</f>
        <v>-166.67</v>
      </c>
      <c r="Y44" s="530">
        <f>IFERROR(IF(OR(6&gt;$B$3,ISBLANK(Actuals!H50)),"",(Budget!H50-Actuals!H50)/ABS(Budget!H50)),"")</f>
        <v>-1</v>
      </c>
      <c r="Z44" s="529">
        <f>Budget!I50</f>
        <v>-170</v>
      </c>
      <c r="AA44" s="529">
        <f>IF(OR(7&gt;$B$3,ISBLANK(Actuals!I50)),"",Actuals!I50)</f>
      </c>
      <c r="AB44" s="530">
        <f>IF(OR(7&gt;$B$3,ISBLANK(Actuals!I50)),"",Budget!I50-Actuals!I50)</f>
      </c>
      <c r="AC44" s="530">
        <f>IFERROR(IF(OR(7&gt;$B$3,ISBLANK(Actuals!I50)),"",(Budget!I50-Actuals!I50)/ABS(Budget!I50)),"")</f>
      </c>
      <c r="AD44" s="529">
        <f>Budget!J50</f>
        <v>-170</v>
      </c>
      <c r="AE44" s="529">
        <f>IF(OR(8&gt;$B$3,ISBLANK(Actuals!J50)),"",Actuals!J50)</f>
      </c>
      <c r="AF44" s="530">
        <f>IF(OR(8&gt;$B$3,ISBLANK(Actuals!J50)),"",Budget!J50-Actuals!J50)</f>
      </c>
      <c r="AG44" s="530">
        <f>IFERROR(IF(OR(8&gt;$B$3,ISBLANK(Actuals!J50)),"",(Budget!J50-Actuals!J50)/ABS(Budget!J50)),"")</f>
      </c>
      <c r="AH44" s="529">
        <f>Budget!K50</f>
        <v>-170</v>
      </c>
      <c r="AI44" s="529">
        <f>IF(OR(9&gt;$B$3,ISBLANK(Actuals!K50)),"",Actuals!K50)</f>
      </c>
      <c r="AJ44" s="530">
        <f>IF(OR(9&gt;$B$3,ISBLANK(Actuals!K50)),"",Budget!K50-Actuals!K50)</f>
      </c>
      <c r="AK44" s="530">
        <f>IFERROR(IF(OR(9&gt;$B$3,ISBLANK(Actuals!K50)),"",(Budget!K50-Actuals!K50)/ABS(Budget!K50)),"")</f>
      </c>
      <c r="AL44" s="529">
        <f>Budget!L50</f>
        <v>-170</v>
      </c>
      <c r="AM44" s="529">
        <f>IF(OR(10&gt;$B$3,ISBLANK(Actuals!L50)),"",Actuals!L50)</f>
      </c>
      <c r="AN44" s="530">
        <f>IF(OR(10&gt;$B$3,ISBLANK(Actuals!L50)),"",Budget!L50-Actuals!L50)</f>
      </c>
      <c r="AO44" s="530">
        <f>IFERROR(IF(OR(10&gt;$B$3,ISBLANK(Actuals!L50)),"",(Budget!L50-Actuals!L50)/ABS(Budget!L50)),"")</f>
      </c>
      <c r="AP44" s="529">
        <f>Budget!M50</f>
        <v>-170</v>
      </c>
      <c r="AQ44" s="529">
        <f>IF(OR(11&gt;$B$3,ISBLANK(Actuals!M50)),"",Actuals!M50)</f>
      </c>
      <c r="AR44" s="530">
        <f>IF(OR(11&gt;$B$3,ISBLANK(Actuals!M50)),"",Budget!M50-Actuals!M50)</f>
      </c>
      <c r="AS44" s="530">
        <f>IFERROR(IF(OR(11&gt;$B$3,ISBLANK(Actuals!M50)),"",(Budget!M50-Actuals!M50)/ABS(Budget!M50)),"")</f>
      </c>
      <c r="AT44" s="529">
        <f>Budget!N50</f>
        <v>-170</v>
      </c>
      <c r="AU44" s="529">
        <f>IF(OR(12&gt;$B$3,ISBLANK(Actuals!N50)),"",Actuals!N50)</f>
      </c>
      <c r="AV44" s="530">
        <f>IF(OR(12&gt;$B$3,ISBLANK(Actuals!N50)),"",Budget!N50-Actuals!N50)</f>
      </c>
      <c r="AW44" s="530">
        <f>IFERROR(IF(OR(12&gt;$B$3,ISBLANK(Actuals!N50)),"",(Budget!N50-Actuals!N50)/ABS(Budget!N50)),"")</f>
      </c>
      <c r="AX44" s="531">
        <f>SUMPRODUCT((Actuals!C50:N50&lt;&gt;"")*(Budget!C50:N50))</f>
        <v>-1000.02</v>
      </c>
      <c r="AY44" s="531">
        <f>SUM(Actuals!C50:N50)</f>
        <v>-80</v>
      </c>
      <c r="AZ44" s="532">
        <f>AX44-AY44</f>
        <v>-920.02</v>
      </c>
    </row>
    <row r="45" ht="15" customFormat="1" customHeight="1" s="381">
      <c r="A45" s="528" t="inlineStr">
        <is>
          <t>5900-3000 Charitable Contribution</t>
        </is>
      </c>
      <c r="B45" s="529">
        <f>Budget!C51</f>
        <v>0</v>
      </c>
      <c r="C45" s="529">
        <f>IF(OR(1&gt;$B$3,ISBLANK(Actuals!C51)),"",Actuals!C51)</f>
        <v>0</v>
      </c>
      <c r="D45" s="530">
        <f>IF(OR(1&gt;$B$3,ISBLANK(Actuals!C51)),"",Budget!C51-Actuals!C51)</f>
        <v>0</v>
      </c>
      <c r="E45" s="530">
        <f>IFERROR(IF(OR(1&gt;$B$3,ISBLANK(Actuals!C51)),"",(Budget!C51-Actuals!C51)/ABS(Budget!C51)),"")</f>
      </c>
      <c r="F45" s="529">
        <f>Budget!D51</f>
        <v>0</v>
      </c>
      <c r="G45" s="529">
        <f>IF(OR(2&gt;$B$3,ISBLANK(Actuals!D51)),"",Actuals!D51)</f>
        <v>-63</v>
      </c>
      <c r="H45" s="530">
        <f>IF(OR(2&gt;$B$3,ISBLANK(Actuals!D51)),"",Budget!D51-Actuals!D51)</f>
        <v>63</v>
      </c>
      <c r="I45" s="530">
        <f>IFERROR(IF(OR(2&gt;$B$3,ISBLANK(Actuals!D51)),"",(Budget!D51-Actuals!D51)/ABS(Budget!D51)),"")</f>
      </c>
      <c r="J45" s="529">
        <f>Budget!E51</f>
        <v>0</v>
      </c>
      <c r="K45" s="529">
        <f>IF(OR(3&gt;$B$3,ISBLANK(Actuals!E51)),"",Actuals!E51)</f>
        <v>0</v>
      </c>
      <c r="L45" s="530">
        <f>IF(OR(3&gt;$B$3,ISBLANK(Actuals!E51)),"",Budget!E51-Actuals!E51)</f>
        <v>0</v>
      </c>
      <c r="M45" s="530">
        <f>IFERROR(IF(OR(3&gt;$B$3,ISBLANK(Actuals!E51)),"",(Budget!E51-Actuals!E51)/ABS(Budget!E51)),"")</f>
      </c>
      <c r="N45" s="529">
        <f>Budget!F51</f>
        <v>0</v>
      </c>
      <c r="O45" s="529">
        <f>IF(OR(4&gt;$B$3,ISBLANK(Actuals!F51)),"",Actuals!F51)</f>
        <v>0</v>
      </c>
      <c r="P45" s="530">
        <f>IF(OR(4&gt;$B$3,ISBLANK(Actuals!F51)),"",Budget!F51-Actuals!F51)</f>
        <v>0</v>
      </c>
      <c r="Q45" s="530">
        <f>IFERROR(IF(OR(4&gt;$B$3,ISBLANK(Actuals!F51)),"",(Budget!F51-Actuals!F51)/ABS(Budget!F51)),"")</f>
      </c>
      <c r="R45" s="529">
        <f>Budget!G51</f>
        <v>0</v>
      </c>
      <c r="S45" s="529">
        <f>IF(OR(5&gt;$B$3,ISBLANK(Actuals!G51)),"",Actuals!G51)</f>
        <v>0</v>
      </c>
      <c r="T45" s="530">
        <f>IF(OR(5&gt;$B$3,ISBLANK(Actuals!G51)),"",Budget!G51-Actuals!G51)</f>
        <v>0</v>
      </c>
      <c r="U45" s="530">
        <f>IFERROR(IF(OR(5&gt;$B$3,ISBLANK(Actuals!G51)),"",(Budget!G51-Actuals!G51)/ABS(Budget!G51)),"")</f>
      </c>
      <c r="V45" s="529">
        <f>Budget!H51</f>
        <v>0</v>
      </c>
      <c r="W45" s="529">
        <f>IF(OR(6&gt;$B$3,ISBLANK(Actuals!H51)),"",Actuals!H51)</f>
        <v>0</v>
      </c>
      <c r="X45" s="530">
        <f>IF(OR(6&gt;$B$3,ISBLANK(Actuals!H51)),"",Budget!H51-Actuals!H51)</f>
        <v>0</v>
      </c>
      <c r="Y45" s="530">
        <f>IFERROR(IF(OR(6&gt;$B$3,ISBLANK(Actuals!H51)),"",(Budget!H51-Actuals!H51)/ABS(Budget!H51)),"")</f>
      </c>
      <c r="Z45" s="529">
        <f>Budget!I51</f>
        <v>0</v>
      </c>
      <c r="AA45" s="529">
        <f>IF(OR(7&gt;$B$3,ISBLANK(Actuals!I51)),"",Actuals!I51)</f>
      </c>
      <c r="AB45" s="530">
        <f>IF(OR(7&gt;$B$3,ISBLANK(Actuals!I51)),"",Budget!I51-Actuals!I51)</f>
      </c>
      <c r="AC45" s="530">
        <f>IFERROR(IF(OR(7&gt;$B$3,ISBLANK(Actuals!I51)),"",(Budget!I51-Actuals!I51)/ABS(Budget!I51)),"")</f>
      </c>
      <c r="AD45" s="529">
        <f>Budget!J51</f>
        <v>0</v>
      </c>
      <c r="AE45" s="529">
        <f>IF(OR(8&gt;$B$3,ISBLANK(Actuals!J51)),"",Actuals!J51)</f>
      </c>
      <c r="AF45" s="530">
        <f>IF(OR(8&gt;$B$3,ISBLANK(Actuals!J51)),"",Budget!J51-Actuals!J51)</f>
      </c>
      <c r="AG45" s="530">
        <f>IFERROR(IF(OR(8&gt;$B$3,ISBLANK(Actuals!J51)),"",(Budget!J51-Actuals!J51)/ABS(Budget!J51)),"")</f>
      </c>
      <c r="AH45" s="529">
        <f>Budget!K51</f>
        <v>0</v>
      </c>
      <c r="AI45" s="529">
        <f>IF(OR(9&gt;$B$3,ISBLANK(Actuals!K51)),"",Actuals!K51)</f>
      </c>
      <c r="AJ45" s="530">
        <f>IF(OR(9&gt;$B$3,ISBLANK(Actuals!K51)),"",Budget!K51-Actuals!K51)</f>
      </c>
      <c r="AK45" s="530">
        <f>IFERROR(IF(OR(9&gt;$B$3,ISBLANK(Actuals!K51)),"",(Budget!K51-Actuals!K51)/ABS(Budget!K51)),"")</f>
      </c>
      <c r="AL45" s="529">
        <f>Budget!L51</f>
        <v>0</v>
      </c>
      <c r="AM45" s="529">
        <f>IF(OR(10&gt;$B$3,ISBLANK(Actuals!L51)),"",Actuals!L51)</f>
      </c>
      <c r="AN45" s="530">
        <f>IF(OR(10&gt;$B$3,ISBLANK(Actuals!L51)),"",Budget!L51-Actuals!L51)</f>
      </c>
      <c r="AO45" s="530">
        <f>IFERROR(IF(OR(10&gt;$B$3,ISBLANK(Actuals!L51)),"",(Budget!L51-Actuals!L51)/ABS(Budget!L51)),"")</f>
      </c>
      <c r="AP45" s="529">
        <f>Budget!M51</f>
        <v>0</v>
      </c>
      <c r="AQ45" s="529">
        <f>IF(OR(11&gt;$B$3,ISBLANK(Actuals!M51)),"",Actuals!M51)</f>
      </c>
      <c r="AR45" s="530">
        <f>IF(OR(11&gt;$B$3,ISBLANK(Actuals!M51)),"",Budget!M51-Actuals!M51)</f>
      </c>
      <c r="AS45" s="530">
        <f>IFERROR(IF(OR(11&gt;$B$3,ISBLANK(Actuals!M51)),"",(Budget!M51-Actuals!M51)/ABS(Budget!M51)),"")</f>
      </c>
      <c r="AT45" s="529">
        <f>Budget!N51</f>
        <v>0</v>
      </c>
      <c r="AU45" s="529">
        <f>IF(OR(12&gt;$B$3,ISBLANK(Actuals!N51)),"",Actuals!N51)</f>
      </c>
      <c r="AV45" s="530">
        <f>IF(OR(12&gt;$B$3,ISBLANK(Actuals!N51)),"",Budget!N51-Actuals!N51)</f>
      </c>
      <c r="AW45" s="530">
        <f>IFERROR(IF(OR(12&gt;$B$3,ISBLANK(Actuals!N51)),"",(Budget!N51-Actuals!N51)/ABS(Budget!N51)),"")</f>
      </c>
      <c r="AX45" s="531">
        <f>SUMPRODUCT((Actuals!C51:N51&lt;&gt;"")*(Budget!C51:N51))</f>
        <v>0</v>
      </c>
      <c r="AY45" s="531">
        <f>SUM(Actuals!C51:N51)</f>
        <v>-63</v>
      </c>
      <c r="AZ45" s="532">
        <f>AX45-AY45</f>
        <v>63</v>
      </c>
    </row>
    <row r="46" ht="15" customFormat="1" customHeight="1" s="381">
      <c r="A46" s="528" t="inlineStr">
        <is>
          <t>GC Placeholder — Future Cost A</t>
        </is>
      </c>
      <c r="B46" s="529">
        <f>Budget!C52</f>
        <v>0</v>
      </c>
      <c r="C46" s="529">
        <f>IF(OR(1&gt;$B$3,ISBLANK(Actuals!C52)),"",Actuals!C52)</f>
      </c>
      <c r="D46" s="530">
        <f>IF(OR(1&gt;$B$3,ISBLANK(Actuals!C52)),"",Budget!C52-Actuals!C52)</f>
      </c>
      <c r="E46" s="530">
        <f>IFERROR(IF(OR(1&gt;$B$3,ISBLANK(Actuals!C52)),"",(Budget!C52-Actuals!C52)/ABS(Budget!C52)),"")</f>
      </c>
      <c r="F46" s="529">
        <f>Budget!D52</f>
        <v>0</v>
      </c>
      <c r="G46" s="529">
        <f>IF(OR(2&gt;$B$3,ISBLANK(Actuals!D52)),"",Actuals!D52)</f>
      </c>
      <c r="H46" s="530">
        <f>IF(OR(2&gt;$B$3,ISBLANK(Actuals!D52)),"",Budget!D52-Actuals!D52)</f>
      </c>
      <c r="I46" s="530">
        <f>IFERROR(IF(OR(2&gt;$B$3,ISBLANK(Actuals!D52)),"",(Budget!D52-Actuals!D52)/ABS(Budget!D52)),"")</f>
      </c>
      <c r="J46" s="529">
        <f>Budget!E52</f>
        <v>0</v>
      </c>
      <c r="K46" s="529">
        <f>IF(OR(3&gt;$B$3,ISBLANK(Actuals!E52)),"",Actuals!E52)</f>
      </c>
      <c r="L46" s="530">
        <f>IF(OR(3&gt;$B$3,ISBLANK(Actuals!E52)),"",Budget!E52-Actuals!E52)</f>
      </c>
      <c r="M46" s="530">
        <f>IFERROR(IF(OR(3&gt;$B$3,ISBLANK(Actuals!E52)),"",(Budget!E52-Actuals!E52)/ABS(Budget!E52)),"")</f>
      </c>
      <c r="N46" s="529">
        <f>Budget!F52</f>
        <v>0</v>
      </c>
      <c r="O46" s="529">
        <f>IF(OR(4&gt;$B$3,ISBLANK(Actuals!F52)),"",Actuals!F52)</f>
      </c>
      <c r="P46" s="530">
        <f>IF(OR(4&gt;$B$3,ISBLANK(Actuals!F52)),"",Budget!F52-Actuals!F52)</f>
      </c>
      <c r="Q46" s="530">
        <f>IFERROR(IF(OR(4&gt;$B$3,ISBLANK(Actuals!F52)),"",(Budget!F52-Actuals!F52)/ABS(Budget!F52)),"")</f>
      </c>
      <c r="R46" s="529">
        <f>Budget!G52</f>
        <v>0</v>
      </c>
      <c r="S46" s="529">
        <f>IF(OR(5&gt;$B$3,ISBLANK(Actuals!G52)),"",Actuals!G52)</f>
      </c>
      <c r="T46" s="530">
        <f>IF(OR(5&gt;$B$3,ISBLANK(Actuals!G52)),"",Budget!G52-Actuals!G52)</f>
      </c>
      <c r="U46" s="530">
        <f>IFERROR(IF(OR(5&gt;$B$3,ISBLANK(Actuals!G52)),"",(Budget!G52-Actuals!G52)/ABS(Budget!G52)),"")</f>
      </c>
      <c r="V46" s="529">
        <f>Budget!H52</f>
        <v>0</v>
      </c>
      <c r="W46" s="529">
        <f>IF(OR(6&gt;$B$3,ISBLANK(Actuals!H52)),"",Actuals!H52)</f>
      </c>
      <c r="X46" s="530">
        <f>IF(OR(6&gt;$B$3,ISBLANK(Actuals!H52)),"",Budget!H52-Actuals!H52)</f>
      </c>
      <c r="Y46" s="530">
        <f>IFERROR(IF(OR(6&gt;$B$3,ISBLANK(Actuals!H52)),"",(Budget!H52-Actuals!H52)/ABS(Budget!H52)),"")</f>
      </c>
      <c r="Z46" s="529">
        <f>Budget!I52</f>
        <v>0</v>
      </c>
      <c r="AA46" s="529">
        <f>IF(OR(7&gt;$B$3,ISBLANK(Actuals!I52)),"",Actuals!I52)</f>
      </c>
      <c r="AB46" s="530">
        <f>IF(OR(7&gt;$B$3,ISBLANK(Actuals!I52)),"",Budget!I52-Actuals!I52)</f>
      </c>
      <c r="AC46" s="530">
        <f>IFERROR(IF(OR(7&gt;$B$3,ISBLANK(Actuals!I52)),"",(Budget!I52-Actuals!I52)/ABS(Budget!I52)),"")</f>
      </c>
      <c r="AD46" s="529">
        <f>Budget!J52</f>
        <v>0</v>
      </c>
      <c r="AE46" s="529">
        <f>IF(OR(8&gt;$B$3,ISBLANK(Actuals!J52)),"",Actuals!J52)</f>
      </c>
      <c r="AF46" s="530">
        <f>IF(OR(8&gt;$B$3,ISBLANK(Actuals!J52)),"",Budget!J52-Actuals!J52)</f>
      </c>
      <c r="AG46" s="530">
        <f>IFERROR(IF(OR(8&gt;$B$3,ISBLANK(Actuals!J52)),"",(Budget!J52-Actuals!J52)/ABS(Budget!J52)),"")</f>
      </c>
      <c r="AH46" s="529">
        <f>Budget!K52</f>
        <v>0</v>
      </c>
      <c r="AI46" s="529">
        <f>IF(OR(9&gt;$B$3,ISBLANK(Actuals!K52)),"",Actuals!K52)</f>
      </c>
      <c r="AJ46" s="530">
        <f>IF(OR(9&gt;$B$3,ISBLANK(Actuals!K52)),"",Budget!K52-Actuals!K52)</f>
      </c>
      <c r="AK46" s="530">
        <f>IFERROR(IF(OR(9&gt;$B$3,ISBLANK(Actuals!K52)),"",(Budget!K52-Actuals!K52)/ABS(Budget!K52)),"")</f>
      </c>
      <c r="AL46" s="529">
        <f>Budget!L52</f>
        <v>0</v>
      </c>
      <c r="AM46" s="529">
        <f>IF(OR(10&gt;$B$3,ISBLANK(Actuals!L52)),"",Actuals!L52)</f>
      </c>
      <c r="AN46" s="530">
        <f>IF(OR(10&gt;$B$3,ISBLANK(Actuals!L52)),"",Budget!L52-Actuals!L52)</f>
      </c>
      <c r="AO46" s="530">
        <f>IFERROR(IF(OR(10&gt;$B$3,ISBLANK(Actuals!L52)),"",(Budget!L52-Actuals!L52)/ABS(Budget!L52)),"")</f>
      </c>
      <c r="AP46" s="529">
        <f>Budget!M52</f>
        <v>0</v>
      </c>
      <c r="AQ46" s="529">
        <f>IF(OR(11&gt;$B$3,ISBLANK(Actuals!M52)),"",Actuals!M52)</f>
      </c>
      <c r="AR46" s="530">
        <f>IF(OR(11&gt;$B$3,ISBLANK(Actuals!M52)),"",Budget!M52-Actuals!M52)</f>
      </c>
      <c r="AS46" s="530">
        <f>IFERROR(IF(OR(11&gt;$B$3,ISBLANK(Actuals!M52)),"",(Budget!M52-Actuals!M52)/ABS(Budget!M52)),"")</f>
      </c>
      <c r="AT46" s="529">
        <f>Budget!N52</f>
        <v>0</v>
      </c>
      <c r="AU46" s="529">
        <f>IF(OR(12&gt;$B$3,ISBLANK(Actuals!N52)),"",Actuals!N52)</f>
      </c>
      <c r="AV46" s="530">
        <f>IF(OR(12&gt;$B$3,ISBLANK(Actuals!N52)),"",Budget!N52-Actuals!N52)</f>
      </c>
      <c r="AW46" s="530">
        <f>IFERROR(IF(OR(12&gt;$B$3,ISBLANK(Actuals!N52)),"",(Budget!N52-Actuals!N52)/ABS(Budget!N52)),"")</f>
      </c>
      <c r="AX46" s="531">
        <f>SUMPRODUCT((Actuals!C52:N52&lt;&gt;"")*(Budget!C52:N52))</f>
        <v>0</v>
      </c>
      <c r="AY46" s="531">
        <f>SUM(Actuals!C52:N52)</f>
        <v>0</v>
      </c>
      <c r="AZ46" s="532">
        <f>AX46-AY46</f>
        <v>0</v>
      </c>
    </row>
    <row r="47" ht="15" customFormat="1" customHeight="1" s="381">
      <c r="A47" s="528" t="inlineStr">
        <is>
          <t>8200-2000 State Tax and Fees</t>
        </is>
      </c>
      <c r="B47" s="529">
        <f>Budget!C53</f>
        <v>-416.67</v>
      </c>
      <c r="C47" s="529">
        <f>IF(OR(1&gt;$B$3,ISBLANK(Actuals!C53)),"",Actuals!C53)</f>
        <v>0</v>
      </c>
      <c r="D47" s="530">
        <f>IF(OR(1&gt;$B$3,ISBLANK(Actuals!C53)),"",Budget!C53-Actuals!C53)</f>
        <v>-416.67</v>
      </c>
      <c r="E47" s="530">
        <f>IFERROR(IF(OR(1&gt;$B$3,ISBLANK(Actuals!C53)),"",(Budget!C53-Actuals!C53)/ABS(Budget!C53)),"")</f>
        <v>-1</v>
      </c>
      <c r="F47" s="529">
        <f>Budget!D53</f>
        <v>-416.67</v>
      </c>
      <c r="G47" s="529">
        <f>IF(OR(2&gt;$B$3,ISBLANK(Actuals!D53)),"",Actuals!D53)</f>
        <v>0</v>
      </c>
      <c r="H47" s="530">
        <f>IF(OR(2&gt;$B$3,ISBLANK(Actuals!D53)),"",Budget!D53-Actuals!D53)</f>
        <v>-416.67</v>
      </c>
      <c r="I47" s="530">
        <f>IFERROR(IF(OR(2&gt;$B$3,ISBLANK(Actuals!D53)),"",(Budget!D53-Actuals!D53)/ABS(Budget!D53)),"")</f>
        <v>-1</v>
      </c>
      <c r="J47" s="529">
        <f>Budget!E53</f>
        <v>-416.67</v>
      </c>
      <c r="K47" s="529">
        <f>IF(OR(3&gt;$B$3,ISBLANK(Actuals!E53)),"",Actuals!E53)</f>
        <v>-11105.35</v>
      </c>
      <c r="L47" s="530">
        <f>IF(OR(3&gt;$B$3,ISBLANK(Actuals!E53)),"",Budget!E53-Actuals!E53)</f>
        <v>10688.68</v>
      </c>
      <c r="M47" s="530">
        <f>IFERROR(IF(OR(3&gt;$B$3,ISBLANK(Actuals!E53)),"",(Budget!E53-Actuals!E53)/ABS(Budget!E53)),"")</f>
        <v>25.6526267789858</v>
      </c>
      <c r="N47" s="529">
        <f>Budget!F53</f>
        <v>-416.67</v>
      </c>
      <c r="O47" s="529">
        <f>IF(OR(4&gt;$B$3,ISBLANK(Actuals!F53)),"",Actuals!F53)</f>
        <v>0</v>
      </c>
      <c r="P47" s="530">
        <f>IF(OR(4&gt;$B$3,ISBLANK(Actuals!F53)),"",Budget!F53-Actuals!F53)</f>
        <v>-416.67</v>
      </c>
      <c r="Q47" s="530">
        <f>IFERROR(IF(OR(4&gt;$B$3,ISBLANK(Actuals!F53)),"",(Budget!F53-Actuals!F53)/ABS(Budget!F53)),"")</f>
        <v>-1</v>
      </c>
      <c r="R47" s="529">
        <f>Budget!G53</f>
        <v>-416.67</v>
      </c>
      <c r="S47" s="529">
        <f>IF(OR(5&gt;$B$3,ISBLANK(Actuals!G53)),"",Actuals!G53)</f>
        <v>0</v>
      </c>
      <c r="T47" s="530">
        <f>IF(OR(5&gt;$B$3,ISBLANK(Actuals!G53)),"",Budget!G53-Actuals!G53)</f>
        <v>-416.67</v>
      </c>
      <c r="U47" s="530">
        <f>IFERROR(IF(OR(5&gt;$B$3,ISBLANK(Actuals!G53)),"",(Budget!G53-Actuals!G53)/ABS(Budget!G53)),"")</f>
        <v>-1</v>
      </c>
      <c r="V47" s="529">
        <f>Budget!H53</f>
        <v>-416.67</v>
      </c>
      <c r="W47" s="529">
        <f>IF(OR(6&gt;$B$3,ISBLANK(Actuals!H53)),"",Actuals!H53)</f>
        <v>0</v>
      </c>
      <c r="X47" s="530">
        <f>IF(OR(6&gt;$B$3,ISBLANK(Actuals!H53)),"",Budget!H53-Actuals!H53)</f>
        <v>-416.67</v>
      </c>
      <c r="Y47" s="530">
        <f>IFERROR(IF(OR(6&gt;$B$3,ISBLANK(Actuals!H53)),"",(Budget!H53-Actuals!H53)/ABS(Budget!H53)),"")</f>
        <v>-1</v>
      </c>
      <c r="Z47" s="529">
        <f>Budget!I53</f>
        <v>-425</v>
      </c>
      <c r="AA47" s="529">
        <f>IF(OR(7&gt;$B$3,ISBLANK(Actuals!I53)),"",Actuals!I53)</f>
      </c>
      <c r="AB47" s="530">
        <f>IF(OR(7&gt;$B$3,ISBLANK(Actuals!I53)),"",Budget!I53-Actuals!I53)</f>
      </c>
      <c r="AC47" s="530">
        <f>IFERROR(IF(OR(7&gt;$B$3,ISBLANK(Actuals!I53)),"",(Budget!I53-Actuals!I53)/ABS(Budget!I53)),"")</f>
      </c>
      <c r="AD47" s="529">
        <f>Budget!J53</f>
        <v>-425</v>
      </c>
      <c r="AE47" s="529">
        <f>IF(OR(8&gt;$B$3,ISBLANK(Actuals!J53)),"",Actuals!J53)</f>
      </c>
      <c r="AF47" s="530">
        <f>IF(OR(8&gt;$B$3,ISBLANK(Actuals!J53)),"",Budget!J53-Actuals!J53)</f>
      </c>
      <c r="AG47" s="530">
        <f>IFERROR(IF(OR(8&gt;$B$3,ISBLANK(Actuals!J53)),"",(Budget!J53-Actuals!J53)/ABS(Budget!J53)),"")</f>
      </c>
      <c r="AH47" s="529">
        <f>Budget!K53</f>
        <v>-425</v>
      </c>
      <c r="AI47" s="529">
        <f>IF(OR(9&gt;$B$3,ISBLANK(Actuals!K53)),"",Actuals!K53)</f>
      </c>
      <c r="AJ47" s="530">
        <f>IF(OR(9&gt;$B$3,ISBLANK(Actuals!K53)),"",Budget!K53-Actuals!K53)</f>
      </c>
      <c r="AK47" s="530">
        <f>IFERROR(IF(OR(9&gt;$B$3,ISBLANK(Actuals!K53)),"",(Budget!K53-Actuals!K53)/ABS(Budget!K53)),"")</f>
      </c>
      <c r="AL47" s="529">
        <f>Budget!L53</f>
        <v>-425</v>
      </c>
      <c r="AM47" s="529">
        <f>IF(OR(10&gt;$B$3,ISBLANK(Actuals!L53)),"",Actuals!L53)</f>
      </c>
      <c r="AN47" s="530">
        <f>IF(OR(10&gt;$B$3,ISBLANK(Actuals!L53)),"",Budget!L53-Actuals!L53)</f>
      </c>
      <c r="AO47" s="530">
        <f>IFERROR(IF(OR(10&gt;$B$3,ISBLANK(Actuals!L53)),"",(Budget!L53-Actuals!L53)/ABS(Budget!L53)),"")</f>
      </c>
      <c r="AP47" s="529">
        <f>Budget!M53</f>
        <v>-425</v>
      </c>
      <c r="AQ47" s="529">
        <f>IF(OR(11&gt;$B$3,ISBLANK(Actuals!M53)),"",Actuals!M53)</f>
      </c>
      <c r="AR47" s="530">
        <f>IF(OR(11&gt;$B$3,ISBLANK(Actuals!M53)),"",Budget!M53-Actuals!M53)</f>
      </c>
      <c r="AS47" s="530">
        <f>IFERROR(IF(OR(11&gt;$B$3,ISBLANK(Actuals!M53)),"",(Budget!M53-Actuals!M53)/ABS(Budget!M53)),"")</f>
      </c>
      <c r="AT47" s="529">
        <f>Budget!N53</f>
        <v>-425</v>
      </c>
      <c r="AU47" s="529">
        <f>IF(OR(12&gt;$B$3,ISBLANK(Actuals!N53)),"",Actuals!N53)</f>
      </c>
      <c r="AV47" s="530">
        <f>IF(OR(12&gt;$B$3,ISBLANK(Actuals!N53)),"",Budget!N53-Actuals!N53)</f>
      </c>
      <c r="AW47" s="530">
        <f>IFERROR(IF(OR(12&gt;$B$3,ISBLANK(Actuals!N53)),"",(Budget!N53-Actuals!N53)/ABS(Budget!N53)),"")</f>
      </c>
      <c r="AX47" s="531">
        <f>SUMPRODUCT((Actuals!C53:N53&lt;&gt;"")*(Budget!C53:N53))</f>
        <v>-2500.02</v>
      </c>
      <c r="AY47" s="531">
        <f>SUM(Actuals!C53:N53)</f>
        <v>-11105.35</v>
      </c>
      <c r="AZ47" s="532">
        <f>AX47-AY47</f>
        <v>8605.33</v>
      </c>
    </row>
    <row r="48" ht="15" customFormat="1" customHeight="1" s="381">
      <c r="A48" s="528" t="inlineStr">
        <is>
          <t>GC Placeholder — Future Cost C</t>
        </is>
      </c>
      <c r="B48" s="529">
        <f>Budget!C54</f>
        <v>0</v>
      </c>
      <c r="C48" s="529">
        <f>IF(OR(1&gt;$B$3,ISBLANK(Actuals!C54)),"",Actuals!C54)</f>
      </c>
      <c r="D48" s="530">
        <f>IF(OR(1&gt;$B$3,ISBLANK(Actuals!C54)),"",Budget!C54-Actuals!C54)</f>
      </c>
      <c r="E48" s="530">
        <f>IFERROR(IF(OR(1&gt;$B$3,ISBLANK(Actuals!C54)),"",(Budget!C54-Actuals!C54)/ABS(Budget!C54)),"")</f>
      </c>
      <c r="F48" s="529">
        <f>Budget!D54</f>
        <v>0</v>
      </c>
      <c r="G48" s="529">
        <f>IF(OR(2&gt;$B$3,ISBLANK(Actuals!D54)),"",Actuals!D54)</f>
      </c>
      <c r="H48" s="530">
        <f>IF(OR(2&gt;$B$3,ISBLANK(Actuals!D54)),"",Budget!D54-Actuals!D54)</f>
      </c>
      <c r="I48" s="530">
        <f>IFERROR(IF(OR(2&gt;$B$3,ISBLANK(Actuals!D54)),"",(Budget!D54-Actuals!D54)/ABS(Budget!D54)),"")</f>
      </c>
      <c r="J48" s="529">
        <f>Budget!E54</f>
        <v>0</v>
      </c>
      <c r="K48" s="529">
        <f>IF(OR(3&gt;$B$3,ISBLANK(Actuals!E54)),"",Actuals!E54)</f>
      </c>
      <c r="L48" s="530">
        <f>IF(OR(3&gt;$B$3,ISBLANK(Actuals!E54)),"",Budget!E54-Actuals!E54)</f>
      </c>
      <c r="M48" s="530">
        <f>IFERROR(IF(OR(3&gt;$B$3,ISBLANK(Actuals!E54)),"",(Budget!E54-Actuals!E54)/ABS(Budget!E54)),"")</f>
      </c>
      <c r="N48" s="529">
        <f>Budget!F54</f>
        <v>0</v>
      </c>
      <c r="O48" s="529">
        <f>IF(OR(4&gt;$B$3,ISBLANK(Actuals!F54)),"",Actuals!F54)</f>
      </c>
      <c r="P48" s="530">
        <f>IF(OR(4&gt;$B$3,ISBLANK(Actuals!F54)),"",Budget!F54-Actuals!F54)</f>
      </c>
      <c r="Q48" s="530">
        <f>IFERROR(IF(OR(4&gt;$B$3,ISBLANK(Actuals!F54)),"",(Budget!F54-Actuals!F54)/ABS(Budget!F54)),"")</f>
      </c>
      <c r="R48" s="529">
        <f>Budget!G54</f>
        <v>0</v>
      </c>
      <c r="S48" s="529">
        <f>IF(OR(5&gt;$B$3,ISBLANK(Actuals!G54)),"",Actuals!G54)</f>
      </c>
      <c r="T48" s="530">
        <f>IF(OR(5&gt;$B$3,ISBLANK(Actuals!G54)),"",Budget!G54-Actuals!G54)</f>
      </c>
      <c r="U48" s="530">
        <f>IFERROR(IF(OR(5&gt;$B$3,ISBLANK(Actuals!G54)),"",(Budget!G54-Actuals!G54)/ABS(Budget!G54)),"")</f>
      </c>
      <c r="V48" s="529">
        <f>Budget!H54</f>
        <v>0</v>
      </c>
      <c r="W48" s="529">
        <f>IF(OR(6&gt;$B$3,ISBLANK(Actuals!H54)),"",Actuals!H54)</f>
        <v>-612.68</v>
      </c>
      <c r="X48" s="530">
        <f>IF(OR(6&gt;$B$3,ISBLANK(Actuals!H54)),"",Budget!H54-Actuals!H54)</f>
        <v>612.68</v>
      </c>
      <c r="Y48" s="530">
        <f>IFERROR(IF(OR(6&gt;$B$3,ISBLANK(Actuals!H54)),"",(Budget!H54-Actuals!H54)/ABS(Budget!H54)),"")</f>
      </c>
      <c r="Z48" s="529">
        <f>Budget!I54</f>
        <v>0</v>
      </c>
      <c r="AA48" s="529">
        <f>IF(OR(7&gt;$B$3,ISBLANK(Actuals!I54)),"",Actuals!I54)</f>
      </c>
      <c r="AB48" s="530">
        <f>IF(OR(7&gt;$B$3,ISBLANK(Actuals!I54)),"",Budget!I54-Actuals!I54)</f>
      </c>
      <c r="AC48" s="530">
        <f>IFERROR(IF(OR(7&gt;$B$3,ISBLANK(Actuals!I54)),"",(Budget!I54-Actuals!I54)/ABS(Budget!I54)),"")</f>
      </c>
      <c r="AD48" s="529">
        <f>Budget!J54</f>
        <v>0</v>
      </c>
      <c r="AE48" s="529">
        <f>IF(OR(8&gt;$B$3,ISBLANK(Actuals!J54)),"",Actuals!J54)</f>
      </c>
      <c r="AF48" s="530">
        <f>IF(OR(8&gt;$B$3,ISBLANK(Actuals!J54)),"",Budget!J54-Actuals!J54)</f>
      </c>
      <c r="AG48" s="530">
        <f>IFERROR(IF(OR(8&gt;$B$3,ISBLANK(Actuals!J54)),"",(Budget!J54-Actuals!J54)/ABS(Budget!J54)),"")</f>
      </c>
      <c r="AH48" s="529">
        <f>Budget!K54</f>
        <v>0</v>
      </c>
      <c r="AI48" s="529">
        <f>IF(OR(9&gt;$B$3,ISBLANK(Actuals!K54)),"",Actuals!K54)</f>
      </c>
      <c r="AJ48" s="530">
        <f>IF(OR(9&gt;$B$3,ISBLANK(Actuals!K54)),"",Budget!K54-Actuals!K54)</f>
      </c>
      <c r="AK48" s="530">
        <f>IFERROR(IF(OR(9&gt;$B$3,ISBLANK(Actuals!K54)),"",(Budget!K54-Actuals!K54)/ABS(Budget!K54)),"")</f>
      </c>
      <c r="AL48" s="529">
        <f>Budget!L54</f>
        <v>0</v>
      </c>
      <c r="AM48" s="529">
        <f>IF(OR(10&gt;$B$3,ISBLANK(Actuals!L54)),"",Actuals!L54)</f>
      </c>
      <c r="AN48" s="530">
        <f>IF(OR(10&gt;$B$3,ISBLANK(Actuals!L54)),"",Budget!L54-Actuals!L54)</f>
      </c>
      <c r="AO48" s="530">
        <f>IFERROR(IF(OR(10&gt;$B$3,ISBLANK(Actuals!L54)),"",(Budget!L54-Actuals!L54)/ABS(Budget!L54)),"")</f>
      </c>
      <c r="AP48" s="529">
        <f>Budget!M54</f>
        <v>0</v>
      </c>
      <c r="AQ48" s="529">
        <f>IF(OR(11&gt;$B$3,ISBLANK(Actuals!M54)),"",Actuals!M54)</f>
      </c>
      <c r="AR48" s="530">
        <f>IF(OR(11&gt;$B$3,ISBLANK(Actuals!M54)),"",Budget!M54-Actuals!M54)</f>
      </c>
      <c r="AS48" s="530">
        <f>IFERROR(IF(OR(11&gt;$B$3,ISBLANK(Actuals!M54)),"",(Budget!M54-Actuals!M54)/ABS(Budget!M54)),"")</f>
      </c>
      <c r="AT48" s="529">
        <f>Budget!N54</f>
        <v>0</v>
      </c>
      <c r="AU48" s="529">
        <f>IF(OR(12&gt;$B$3,ISBLANK(Actuals!N54)),"",Actuals!N54)</f>
      </c>
      <c r="AV48" s="530">
        <f>IF(OR(12&gt;$B$3,ISBLANK(Actuals!N54)),"",Budget!N54-Actuals!N54)</f>
      </c>
      <c r="AW48" s="530">
        <f>IFERROR(IF(OR(12&gt;$B$3,ISBLANK(Actuals!N54)),"",(Budget!N54-Actuals!N54)/ABS(Budget!N54)),"")</f>
      </c>
      <c r="AX48" s="531">
        <f>SUMPRODUCT((Actuals!C54:N54&lt;&gt;"")*(Budget!C54:N54))</f>
        <v>0</v>
      </c>
      <c r="AY48" s="531">
        <f>SUM(Actuals!C54:N54)</f>
        <v>-612.68</v>
      </c>
      <c r="AZ48" s="532">
        <f>AX48-AY48</f>
        <v>612.68</v>
      </c>
    </row>
    <row r="49" ht="15" customFormat="1" customHeight="1" s="381">
      <c r="A49" s="528" t="inlineStr">
        <is>
          <t>Edgemont Management Fee</t>
        </is>
      </c>
      <c r="B49" s="529">
        <f>Budget!C64</f>
        <v>833.33</v>
      </c>
      <c r="C49" s="529">
        <f>IF(OR(1&gt;$B$3,ISBLANK(Actuals!C64)),"",Actuals!C64)</f>
        <v>833.33</v>
      </c>
      <c r="D49" s="530">
        <f>IF(OR(1&gt;$B$3,ISBLANK(Actuals!C64)),"",Budget!C64-Actuals!C64)</f>
        <v>0</v>
      </c>
      <c r="E49" s="530">
        <f>IFERROR(IF(OR(1&gt;$B$3,ISBLANK(Actuals!C64)),"",(Budget!C64-Actuals!C64)/ABS(Budget!C64)),"")</f>
        <v>0</v>
      </c>
      <c r="F49" s="529">
        <f>Budget!D64</f>
        <v>833.33</v>
      </c>
      <c r="G49" s="529">
        <f>IF(OR(2&gt;$B$3,ISBLANK(Actuals!D64)),"",Actuals!D64)</f>
        <v>833.33</v>
      </c>
      <c r="H49" s="530">
        <f>IF(OR(2&gt;$B$3,ISBLANK(Actuals!D64)),"",Budget!D64-Actuals!D64)</f>
        <v>0</v>
      </c>
      <c r="I49" s="530">
        <f>IFERROR(IF(OR(2&gt;$B$3,ISBLANK(Actuals!D64)),"",(Budget!D64-Actuals!D64)/ABS(Budget!D64)),"")</f>
        <v>0</v>
      </c>
      <c r="J49" s="529">
        <f>Budget!E64</f>
        <v>833.33</v>
      </c>
      <c r="K49" s="529">
        <f>IF(OR(3&gt;$B$3,ISBLANK(Actuals!E64)),"",Actuals!E64)</f>
        <v>833.33</v>
      </c>
      <c r="L49" s="530">
        <f>IF(OR(3&gt;$B$3,ISBLANK(Actuals!E64)),"",Budget!E64-Actuals!E64)</f>
        <v>0</v>
      </c>
      <c r="M49" s="530">
        <f>IFERROR(IF(OR(3&gt;$B$3,ISBLANK(Actuals!E64)),"",(Budget!E64-Actuals!E64)/ABS(Budget!E64)),"")</f>
        <v>0</v>
      </c>
      <c r="N49" s="529">
        <f>Budget!F64</f>
        <v>833.33</v>
      </c>
      <c r="O49" s="529">
        <f>IF(OR(4&gt;$B$3,ISBLANK(Actuals!F64)),"",Actuals!F64)</f>
        <v>833.33</v>
      </c>
      <c r="P49" s="530">
        <f>IF(OR(4&gt;$B$3,ISBLANK(Actuals!F64)),"",Budget!F64-Actuals!F64)</f>
        <v>0</v>
      </c>
      <c r="Q49" s="530">
        <f>IFERROR(IF(OR(4&gt;$B$3,ISBLANK(Actuals!F64)),"",(Budget!F64-Actuals!F64)/ABS(Budget!F64)),"")</f>
        <v>0</v>
      </c>
      <c r="R49" s="529">
        <f>Budget!G64</f>
        <v>833.33</v>
      </c>
      <c r="S49" s="529">
        <f>IF(OR(5&gt;$B$3,ISBLANK(Actuals!G64)),"",Actuals!G64)</f>
        <v>833.33</v>
      </c>
      <c r="T49" s="530">
        <f>IF(OR(5&gt;$B$3,ISBLANK(Actuals!G64)),"",Budget!G64-Actuals!G64)</f>
        <v>0</v>
      </c>
      <c r="U49" s="530">
        <f>IFERROR(IF(OR(5&gt;$B$3,ISBLANK(Actuals!G64)),"",(Budget!G64-Actuals!G64)/ABS(Budget!G64)),"")</f>
        <v>0</v>
      </c>
      <c r="V49" s="529">
        <f>Budget!H64</f>
        <v>833.33</v>
      </c>
      <c r="W49" s="529">
        <f>IF(OR(6&gt;$B$3,ISBLANK(Actuals!H64)),"",Actuals!H64)</f>
        <v>833.33</v>
      </c>
      <c r="X49" s="530">
        <f>IF(OR(6&gt;$B$3,ISBLANK(Actuals!H64)),"",Budget!H64-Actuals!H64)</f>
        <v>0</v>
      </c>
      <c r="Y49" s="530">
        <f>IFERROR(IF(OR(6&gt;$B$3,ISBLANK(Actuals!H64)),"",(Budget!H64-Actuals!H64)/ABS(Budget!H64)),"")</f>
        <v>0</v>
      </c>
      <c r="Z49" s="529">
        <f>Budget!I64</f>
        <v>833.33</v>
      </c>
      <c r="AA49" s="529">
        <f>IF(OR(7&gt;$B$3,ISBLANK(Actuals!I64)),"",Actuals!I64)</f>
      </c>
      <c r="AB49" s="530">
        <f>IF(OR(7&gt;$B$3,ISBLANK(Actuals!I64)),"",Budget!I64-Actuals!I64)</f>
      </c>
      <c r="AC49" s="530">
        <f>IFERROR(IF(OR(7&gt;$B$3,ISBLANK(Actuals!I64)),"",(Budget!I64-Actuals!I64)/ABS(Budget!I64)),"")</f>
      </c>
      <c r="AD49" s="529">
        <f>Budget!J64</f>
        <v>833.33</v>
      </c>
      <c r="AE49" s="529">
        <f>IF(OR(8&gt;$B$3,ISBLANK(Actuals!J64)),"",Actuals!J64)</f>
      </c>
      <c r="AF49" s="530">
        <f>IF(OR(8&gt;$B$3,ISBLANK(Actuals!J64)),"",Budget!J64-Actuals!J64)</f>
      </c>
      <c r="AG49" s="530">
        <f>IFERROR(IF(OR(8&gt;$B$3,ISBLANK(Actuals!J64)),"",(Budget!J64-Actuals!J64)/ABS(Budget!J64)),"")</f>
      </c>
      <c r="AH49" s="529">
        <f>Budget!K64</f>
        <v>833.33</v>
      </c>
      <c r="AI49" s="529">
        <f>IF(OR(9&gt;$B$3,ISBLANK(Actuals!K64)),"",Actuals!K64)</f>
      </c>
      <c r="AJ49" s="530">
        <f>IF(OR(9&gt;$B$3,ISBLANK(Actuals!K64)),"",Budget!K64-Actuals!K64)</f>
      </c>
      <c r="AK49" s="530">
        <f>IFERROR(IF(OR(9&gt;$B$3,ISBLANK(Actuals!K64)),"",(Budget!K64-Actuals!K64)/ABS(Budget!K64)),"")</f>
      </c>
      <c r="AL49" s="529">
        <f>Budget!L64</f>
        <v>833.33</v>
      </c>
      <c r="AM49" s="529">
        <f>IF(OR(10&gt;$B$3,ISBLANK(Actuals!L64)),"",Actuals!L64)</f>
      </c>
      <c r="AN49" s="530">
        <f>IF(OR(10&gt;$B$3,ISBLANK(Actuals!L64)),"",Budget!L64-Actuals!L64)</f>
      </c>
      <c r="AO49" s="530">
        <f>IFERROR(IF(OR(10&gt;$B$3,ISBLANK(Actuals!L64)),"",(Budget!L64-Actuals!L64)/ABS(Budget!L64)),"")</f>
      </c>
      <c r="AP49" s="529">
        <f>Budget!M64</f>
        <v>833.33</v>
      </c>
      <c r="AQ49" s="529">
        <f>IF(OR(11&gt;$B$3,ISBLANK(Actuals!M64)),"",Actuals!M64)</f>
      </c>
      <c r="AR49" s="530">
        <f>IF(OR(11&gt;$B$3,ISBLANK(Actuals!M64)),"",Budget!M64-Actuals!M64)</f>
      </c>
      <c r="AS49" s="530">
        <f>IFERROR(IF(OR(11&gt;$B$3,ISBLANK(Actuals!M64)),"",(Budget!M64-Actuals!M64)/ABS(Budget!M64)),"")</f>
      </c>
      <c r="AT49" s="529">
        <f>Budget!N64</f>
        <v>833.33</v>
      </c>
      <c r="AU49" s="529">
        <f>IF(OR(12&gt;$B$3,ISBLANK(Actuals!N64)),"",Actuals!N64)</f>
      </c>
      <c r="AV49" s="530">
        <f>IF(OR(12&gt;$B$3,ISBLANK(Actuals!N64)),"",Budget!N64-Actuals!N64)</f>
      </c>
      <c r="AW49" s="530">
        <f>IFERROR(IF(OR(12&gt;$B$3,ISBLANK(Actuals!N64)),"",(Budget!N64-Actuals!N64)/ABS(Budget!N64)),"")</f>
      </c>
      <c r="AX49" s="531">
        <f>SUMPRODUCT((Actuals!C64:N64&lt;&gt;"")*(Budget!C64:N64))</f>
        <v>4999.98</v>
      </c>
      <c r="AY49" s="531">
        <f>SUM(Actuals!C64:N64)</f>
        <v>4999.98</v>
      </c>
      <c r="AZ49" s="532">
        <f>AX49-AY49</f>
        <v>0</v>
      </c>
    </row>
    <row r="50" ht="15" customFormat="1" customHeight="1" s="381">
      <c r="A50" s="528" t="inlineStr">
        <is>
          <t>Ramsgate Dev Fee - Construction</t>
        </is>
      </c>
      <c r="B50" s="529">
        <f>Budget!C65</f>
        <v>36538.46</v>
      </c>
      <c r="C50" s="529">
        <f>IF(OR(1&gt;$B$3,ISBLANK(Actuals!C65)),"",Actuals!C65)</f>
        <v>23906.25</v>
      </c>
      <c r="D50" s="530">
        <f>IF(OR(1&gt;$B$3,ISBLANK(Actuals!C65)),"",Budget!C65-Actuals!C65)</f>
        <v>12632.21</v>
      </c>
      <c r="E50" s="530">
        <f>IFERROR(IF(OR(1&gt;$B$3,ISBLANK(Actuals!C65)),"",(Budget!C65-Actuals!C65)/ABS(Budget!C65)),"")</f>
        <v>0.345723656662049</v>
      </c>
      <c r="F50" s="529">
        <f>Budget!D65</f>
        <v>36538.46</v>
      </c>
      <c r="G50" s="529">
        <f>IF(OR(2&gt;$B$3,ISBLANK(Actuals!D65)),"",Actuals!D65)</f>
        <v>23906.25</v>
      </c>
      <c r="H50" s="530">
        <f>IF(OR(2&gt;$B$3,ISBLANK(Actuals!D65)),"",Budget!D65-Actuals!D65)</f>
        <v>12632.21</v>
      </c>
      <c r="I50" s="530">
        <f>IFERROR(IF(OR(2&gt;$B$3,ISBLANK(Actuals!D65)),"",(Budget!D65-Actuals!D65)/ABS(Budget!D65)),"")</f>
        <v>0.345723656662049</v>
      </c>
      <c r="J50" s="529">
        <f>Budget!E65</f>
        <v>36538.46</v>
      </c>
      <c r="K50" s="529">
        <f>IF(OR(3&gt;$B$3,ISBLANK(Actuals!E65)),"",Actuals!E65)</f>
        <v>23906.25</v>
      </c>
      <c r="L50" s="530">
        <f>IF(OR(3&gt;$B$3,ISBLANK(Actuals!E65)),"",Budget!E65-Actuals!E65)</f>
        <v>12632.21</v>
      </c>
      <c r="M50" s="530">
        <f>IFERROR(IF(OR(3&gt;$B$3,ISBLANK(Actuals!E65)),"",(Budget!E65-Actuals!E65)/ABS(Budget!E65)),"")</f>
        <v>0.345723656662049</v>
      </c>
      <c r="N50" s="529">
        <f>Budget!F65</f>
        <v>36538.46</v>
      </c>
      <c r="O50" s="529">
        <f>IF(OR(4&gt;$B$3,ISBLANK(Actuals!F65)),"",Actuals!F65)</f>
        <v>23906.25</v>
      </c>
      <c r="P50" s="530">
        <f>IF(OR(4&gt;$B$3,ISBLANK(Actuals!F65)),"",Budget!F65-Actuals!F65)</f>
        <v>12632.21</v>
      </c>
      <c r="Q50" s="530">
        <f>IFERROR(IF(OR(4&gt;$B$3,ISBLANK(Actuals!F65)),"",(Budget!F65-Actuals!F65)/ABS(Budget!F65)),"")</f>
        <v>0.345723656662049</v>
      </c>
      <c r="R50" s="529">
        <f>Budget!G65</f>
        <v>36538.46</v>
      </c>
      <c r="S50" s="529">
        <f>IF(OR(5&gt;$B$3,ISBLANK(Actuals!G65)),"",Actuals!G65)</f>
        <v>23906.25</v>
      </c>
      <c r="T50" s="530">
        <f>IF(OR(5&gt;$B$3,ISBLANK(Actuals!G65)),"",Budget!G65-Actuals!G65)</f>
        <v>12632.21</v>
      </c>
      <c r="U50" s="530">
        <f>IFERROR(IF(OR(5&gt;$B$3,ISBLANK(Actuals!G65)),"",(Budget!G65-Actuals!G65)/ABS(Budget!G65)),"")</f>
        <v>0.345723656662049</v>
      </c>
      <c r="V50" s="529">
        <f>Budget!H65</f>
        <v>36538.46</v>
      </c>
      <c r="W50" s="529">
        <f>IF(OR(6&gt;$B$3,ISBLANK(Actuals!H65)),"",Actuals!H65)</f>
        <v>23906.25</v>
      </c>
      <c r="X50" s="530">
        <f>IF(OR(6&gt;$B$3,ISBLANK(Actuals!H65)),"",Budget!H65-Actuals!H65)</f>
        <v>12632.21</v>
      </c>
      <c r="Y50" s="530">
        <f>IFERROR(IF(OR(6&gt;$B$3,ISBLANK(Actuals!H65)),"",(Budget!H65-Actuals!H65)/ABS(Budget!H65)),"")</f>
        <v>0.345723656662049</v>
      </c>
      <c r="Z50" s="529">
        <f>Budget!I65</f>
        <v>36538.46</v>
      </c>
      <c r="AA50" s="529">
        <f>IF(OR(7&gt;$B$3,ISBLANK(Actuals!I65)),"",Actuals!I65)</f>
      </c>
      <c r="AB50" s="530">
        <f>IF(OR(7&gt;$B$3,ISBLANK(Actuals!I65)),"",Budget!I65-Actuals!I65)</f>
      </c>
      <c r="AC50" s="530">
        <f>IFERROR(IF(OR(7&gt;$B$3,ISBLANK(Actuals!I65)),"",(Budget!I65-Actuals!I65)/ABS(Budget!I65)),"")</f>
      </c>
      <c r="AD50" s="529">
        <f>Budget!J65</f>
        <v>36538.46</v>
      </c>
      <c r="AE50" s="529">
        <f>IF(OR(8&gt;$B$3,ISBLANK(Actuals!J65)),"",Actuals!J65)</f>
      </c>
      <c r="AF50" s="530">
        <f>IF(OR(8&gt;$B$3,ISBLANK(Actuals!J65)),"",Budget!J65-Actuals!J65)</f>
      </c>
      <c r="AG50" s="530">
        <f>IFERROR(IF(OR(8&gt;$B$3,ISBLANK(Actuals!J65)),"",(Budget!J65-Actuals!J65)/ABS(Budget!J65)),"")</f>
      </c>
      <c r="AH50" s="529">
        <f>Budget!K65</f>
        <v>36538.46</v>
      </c>
      <c r="AI50" s="529">
        <f>IF(OR(9&gt;$B$3,ISBLANK(Actuals!K65)),"",Actuals!K65)</f>
      </c>
      <c r="AJ50" s="530">
        <f>IF(OR(9&gt;$B$3,ISBLANK(Actuals!K65)),"",Budget!K65-Actuals!K65)</f>
      </c>
      <c r="AK50" s="530">
        <f>IFERROR(IF(OR(9&gt;$B$3,ISBLANK(Actuals!K65)),"",(Budget!K65-Actuals!K65)/ABS(Budget!K65)),"")</f>
      </c>
      <c r="AL50" s="529">
        <f>Budget!L65</f>
        <v>36538.46</v>
      </c>
      <c r="AM50" s="529">
        <f>IF(OR(10&gt;$B$3,ISBLANK(Actuals!L65)),"",Actuals!L65)</f>
      </c>
      <c r="AN50" s="530">
        <f>IF(OR(10&gt;$B$3,ISBLANK(Actuals!L65)),"",Budget!L65-Actuals!L65)</f>
      </c>
      <c r="AO50" s="530">
        <f>IFERROR(IF(OR(10&gt;$B$3,ISBLANK(Actuals!L65)),"",(Budget!L65-Actuals!L65)/ABS(Budget!L65)),"")</f>
      </c>
      <c r="AP50" s="529">
        <f>Budget!M65</f>
        <v>36538.46</v>
      </c>
      <c r="AQ50" s="529">
        <f>IF(OR(11&gt;$B$3,ISBLANK(Actuals!M65)),"",Actuals!M65)</f>
      </c>
      <c r="AR50" s="530">
        <f>IF(OR(11&gt;$B$3,ISBLANK(Actuals!M65)),"",Budget!M65-Actuals!M65)</f>
      </c>
      <c r="AS50" s="530">
        <f>IFERROR(IF(OR(11&gt;$B$3,ISBLANK(Actuals!M65)),"",(Budget!M65-Actuals!M65)/ABS(Budget!M65)),"")</f>
      </c>
      <c r="AT50" s="529">
        <f>Budget!N65</f>
        <v>36538.46</v>
      </c>
      <c r="AU50" s="529">
        <f>IF(OR(12&gt;$B$3,ISBLANK(Actuals!N65)),"",Actuals!N65)</f>
      </c>
      <c r="AV50" s="530">
        <f>IF(OR(12&gt;$B$3,ISBLANK(Actuals!N65)),"",Budget!N65-Actuals!N65)</f>
      </c>
      <c r="AW50" s="530">
        <f>IFERROR(IF(OR(12&gt;$B$3,ISBLANK(Actuals!N65)),"",(Budget!N65-Actuals!N65)/ABS(Budget!N65)),"")</f>
      </c>
      <c r="AX50" s="531">
        <f>SUMPRODUCT((Actuals!C65:N65&lt;&gt;"")*(Budget!C65:N65))</f>
        <v>219230.76</v>
      </c>
      <c r="AY50" s="531">
        <f>SUM(Actuals!C65:N65)</f>
        <v>143437.5</v>
      </c>
      <c r="AZ50" s="532">
        <f>AX50-AY50</f>
        <v>75793.26</v>
      </c>
    </row>
    <row r="51" ht="15" customFormat="1" customHeight="1" s="381">
      <c r="A51" s="528" t="inlineStr">
        <is>
          <t>Ramsgate Dev Fee - 20% Occ</t>
        </is>
      </c>
      <c r="B51" s="529">
        <f>Budget!C66</f>
        <v>0</v>
      </c>
      <c r="C51" s="529">
        <f>IF(OR(1&gt;$B$3,ISBLANK(Actuals!C66)),"",Actuals!C66)</f>
      </c>
      <c r="D51" s="530">
        <f>IF(OR(1&gt;$B$3,ISBLANK(Actuals!C66)),"",Budget!C66-Actuals!C66)</f>
      </c>
      <c r="E51" s="530">
        <f>IFERROR(IF(OR(1&gt;$B$3,ISBLANK(Actuals!C66)),"",(Budget!C66-Actuals!C66)/ABS(Budget!C66)),"")</f>
      </c>
      <c r="F51" s="529">
        <f>Budget!D66</f>
        <v>0</v>
      </c>
      <c r="G51" s="529">
        <f>IF(OR(2&gt;$B$3,ISBLANK(Actuals!D66)),"",Actuals!D66)</f>
      </c>
      <c r="H51" s="530">
        <f>IF(OR(2&gt;$B$3,ISBLANK(Actuals!D66)),"",Budget!D66-Actuals!D66)</f>
      </c>
      <c r="I51" s="530">
        <f>IFERROR(IF(OR(2&gt;$B$3,ISBLANK(Actuals!D66)),"",(Budget!D66-Actuals!D66)/ABS(Budget!D66)),"")</f>
      </c>
      <c r="J51" s="529">
        <f>Budget!E66</f>
        <v>0</v>
      </c>
      <c r="K51" s="529">
        <f>IF(OR(3&gt;$B$3,ISBLANK(Actuals!E66)),"",Actuals!E66)</f>
      </c>
      <c r="L51" s="530">
        <f>IF(OR(3&gt;$B$3,ISBLANK(Actuals!E66)),"",Budget!E66-Actuals!E66)</f>
      </c>
      <c r="M51" s="530">
        <f>IFERROR(IF(OR(3&gt;$B$3,ISBLANK(Actuals!E66)),"",(Budget!E66-Actuals!E66)/ABS(Budget!E66)),"")</f>
      </c>
      <c r="N51" s="529">
        <f>Budget!F66</f>
        <v>0</v>
      </c>
      <c r="O51" s="529">
        <f>IF(OR(4&gt;$B$3,ISBLANK(Actuals!F66)),"",Actuals!F66)</f>
      </c>
      <c r="P51" s="530">
        <f>IF(OR(4&gt;$B$3,ISBLANK(Actuals!F66)),"",Budget!F66-Actuals!F66)</f>
      </c>
      <c r="Q51" s="530">
        <f>IFERROR(IF(OR(4&gt;$B$3,ISBLANK(Actuals!F66)),"",(Budget!F66-Actuals!F66)/ABS(Budget!F66)),"")</f>
      </c>
      <c r="R51" s="529">
        <f>Budget!G66</f>
        <v>0</v>
      </c>
      <c r="S51" s="529">
        <f>IF(OR(5&gt;$B$3,ISBLANK(Actuals!G66)),"",Actuals!G66)</f>
      </c>
      <c r="T51" s="530">
        <f>IF(OR(5&gt;$B$3,ISBLANK(Actuals!G66)),"",Budget!G66-Actuals!G66)</f>
      </c>
      <c r="U51" s="530">
        <f>IFERROR(IF(OR(5&gt;$B$3,ISBLANK(Actuals!G66)),"",(Budget!G66-Actuals!G66)/ABS(Budget!G66)),"")</f>
      </c>
      <c r="V51" s="529">
        <f>Budget!H66</f>
        <v>0</v>
      </c>
      <c r="W51" s="529">
        <f>IF(OR(6&gt;$B$3,ISBLANK(Actuals!H66)),"",Actuals!H66)</f>
      </c>
      <c r="X51" s="530">
        <f>IF(OR(6&gt;$B$3,ISBLANK(Actuals!H66)),"",Budget!H66-Actuals!H66)</f>
      </c>
      <c r="Y51" s="530">
        <f>IFERROR(IF(OR(6&gt;$B$3,ISBLANK(Actuals!H66)),"",(Budget!H66-Actuals!H66)/ABS(Budget!H66)),"")</f>
      </c>
      <c r="Z51" s="529">
        <f>Budget!I66</f>
        <v>0</v>
      </c>
      <c r="AA51" s="529">
        <f>IF(OR(7&gt;$B$3,ISBLANK(Actuals!I66)),"",Actuals!I66)</f>
      </c>
      <c r="AB51" s="530">
        <f>IF(OR(7&gt;$B$3,ISBLANK(Actuals!I66)),"",Budget!I66-Actuals!I66)</f>
      </c>
      <c r="AC51" s="530">
        <f>IFERROR(IF(OR(7&gt;$B$3,ISBLANK(Actuals!I66)),"",(Budget!I66-Actuals!I66)/ABS(Budget!I66)),"")</f>
      </c>
      <c r="AD51" s="529">
        <f>Budget!J66</f>
        <v>0</v>
      </c>
      <c r="AE51" s="529">
        <f>IF(OR(8&gt;$B$3,ISBLANK(Actuals!J66)),"",Actuals!J66)</f>
      </c>
      <c r="AF51" s="530">
        <f>IF(OR(8&gt;$B$3,ISBLANK(Actuals!J66)),"",Budget!J66-Actuals!J66)</f>
      </c>
      <c r="AG51" s="530">
        <f>IFERROR(IF(OR(8&gt;$B$3,ISBLANK(Actuals!J66)),"",(Budget!J66-Actuals!J66)/ABS(Budget!J66)),"")</f>
      </c>
      <c r="AH51" s="529">
        <f>Budget!K66</f>
        <v>0</v>
      </c>
      <c r="AI51" s="529">
        <f>IF(OR(9&gt;$B$3,ISBLANK(Actuals!K66)),"",Actuals!K66)</f>
      </c>
      <c r="AJ51" s="530">
        <f>IF(OR(9&gt;$B$3,ISBLANK(Actuals!K66)),"",Budget!K66-Actuals!K66)</f>
      </c>
      <c r="AK51" s="530">
        <f>IFERROR(IF(OR(9&gt;$B$3,ISBLANK(Actuals!K66)),"",(Budget!K66-Actuals!K66)/ABS(Budget!K66)),"")</f>
      </c>
      <c r="AL51" s="529">
        <f>Budget!L66</f>
        <v>0</v>
      </c>
      <c r="AM51" s="529">
        <f>IF(OR(10&gt;$B$3,ISBLANK(Actuals!L66)),"",Actuals!L66)</f>
      </c>
      <c r="AN51" s="530">
        <f>IF(OR(10&gt;$B$3,ISBLANK(Actuals!L66)),"",Budget!L66-Actuals!L66)</f>
      </c>
      <c r="AO51" s="530">
        <f>IFERROR(IF(OR(10&gt;$B$3,ISBLANK(Actuals!L66)),"",(Budget!L66-Actuals!L66)/ABS(Budget!L66)),"")</f>
      </c>
      <c r="AP51" s="529">
        <f>Budget!M66</f>
        <v>0</v>
      </c>
      <c r="AQ51" s="529">
        <f>IF(OR(11&gt;$B$3,ISBLANK(Actuals!M66)),"",Actuals!M66)</f>
      </c>
      <c r="AR51" s="530">
        <f>IF(OR(11&gt;$B$3,ISBLANK(Actuals!M66)),"",Budget!M66-Actuals!M66)</f>
      </c>
      <c r="AS51" s="530">
        <f>IFERROR(IF(OR(11&gt;$B$3,ISBLANK(Actuals!M66)),"",(Budget!M66-Actuals!M66)/ABS(Budget!M66)),"")</f>
      </c>
      <c r="AT51" s="529">
        <f>Budget!N66</f>
        <v>0</v>
      </c>
      <c r="AU51" s="529">
        <f>IF(OR(12&gt;$B$3,ISBLANK(Actuals!N66)),"",Actuals!N66)</f>
      </c>
      <c r="AV51" s="530">
        <f>IF(OR(12&gt;$B$3,ISBLANK(Actuals!N66)),"",Budget!N66-Actuals!N66)</f>
      </c>
      <c r="AW51" s="530">
        <f>IFERROR(IF(OR(12&gt;$B$3,ISBLANK(Actuals!N66)),"",(Budget!N66-Actuals!N66)/ABS(Budget!N66)),"")</f>
      </c>
      <c r="AX51" s="531">
        <f>SUMPRODUCT((Actuals!C66:N66&lt;&gt;"")*(Budget!C66:N66))</f>
        <v>0</v>
      </c>
      <c r="AY51" s="531">
        <f>SUM(Actuals!C66:N66)</f>
        <v>0</v>
      </c>
      <c r="AZ51" s="532">
        <f>AX51-AY51</f>
        <v>0</v>
      </c>
    </row>
    <row r="52" ht="15" customFormat="1" customHeight="1" s="381">
      <c r="A52" s="528" t="inlineStr">
        <is>
          <t>Ramsgate Dev Fee - 50% Occ</t>
        </is>
      </c>
      <c r="B52" s="529">
        <f>Budget!C67</f>
        <v>0</v>
      </c>
      <c r="C52" s="529">
        <f>IF(OR(1&gt;$B$3,ISBLANK(Actuals!C67)),"",Actuals!C67)</f>
      </c>
      <c r="D52" s="530">
        <f>IF(OR(1&gt;$B$3,ISBLANK(Actuals!C67)),"",Budget!C67-Actuals!C67)</f>
      </c>
      <c r="E52" s="530">
        <f>IFERROR(IF(OR(1&gt;$B$3,ISBLANK(Actuals!C67)),"",(Budget!C67-Actuals!C67)/ABS(Budget!C67)),"")</f>
      </c>
      <c r="F52" s="529">
        <f>Budget!D67</f>
        <v>0</v>
      </c>
      <c r="G52" s="529">
        <f>IF(OR(2&gt;$B$3,ISBLANK(Actuals!D67)),"",Actuals!D67)</f>
      </c>
      <c r="H52" s="530">
        <f>IF(OR(2&gt;$B$3,ISBLANK(Actuals!D67)),"",Budget!D67-Actuals!D67)</f>
      </c>
      <c r="I52" s="530">
        <f>IFERROR(IF(OR(2&gt;$B$3,ISBLANK(Actuals!D67)),"",(Budget!D67-Actuals!D67)/ABS(Budget!D67)),"")</f>
      </c>
      <c r="J52" s="529">
        <f>Budget!E67</f>
        <v>0</v>
      </c>
      <c r="K52" s="529">
        <f>IF(OR(3&gt;$B$3,ISBLANK(Actuals!E67)),"",Actuals!E67)</f>
      </c>
      <c r="L52" s="530">
        <f>IF(OR(3&gt;$B$3,ISBLANK(Actuals!E67)),"",Budget!E67-Actuals!E67)</f>
      </c>
      <c r="M52" s="530">
        <f>IFERROR(IF(OR(3&gt;$B$3,ISBLANK(Actuals!E67)),"",(Budget!E67-Actuals!E67)/ABS(Budget!E67)),"")</f>
      </c>
      <c r="N52" s="529">
        <f>Budget!F67</f>
        <v>0</v>
      </c>
      <c r="O52" s="529">
        <f>IF(OR(4&gt;$B$3,ISBLANK(Actuals!F67)),"",Actuals!F67)</f>
      </c>
      <c r="P52" s="530">
        <f>IF(OR(4&gt;$B$3,ISBLANK(Actuals!F67)),"",Budget!F67-Actuals!F67)</f>
      </c>
      <c r="Q52" s="530">
        <f>IFERROR(IF(OR(4&gt;$B$3,ISBLANK(Actuals!F67)),"",(Budget!F67-Actuals!F67)/ABS(Budget!F67)),"")</f>
      </c>
      <c r="R52" s="529">
        <f>Budget!G67</f>
        <v>0</v>
      </c>
      <c r="S52" s="529">
        <f>IF(OR(5&gt;$B$3,ISBLANK(Actuals!G67)),"",Actuals!G67)</f>
      </c>
      <c r="T52" s="530">
        <f>IF(OR(5&gt;$B$3,ISBLANK(Actuals!G67)),"",Budget!G67-Actuals!G67)</f>
      </c>
      <c r="U52" s="530">
        <f>IFERROR(IF(OR(5&gt;$B$3,ISBLANK(Actuals!G67)),"",(Budget!G67-Actuals!G67)/ABS(Budget!G67)),"")</f>
      </c>
      <c r="V52" s="529">
        <f>Budget!H67</f>
        <v>0</v>
      </c>
      <c r="W52" s="529">
        <f>IF(OR(6&gt;$B$3,ISBLANK(Actuals!H67)),"",Actuals!H67)</f>
      </c>
      <c r="X52" s="530">
        <f>IF(OR(6&gt;$B$3,ISBLANK(Actuals!H67)),"",Budget!H67-Actuals!H67)</f>
      </c>
      <c r="Y52" s="530">
        <f>IFERROR(IF(OR(6&gt;$B$3,ISBLANK(Actuals!H67)),"",(Budget!H67-Actuals!H67)/ABS(Budget!H67)),"")</f>
      </c>
      <c r="Z52" s="529">
        <f>Budget!I67</f>
        <v>0</v>
      </c>
      <c r="AA52" s="529">
        <f>IF(OR(7&gt;$B$3,ISBLANK(Actuals!I67)),"",Actuals!I67)</f>
      </c>
      <c r="AB52" s="530">
        <f>IF(OR(7&gt;$B$3,ISBLANK(Actuals!I67)),"",Budget!I67-Actuals!I67)</f>
      </c>
      <c r="AC52" s="530">
        <f>IFERROR(IF(OR(7&gt;$B$3,ISBLANK(Actuals!I67)),"",(Budget!I67-Actuals!I67)/ABS(Budget!I67)),"")</f>
      </c>
      <c r="AD52" s="529">
        <f>Budget!J67</f>
        <v>0</v>
      </c>
      <c r="AE52" s="529">
        <f>IF(OR(8&gt;$B$3,ISBLANK(Actuals!J67)),"",Actuals!J67)</f>
      </c>
      <c r="AF52" s="530">
        <f>IF(OR(8&gt;$B$3,ISBLANK(Actuals!J67)),"",Budget!J67-Actuals!J67)</f>
      </c>
      <c r="AG52" s="530">
        <f>IFERROR(IF(OR(8&gt;$B$3,ISBLANK(Actuals!J67)),"",(Budget!J67-Actuals!J67)/ABS(Budget!J67)),"")</f>
      </c>
      <c r="AH52" s="529">
        <f>Budget!K67</f>
        <v>0</v>
      </c>
      <c r="AI52" s="529">
        <f>IF(OR(9&gt;$B$3,ISBLANK(Actuals!K67)),"",Actuals!K67)</f>
      </c>
      <c r="AJ52" s="530">
        <f>IF(OR(9&gt;$B$3,ISBLANK(Actuals!K67)),"",Budget!K67-Actuals!K67)</f>
      </c>
      <c r="AK52" s="530">
        <f>IFERROR(IF(OR(9&gt;$B$3,ISBLANK(Actuals!K67)),"",(Budget!K67-Actuals!K67)/ABS(Budget!K67)),"")</f>
      </c>
      <c r="AL52" s="529">
        <f>Budget!L67</f>
        <v>0</v>
      </c>
      <c r="AM52" s="529">
        <f>IF(OR(10&gt;$B$3,ISBLANK(Actuals!L67)),"",Actuals!L67)</f>
      </c>
      <c r="AN52" s="530">
        <f>IF(OR(10&gt;$B$3,ISBLANK(Actuals!L67)),"",Budget!L67-Actuals!L67)</f>
      </c>
      <c r="AO52" s="530">
        <f>IFERROR(IF(OR(10&gt;$B$3,ISBLANK(Actuals!L67)),"",(Budget!L67-Actuals!L67)/ABS(Budget!L67)),"")</f>
      </c>
      <c r="AP52" s="529">
        <f>Budget!M67</f>
        <v>0</v>
      </c>
      <c r="AQ52" s="529">
        <f>IF(OR(11&gt;$B$3,ISBLANK(Actuals!M67)),"",Actuals!M67)</f>
      </c>
      <c r="AR52" s="530">
        <f>IF(OR(11&gt;$B$3,ISBLANK(Actuals!M67)),"",Budget!M67-Actuals!M67)</f>
      </c>
      <c r="AS52" s="530">
        <f>IFERROR(IF(OR(11&gt;$B$3,ISBLANK(Actuals!M67)),"",(Budget!M67-Actuals!M67)/ABS(Budget!M67)),"")</f>
      </c>
      <c r="AT52" s="529">
        <f>Budget!N67</f>
        <v>0</v>
      </c>
      <c r="AU52" s="529">
        <f>IF(OR(12&gt;$B$3,ISBLANK(Actuals!N67)),"",Actuals!N67)</f>
      </c>
      <c r="AV52" s="530">
        <f>IF(OR(12&gt;$B$3,ISBLANK(Actuals!N67)),"",Budget!N67-Actuals!N67)</f>
      </c>
      <c r="AW52" s="530">
        <f>IFERROR(IF(OR(12&gt;$B$3,ISBLANK(Actuals!N67)),"",(Budget!N67-Actuals!N67)/ABS(Budget!N67)),"")</f>
      </c>
      <c r="AX52" s="531">
        <f>SUMPRODUCT((Actuals!C67:N67&lt;&gt;"")*(Budget!C67:N67))</f>
        <v>0</v>
      </c>
      <c r="AY52" s="531">
        <f>SUM(Actuals!C67:N67)</f>
        <v>0</v>
      </c>
      <c r="AZ52" s="532">
        <f>AX52-AY52</f>
        <v>0</v>
      </c>
    </row>
    <row r="53" ht="15" customFormat="1" customHeight="1" s="381">
      <c r="A53" s="528" t="inlineStr">
        <is>
          <t>Ramsgate Dev Fee - 90% Occ</t>
        </is>
      </c>
      <c r="B53" s="529">
        <f>Budget!C68</f>
        <v>0</v>
      </c>
      <c r="C53" s="529">
        <f>IF(OR(1&gt;$B$3,ISBLANK(Actuals!C68)),"",Actuals!C68)</f>
      </c>
      <c r="D53" s="530">
        <f>IF(OR(1&gt;$B$3,ISBLANK(Actuals!C68)),"",Budget!C68-Actuals!C68)</f>
      </c>
      <c r="E53" s="530">
        <f>IFERROR(IF(OR(1&gt;$B$3,ISBLANK(Actuals!C68)),"",(Budget!C68-Actuals!C68)/ABS(Budget!C68)),"")</f>
      </c>
      <c r="F53" s="529">
        <f>Budget!D68</f>
        <v>0</v>
      </c>
      <c r="G53" s="529">
        <f>IF(OR(2&gt;$B$3,ISBLANK(Actuals!D68)),"",Actuals!D68)</f>
      </c>
      <c r="H53" s="530">
        <f>IF(OR(2&gt;$B$3,ISBLANK(Actuals!D68)),"",Budget!D68-Actuals!D68)</f>
      </c>
      <c r="I53" s="530">
        <f>IFERROR(IF(OR(2&gt;$B$3,ISBLANK(Actuals!D68)),"",(Budget!D68-Actuals!D68)/ABS(Budget!D68)),"")</f>
      </c>
      <c r="J53" s="529">
        <f>Budget!E68</f>
        <v>0</v>
      </c>
      <c r="K53" s="529">
        <f>IF(OR(3&gt;$B$3,ISBLANK(Actuals!E68)),"",Actuals!E68)</f>
      </c>
      <c r="L53" s="530">
        <f>IF(OR(3&gt;$B$3,ISBLANK(Actuals!E68)),"",Budget!E68-Actuals!E68)</f>
      </c>
      <c r="M53" s="530">
        <f>IFERROR(IF(OR(3&gt;$B$3,ISBLANK(Actuals!E68)),"",(Budget!E68-Actuals!E68)/ABS(Budget!E68)),"")</f>
      </c>
      <c r="N53" s="529">
        <f>Budget!F68</f>
        <v>0</v>
      </c>
      <c r="O53" s="529">
        <f>IF(OR(4&gt;$B$3,ISBLANK(Actuals!F68)),"",Actuals!F68)</f>
      </c>
      <c r="P53" s="530">
        <f>IF(OR(4&gt;$B$3,ISBLANK(Actuals!F68)),"",Budget!F68-Actuals!F68)</f>
      </c>
      <c r="Q53" s="530">
        <f>IFERROR(IF(OR(4&gt;$B$3,ISBLANK(Actuals!F68)),"",(Budget!F68-Actuals!F68)/ABS(Budget!F68)),"")</f>
      </c>
      <c r="R53" s="529">
        <f>Budget!G68</f>
        <v>0</v>
      </c>
      <c r="S53" s="529">
        <f>IF(OR(5&gt;$B$3,ISBLANK(Actuals!G68)),"",Actuals!G68)</f>
      </c>
      <c r="T53" s="530">
        <f>IF(OR(5&gt;$B$3,ISBLANK(Actuals!G68)),"",Budget!G68-Actuals!G68)</f>
      </c>
      <c r="U53" s="530">
        <f>IFERROR(IF(OR(5&gt;$B$3,ISBLANK(Actuals!G68)),"",(Budget!G68-Actuals!G68)/ABS(Budget!G68)),"")</f>
      </c>
      <c r="V53" s="529">
        <f>Budget!H68</f>
        <v>0</v>
      </c>
      <c r="W53" s="529">
        <f>IF(OR(6&gt;$B$3,ISBLANK(Actuals!H68)),"",Actuals!H68)</f>
      </c>
      <c r="X53" s="530">
        <f>IF(OR(6&gt;$B$3,ISBLANK(Actuals!H68)),"",Budget!H68-Actuals!H68)</f>
      </c>
      <c r="Y53" s="530">
        <f>IFERROR(IF(OR(6&gt;$B$3,ISBLANK(Actuals!H68)),"",(Budget!H68-Actuals!H68)/ABS(Budget!H68)),"")</f>
      </c>
      <c r="Z53" s="529">
        <f>Budget!I68</f>
        <v>0</v>
      </c>
      <c r="AA53" s="529">
        <f>IF(OR(7&gt;$B$3,ISBLANK(Actuals!I68)),"",Actuals!I68)</f>
      </c>
      <c r="AB53" s="530">
        <f>IF(OR(7&gt;$B$3,ISBLANK(Actuals!I68)),"",Budget!I68-Actuals!I68)</f>
      </c>
      <c r="AC53" s="530">
        <f>IFERROR(IF(OR(7&gt;$B$3,ISBLANK(Actuals!I68)),"",(Budget!I68-Actuals!I68)/ABS(Budget!I68)),"")</f>
      </c>
      <c r="AD53" s="529">
        <f>Budget!J68</f>
        <v>0</v>
      </c>
      <c r="AE53" s="529">
        <f>IF(OR(8&gt;$B$3,ISBLANK(Actuals!J68)),"",Actuals!J68)</f>
      </c>
      <c r="AF53" s="530">
        <f>IF(OR(8&gt;$B$3,ISBLANK(Actuals!J68)),"",Budget!J68-Actuals!J68)</f>
      </c>
      <c r="AG53" s="530">
        <f>IFERROR(IF(OR(8&gt;$B$3,ISBLANK(Actuals!J68)),"",(Budget!J68-Actuals!J68)/ABS(Budget!J68)),"")</f>
      </c>
      <c r="AH53" s="529">
        <f>Budget!K68</f>
        <v>0</v>
      </c>
      <c r="AI53" s="529">
        <f>IF(OR(9&gt;$B$3,ISBLANK(Actuals!K68)),"",Actuals!K68)</f>
      </c>
      <c r="AJ53" s="530">
        <f>IF(OR(9&gt;$B$3,ISBLANK(Actuals!K68)),"",Budget!K68-Actuals!K68)</f>
      </c>
      <c r="AK53" s="530">
        <f>IFERROR(IF(OR(9&gt;$B$3,ISBLANK(Actuals!K68)),"",(Budget!K68-Actuals!K68)/ABS(Budget!K68)),"")</f>
      </c>
      <c r="AL53" s="529">
        <f>Budget!L68</f>
        <v>0</v>
      </c>
      <c r="AM53" s="529">
        <f>IF(OR(10&gt;$B$3,ISBLANK(Actuals!L68)),"",Actuals!L68)</f>
      </c>
      <c r="AN53" s="530">
        <f>IF(OR(10&gt;$B$3,ISBLANK(Actuals!L68)),"",Budget!L68-Actuals!L68)</f>
      </c>
      <c r="AO53" s="530">
        <f>IFERROR(IF(OR(10&gt;$B$3,ISBLANK(Actuals!L68)),"",(Budget!L68-Actuals!L68)/ABS(Budget!L68)),"")</f>
      </c>
      <c r="AP53" s="529">
        <f>Budget!M68</f>
        <v>0</v>
      </c>
      <c r="AQ53" s="529">
        <f>IF(OR(11&gt;$B$3,ISBLANK(Actuals!M68)),"",Actuals!M68)</f>
      </c>
      <c r="AR53" s="530">
        <f>IF(OR(11&gt;$B$3,ISBLANK(Actuals!M68)),"",Budget!M68-Actuals!M68)</f>
      </c>
      <c r="AS53" s="530">
        <f>IFERROR(IF(OR(11&gt;$B$3,ISBLANK(Actuals!M68)),"",(Budget!M68-Actuals!M68)/ABS(Budget!M68)),"")</f>
      </c>
      <c r="AT53" s="529">
        <f>Budget!N68</f>
        <v>0</v>
      </c>
      <c r="AU53" s="529">
        <f>IF(OR(12&gt;$B$3,ISBLANK(Actuals!N68)),"",Actuals!N68)</f>
      </c>
      <c r="AV53" s="530">
        <f>IF(OR(12&gt;$B$3,ISBLANK(Actuals!N68)),"",Budget!N68-Actuals!N68)</f>
      </c>
      <c r="AW53" s="530">
        <f>IFERROR(IF(OR(12&gt;$B$3,ISBLANK(Actuals!N68)),"",(Budget!N68-Actuals!N68)/ABS(Budget!N68)),"")</f>
      </c>
      <c r="AX53" s="531">
        <f>SUMPRODUCT((Actuals!C68:N68&lt;&gt;"")*(Budget!C68:N68))</f>
        <v>0</v>
      </c>
      <c r="AY53" s="531">
        <f>SUM(Actuals!C68:N68)</f>
        <v>0</v>
      </c>
      <c r="AZ53" s="532">
        <f>AX53-AY53</f>
        <v>0</v>
      </c>
    </row>
    <row r="54" ht="15" customFormat="1" customHeight="1" s="381">
      <c r="A54" s="528" t="inlineStr">
        <is>
          <t>Crenshaw Development Fee</t>
        </is>
      </c>
      <c r="B54" s="529">
        <f>Budget!C69</f>
        <v>10227.27</v>
      </c>
      <c r="C54" s="529">
        <f>IF(OR(1&gt;$B$3,ISBLANK(Actuals!C69)),"",Actuals!C69)</f>
        <v>9375</v>
      </c>
      <c r="D54" s="530">
        <f>IF(OR(1&gt;$B$3,ISBLANK(Actuals!C69)),"",Budget!C69-Actuals!C69)</f>
        <v>852.27</v>
      </c>
      <c r="E54" s="530">
        <f>IFERROR(IF(OR(1&gt;$B$3,ISBLANK(Actuals!C69)),"",(Budget!C69-Actuals!C69)/ABS(Budget!C69)),"")</f>
        <v>0.0833330888888237</v>
      </c>
      <c r="F54" s="529">
        <f>Budget!D69</f>
        <v>10227.27</v>
      </c>
      <c r="G54" s="529">
        <f>IF(OR(2&gt;$B$3,ISBLANK(Actuals!D69)),"",Actuals!D69)</f>
        <v>9375</v>
      </c>
      <c r="H54" s="530">
        <f>IF(OR(2&gt;$B$3,ISBLANK(Actuals!D69)),"",Budget!D69-Actuals!D69)</f>
        <v>852.27</v>
      </c>
      <c r="I54" s="530">
        <f>IFERROR(IF(OR(2&gt;$B$3,ISBLANK(Actuals!D69)),"",(Budget!D69-Actuals!D69)/ABS(Budget!D69)),"")</f>
        <v>0.0833330888888237</v>
      </c>
      <c r="J54" s="529">
        <f>Budget!E69</f>
        <v>10227.27</v>
      </c>
      <c r="K54" s="529">
        <f>IF(OR(3&gt;$B$3,ISBLANK(Actuals!E69)),"",Actuals!E69)</f>
        <v>9375</v>
      </c>
      <c r="L54" s="530">
        <f>IF(OR(3&gt;$B$3,ISBLANK(Actuals!E69)),"",Budget!E69-Actuals!E69)</f>
        <v>852.27</v>
      </c>
      <c r="M54" s="530">
        <f>IFERROR(IF(OR(3&gt;$B$3,ISBLANK(Actuals!E69)),"",(Budget!E69-Actuals!E69)/ABS(Budget!E69)),"")</f>
        <v>0.0833330888888237</v>
      </c>
      <c r="N54" s="529">
        <f>Budget!F69</f>
        <v>10227.27</v>
      </c>
      <c r="O54" s="529">
        <f>IF(OR(4&gt;$B$3,ISBLANK(Actuals!F69)),"",Actuals!F69)</f>
        <v>9375</v>
      </c>
      <c r="P54" s="530">
        <f>IF(OR(4&gt;$B$3,ISBLANK(Actuals!F69)),"",Budget!F69-Actuals!F69)</f>
        <v>852.27</v>
      </c>
      <c r="Q54" s="530">
        <f>IFERROR(IF(OR(4&gt;$B$3,ISBLANK(Actuals!F69)),"",(Budget!F69-Actuals!F69)/ABS(Budget!F69)),"")</f>
        <v>0.0833330888888237</v>
      </c>
      <c r="R54" s="529">
        <f>Budget!G69</f>
        <v>10227.27</v>
      </c>
      <c r="S54" s="529">
        <f>IF(OR(5&gt;$B$3,ISBLANK(Actuals!G69)),"",Actuals!G69)</f>
        <v>9375</v>
      </c>
      <c r="T54" s="530">
        <f>IF(OR(5&gt;$B$3,ISBLANK(Actuals!G69)),"",Budget!G69-Actuals!G69)</f>
        <v>852.27</v>
      </c>
      <c r="U54" s="530">
        <f>IFERROR(IF(OR(5&gt;$B$3,ISBLANK(Actuals!G69)),"",(Budget!G69-Actuals!G69)/ABS(Budget!G69)),"")</f>
        <v>0.0833330888888237</v>
      </c>
      <c r="V54" s="529">
        <f>Budget!H69</f>
        <v>10227.27</v>
      </c>
      <c r="W54" s="529">
        <f>IF(OR(6&gt;$B$3,ISBLANK(Actuals!H69)),"",Actuals!H69)</f>
        <v>9375</v>
      </c>
      <c r="X54" s="530">
        <f>IF(OR(6&gt;$B$3,ISBLANK(Actuals!H69)),"",Budget!H69-Actuals!H69)</f>
        <v>852.27</v>
      </c>
      <c r="Y54" s="530">
        <f>IFERROR(IF(OR(6&gt;$B$3,ISBLANK(Actuals!H69)),"",(Budget!H69-Actuals!H69)/ABS(Budget!H69)),"")</f>
        <v>0.0833330888888237</v>
      </c>
      <c r="Z54" s="529">
        <f>Budget!I69</f>
        <v>10227.27</v>
      </c>
      <c r="AA54" s="529">
        <f>IF(OR(7&gt;$B$3,ISBLANK(Actuals!I69)),"",Actuals!I69)</f>
      </c>
      <c r="AB54" s="530">
        <f>IF(OR(7&gt;$B$3,ISBLANK(Actuals!I69)),"",Budget!I69-Actuals!I69)</f>
      </c>
      <c r="AC54" s="530">
        <f>IFERROR(IF(OR(7&gt;$B$3,ISBLANK(Actuals!I69)),"",(Budget!I69-Actuals!I69)/ABS(Budget!I69)),"")</f>
      </c>
      <c r="AD54" s="529">
        <f>Budget!J69</f>
        <v>10227.27</v>
      </c>
      <c r="AE54" s="529">
        <f>IF(OR(8&gt;$B$3,ISBLANK(Actuals!J69)),"",Actuals!J69)</f>
      </c>
      <c r="AF54" s="530">
        <f>IF(OR(8&gt;$B$3,ISBLANK(Actuals!J69)),"",Budget!J69-Actuals!J69)</f>
      </c>
      <c r="AG54" s="530">
        <f>IFERROR(IF(OR(8&gt;$B$3,ISBLANK(Actuals!J69)),"",(Budget!J69-Actuals!J69)/ABS(Budget!J69)),"")</f>
      </c>
      <c r="AH54" s="529">
        <f>Budget!K69</f>
        <v>10227.27</v>
      </c>
      <c r="AI54" s="529">
        <f>IF(OR(9&gt;$B$3,ISBLANK(Actuals!K69)),"",Actuals!K69)</f>
      </c>
      <c r="AJ54" s="530">
        <f>IF(OR(9&gt;$B$3,ISBLANK(Actuals!K69)),"",Budget!K69-Actuals!K69)</f>
      </c>
      <c r="AK54" s="530">
        <f>IFERROR(IF(OR(9&gt;$B$3,ISBLANK(Actuals!K69)),"",(Budget!K69-Actuals!K69)/ABS(Budget!K69)),"")</f>
      </c>
      <c r="AL54" s="529">
        <f>Budget!L69</f>
        <v>0</v>
      </c>
      <c r="AM54" s="529">
        <f>IF(OR(10&gt;$B$3,ISBLANK(Actuals!L69)),"",Actuals!L69)</f>
      </c>
      <c r="AN54" s="530">
        <f>IF(OR(10&gt;$B$3,ISBLANK(Actuals!L69)),"",Budget!L69-Actuals!L69)</f>
      </c>
      <c r="AO54" s="530">
        <f>IFERROR(IF(OR(10&gt;$B$3,ISBLANK(Actuals!L69)),"",(Budget!L69-Actuals!L69)/ABS(Budget!L69)),"")</f>
      </c>
      <c r="AP54" s="529">
        <f>Budget!M69</f>
        <v>0</v>
      </c>
      <c r="AQ54" s="529">
        <f>IF(OR(11&gt;$B$3,ISBLANK(Actuals!M69)),"",Actuals!M69)</f>
      </c>
      <c r="AR54" s="530">
        <f>IF(OR(11&gt;$B$3,ISBLANK(Actuals!M69)),"",Budget!M69-Actuals!M69)</f>
      </c>
      <c r="AS54" s="530">
        <f>IFERROR(IF(OR(11&gt;$B$3,ISBLANK(Actuals!M69)),"",(Budget!M69-Actuals!M69)/ABS(Budget!M69)),"")</f>
      </c>
      <c r="AT54" s="529">
        <f>Budget!N69</f>
        <v>0</v>
      </c>
      <c r="AU54" s="529">
        <f>IF(OR(12&gt;$B$3,ISBLANK(Actuals!N69)),"",Actuals!N69)</f>
      </c>
      <c r="AV54" s="530">
        <f>IF(OR(12&gt;$B$3,ISBLANK(Actuals!N69)),"",Budget!N69-Actuals!N69)</f>
      </c>
      <c r="AW54" s="530">
        <f>IFERROR(IF(OR(12&gt;$B$3,ISBLANK(Actuals!N69)),"",(Budget!N69-Actuals!N69)/ABS(Budget!N69)),"")</f>
      </c>
      <c r="AX54" s="531">
        <f>SUMPRODUCT((Actuals!C69:N69&lt;&gt;"")*(Budget!C69:N69))</f>
        <v>61363.62</v>
      </c>
      <c r="AY54" s="531">
        <f>SUM(Actuals!C69:N69)</f>
        <v>56250</v>
      </c>
      <c r="AZ54" s="532">
        <f>AX54-AY54</f>
        <v>5113.62</v>
      </c>
    </row>
    <row r="55" ht="15" customFormat="1" customHeight="1" s="381">
      <c r="A55" s="528" t="inlineStr">
        <is>
          <t>12th &amp; Fir Developer Fee</t>
        </is>
      </c>
      <c r="B55" s="529">
        <f>Budget!C70</f>
        <v>0</v>
      </c>
      <c r="C55" s="529">
        <f>IF(OR(1&gt;$B$3,ISBLANK(Actuals!C70)),"",Actuals!C70)</f>
      </c>
      <c r="D55" s="530">
        <f>IF(OR(1&gt;$B$3,ISBLANK(Actuals!C70)),"",Budget!C70-Actuals!C70)</f>
      </c>
      <c r="E55" s="530">
        <f>IFERROR(IF(OR(1&gt;$B$3,ISBLANK(Actuals!C70)),"",(Budget!C70-Actuals!C70)/ABS(Budget!C70)),"")</f>
      </c>
      <c r="F55" s="529">
        <f>Budget!D70</f>
        <v>0</v>
      </c>
      <c r="G55" s="529">
        <f>IF(OR(2&gt;$B$3,ISBLANK(Actuals!D70)),"",Actuals!D70)</f>
      </c>
      <c r="H55" s="530">
        <f>IF(OR(2&gt;$B$3,ISBLANK(Actuals!D70)),"",Budget!D70-Actuals!D70)</f>
      </c>
      <c r="I55" s="530">
        <f>IFERROR(IF(OR(2&gt;$B$3,ISBLANK(Actuals!D70)),"",(Budget!D70-Actuals!D70)/ABS(Budget!D70)),"")</f>
      </c>
      <c r="J55" s="529">
        <f>Budget!E70</f>
        <v>0</v>
      </c>
      <c r="K55" s="529">
        <f>IF(OR(3&gt;$B$3,ISBLANK(Actuals!E70)),"",Actuals!E70)</f>
      </c>
      <c r="L55" s="530">
        <f>IF(OR(3&gt;$B$3,ISBLANK(Actuals!E70)),"",Budget!E70-Actuals!E70)</f>
      </c>
      <c r="M55" s="530">
        <f>IFERROR(IF(OR(3&gt;$B$3,ISBLANK(Actuals!E70)),"",(Budget!E70-Actuals!E70)/ABS(Budget!E70)),"")</f>
      </c>
      <c r="N55" s="529">
        <f>Budget!F70</f>
        <v>11875</v>
      </c>
      <c r="O55" s="529">
        <f>IF(OR(4&gt;$B$3,ISBLANK(Actuals!F70)),"",Actuals!F70)</f>
      </c>
      <c r="P55" s="530">
        <f>IF(OR(4&gt;$B$3,ISBLANK(Actuals!F70)),"",Budget!F70-Actuals!F70)</f>
      </c>
      <c r="Q55" s="530">
        <f>IFERROR(IF(OR(4&gt;$B$3,ISBLANK(Actuals!F70)),"",(Budget!F70-Actuals!F70)/ABS(Budget!F70)),"")</f>
      </c>
      <c r="R55" s="529">
        <f>Budget!G70</f>
        <v>11875</v>
      </c>
      <c r="S55" s="529">
        <f>IF(OR(5&gt;$B$3,ISBLANK(Actuals!G70)),"",Actuals!G70)</f>
      </c>
      <c r="T55" s="530">
        <f>IF(OR(5&gt;$B$3,ISBLANK(Actuals!G70)),"",Budget!G70-Actuals!G70)</f>
      </c>
      <c r="U55" s="530">
        <f>IFERROR(IF(OR(5&gt;$B$3,ISBLANK(Actuals!G70)),"",(Budget!G70-Actuals!G70)/ABS(Budget!G70)),"")</f>
      </c>
      <c r="V55" s="529">
        <f>Budget!H70</f>
        <v>11875</v>
      </c>
      <c r="W55" s="529">
        <f>IF(OR(6&gt;$B$3,ISBLANK(Actuals!H70)),"",Actuals!H70)</f>
      </c>
      <c r="X55" s="530">
        <f>IF(OR(6&gt;$B$3,ISBLANK(Actuals!H70)),"",Budget!H70-Actuals!H70)</f>
      </c>
      <c r="Y55" s="530">
        <f>IFERROR(IF(OR(6&gt;$B$3,ISBLANK(Actuals!H70)),"",(Budget!H70-Actuals!H70)/ABS(Budget!H70)),"")</f>
      </c>
      <c r="Z55" s="529">
        <f>Budget!I70</f>
        <v>11875</v>
      </c>
      <c r="AA55" s="529">
        <f>IF(OR(7&gt;$B$3,ISBLANK(Actuals!I70)),"",Actuals!I70)</f>
      </c>
      <c r="AB55" s="530">
        <f>IF(OR(7&gt;$B$3,ISBLANK(Actuals!I70)),"",Budget!I70-Actuals!I70)</f>
      </c>
      <c r="AC55" s="530">
        <f>IFERROR(IF(OR(7&gt;$B$3,ISBLANK(Actuals!I70)),"",(Budget!I70-Actuals!I70)/ABS(Budget!I70)),"")</f>
      </c>
      <c r="AD55" s="529">
        <f>Budget!J70</f>
        <v>11875</v>
      </c>
      <c r="AE55" s="529">
        <f>IF(OR(8&gt;$B$3,ISBLANK(Actuals!J70)),"",Actuals!J70)</f>
      </c>
      <c r="AF55" s="530">
        <f>IF(OR(8&gt;$B$3,ISBLANK(Actuals!J70)),"",Budget!J70-Actuals!J70)</f>
      </c>
      <c r="AG55" s="530">
        <f>IFERROR(IF(OR(8&gt;$B$3,ISBLANK(Actuals!J70)),"",(Budget!J70-Actuals!J70)/ABS(Budget!J70)),"")</f>
      </c>
      <c r="AH55" s="529">
        <f>Budget!K70</f>
        <v>11875</v>
      </c>
      <c r="AI55" s="529">
        <f>IF(OR(9&gt;$B$3,ISBLANK(Actuals!K70)),"",Actuals!K70)</f>
      </c>
      <c r="AJ55" s="530">
        <f>IF(OR(9&gt;$B$3,ISBLANK(Actuals!K70)),"",Budget!K70-Actuals!K70)</f>
      </c>
      <c r="AK55" s="530">
        <f>IFERROR(IF(OR(9&gt;$B$3,ISBLANK(Actuals!K70)),"",(Budget!K70-Actuals!K70)/ABS(Budget!K70)),"")</f>
      </c>
      <c r="AL55" s="529">
        <f>Budget!L70</f>
        <v>11875</v>
      </c>
      <c r="AM55" s="529">
        <f>IF(OR(10&gt;$B$3,ISBLANK(Actuals!L70)),"",Actuals!L70)</f>
      </c>
      <c r="AN55" s="530">
        <f>IF(OR(10&gt;$B$3,ISBLANK(Actuals!L70)),"",Budget!L70-Actuals!L70)</f>
      </c>
      <c r="AO55" s="530">
        <f>IFERROR(IF(OR(10&gt;$B$3,ISBLANK(Actuals!L70)),"",(Budget!L70-Actuals!L70)/ABS(Budget!L70)),"")</f>
      </c>
      <c r="AP55" s="529">
        <f>Budget!M70</f>
        <v>11875</v>
      </c>
      <c r="AQ55" s="529">
        <f>IF(OR(11&gt;$B$3,ISBLANK(Actuals!M70)),"",Actuals!M70)</f>
      </c>
      <c r="AR55" s="530">
        <f>IF(OR(11&gt;$B$3,ISBLANK(Actuals!M70)),"",Budget!M70-Actuals!M70)</f>
      </c>
      <c r="AS55" s="530">
        <f>IFERROR(IF(OR(11&gt;$B$3,ISBLANK(Actuals!M70)),"",(Budget!M70-Actuals!M70)/ABS(Budget!M70)),"")</f>
      </c>
      <c r="AT55" s="529">
        <f>Budget!N70</f>
        <v>11875</v>
      </c>
      <c r="AU55" s="529">
        <f>IF(OR(12&gt;$B$3,ISBLANK(Actuals!N70)),"",Actuals!N70)</f>
      </c>
      <c r="AV55" s="530">
        <f>IF(OR(12&gt;$B$3,ISBLANK(Actuals!N70)),"",Budget!N70-Actuals!N70)</f>
      </c>
      <c r="AW55" s="530">
        <f>IFERROR(IF(OR(12&gt;$B$3,ISBLANK(Actuals!N70)),"",(Budget!N70-Actuals!N70)/ABS(Budget!N70)),"")</f>
      </c>
      <c r="AX55" s="531">
        <f>SUMPRODUCT((Actuals!C70:N70&lt;&gt;"")*(Budget!C70:N70))</f>
        <v>0</v>
      </c>
      <c r="AY55" s="531">
        <f>SUM(Actuals!C70:N70)</f>
        <v>0</v>
      </c>
      <c r="AZ55" s="532">
        <f>AX55-AY55</f>
        <v>0</v>
      </c>
    </row>
    <row r="56" ht="15" customFormat="1" customHeight="1" s="381">
      <c r="A56" s="528" t="inlineStr">
        <is>
          <t>Klump Accounting Fee</t>
        </is>
      </c>
      <c r="B56" s="529">
        <f>Budget!C71</f>
        <v>0</v>
      </c>
      <c r="C56" s="529">
        <f>IF(OR(1&gt;$B$3,ISBLANK(Actuals!C71)),"",Actuals!C71)</f>
      </c>
      <c r="D56" s="530">
        <f>IF(OR(1&gt;$B$3,ISBLANK(Actuals!C71)),"",Budget!C71-Actuals!C71)</f>
      </c>
      <c r="E56" s="530">
        <f>IFERROR(IF(OR(1&gt;$B$3,ISBLANK(Actuals!C71)),"",(Budget!C71-Actuals!C71)/ABS(Budget!C71)),"")</f>
      </c>
      <c r="F56" s="529">
        <f>Budget!D71</f>
        <v>0</v>
      </c>
      <c r="G56" s="529">
        <f>IF(OR(2&gt;$B$3,ISBLANK(Actuals!D71)),"",Actuals!D71)</f>
      </c>
      <c r="H56" s="530">
        <f>IF(OR(2&gt;$B$3,ISBLANK(Actuals!D71)),"",Budget!D71-Actuals!D71)</f>
      </c>
      <c r="I56" s="530">
        <f>IFERROR(IF(OR(2&gt;$B$3,ISBLANK(Actuals!D71)),"",(Budget!D71-Actuals!D71)/ABS(Budget!D71)),"")</f>
      </c>
      <c r="J56" s="529">
        <f>Budget!E71</f>
        <v>0</v>
      </c>
      <c r="K56" s="529">
        <f>IF(OR(3&gt;$B$3,ISBLANK(Actuals!E71)),"",Actuals!E71)</f>
      </c>
      <c r="L56" s="530">
        <f>IF(OR(3&gt;$B$3,ISBLANK(Actuals!E71)),"",Budget!E71-Actuals!E71)</f>
      </c>
      <c r="M56" s="530">
        <f>IFERROR(IF(OR(3&gt;$B$3,ISBLANK(Actuals!E71)),"",(Budget!E71-Actuals!E71)/ABS(Budget!E71)),"")</f>
      </c>
      <c r="N56" s="529">
        <f>Budget!F71</f>
        <v>0</v>
      </c>
      <c r="O56" s="529">
        <f>IF(OR(4&gt;$B$3,ISBLANK(Actuals!F71)),"",Actuals!F71)</f>
      </c>
      <c r="P56" s="530">
        <f>IF(OR(4&gt;$B$3,ISBLANK(Actuals!F71)),"",Budget!F71-Actuals!F71)</f>
      </c>
      <c r="Q56" s="530">
        <f>IFERROR(IF(OR(4&gt;$B$3,ISBLANK(Actuals!F71)),"",(Budget!F71-Actuals!F71)/ABS(Budget!F71)),"")</f>
      </c>
      <c r="R56" s="529">
        <f>Budget!G71</f>
        <v>0</v>
      </c>
      <c r="S56" s="529">
        <f>IF(OR(5&gt;$B$3,ISBLANK(Actuals!G71)),"",Actuals!G71)</f>
      </c>
      <c r="T56" s="530">
        <f>IF(OR(5&gt;$B$3,ISBLANK(Actuals!G71)),"",Budget!G71-Actuals!G71)</f>
      </c>
      <c r="U56" s="530">
        <f>IFERROR(IF(OR(5&gt;$B$3,ISBLANK(Actuals!G71)),"",(Budget!G71-Actuals!G71)/ABS(Budget!G71)),"")</f>
      </c>
      <c r="V56" s="529">
        <f>Budget!H71</f>
        <v>0</v>
      </c>
      <c r="W56" s="529">
        <f>IF(OR(6&gt;$B$3,ISBLANK(Actuals!H71)),"",Actuals!H71)</f>
      </c>
      <c r="X56" s="530">
        <f>IF(OR(6&gt;$B$3,ISBLANK(Actuals!H71)),"",Budget!H71-Actuals!H71)</f>
      </c>
      <c r="Y56" s="530">
        <f>IFERROR(IF(OR(6&gt;$B$3,ISBLANK(Actuals!H71)),"",(Budget!H71-Actuals!H71)/ABS(Budget!H71)),"")</f>
      </c>
      <c r="Z56" s="529">
        <f>Budget!I71</f>
        <v>0</v>
      </c>
      <c r="AA56" s="529">
        <f>IF(OR(7&gt;$B$3,ISBLANK(Actuals!I71)),"",Actuals!I71)</f>
      </c>
      <c r="AB56" s="530">
        <f>IF(OR(7&gt;$B$3,ISBLANK(Actuals!I71)),"",Budget!I71-Actuals!I71)</f>
      </c>
      <c r="AC56" s="530">
        <f>IFERROR(IF(OR(7&gt;$B$3,ISBLANK(Actuals!I71)),"",(Budget!I71-Actuals!I71)/ABS(Budget!I71)),"")</f>
      </c>
      <c r="AD56" s="529">
        <f>Budget!J71</f>
        <v>0</v>
      </c>
      <c r="AE56" s="529">
        <f>IF(OR(8&gt;$B$3,ISBLANK(Actuals!J71)),"",Actuals!J71)</f>
      </c>
      <c r="AF56" s="530">
        <f>IF(OR(8&gt;$B$3,ISBLANK(Actuals!J71)),"",Budget!J71-Actuals!J71)</f>
      </c>
      <c r="AG56" s="530">
        <f>IFERROR(IF(OR(8&gt;$B$3,ISBLANK(Actuals!J71)),"",(Budget!J71-Actuals!J71)/ABS(Budget!J71)),"")</f>
      </c>
      <c r="AH56" s="529">
        <f>Budget!K71</f>
        <v>0</v>
      </c>
      <c r="AI56" s="529">
        <f>IF(OR(9&gt;$B$3,ISBLANK(Actuals!K71)),"",Actuals!K71)</f>
      </c>
      <c r="AJ56" s="530">
        <f>IF(OR(9&gt;$B$3,ISBLANK(Actuals!K71)),"",Budget!K71-Actuals!K71)</f>
      </c>
      <c r="AK56" s="530">
        <f>IFERROR(IF(OR(9&gt;$B$3,ISBLANK(Actuals!K71)),"",(Budget!K71-Actuals!K71)/ABS(Budget!K71)),"")</f>
      </c>
      <c r="AL56" s="529">
        <f>Budget!L71</f>
        <v>0</v>
      </c>
      <c r="AM56" s="529">
        <f>IF(OR(10&gt;$B$3,ISBLANK(Actuals!L71)),"",Actuals!L71)</f>
      </c>
      <c r="AN56" s="530">
        <f>IF(OR(10&gt;$B$3,ISBLANK(Actuals!L71)),"",Budget!L71-Actuals!L71)</f>
      </c>
      <c r="AO56" s="530">
        <f>IFERROR(IF(OR(10&gt;$B$3,ISBLANK(Actuals!L71)),"",(Budget!L71-Actuals!L71)/ABS(Budget!L71)),"")</f>
      </c>
      <c r="AP56" s="529">
        <f>Budget!M71</f>
        <v>0</v>
      </c>
      <c r="AQ56" s="529">
        <f>IF(OR(11&gt;$B$3,ISBLANK(Actuals!M71)),"",Actuals!M71)</f>
      </c>
      <c r="AR56" s="530">
        <f>IF(OR(11&gt;$B$3,ISBLANK(Actuals!M71)),"",Budget!M71-Actuals!M71)</f>
      </c>
      <c r="AS56" s="530">
        <f>IFERROR(IF(OR(11&gt;$B$3,ISBLANK(Actuals!M71)),"",(Budget!M71-Actuals!M71)/ABS(Budget!M71)),"")</f>
      </c>
      <c r="AT56" s="529">
        <f>Budget!N71</f>
        <v>0</v>
      </c>
      <c r="AU56" s="529">
        <f>IF(OR(12&gt;$B$3,ISBLANK(Actuals!N71)),"",Actuals!N71)</f>
      </c>
      <c r="AV56" s="530">
        <f>IF(OR(12&gt;$B$3,ISBLANK(Actuals!N71)),"",Budget!N71-Actuals!N71)</f>
      </c>
      <c r="AW56" s="530">
        <f>IFERROR(IF(OR(12&gt;$B$3,ISBLANK(Actuals!N71)),"",(Budget!N71-Actuals!N71)/ABS(Budget!N71)),"")</f>
      </c>
      <c r="AX56" s="531">
        <f>SUMPRODUCT((Actuals!C71:N71&lt;&gt;"")*(Budget!C71:N71))</f>
        <v>0</v>
      </c>
      <c r="AY56" s="531">
        <f>SUM(Actuals!C71:N71)</f>
        <v>0</v>
      </c>
      <c r="AZ56" s="532">
        <f>AX56-AY56</f>
        <v>0</v>
      </c>
    </row>
    <row r="57" ht="15" customFormat="1" customHeight="1" s="381">
      <c r="A57" s="528" t="inlineStr">
        <is>
          <t>Klump Developer Fee</t>
        </is>
      </c>
      <c r="B57" s="529">
        <f>Budget!C72</f>
        <v>0</v>
      </c>
      <c r="C57" s="529">
        <f>IF(OR(1&gt;$B$3,ISBLANK(Actuals!C72)),"",Actuals!C72)</f>
      </c>
      <c r="D57" s="530">
        <f>IF(OR(1&gt;$B$3,ISBLANK(Actuals!C72)),"",Budget!C72-Actuals!C72)</f>
      </c>
      <c r="E57" s="530">
        <f>IFERROR(IF(OR(1&gt;$B$3,ISBLANK(Actuals!C72)),"",(Budget!C72-Actuals!C72)/ABS(Budget!C72)),"")</f>
      </c>
      <c r="F57" s="529">
        <f>Budget!D72</f>
        <v>0</v>
      </c>
      <c r="G57" s="529">
        <f>IF(OR(2&gt;$B$3,ISBLANK(Actuals!D72)),"",Actuals!D72)</f>
      </c>
      <c r="H57" s="530">
        <f>IF(OR(2&gt;$B$3,ISBLANK(Actuals!D72)),"",Budget!D72-Actuals!D72)</f>
      </c>
      <c r="I57" s="530">
        <f>IFERROR(IF(OR(2&gt;$B$3,ISBLANK(Actuals!D72)),"",(Budget!D72-Actuals!D72)/ABS(Budget!D72)),"")</f>
      </c>
      <c r="J57" s="529">
        <f>Budget!E72</f>
        <v>0</v>
      </c>
      <c r="K57" s="529">
        <f>IF(OR(3&gt;$B$3,ISBLANK(Actuals!E72)),"",Actuals!E72)</f>
      </c>
      <c r="L57" s="530">
        <f>IF(OR(3&gt;$B$3,ISBLANK(Actuals!E72)),"",Budget!E72-Actuals!E72)</f>
      </c>
      <c r="M57" s="530">
        <f>IFERROR(IF(OR(3&gt;$B$3,ISBLANK(Actuals!E72)),"",(Budget!E72-Actuals!E72)/ABS(Budget!E72)),"")</f>
      </c>
      <c r="N57" s="529">
        <f>Budget!F72</f>
        <v>0</v>
      </c>
      <c r="O57" s="529">
        <f>IF(OR(4&gt;$B$3,ISBLANK(Actuals!F72)),"",Actuals!F72)</f>
      </c>
      <c r="P57" s="530">
        <f>IF(OR(4&gt;$B$3,ISBLANK(Actuals!F72)),"",Budget!F72-Actuals!F72)</f>
      </c>
      <c r="Q57" s="530">
        <f>IFERROR(IF(OR(4&gt;$B$3,ISBLANK(Actuals!F72)),"",(Budget!F72-Actuals!F72)/ABS(Budget!F72)),"")</f>
      </c>
      <c r="R57" s="529">
        <f>Budget!G72</f>
        <v>0</v>
      </c>
      <c r="S57" s="529">
        <f>IF(OR(5&gt;$B$3,ISBLANK(Actuals!G72)),"",Actuals!G72)</f>
      </c>
      <c r="T57" s="530">
        <f>IF(OR(5&gt;$B$3,ISBLANK(Actuals!G72)),"",Budget!G72-Actuals!G72)</f>
      </c>
      <c r="U57" s="530">
        <f>IFERROR(IF(OR(5&gt;$B$3,ISBLANK(Actuals!G72)),"",(Budget!G72-Actuals!G72)/ABS(Budget!G72)),"")</f>
      </c>
      <c r="V57" s="529">
        <f>Budget!H72</f>
        <v>0</v>
      </c>
      <c r="W57" s="529">
        <f>IF(OR(6&gt;$B$3,ISBLANK(Actuals!H72)),"",Actuals!H72)</f>
      </c>
      <c r="X57" s="530">
        <f>IF(OR(6&gt;$B$3,ISBLANK(Actuals!H72)),"",Budget!H72-Actuals!H72)</f>
      </c>
      <c r="Y57" s="530">
        <f>IFERROR(IF(OR(6&gt;$B$3,ISBLANK(Actuals!H72)),"",(Budget!H72-Actuals!H72)/ABS(Budget!H72)),"")</f>
      </c>
      <c r="Z57" s="529">
        <f>Budget!I72</f>
        <v>0</v>
      </c>
      <c r="AA57" s="529">
        <f>IF(OR(7&gt;$B$3,ISBLANK(Actuals!I72)),"",Actuals!I72)</f>
      </c>
      <c r="AB57" s="530">
        <f>IF(OR(7&gt;$B$3,ISBLANK(Actuals!I72)),"",Budget!I72-Actuals!I72)</f>
      </c>
      <c r="AC57" s="530">
        <f>IFERROR(IF(OR(7&gt;$B$3,ISBLANK(Actuals!I72)),"",(Budget!I72-Actuals!I72)/ABS(Budget!I72)),"")</f>
      </c>
      <c r="AD57" s="529">
        <f>Budget!J72</f>
        <v>0</v>
      </c>
      <c r="AE57" s="529">
        <f>IF(OR(8&gt;$B$3,ISBLANK(Actuals!J72)),"",Actuals!J72)</f>
      </c>
      <c r="AF57" s="530">
        <f>IF(OR(8&gt;$B$3,ISBLANK(Actuals!J72)),"",Budget!J72-Actuals!J72)</f>
      </c>
      <c r="AG57" s="530">
        <f>IFERROR(IF(OR(8&gt;$B$3,ISBLANK(Actuals!J72)),"",(Budget!J72-Actuals!J72)/ABS(Budget!J72)),"")</f>
      </c>
      <c r="AH57" s="529">
        <f>Budget!K72</f>
        <v>0</v>
      </c>
      <c r="AI57" s="529">
        <f>IF(OR(9&gt;$B$3,ISBLANK(Actuals!K72)),"",Actuals!K72)</f>
      </c>
      <c r="AJ57" s="530">
        <f>IF(OR(9&gt;$B$3,ISBLANK(Actuals!K72)),"",Budget!K72-Actuals!K72)</f>
      </c>
      <c r="AK57" s="530">
        <f>IFERROR(IF(OR(9&gt;$B$3,ISBLANK(Actuals!K72)),"",(Budget!K72-Actuals!K72)/ABS(Budget!K72)),"")</f>
      </c>
      <c r="AL57" s="529">
        <f>Budget!L72</f>
        <v>0</v>
      </c>
      <c r="AM57" s="529">
        <f>IF(OR(10&gt;$B$3,ISBLANK(Actuals!L72)),"",Actuals!L72)</f>
      </c>
      <c r="AN57" s="530">
        <f>IF(OR(10&gt;$B$3,ISBLANK(Actuals!L72)),"",Budget!L72-Actuals!L72)</f>
      </c>
      <c r="AO57" s="530">
        <f>IFERROR(IF(OR(10&gt;$B$3,ISBLANK(Actuals!L72)),"",(Budget!L72-Actuals!L72)/ABS(Budget!L72)),"")</f>
      </c>
      <c r="AP57" s="529">
        <f>Budget!M72</f>
        <v>0</v>
      </c>
      <c r="AQ57" s="529">
        <f>IF(OR(11&gt;$B$3,ISBLANK(Actuals!M72)),"",Actuals!M72)</f>
      </c>
      <c r="AR57" s="530">
        <f>IF(OR(11&gt;$B$3,ISBLANK(Actuals!M72)),"",Budget!M72-Actuals!M72)</f>
      </c>
      <c r="AS57" s="530">
        <f>IFERROR(IF(OR(11&gt;$B$3,ISBLANK(Actuals!M72)),"",(Budget!M72-Actuals!M72)/ABS(Budget!M72)),"")</f>
      </c>
      <c r="AT57" s="529">
        <f>Budget!N72</f>
        <v>0</v>
      </c>
      <c r="AU57" s="529">
        <f>IF(OR(12&gt;$B$3,ISBLANK(Actuals!N72)),"",Actuals!N72)</f>
      </c>
      <c r="AV57" s="530">
        <f>IF(OR(12&gt;$B$3,ISBLANK(Actuals!N72)),"",Budget!N72-Actuals!N72)</f>
      </c>
      <c r="AW57" s="530">
        <f>IFERROR(IF(OR(12&gt;$B$3,ISBLANK(Actuals!N72)),"",(Budget!N72-Actuals!N72)/ABS(Budget!N72)),"")</f>
      </c>
      <c r="AX57" s="531">
        <f>SUMPRODUCT((Actuals!C72:N72&lt;&gt;"")*(Budget!C72:N72))</f>
        <v>0</v>
      </c>
      <c r="AY57" s="531">
        <f>SUM(Actuals!C72:N72)</f>
        <v>0</v>
      </c>
      <c r="AZ57" s="532">
        <f>AX57-AY57</f>
        <v>0</v>
      </c>
    </row>
    <row r="58" ht="15" customFormat="1" customHeight="1" s="381">
      <c r="A58" s="528" t="inlineStr">
        <is>
          <t>Klump Guarantee Fee</t>
        </is>
      </c>
      <c r="B58" s="529">
        <f>Budget!C73</f>
        <v>0</v>
      </c>
      <c r="C58" s="529">
        <f>IF(OR(1&gt;$B$3,ISBLANK(Actuals!C73)),"",Actuals!C73)</f>
      </c>
      <c r="D58" s="530">
        <f>IF(OR(1&gt;$B$3,ISBLANK(Actuals!C73)),"",Budget!C73-Actuals!C73)</f>
      </c>
      <c r="E58" s="530">
        <f>IFERROR(IF(OR(1&gt;$B$3,ISBLANK(Actuals!C73)),"",(Budget!C73-Actuals!C73)/ABS(Budget!C73)),"")</f>
      </c>
      <c r="F58" s="529">
        <f>Budget!D73</f>
        <v>0</v>
      </c>
      <c r="G58" s="529">
        <f>IF(OR(2&gt;$B$3,ISBLANK(Actuals!D73)),"",Actuals!D73)</f>
      </c>
      <c r="H58" s="530">
        <f>IF(OR(2&gt;$B$3,ISBLANK(Actuals!D73)),"",Budget!D73-Actuals!D73)</f>
      </c>
      <c r="I58" s="530">
        <f>IFERROR(IF(OR(2&gt;$B$3,ISBLANK(Actuals!D73)),"",(Budget!D73-Actuals!D73)/ABS(Budget!D73)),"")</f>
      </c>
      <c r="J58" s="529">
        <f>Budget!E73</f>
        <v>0</v>
      </c>
      <c r="K58" s="529">
        <f>IF(OR(3&gt;$B$3,ISBLANK(Actuals!E73)),"",Actuals!E73)</f>
      </c>
      <c r="L58" s="530">
        <f>IF(OR(3&gt;$B$3,ISBLANK(Actuals!E73)),"",Budget!E73-Actuals!E73)</f>
      </c>
      <c r="M58" s="530">
        <f>IFERROR(IF(OR(3&gt;$B$3,ISBLANK(Actuals!E73)),"",(Budget!E73-Actuals!E73)/ABS(Budget!E73)),"")</f>
      </c>
      <c r="N58" s="529">
        <f>Budget!F73</f>
        <v>0</v>
      </c>
      <c r="O58" s="529">
        <f>IF(OR(4&gt;$B$3,ISBLANK(Actuals!F73)),"",Actuals!F73)</f>
      </c>
      <c r="P58" s="530">
        <f>IF(OR(4&gt;$B$3,ISBLANK(Actuals!F73)),"",Budget!F73-Actuals!F73)</f>
      </c>
      <c r="Q58" s="530">
        <f>IFERROR(IF(OR(4&gt;$B$3,ISBLANK(Actuals!F73)),"",(Budget!F73-Actuals!F73)/ABS(Budget!F73)),"")</f>
      </c>
      <c r="R58" s="529">
        <f>Budget!G73</f>
        <v>0</v>
      </c>
      <c r="S58" s="529">
        <f>IF(OR(5&gt;$B$3,ISBLANK(Actuals!G73)),"",Actuals!G73)</f>
      </c>
      <c r="T58" s="530">
        <f>IF(OR(5&gt;$B$3,ISBLANK(Actuals!G73)),"",Budget!G73-Actuals!G73)</f>
      </c>
      <c r="U58" s="530">
        <f>IFERROR(IF(OR(5&gt;$B$3,ISBLANK(Actuals!G73)),"",(Budget!G73-Actuals!G73)/ABS(Budget!G73)),"")</f>
      </c>
      <c r="V58" s="529">
        <f>Budget!H73</f>
        <v>0</v>
      </c>
      <c r="W58" s="529">
        <f>IF(OR(6&gt;$B$3,ISBLANK(Actuals!H73)),"",Actuals!H73)</f>
      </c>
      <c r="X58" s="530">
        <f>IF(OR(6&gt;$B$3,ISBLANK(Actuals!H73)),"",Budget!H73-Actuals!H73)</f>
      </c>
      <c r="Y58" s="530">
        <f>IFERROR(IF(OR(6&gt;$B$3,ISBLANK(Actuals!H73)),"",(Budget!H73-Actuals!H73)/ABS(Budget!H73)),"")</f>
      </c>
      <c r="Z58" s="529">
        <f>Budget!I73</f>
        <v>0</v>
      </c>
      <c r="AA58" s="529">
        <f>IF(OR(7&gt;$B$3,ISBLANK(Actuals!I73)),"",Actuals!I73)</f>
      </c>
      <c r="AB58" s="530">
        <f>IF(OR(7&gt;$B$3,ISBLANK(Actuals!I73)),"",Budget!I73-Actuals!I73)</f>
      </c>
      <c r="AC58" s="530">
        <f>IFERROR(IF(OR(7&gt;$B$3,ISBLANK(Actuals!I73)),"",(Budget!I73-Actuals!I73)/ABS(Budget!I73)),"")</f>
      </c>
      <c r="AD58" s="529">
        <f>Budget!J73</f>
        <v>0</v>
      </c>
      <c r="AE58" s="529">
        <f>IF(OR(8&gt;$B$3,ISBLANK(Actuals!J73)),"",Actuals!J73)</f>
      </c>
      <c r="AF58" s="530">
        <f>IF(OR(8&gt;$B$3,ISBLANK(Actuals!J73)),"",Budget!J73-Actuals!J73)</f>
      </c>
      <c r="AG58" s="530">
        <f>IFERROR(IF(OR(8&gt;$B$3,ISBLANK(Actuals!J73)),"",(Budget!J73-Actuals!J73)/ABS(Budget!J73)),"")</f>
      </c>
      <c r="AH58" s="529">
        <f>Budget!K73</f>
        <v>0</v>
      </c>
      <c r="AI58" s="529">
        <f>IF(OR(9&gt;$B$3,ISBLANK(Actuals!K73)),"",Actuals!K73)</f>
      </c>
      <c r="AJ58" s="530">
        <f>IF(OR(9&gt;$B$3,ISBLANK(Actuals!K73)),"",Budget!K73-Actuals!K73)</f>
      </c>
      <c r="AK58" s="530">
        <f>IFERROR(IF(OR(9&gt;$B$3,ISBLANK(Actuals!K73)),"",(Budget!K73-Actuals!K73)/ABS(Budget!K73)),"")</f>
      </c>
      <c r="AL58" s="529">
        <f>Budget!L73</f>
        <v>0</v>
      </c>
      <c r="AM58" s="529">
        <f>IF(OR(10&gt;$B$3,ISBLANK(Actuals!L73)),"",Actuals!L73)</f>
      </c>
      <c r="AN58" s="530">
        <f>IF(OR(10&gt;$B$3,ISBLANK(Actuals!L73)),"",Budget!L73-Actuals!L73)</f>
      </c>
      <c r="AO58" s="530">
        <f>IFERROR(IF(OR(10&gt;$B$3,ISBLANK(Actuals!L73)),"",(Budget!L73-Actuals!L73)/ABS(Budget!L73)),"")</f>
      </c>
      <c r="AP58" s="529">
        <f>Budget!M73</f>
        <v>0</v>
      </c>
      <c r="AQ58" s="529">
        <f>IF(OR(11&gt;$B$3,ISBLANK(Actuals!M73)),"",Actuals!M73)</f>
      </c>
      <c r="AR58" s="530">
        <f>IF(OR(11&gt;$B$3,ISBLANK(Actuals!M73)),"",Budget!M73-Actuals!M73)</f>
      </c>
      <c r="AS58" s="530">
        <f>IFERROR(IF(OR(11&gt;$B$3,ISBLANK(Actuals!M73)),"",(Budget!M73-Actuals!M73)/ABS(Budget!M73)),"")</f>
      </c>
      <c r="AT58" s="529">
        <f>Budget!N73</f>
        <v>0</v>
      </c>
      <c r="AU58" s="529">
        <f>IF(OR(12&gt;$B$3,ISBLANK(Actuals!N73)),"",Actuals!N73)</f>
      </c>
      <c r="AV58" s="530">
        <f>IF(OR(12&gt;$B$3,ISBLANK(Actuals!N73)),"",Budget!N73-Actuals!N73)</f>
      </c>
      <c r="AW58" s="530">
        <f>IFERROR(IF(OR(12&gt;$B$3,ISBLANK(Actuals!N73)),"",(Budget!N73-Actuals!N73)/ABS(Budget!N73)),"")</f>
      </c>
      <c r="AX58" s="531">
        <f>SUMPRODUCT((Actuals!C73:N73&lt;&gt;"")*(Budget!C73:N73))</f>
        <v>0</v>
      </c>
      <c r="AY58" s="531">
        <f>SUM(Actuals!C73:N73)</f>
        <v>0</v>
      </c>
      <c r="AZ58" s="532">
        <f>AX58-AY58</f>
        <v>0</v>
      </c>
    </row>
    <row r="59" ht="15" customFormat="1" customHeight="1" s="381">
      <c r="A59" s="528" t="inlineStr">
        <is>
          <t>Scott Accounting Fee</t>
        </is>
      </c>
      <c r="B59" s="529">
        <f>Budget!C74</f>
        <v>0</v>
      </c>
      <c r="C59" s="529">
        <f>IF(OR(1&gt;$B$3,ISBLANK(Actuals!C74)),"",Actuals!C74)</f>
      </c>
      <c r="D59" s="530">
        <f>IF(OR(1&gt;$B$3,ISBLANK(Actuals!C74)),"",Budget!C74-Actuals!C74)</f>
      </c>
      <c r="E59" s="530">
        <f>IFERROR(IF(OR(1&gt;$B$3,ISBLANK(Actuals!C74)),"",(Budget!C74-Actuals!C74)/ABS(Budget!C74)),"")</f>
      </c>
      <c r="F59" s="529">
        <f>Budget!D74</f>
        <v>0</v>
      </c>
      <c r="G59" s="529">
        <f>IF(OR(2&gt;$B$3,ISBLANK(Actuals!D74)),"",Actuals!D74)</f>
      </c>
      <c r="H59" s="530">
        <f>IF(OR(2&gt;$B$3,ISBLANK(Actuals!D74)),"",Budget!D74-Actuals!D74)</f>
      </c>
      <c r="I59" s="530">
        <f>IFERROR(IF(OR(2&gt;$B$3,ISBLANK(Actuals!D74)),"",(Budget!D74-Actuals!D74)/ABS(Budget!D74)),"")</f>
      </c>
      <c r="J59" s="529">
        <f>Budget!E74</f>
        <v>0</v>
      </c>
      <c r="K59" s="529">
        <f>IF(OR(3&gt;$B$3,ISBLANK(Actuals!E74)),"",Actuals!E74)</f>
      </c>
      <c r="L59" s="530">
        <f>IF(OR(3&gt;$B$3,ISBLANK(Actuals!E74)),"",Budget!E74-Actuals!E74)</f>
      </c>
      <c r="M59" s="530">
        <f>IFERROR(IF(OR(3&gt;$B$3,ISBLANK(Actuals!E74)),"",(Budget!E74-Actuals!E74)/ABS(Budget!E74)),"")</f>
      </c>
      <c r="N59" s="529">
        <f>Budget!F74</f>
        <v>0</v>
      </c>
      <c r="O59" s="529">
        <f>IF(OR(4&gt;$B$3,ISBLANK(Actuals!F74)),"",Actuals!F74)</f>
      </c>
      <c r="P59" s="530">
        <f>IF(OR(4&gt;$B$3,ISBLANK(Actuals!F74)),"",Budget!F74-Actuals!F74)</f>
      </c>
      <c r="Q59" s="530">
        <f>IFERROR(IF(OR(4&gt;$B$3,ISBLANK(Actuals!F74)),"",(Budget!F74-Actuals!F74)/ABS(Budget!F74)),"")</f>
      </c>
      <c r="R59" s="529">
        <f>Budget!G74</f>
        <v>0</v>
      </c>
      <c r="S59" s="529">
        <f>IF(OR(5&gt;$B$3,ISBLANK(Actuals!G74)),"",Actuals!G74)</f>
      </c>
      <c r="T59" s="530">
        <f>IF(OR(5&gt;$B$3,ISBLANK(Actuals!G74)),"",Budget!G74-Actuals!G74)</f>
      </c>
      <c r="U59" s="530">
        <f>IFERROR(IF(OR(5&gt;$B$3,ISBLANK(Actuals!G74)),"",(Budget!G74-Actuals!G74)/ABS(Budget!G74)),"")</f>
      </c>
      <c r="V59" s="529">
        <f>Budget!H74</f>
        <v>0</v>
      </c>
      <c r="W59" s="529">
        <f>IF(OR(6&gt;$B$3,ISBLANK(Actuals!H74)),"",Actuals!H74)</f>
      </c>
      <c r="X59" s="530">
        <f>IF(OR(6&gt;$B$3,ISBLANK(Actuals!H74)),"",Budget!H74-Actuals!H74)</f>
      </c>
      <c r="Y59" s="530">
        <f>IFERROR(IF(OR(6&gt;$B$3,ISBLANK(Actuals!H74)),"",(Budget!H74-Actuals!H74)/ABS(Budget!H74)),"")</f>
      </c>
      <c r="Z59" s="529">
        <f>Budget!I74</f>
        <v>0</v>
      </c>
      <c r="AA59" s="529">
        <f>IF(OR(7&gt;$B$3,ISBLANK(Actuals!I74)),"",Actuals!I74)</f>
      </c>
      <c r="AB59" s="530">
        <f>IF(OR(7&gt;$B$3,ISBLANK(Actuals!I74)),"",Budget!I74-Actuals!I74)</f>
      </c>
      <c r="AC59" s="530">
        <f>IFERROR(IF(OR(7&gt;$B$3,ISBLANK(Actuals!I74)),"",(Budget!I74-Actuals!I74)/ABS(Budget!I74)),"")</f>
      </c>
      <c r="AD59" s="529">
        <f>Budget!J74</f>
        <v>0</v>
      </c>
      <c r="AE59" s="529">
        <f>IF(OR(8&gt;$B$3,ISBLANK(Actuals!J74)),"",Actuals!J74)</f>
      </c>
      <c r="AF59" s="530">
        <f>IF(OR(8&gt;$B$3,ISBLANK(Actuals!J74)),"",Budget!J74-Actuals!J74)</f>
      </c>
      <c r="AG59" s="530">
        <f>IFERROR(IF(OR(8&gt;$B$3,ISBLANK(Actuals!J74)),"",(Budget!J74-Actuals!J74)/ABS(Budget!J74)),"")</f>
      </c>
      <c r="AH59" s="529">
        <f>Budget!K74</f>
        <v>0</v>
      </c>
      <c r="AI59" s="529">
        <f>IF(OR(9&gt;$B$3,ISBLANK(Actuals!K74)),"",Actuals!K74)</f>
      </c>
      <c r="AJ59" s="530">
        <f>IF(OR(9&gt;$B$3,ISBLANK(Actuals!K74)),"",Budget!K74-Actuals!K74)</f>
      </c>
      <c r="AK59" s="530">
        <f>IFERROR(IF(OR(9&gt;$B$3,ISBLANK(Actuals!K74)),"",(Budget!K74-Actuals!K74)/ABS(Budget!K74)),"")</f>
      </c>
      <c r="AL59" s="529">
        <f>Budget!L74</f>
        <v>0</v>
      </c>
      <c r="AM59" s="529">
        <f>IF(OR(10&gt;$B$3,ISBLANK(Actuals!L74)),"",Actuals!L74)</f>
      </c>
      <c r="AN59" s="530">
        <f>IF(OR(10&gt;$B$3,ISBLANK(Actuals!L74)),"",Budget!L74-Actuals!L74)</f>
      </c>
      <c r="AO59" s="530">
        <f>IFERROR(IF(OR(10&gt;$B$3,ISBLANK(Actuals!L74)),"",(Budget!L74-Actuals!L74)/ABS(Budget!L74)),"")</f>
      </c>
      <c r="AP59" s="529">
        <f>Budget!M74</f>
        <v>0</v>
      </c>
      <c r="AQ59" s="529">
        <f>IF(OR(11&gt;$B$3,ISBLANK(Actuals!M74)),"",Actuals!M74)</f>
      </c>
      <c r="AR59" s="530">
        <f>IF(OR(11&gt;$B$3,ISBLANK(Actuals!M74)),"",Budget!M74-Actuals!M74)</f>
      </c>
      <c r="AS59" s="530">
        <f>IFERROR(IF(OR(11&gt;$B$3,ISBLANK(Actuals!M74)),"",(Budget!M74-Actuals!M74)/ABS(Budget!M74)),"")</f>
      </c>
      <c r="AT59" s="529">
        <f>Budget!N74</f>
        <v>0</v>
      </c>
      <c r="AU59" s="529">
        <f>IF(OR(12&gt;$B$3,ISBLANK(Actuals!N74)),"",Actuals!N74)</f>
      </c>
      <c r="AV59" s="530">
        <f>IF(OR(12&gt;$B$3,ISBLANK(Actuals!N74)),"",Budget!N74-Actuals!N74)</f>
      </c>
      <c r="AW59" s="530">
        <f>IFERROR(IF(OR(12&gt;$B$3,ISBLANK(Actuals!N74)),"",(Budget!N74-Actuals!N74)/ABS(Budget!N74)),"")</f>
      </c>
      <c r="AX59" s="531">
        <f>SUMPRODUCT((Actuals!C74:N74&lt;&gt;"")*(Budget!C74:N74))</f>
        <v>0</v>
      </c>
      <c r="AY59" s="531">
        <f>SUM(Actuals!C74:N74)</f>
        <v>0</v>
      </c>
      <c r="AZ59" s="532">
        <f>AX59-AY59</f>
        <v>0</v>
      </c>
    </row>
    <row r="60" ht="15" customFormat="1" customHeight="1" s="381">
      <c r="A60" s="528" t="inlineStr">
        <is>
          <t>Scott Developer Fee</t>
        </is>
      </c>
      <c r="B60" s="529">
        <f>Budget!C75</f>
        <v>0</v>
      </c>
      <c r="C60" s="529">
        <f>IF(OR(1&gt;$B$3,ISBLANK(Actuals!C75)),"",Actuals!C75)</f>
      </c>
      <c r="D60" s="530">
        <f>IF(OR(1&gt;$B$3,ISBLANK(Actuals!C75)),"",Budget!C75-Actuals!C75)</f>
      </c>
      <c r="E60" s="530">
        <f>IFERROR(IF(OR(1&gt;$B$3,ISBLANK(Actuals!C75)),"",(Budget!C75-Actuals!C75)/ABS(Budget!C75)),"")</f>
      </c>
      <c r="F60" s="529">
        <f>Budget!D75</f>
        <v>0</v>
      </c>
      <c r="G60" s="529">
        <f>IF(OR(2&gt;$B$3,ISBLANK(Actuals!D75)),"",Actuals!D75)</f>
      </c>
      <c r="H60" s="530">
        <f>IF(OR(2&gt;$B$3,ISBLANK(Actuals!D75)),"",Budget!D75-Actuals!D75)</f>
      </c>
      <c r="I60" s="530">
        <f>IFERROR(IF(OR(2&gt;$B$3,ISBLANK(Actuals!D75)),"",(Budget!D75-Actuals!D75)/ABS(Budget!D75)),"")</f>
      </c>
      <c r="J60" s="529">
        <f>Budget!E75</f>
        <v>0</v>
      </c>
      <c r="K60" s="529">
        <f>IF(OR(3&gt;$B$3,ISBLANK(Actuals!E75)),"",Actuals!E75)</f>
      </c>
      <c r="L60" s="530">
        <f>IF(OR(3&gt;$B$3,ISBLANK(Actuals!E75)),"",Budget!E75-Actuals!E75)</f>
      </c>
      <c r="M60" s="530">
        <f>IFERROR(IF(OR(3&gt;$B$3,ISBLANK(Actuals!E75)),"",(Budget!E75-Actuals!E75)/ABS(Budget!E75)),"")</f>
      </c>
      <c r="N60" s="529">
        <f>Budget!F75</f>
        <v>0</v>
      </c>
      <c r="O60" s="529">
        <f>IF(OR(4&gt;$B$3,ISBLANK(Actuals!F75)),"",Actuals!F75)</f>
      </c>
      <c r="P60" s="530">
        <f>IF(OR(4&gt;$B$3,ISBLANK(Actuals!F75)),"",Budget!F75-Actuals!F75)</f>
      </c>
      <c r="Q60" s="530">
        <f>IFERROR(IF(OR(4&gt;$B$3,ISBLANK(Actuals!F75)),"",(Budget!F75-Actuals!F75)/ABS(Budget!F75)),"")</f>
      </c>
      <c r="R60" s="529">
        <f>Budget!G75</f>
        <v>0</v>
      </c>
      <c r="S60" s="529">
        <f>IF(OR(5&gt;$B$3,ISBLANK(Actuals!G75)),"",Actuals!G75)</f>
      </c>
      <c r="T60" s="530">
        <f>IF(OR(5&gt;$B$3,ISBLANK(Actuals!G75)),"",Budget!G75-Actuals!G75)</f>
      </c>
      <c r="U60" s="530">
        <f>IFERROR(IF(OR(5&gt;$B$3,ISBLANK(Actuals!G75)),"",(Budget!G75-Actuals!G75)/ABS(Budget!G75)),"")</f>
      </c>
      <c r="V60" s="529">
        <f>Budget!H75</f>
        <v>0</v>
      </c>
      <c r="W60" s="529">
        <f>IF(OR(6&gt;$B$3,ISBLANK(Actuals!H75)),"",Actuals!H75)</f>
      </c>
      <c r="X60" s="530">
        <f>IF(OR(6&gt;$B$3,ISBLANK(Actuals!H75)),"",Budget!H75-Actuals!H75)</f>
      </c>
      <c r="Y60" s="530">
        <f>IFERROR(IF(OR(6&gt;$B$3,ISBLANK(Actuals!H75)),"",(Budget!H75-Actuals!H75)/ABS(Budget!H75)),"")</f>
      </c>
      <c r="Z60" s="529">
        <f>Budget!I75</f>
        <v>0</v>
      </c>
      <c r="AA60" s="529">
        <f>IF(OR(7&gt;$B$3,ISBLANK(Actuals!I75)),"",Actuals!I75)</f>
      </c>
      <c r="AB60" s="530">
        <f>IF(OR(7&gt;$B$3,ISBLANK(Actuals!I75)),"",Budget!I75-Actuals!I75)</f>
      </c>
      <c r="AC60" s="530">
        <f>IFERROR(IF(OR(7&gt;$B$3,ISBLANK(Actuals!I75)),"",(Budget!I75-Actuals!I75)/ABS(Budget!I75)),"")</f>
      </c>
      <c r="AD60" s="529">
        <f>Budget!J75</f>
        <v>0</v>
      </c>
      <c r="AE60" s="529">
        <f>IF(OR(8&gt;$B$3,ISBLANK(Actuals!J75)),"",Actuals!J75)</f>
      </c>
      <c r="AF60" s="530">
        <f>IF(OR(8&gt;$B$3,ISBLANK(Actuals!J75)),"",Budget!J75-Actuals!J75)</f>
      </c>
      <c r="AG60" s="530">
        <f>IFERROR(IF(OR(8&gt;$B$3,ISBLANK(Actuals!J75)),"",(Budget!J75-Actuals!J75)/ABS(Budget!J75)),"")</f>
      </c>
      <c r="AH60" s="529">
        <f>Budget!K75</f>
        <v>0</v>
      </c>
      <c r="AI60" s="529">
        <f>IF(OR(9&gt;$B$3,ISBLANK(Actuals!K75)),"",Actuals!K75)</f>
      </c>
      <c r="AJ60" s="530">
        <f>IF(OR(9&gt;$B$3,ISBLANK(Actuals!K75)),"",Budget!K75-Actuals!K75)</f>
      </c>
      <c r="AK60" s="530">
        <f>IFERROR(IF(OR(9&gt;$B$3,ISBLANK(Actuals!K75)),"",(Budget!K75-Actuals!K75)/ABS(Budget!K75)),"")</f>
      </c>
      <c r="AL60" s="529">
        <f>Budget!L75</f>
        <v>0</v>
      </c>
      <c r="AM60" s="529">
        <f>IF(OR(10&gt;$B$3,ISBLANK(Actuals!L75)),"",Actuals!L75)</f>
      </c>
      <c r="AN60" s="530">
        <f>IF(OR(10&gt;$B$3,ISBLANK(Actuals!L75)),"",Budget!L75-Actuals!L75)</f>
      </c>
      <c r="AO60" s="530">
        <f>IFERROR(IF(OR(10&gt;$B$3,ISBLANK(Actuals!L75)),"",(Budget!L75-Actuals!L75)/ABS(Budget!L75)),"")</f>
      </c>
      <c r="AP60" s="529">
        <f>Budget!M75</f>
        <v>0</v>
      </c>
      <c r="AQ60" s="529">
        <f>IF(OR(11&gt;$B$3,ISBLANK(Actuals!M75)),"",Actuals!M75)</f>
      </c>
      <c r="AR60" s="530">
        <f>IF(OR(11&gt;$B$3,ISBLANK(Actuals!M75)),"",Budget!M75-Actuals!M75)</f>
      </c>
      <c r="AS60" s="530">
        <f>IFERROR(IF(OR(11&gt;$B$3,ISBLANK(Actuals!M75)),"",(Budget!M75-Actuals!M75)/ABS(Budget!M75)),"")</f>
      </c>
      <c r="AT60" s="529">
        <f>Budget!N75</f>
        <v>0</v>
      </c>
      <c r="AU60" s="529">
        <f>IF(OR(12&gt;$B$3,ISBLANK(Actuals!N75)),"",Actuals!N75)</f>
      </c>
      <c r="AV60" s="530">
        <f>IF(OR(12&gt;$B$3,ISBLANK(Actuals!N75)),"",Budget!N75-Actuals!N75)</f>
      </c>
      <c r="AW60" s="530">
        <f>IFERROR(IF(OR(12&gt;$B$3,ISBLANK(Actuals!N75)),"",(Budget!N75-Actuals!N75)/ABS(Budget!N75)),"")</f>
      </c>
      <c r="AX60" s="531">
        <f>SUMPRODUCT((Actuals!C75:N75&lt;&gt;"")*(Budget!C75:N75))</f>
        <v>0</v>
      </c>
      <c r="AY60" s="531">
        <f>SUM(Actuals!C75:N75)</f>
        <v>0</v>
      </c>
      <c r="AZ60" s="532">
        <f>AX60-AY60</f>
        <v>0</v>
      </c>
    </row>
    <row r="61" ht="15" customFormat="1" customHeight="1" s="381">
      <c r="A61" s="528" t="inlineStr">
        <is>
          <t>Scott Guarantee Fee</t>
        </is>
      </c>
      <c r="B61" s="529">
        <f>Budget!C76</f>
        <v>0</v>
      </c>
      <c r="C61" s="529">
        <f>IF(OR(1&gt;$B$3,ISBLANK(Actuals!C76)),"",Actuals!C76)</f>
      </c>
      <c r="D61" s="530">
        <f>IF(OR(1&gt;$B$3,ISBLANK(Actuals!C76)),"",Budget!C76-Actuals!C76)</f>
      </c>
      <c r="E61" s="530">
        <f>IFERROR(IF(OR(1&gt;$B$3,ISBLANK(Actuals!C76)),"",(Budget!C76-Actuals!C76)/ABS(Budget!C76)),"")</f>
      </c>
      <c r="F61" s="529">
        <f>Budget!D76</f>
        <v>0</v>
      </c>
      <c r="G61" s="529">
        <f>IF(OR(2&gt;$B$3,ISBLANK(Actuals!D76)),"",Actuals!D76)</f>
      </c>
      <c r="H61" s="530">
        <f>IF(OR(2&gt;$B$3,ISBLANK(Actuals!D76)),"",Budget!D76-Actuals!D76)</f>
      </c>
      <c r="I61" s="530">
        <f>IFERROR(IF(OR(2&gt;$B$3,ISBLANK(Actuals!D76)),"",(Budget!D76-Actuals!D76)/ABS(Budget!D76)),"")</f>
      </c>
      <c r="J61" s="529">
        <f>Budget!E76</f>
        <v>0</v>
      </c>
      <c r="K61" s="529">
        <f>IF(OR(3&gt;$B$3,ISBLANK(Actuals!E76)),"",Actuals!E76)</f>
      </c>
      <c r="L61" s="530">
        <f>IF(OR(3&gt;$B$3,ISBLANK(Actuals!E76)),"",Budget!E76-Actuals!E76)</f>
      </c>
      <c r="M61" s="530">
        <f>IFERROR(IF(OR(3&gt;$B$3,ISBLANK(Actuals!E76)),"",(Budget!E76-Actuals!E76)/ABS(Budget!E76)),"")</f>
      </c>
      <c r="N61" s="529">
        <f>Budget!F76</f>
        <v>0</v>
      </c>
      <c r="O61" s="529">
        <f>IF(OR(4&gt;$B$3,ISBLANK(Actuals!F76)),"",Actuals!F76)</f>
      </c>
      <c r="P61" s="530">
        <f>IF(OR(4&gt;$B$3,ISBLANK(Actuals!F76)),"",Budget!F76-Actuals!F76)</f>
      </c>
      <c r="Q61" s="530">
        <f>IFERROR(IF(OR(4&gt;$B$3,ISBLANK(Actuals!F76)),"",(Budget!F76-Actuals!F76)/ABS(Budget!F76)),"")</f>
      </c>
      <c r="R61" s="529">
        <f>Budget!G76</f>
        <v>0</v>
      </c>
      <c r="S61" s="529">
        <f>IF(OR(5&gt;$B$3,ISBLANK(Actuals!G76)),"",Actuals!G76)</f>
      </c>
      <c r="T61" s="530">
        <f>IF(OR(5&gt;$B$3,ISBLANK(Actuals!G76)),"",Budget!G76-Actuals!G76)</f>
      </c>
      <c r="U61" s="530">
        <f>IFERROR(IF(OR(5&gt;$B$3,ISBLANK(Actuals!G76)),"",(Budget!G76-Actuals!G76)/ABS(Budget!G76)),"")</f>
      </c>
      <c r="V61" s="529">
        <f>Budget!H76</f>
        <v>0</v>
      </c>
      <c r="W61" s="529">
        <f>IF(OR(6&gt;$B$3,ISBLANK(Actuals!H76)),"",Actuals!H76)</f>
      </c>
      <c r="X61" s="530">
        <f>IF(OR(6&gt;$B$3,ISBLANK(Actuals!H76)),"",Budget!H76-Actuals!H76)</f>
      </c>
      <c r="Y61" s="530">
        <f>IFERROR(IF(OR(6&gt;$B$3,ISBLANK(Actuals!H76)),"",(Budget!H76-Actuals!H76)/ABS(Budget!H76)),"")</f>
      </c>
      <c r="Z61" s="529">
        <f>Budget!I76</f>
        <v>0</v>
      </c>
      <c r="AA61" s="529">
        <f>IF(OR(7&gt;$B$3,ISBLANK(Actuals!I76)),"",Actuals!I76)</f>
      </c>
      <c r="AB61" s="530">
        <f>IF(OR(7&gt;$B$3,ISBLANK(Actuals!I76)),"",Budget!I76-Actuals!I76)</f>
      </c>
      <c r="AC61" s="530">
        <f>IFERROR(IF(OR(7&gt;$B$3,ISBLANK(Actuals!I76)),"",(Budget!I76-Actuals!I76)/ABS(Budget!I76)),"")</f>
      </c>
      <c r="AD61" s="529">
        <f>Budget!J76</f>
        <v>0</v>
      </c>
      <c r="AE61" s="529">
        <f>IF(OR(8&gt;$B$3,ISBLANK(Actuals!J76)),"",Actuals!J76)</f>
      </c>
      <c r="AF61" s="530">
        <f>IF(OR(8&gt;$B$3,ISBLANK(Actuals!J76)),"",Budget!J76-Actuals!J76)</f>
      </c>
      <c r="AG61" s="530">
        <f>IFERROR(IF(OR(8&gt;$B$3,ISBLANK(Actuals!J76)),"",(Budget!J76-Actuals!J76)/ABS(Budget!J76)),"")</f>
      </c>
      <c r="AH61" s="529">
        <f>Budget!K76</f>
        <v>0</v>
      </c>
      <c r="AI61" s="529">
        <f>IF(OR(9&gt;$B$3,ISBLANK(Actuals!K76)),"",Actuals!K76)</f>
      </c>
      <c r="AJ61" s="530">
        <f>IF(OR(9&gt;$B$3,ISBLANK(Actuals!K76)),"",Budget!K76-Actuals!K76)</f>
      </c>
      <c r="AK61" s="530">
        <f>IFERROR(IF(OR(9&gt;$B$3,ISBLANK(Actuals!K76)),"",(Budget!K76-Actuals!K76)/ABS(Budget!K76)),"")</f>
      </c>
      <c r="AL61" s="529">
        <f>Budget!L76</f>
        <v>0</v>
      </c>
      <c r="AM61" s="529">
        <f>IF(OR(10&gt;$B$3,ISBLANK(Actuals!L76)),"",Actuals!L76)</f>
      </c>
      <c r="AN61" s="530">
        <f>IF(OR(10&gt;$B$3,ISBLANK(Actuals!L76)),"",Budget!L76-Actuals!L76)</f>
      </c>
      <c r="AO61" s="530">
        <f>IFERROR(IF(OR(10&gt;$B$3,ISBLANK(Actuals!L76)),"",(Budget!L76-Actuals!L76)/ABS(Budget!L76)),"")</f>
      </c>
      <c r="AP61" s="529">
        <f>Budget!M76</f>
        <v>0</v>
      </c>
      <c r="AQ61" s="529">
        <f>IF(OR(11&gt;$B$3,ISBLANK(Actuals!M76)),"",Actuals!M76)</f>
      </c>
      <c r="AR61" s="530">
        <f>IF(OR(11&gt;$B$3,ISBLANK(Actuals!M76)),"",Budget!M76-Actuals!M76)</f>
      </c>
      <c r="AS61" s="530">
        <f>IFERROR(IF(OR(11&gt;$B$3,ISBLANK(Actuals!M76)),"",(Budget!M76-Actuals!M76)/ABS(Budget!M76)),"")</f>
      </c>
      <c r="AT61" s="529">
        <f>Budget!N76</f>
        <v>0</v>
      </c>
      <c r="AU61" s="529">
        <f>IF(OR(12&gt;$B$3,ISBLANK(Actuals!N76)),"",Actuals!N76)</f>
      </c>
      <c r="AV61" s="530">
        <f>IF(OR(12&gt;$B$3,ISBLANK(Actuals!N76)),"",Budget!N76-Actuals!N76)</f>
      </c>
      <c r="AW61" s="530">
        <f>IFERROR(IF(OR(12&gt;$B$3,ISBLANK(Actuals!N76)),"",(Budget!N76-Actuals!N76)/ABS(Budget!N76)),"")</f>
      </c>
      <c r="AX61" s="531">
        <f>SUMPRODUCT((Actuals!C76:N76&lt;&gt;"")*(Budget!C76:N76))</f>
        <v>0</v>
      </c>
      <c r="AY61" s="531">
        <f>SUM(Actuals!C76:N76)</f>
        <v>0</v>
      </c>
      <c r="AZ61" s="532">
        <f>AX61-AY61</f>
        <v>0</v>
      </c>
    </row>
    <row r="62" ht="15" customFormat="1" customHeight="1" s="381">
      <c r="A62" s="528" t="inlineStr">
        <is>
          <t>Francis LIHTC Revenue (SP Share)</t>
        </is>
      </c>
      <c r="B62" s="529">
        <f>Budget!C77</f>
        <v>0</v>
      </c>
      <c r="C62" s="529">
        <f>IF(OR(1&gt;$B$3,ISBLANK(Actuals!C77)),"",Actuals!C77)</f>
      </c>
      <c r="D62" s="530">
        <f>IF(OR(1&gt;$B$3,ISBLANK(Actuals!C77)),"",Budget!C77-Actuals!C77)</f>
      </c>
      <c r="E62" s="530">
        <f>IFERROR(IF(OR(1&gt;$B$3,ISBLANK(Actuals!C77)),"",(Budget!C77-Actuals!C77)/ABS(Budget!C77)),"")</f>
      </c>
      <c r="F62" s="529">
        <f>Budget!D77</f>
        <v>0</v>
      </c>
      <c r="G62" s="529">
        <f>IF(OR(2&gt;$B$3,ISBLANK(Actuals!D77)),"",Actuals!D77)</f>
      </c>
      <c r="H62" s="530">
        <f>IF(OR(2&gt;$B$3,ISBLANK(Actuals!D77)),"",Budget!D77-Actuals!D77)</f>
      </c>
      <c r="I62" s="530">
        <f>IFERROR(IF(OR(2&gt;$B$3,ISBLANK(Actuals!D77)),"",(Budget!D77-Actuals!D77)/ABS(Budget!D77)),"")</f>
      </c>
      <c r="J62" s="529">
        <f>Budget!E77</f>
        <v>0</v>
      </c>
      <c r="K62" s="529">
        <f>IF(OR(3&gt;$B$3,ISBLANK(Actuals!E77)),"",Actuals!E77)</f>
      </c>
      <c r="L62" s="530">
        <f>IF(OR(3&gt;$B$3,ISBLANK(Actuals!E77)),"",Budget!E77-Actuals!E77)</f>
      </c>
      <c r="M62" s="530">
        <f>IFERROR(IF(OR(3&gt;$B$3,ISBLANK(Actuals!E77)),"",(Budget!E77-Actuals!E77)/ABS(Budget!E77)),"")</f>
      </c>
      <c r="N62" s="529">
        <f>Budget!F77</f>
        <v>0</v>
      </c>
      <c r="O62" s="529">
        <f>IF(OR(4&gt;$B$3,ISBLANK(Actuals!F77)),"",Actuals!F77)</f>
      </c>
      <c r="P62" s="530">
        <f>IF(OR(4&gt;$B$3,ISBLANK(Actuals!F77)),"",Budget!F77-Actuals!F77)</f>
      </c>
      <c r="Q62" s="530">
        <f>IFERROR(IF(OR(4&gt;$B$3,ISBLANK(Actuals!F77)),"",(Budget!F77-Actuals!F77)/ABS(Budget!F77)),"")</f>
      </c>
      <c r="R62" s="529">
        <f>Budget!G77</f>
        <v>0</v>
      </c>
      <c r="S62" s="529">
        <f>IF(OR(5&gt;$B$3,ISBLANK(Actuals!G77)),"",Actuals!G77)</f>
      </c>
      <c r="T62" s="530">
        <f>IF(OR(5&gt;$B$3,ISBLANK(Actuals!G77)),"",Budget!G77-Actuals!G77)</f>
      </c>
      <c r="U62" s="530">
        <f>IFERROR(IF(OR(5&gt;$B$3,ISBLANK(Actuals!G77)),"",(Budget!G77-Actuals!G77)/ABS(Budget!G77)),"")</f>
      </c>
      <c r="V62" s="529">
        <f>Budget!H77</f>
        <v>0</v>
      </c>
      <c r="W62" s="529">
        <f>IF(OR(6&gt;$B$3,ISBLANK(Actuals!H77)),"",Actuals!H77)</f>
      </c>
      <c r="X62" s="530">
        <f>IF(OR(6&gt;$B$3,ISBLANK(Actuals!H77)),"",Budget!H77-Actuals!H77)</f>
      </c>
      <c r="Y62" s="530">
        <f>IFERROR(IF(OR(6&gt;$B$3,ISBLANK(Actuals!H77)),"",(Budget!H77-Actuals!H77)/ABS(Budget!H77)),"")</f>
      </c>
      <c r="Z62" s="529">
        <f>Budget!I77</f>
        <v>0</v>
      </c>
      <c r="AA62" s="529">
        <f>IF(OR(7&gt;$B$3,ISBLANK(Actuals!I77)),"",Actuals!I77)</f>
      </c>
      <c r="AB62" s="530">
        <f>IF(OR(7&gt;$B$3,ISBLANK(Actuals!I77)),"",Budget!I77-Actuals!I77)</f>
      </c>
      <c r="AC62" s="530">
        <f>IFERROR(IF(OR(7&gt;$B$3,ISBLANK(Actuals!I77)),"",(Budget!I77-Actuals!I77)/ABS(Budget!I77)),"")</f>
      </c>
      <c r="AD62" s="529">
        <f>Budget!J77</f>
        <v>0</v>
      </c>
      <c r="AE62" s="529">
        <f>IF(OR(8&gt;$B$3,ISBLANK(Actuals!J77)),"",Actuals!J77)</f>
      </c>
      <c r="AF62" s="530">
        <f>IF(OR(8&gt;$B$3,ISBLANK(Actuals!J77)),"",Budget!J77-Actuals!J77)</f>
      </c>
      <c r="AG62" s="530">
        <f>IFERROR(IF(OR(8&gt;$B$3,ISBLANK(Actuals!J77)),"",(Budget!J77-Actuals!J77)/ABS(Budget!J77)),"")</f>
      </c>
      <c r="AH62" s="529">
        <f>Budget!K77</f>
        <v>0</v>
      </c>
      <c r="AI62" s="529">
        <f>IF(OR(9&gt;$B$3,ISBLANK(Actuals!K77)),"",Actuals!K77)</f>
      </c>
      <c r="AJ62" s="530">
        <f>IF(OR(9&gt;$B$3,ISBLANK(Actuals!K77)),"",Budget!K77-Actuals!K77)</f>
      </c>
      <c r="AK62" s="530">
        <f>IFERROR(IF(OR(9&gt;$B$3,ISBLANK(Actuals!K77)),"",(Budget!K77-Actuals!K77)/ABS(Budget!K77)),"")</f>
      </c>
      <c r="AL62" s="529">
        <f>Budget!L77</f>
        <v>0</v>
      </c>
      <c r="AM62" s="529">
        <f>IF(OR(10&gt;$B$3,ISBLANK(Actuals!L77)),"",Actuals!L77)</f>
      </c>
      <c r="AN62" s="530">
        <f>IF(OR(10&gt;$B$3,ISBLANK(Actuals!L77)),"",Budget!L77-Actuals!L77)</f>
      </c>
      <c r="AO62" s="530">
        <f>IFERROR(IF(OR(10&gt;$B$3,ISBLANK(Actuals!L77)),"",(Budget!L77-Actuals!L77)/ABS(Budget!L77)),"")</f>
      </c>
      <c r="AP62" s="529">
        <f>Budget!M77</f>
        <v>0</v>
      </c>
      <c r="AQ62" s="529">
        <f>IF(OR(11&gt;$B$3,ISBLANK(Actuals!M77)),"",Actuals!M77)</f>
      </c>
      <c r="AR62" s="530">
        <f>IF(OR(11&gt;$B$3,ISBLANK(Actuals!M77)),"",Budget!M77-Actuals!M77)</f>
      </c>
      <c r="AS62" s="530">
        <f>IFERROR(IF(OR(11&gt;$B$3,ISBLANK(Actuals!M77)),"",(Budget!M77-Actuals!M77)/ABS(Budget!M77)),"")</f>
      </c>
      <c r="AT62" s="529">
        <f>Budget!N77</f>
        <v>0</v>
      </c>
      <c r="AU62" s="529">
        <f>IF(OR(12&gt;$B$3,ISBLANK(Actuals!N77)),"",Actuals!N77)</f>
      </c>
      <c r="AV62" s="530">
        <f>IF(OR(12&gt;$B$3,ISBLANK(Actuals!N77)),"",Budget!N77-Actuals!N77)</f>
      </c>
      <c r="AW62" s="530">
        <f>IFERROR(IF(OR(12&gt;$B$3,ISBLANK(Actuals!N77)),"",(Budget!N77-Actuals!N77)/ABS(Budget!N77)),"")</f>
      </c>
      <c r="AX62" s="531">
        <f>SUMPRODUCT((Actuals!C77:N77&lt;&gt;"")*(Budget!C77:N77))</f>
        <v>0</v>
      </c>
      <c r="AY62" s="531">
        <f>SUM(Actuals!C77:N77)</f>
        <v>0</v>
      </c>
      <c r="AZ62" s="532">
        <f>AX62-AY62</f>
        <v>0</v>
      </c>
    </row>
    <row r="63" ht="15" customFormat="1" customHeight="1" s="381">
      <c r="A63" s="528" t="inlineStr">
        <is>
          <t>Reseda LIHTC Revenue (SP Share)</t>
        </is>
      </c>
      <c r="B63" s="529">
        <f>Budget!C78</f>
        <v>0</v>
      </c>
      <c r="C63" s="529">
        <f>IF(OR(1&gt;$B$3,ISBLANK(Actuals!C78)),"",Actuals!C78)</f>
      </c>
      <c r="D63" s="530">
        <f>IF(OR(1&gt;$B$3,ISBLANK(Actuals!C78)),"",Budget!C78-Actuals!C78)</f>
      </c>
      <c r="E63" s="530">
        <f>IFERROR(IF(OR(1&gt;$B$3,ISBLANK(Actuals!C78)),"",(Budget!C78-Actuals!C78)/ABS(Budget!C78)),"")</f>
      </c>
      <c r="F63" s="529">
        <f>Budget!D78</f>
        <v>0</v>
      </c>
      <c r="G63" s="529">
        <f>IF(OR(2&gt;$B$3,ISBLANK(Actuals!D78)),"",Actuals!D78)</f>
      </c>
      <c r="H63" s="530">
        <f>IF(OR(2&gt;$B$3,ISBLANK(Actuals!D78)),"",Budget!D78-Actuals!D78)</f>
      </c>
      <c r="I63" s="530">
        <f>IFERROR(IF(OR(2&gt;$B$3,ISBLANK(Actuals!D78)),"",(Budget!D78-Actuals!D78)/ABS(Budget!D78)),"")</f>
      </c>
      <c r="J63" s="529">
        <f>Budget!E78</f>
        <v>0</v>
      </c>
      <c r="K63" s="529">
        <f>IF(OR(3&gt;$B$3,ISBLANK(Actuals!E78)),"",Actuals!E78)</f>
      </c>
      <c r="L63" s="530">
        <f>IF(OR(3&gt;$B$3,ISBLANK(Actuals!E78)),"",Budget!E78-Actuals!E78)</f>
      </c>
      <c r="M63" s="530">
        <f>IFERROR(IF(OR(3&gt;$B$3,ISBLANK(Actuals!E78)),"",(Budget!E78-Actuals!E78)/ABS(Budget!E78)),"")</f>
      </c>
      <c r="N63" s="529">
        <f>Budget!F78</f>
        <v>0</v>
      </c>
      <c r="O63" s="529">
        <f>IF(OR(4&gt;$B$3,ISBLANK(Actuals!F78)),"",Actuals!F78)</f>
      </c>
      <c r="P63" s="530">
        <f>IF(OR(4&gt;$B$3,ISBLANK(Actuals!F78)),"",Budget!F78-Actuals!F78)</f>
      </c>
      <c r="Q63" s="530">
        <f>IFERROR(IF(OR(4&gt;$B$3,ISBLANK(Actuals!F78)),"",(Budget!F78-Actuals!F78)/ABS(Budget!F78)),"")</f>
      </c>
      <c r="R63" s="529">
        <f>Budget!G78</f>
        <v>0</v>
      </c>
      <c r="S63" s="529">
        <f>IF(OR(5&gt;$B$3,ISBLANK(Actuals!G78)),"",Actuals!G78)</f>
      </c>
      <c r="T63" s="530">
        <f>IF(OR(5&gt;$B$3,ISBLANK(Actuals!G78)),"",Budget!G78-Actuals!G78)</f>
      </c>
      <c r="U63" s="530">
        <f>IFERROR(IF(OR(5&gt;$B$3,ISBLANK(Actuals!G78)),"",(Budget!G78-Actuals!G78)/ABS(Budget!G78)),"")</f>
      </c>
      <c r="V63" s="529">
        <f>Budget!H78</f>
        <v>0</v>
      </c>
      <c r="W63" s="529">
        <f>IF(OR(6&gt;$B$3,ISBLANK(Actuals!H78)),"",Actuals!H78)</f>
      </c>
      <c r="X63" s="530">
        <f>IF(OR(6&gt;$B$3,ISBLANK(Actuals!H78)),"",Budget!H78-Actuals!H78)</f>
      </c>
      <c r="Y63" s="530">
        <f>IFERROR(IF(OR(6&gt;$B$3,ISBLANK(Actuals!H78)),"",(Budget!H78-Actuals!H78)/ABS(Budget!H78)),"")</f>
      </c>
      <c r="Z63" s="529">
        <f>Budget!I78</f>
        <v>0</v>
      </c>
      <c r="AA63" s="529">
        <f>IF(OR(7&gt;$B$3,ISBLANK(Actuals!I78)),"",Actuals!I78)</f>
      </c>
      <c r="AB63" s="530">
        <f>IF(OR(7&gt;$B$3,ISBLANK(Actuals!I78)),"",Budget!I78-Actuals!I78)</f>
      </c>
      <c r="AC63" s="530">
        <f>IFERROR(IF(OR(7&gt;$B$3,ISBLANK(Actuals!I78)),"",(Budget!I78-Actuals!I78)/ABS(Budget!I78)),"")</f>
      </c>
      <c r="AD63" s="529">
        <f>Budget!J78</f>
        <v>0</v>
      </c>
      <c r="AE63" s="529">
        <f>IF(OR(8&gt;$B$3,ISBLANK(Actuals!J78)),"",Actuals!J78)</f>
      </c>
      <c r="AF63" s="530">
        <f>IF(OR(8&gt;$B$3,ISBLANK(Actuals!J78)),"",Budget!J78-Actuals!J78)</f>
      </c>
      <c r="AG63" s="530">
        <f>IFERROR(IF(OR(8&gt;$B$3,ISBLANK(Actuals!J78)),"",(Budget!J78-Actuals!J78)/ABS(Budget!J78)),"")</f>
      </c>
      <c r="AH63" s="529">
        <f>Budget!K78</f>
        <v>0</v>
      </c>
      <c r="AI63" s="529">
        <f>IF(OR(9&gt;$B$3,ISBLANK(Actuals!K78)),"",Actuals!K78)</f>
      </c>
      <c r="AJ63" s="530">
        <f>IF(OR(9&gt;$B$3,ISBLANK(Actuals!K78)),"",Budget!K78-Actuals!K78)</f>
      </c>
      <c r="AK63" s="530">
        <f>IFERROR(IF(OR(9&gt;$B$3,ISBLANK(Actuals!K78)),"",(Budget!K78-Actuals!K78)/ABS(Budget!K78)),"")</f>
      </c>
      <c r="AL63" s="529">
        <f>Budget!L78</f>
        <v>0</v>
      </c>
      <c r="AM63" s="529">
        <f>IF(OR(10&gt;$B$3,ISBLANK(Actuals!L78)),"",Actuals!L78)</f>
      </c>
      <c r="AN63" s="530">
        <f>IF(OR(10&gt;$B$3,ISBLANK(Actuals!L78)),"",Budget!L78-Actuals!L78)</f>
      </c>
      <c r="AO63" s="530">
        <f>IFERROR(IF(OR(10&gt;$B$3,ISBLANK(Actuals!L78)),"",(Budget!L78-Actuals!L78)/ABS(Budget!L78)),"")</f>
      </c>
      <c r="AP63" s="529">
        <f>Budget!M78</f>
        <v>0</v>
      </c>
      <c r="AQ63" s="529">
        <f>IF(OR(11&gt;$B$3,ISBLANK(Actuals!M78)),"",Actuals!M78)</f>
      </c>
      <c r="AR63" s="530">
        <f>IF(OR(11&gt;$B$3,ISBLANK(Actuals!M78)),"",Budget!M78-Actuals!M78)</f>
      </c>
      <c r="AS63" s="530">
        <f>IFERROR(IF(OR(11&gt;$B$3,ISBLANK(Actuals!M78)),"",(Budget!M78-Actuals!M78)/ABS(Budget!M78)),"")</f>
      </c>
      <c r="AT63" s="529">
        <f>Budget!N78</f>
        <v>0</v>
      </c>
      <c r="AU63" s="529">
        <f>IF(OR(12&gt;$B$3,ISBLANK(Actuals!N78)),"",Actuals!N78)</f>
      </c>
      <c r="AV63" s="530">
        <f>IF(OR(12&gt;$B$3,ISBLANK(Actuals!N78)),"",Budget!N78-Actuals!N78)</f>
      </c>
      <c r="AW63" s="530">
        <f>IFERROR(IF(OR(12&gt;$B$3,ISBLANK(Actuals!N78)),"",(Budget!N78-Actuals!N78)/ABS(Budget!N78)),"")</f>
      </c>
      <c r="AX63" s="531">
        <f>SUMPRODUCT((Actuals!C78:N78&lt;&gt;"")*(Budget!C78:N78))</f>
        <v>0</v>
      </c>
      <c r="AY63" s="531">
        <f>SUM(Actuals!C78:N78)</f>
        <v>0</v>
      </c>
      <c r="AZ63" s="532">
        <f>AX63-AY63</f>
        <v>0</v>
      </c>
    </row>
    <row r="64" ht="15" customFormat="1" customHeight="1" s="381">
      <c r="A64" s="528" t="inlineStr">
        <is>
          <t>3rd St LIHTC Revenue (SP Share)</t>
        </is>
      </c>
      <c r="B64" s="529">
        <f>Budget!C79</f>
        <v>0</v>
      </c>
      <c r="C64" s="529">
        <f>IF(OR(1&gt;$B$3,ISBLANK(Actuals!C79)),"",Actuals!C79)</f>
      </c>
      <c r="D64" s="530">
        <f>IF(OR(1&gt;$B$3,ISBLANK(Actuals!C79)),"",Budget!C79-Actuals!C79)</f>
      </c>
      <c r="E64" s="530">
        <f>IFERROR(IF(OR(1&gt;$B$3,ISBLANK(Actuals!C79)),"",(Budget!C79-Actuals!C79)/ABS(Budget!C79)),"")</f>
      </c>
      <c r="F64" s="529">
        <f>Budget!D79</f>
        <v>0</v>
      </c>
      <c r="G64" s="529">
        <f>IF(OR(2&gt;$B$3,ISBLANK(Actuals!D79)),"",Actuals!D79)</f>
      </c>
      <c r="H64" s="530">
        <f>IF(OR(2&gt;$B$3,ISBLANK(Actuals!D79)),"",Budget!D79-Actuals!D79)</f>
      </c>
      <c r="I64" s="530">
        <f>IFERROR(IF(OR(2&gt;$B$3,ISBLANK(Actuals!D79)),"",(Budget!D79-Actuals!D79)/ABS(Budget!D79)),"")</f>
      </c>
      <c r="J64" s="529">
        <f>Budget!E79</f>
        <v>0</v>
      </c>
      <c r="K64" s="529">
        <f>IF(OR(3&gt;$B$3,ISBLANK(Actuals!E79)),"",Actuals!E79)</f>
      </c>
      <c r="L64" s="530">
        <f>IF(OR(3&gt;$B$3,ISBLANK(Actuals!E79)),"",Budget!E79-Actuals!E79)</f>
      </c>
      <c r="M64" s="530">
        <f>IFERROR(IF(OR(3&gt;$B$3,ISBLANK(Actuals!E79)),"",(Budget!E79-Actuals!E79)/ABS(Budget!E79)),"")</f>
      </c>
      <c r="N64" s="529">
        <f>Budget!F79</f>
        <v>0</v>
      </c>
      <c r="O64" s="529">
        <f>IF(OR(4&gt;$B$3,ISBLANK(Actuals!F79)),"",Actuals!F79)</f>
      </c>
      <c r="P64" s="530">
        <f>IF(OR(4&gt;$B$3,ISBLANK(Actuals!F79)),"",Budget!F79-Actuals!F79)</f>
      </c>
      <c r="Q64" s="530">
        <f>IFERROR(IF(OR(4&gt;$B$3,ISBLANK(Actuals!F79)),"",(Budget!F79-Actuals!F79)/ABS(Budget!F79)),"")</f>
      </c>
      <c r="R64" s="529">
        <f>Budget!G79</f>
        <v>0</v>
      </c>
      <c r="S64" s="529">
        <f>IF(OR(5&gt;$B$3,ISBLANK(Actuals!G79)),"",Actuals!G79)</f>
      </c>
      <c r="T64" s="530">
        <f>IF(OR(5&gt;$B$3,ISBLANK(Actuals!G79)),"",Budget!G79-Actuals!G79)</f>
      </c>
      <c r="U64" s="530">
        <f>IFERROR(IF(OR(5&gt;$B$3,ISBLANK(Actuals!G79)),"",(Budget!G79-Actuals!G79)/ABS(Budget!G79)),"")</f>
      </c>
      <c r="V64" s="529">
        <f>Budget!H79</f>
        <v>0</v>
      </c>
      <c r="W64" s="529">
        <f>IF(OR(6&gt;$B$3,ISBLANK(Actuals!H79)),"",Actuals!H79)</f>
      </c>
      <c r="X64" s="530">
        <f>IF(OR(6&gt;$B$3,ISBLANK(Actuals!H79)),"",Budget!H79-Actuals!H79)</f>
      </c>
      <c r="Y64" s="530">
        <f>IFERROR(IF(OR(6&gt;$B$3,ISBLANK(Actuals!H79)),"",(Budget!H79-Actuals!H79)/ABS(Budget!H79)),"")</f>
      </c>
      <c r="Z64" s="529">
        <f>Budget!I79</f>
        <v>0</v>
      </c>
      <c r="AA64" s="529">
        <f>IF(OR(7&gt;$B$3,ISBLANK(Actuals!I79)),"",Actuals!I79)</f>
      </c>
      <c r="AB64" s="530">
        <f>IF(OR(7&gt;$B$3,ISBLANK(Actuals!I79)),"",Budget!I79-Actuals!I79)</f>
      </c>
      <c r="AC64" s="530">
        <f>IFERROR(IF(OR(7&gt;$B$3,ISBLANK(Actuals!I79)),"",(Budget!I79-Actuals!I79)/ABS(Budget!I79)),"")</f>
      </c>
      <c r="AD64" s="529">
        <f>Budget!J79</f>
        <v>0</v>
      </c>
      <c r="AE64" s="529">
        <f>IF(OR(8&gt;$B$3,ISBLANK(Actuals!J79)),"",Actuals!J79)</f>
      </c>
      <c r="AF64" s="530">
        <f>IF(OR(8&gt;$B$3,ISBLANK(Actuals!J79)),"",Budget!J79-Actuals!J79)</f>
      </c>
      <c r="AG64" s="530">
        <f>IFERROR(IF(OR(8&gt;$B$3,ISBLANK(Actuals!J79)),"",(Budget!J79-Actuals!J79)/ABS(Budget!J79)),"")</f>
      </c>
      <c r="AH64" s="529">
        <f>Budget!K79</f>
        <v>0</v>
      </c>
      <c r="AI64" s="529">
        <f>IF(OR(9&gt;$B$3,ISBLANK(Actuals!K79)),"",Actuals!K79)</f>
      </c>
      <c r="AJ64" s="530">
        <f>IF(OR(9&gt;$B$3,ISBLANK(Actuals!K79)),"",Budget!K79-Actuals!K79)</f>
      </c>
      <c r="AK64" s="530">
        <f>IFERROR(IF(OR(9&gt;$B$3,ISBLANK(Actuals!K79)),"",(Budget!K79-Actuals!K79)/ABS(Budget!K79)),"")</f>
      </c>
      <c r="AL64" s="529">
        <f>Budget!L79</f>
        <v>0</v>
      </c>
      <c r="AM64" s="529">
        <f>IF(OR(10&gt;$B$3,ISBLANK(Actuals!L79)),"",Actuals!L79)</f>
      </c>
      <c r="AN64" s="530">
        <f>IF(OR(10&gt;$B$3,ISBLANK(Actuals!L79)),"",Budget!L79-Actuals!L79)</f>
      </c>
      <c r="AO64" s="530">
        <f>IFERROR(IF(OR(10&gt;$B$3,ISBLANK(Actuals!L79)),"",(Budget!L79-Actuals!L79)/ABS(Budget!L79)),"")</f>
      </c>
      <c r="AP64" s="529">
        <f>Budget!M79</f>
        <v>0</v>
      </c>
      <c r="AQ64" s="529">
        <f>IF(OR(11&gt;$B$3,ISBLANK(Actuals!M79)),"",Actuals!M79)</f>
      </c>
      <c r="AR64" s="530">
        <f>IF(OR(11&gt;$B$3,ISBLANK(Actuals!M79)),"",Budget!M79-Actuals!M79)</f>
      </c>
      <c r="AS64" s="530">
        <f>IFERROR(IF(OR(11&gt;$B$3,ISBLANK(Actuals!M79)),"",(Budget!M79-Actuals!M79)/ABS(Budget!M79)),"")</f>
      </c>
      <c r="AT64" s="529">
        <f>Budget!N79</f>
        <v>0</v>
      </c>
      <c r="AU64" s="529">
        <f>IF(OR(12&gt;$B$3,ISBLANK(Actuals!N79)),"",Actuals!N79)</f>
      </c>
      <c r="AV64" s="530">
        <f>IF(OR(12&gt;$B$3,ISBLANK(Actuals!N79)),"",Budget!N79-Actuals!N79)</f>
      </c>
      <c r="AW64" s="530">
        <f>IFERROR(IF(OR(12&gt;$B$3,ISBLANK(Actuals!N79)),"",(Budget!N79-Actuals!N79)/ABS(Budget!N79)),"")</f>
      </c>
      <c r="AX64" s="531">
        <f>SUMPRODUCT((Actuals!C79:N79&lt;&gt;"")*(Budget!C79:N79))</f>
        <v>0</v>
      </c>
      <c r="AY64" s="531">
        <f>SUM(Actuals!C79:N79)</f>
        <v>0</v>
      </c>
      <c r="AZ64" s="532">
        <f>AX64-AY64</f>
        <v>0</v>
      </c>
    </row>
    <row r="65" ht="15" customFormat="1" customHeight="1" s="381">
      <c r="A65" s="528" t="inlineStr">
        <is>
          <t>Uplifters Total to SP</t>
        </is>
      </c>
      <c r="B65" s="529">
        <f>Budget!C80</f>
        <v>0</v>
      </c>
      <c r="C65" s="529">
        <f>IF(OR(1&gt;$B$3,ISBLANK(Actuals!C80)),"",Actuals!C80)</f>
      </c>
      <c r="D65" s="530">
        <f>IF(OR(1&gt;$B$3,ISBLANK(Actuals!C80)),"",Budget!C80-Actuals!C80)</f>
      </c>
      <c r="E65" s="530">
        <f>IFERROR(IF(OR(1&gt;$B$3,ISBLANK(Actuals!C80)),"",(Budget!C80-Actuals!C80)/ABS(Budget!C80)),"")</f>
      </c>
      <c r="F65" s="529">
        <f>Budget!D80</f>
        <v>0</v>
      </c>
      <c r="G65" s="529">
        <f>IF(OR(2&gt;$B$3,ISBLANK(Actuals!D80)),"",Actuals!D80)</f>
      </c>
      <c r="H65" s="530">
        <f>IF(OR(2&gt;$B$3,ISBLANK(Actuals!D80)),"",Budget!D80-Actuals!D80)</f>
      </c>
      <c r="I65" s="530">
        <f>IFERROR(IF(OR(2&gt;$B$3,ISBLANK(Actuals!D80)),"",(Budget!D80-Actuals!D80)/ABS(Budget!D80)),"")</f>
      </c>
      <c r="J65" s="529">
        <f>Budget!E80</f>
        <v>0</v>
      </c>
      <c r="K65" s="529">
        <f>IF(OR(3&gt;$B$3,ISBLANK(Actuals!E80)),"",Actuals!E80)</f>
      </c>
      <c r="L65" s="530">
        <f>IF(OR(3&gt;$B$3,ISBLANK(Actuals!E80)),"",Budget!E80-Actuals!E80)</f>
      </c>
      <c r="M65" s="530">
        <f>IFERROR(IF(OR(3&gt;$B$3,ISBLANK(Actuals!E80)),"",(Budget!E80-Actuals!E80)/ABS(Budget!E80)),"")</f>
      </c>
      <c r="N65" s="529">
        <f>Budget!F80</f>
        <v>0</v>
      </c>
      <c r="O65" s="529">
        <f>IF(OR(4&gt;$B$3,ISBLANK(Actuals!F80)),"",Actuals!F80)</f>
      </c>
      <c r="P65" s="530">
        <f>IF(OR(4&gt;$B$3,ISBLANK(Actuals!F80)),"",Budget!F80-Actuals!F80)</f>
      </c>
      <c r="Q65" s="530">
        <f>IFERROR(IF(OR(4&gt;$B$3,ISBLANK(Actuals!F80)),"",(Budget!F80-Actuals!F80)/ABS(Budget!F80)),"")</f>
      </c>
      <c r="R65" s="529">
        <f>Budget!G80</f>
        <v>0</v>
      </c>
      <c r="S65" s="529">
        <f>IF(OR(5&gt;$B$3,ISBLANK(Actuals!G80)),"",Actuals!G80)</f>
      </c>
      <c r="T65" s="530">
        <f>IF(OR(5&gt;$B$3,ISBLANK(Actuals!G80)),"",Budget!G80-Actuals!G80)</f>
      </c>
      <c r="U65" s="530">
        <f>IFERROR(IF(OR(5&gt;$B$3,ISBLANK(Actuals!G80)),"",(Budget!G80-Actuals!G80)/ABS(Budget!G80)),"")</f>
      </c>
      <c r="V65" s="529">
        <f>Budget!H80</f>
        <v>0</v>
      </c>
      <c r="W65" s="529">
        <f>IF(OR(6&gt;$B$3,ISBLANK(Actuals!H80)),"",Actuals!H80)</f>
      </c>
      <c r="X65" s="530">
        <f>IF(OR(6&gt;$B$3,ISBLANK(Actuals!H80)),"",Budget!H80-Actuals!H80)</f>
      </c>
      <c r="Y65" s="530">
        <f>IFERROR(IF(OR(6&gt;$B$3,ISBLANK(Actuals!H80)),"",(Budget!H80-Actuals!H80)/ABS(Budget!H80)),"")</f>
      </c>
      <c r="Z65" s="529">
        <f>Budget!I80</f>
        <v>0</v>
      </c>
      <c r="AA65" s="529">
        <f>IF(OR(7&gt;$B$3,ISBLANK(Actuals!I80)),"",Actuals!I80)</f>
      </c>
      <c r="AB65" s="530">
        <f>IF(OR(7&gt;$B$3,ISBLANK(Actuals!I80)),"",Budget!I80-Actuals!I80)</f>
      </c>
      <c r="AC65" s="530">
        <f>IFERROR(IF(OR(7&gt;$B$3,ISBLANK(Actuals!I80)),"",(Budget!I80-Actuals!I80)/ABS(Budget!I80)),"")</f>
      </c>
      <c r="AD65" s="529">
        <f>Budget!J80</f>
        <v>0</v>
      </c>
      <c r="AE65" s="529">
        <f>IF(OR(8&gt;$B$3,ISBLANK(Actuals!J80)),"",Actuals!J80)</f>
      </c>
      <c r="AF65" s="530">
        <f>IF(OR(8&gt;$B$3,ISBLANK(Actuals!J80)),"",Budget!J80-Actuals!J80)</f>
      </c>
      <c r="AG65" s="530">
        <f>IFERROR(IF(OR(8&gt;$B$3,ISBLANK(Actuals!J80)),"",(Budget!J80-Actuals!J80)/ABS(Budget!J80)),"")</f>
      </c>
      <c r="AH65" s="529">
        <f>Budget!K80</f>
        <v>0</v>
      </c>
      <c r="AI65" s="529">
        <f>IF(OR(9&gt;$B$3,ISBLANK(Actuals!K80)),"",Actuals!K80)</f>
      </c>
      <c r="AJ65" s="530">
        <f>IF(OR(9&gt;$B$3,ISBLANK(Actuals!K80)),"",Budget!K80-Actuals!K80)</f>
      </c>
      <c r="AK65" s="530">
        <f>IFERROR(IF(OR(9&gt;$B$3,ISBLANK(Actuals!K80)),"",(Budget!K80-Actuals!K80)/ABS(Budget!K80)),"")</f>
      </c>
      <c r="AL65" s="529">
        <f>Budget!L80</f>
        <v>0</v>
      </c>
      <c r="AM65" s="529">
        <f>IF(OR(10&gt;$B$3,ISBLANK(Actuals!L80)),"",Actuals!L80)</f>
      </c>
      <c r="AN65" s="530">
        <f>IF(OR(10&gt;$B$3,ISBLANK(Actuals!L80)),"",Budget!L80-Actuals!L80)</f>
      </c>
      <c r="AO65" s="530">
        <f>IFERROR(IF(OR(10&gt;$B$3,ISBLANK(Actuals!L80)),"",(Budget!L80-Actuals!L80)/ABS(Budget!L80)),"")</f>
      </c>
      <c r="AP65" s="529">
        <f>Budget!M80</f>
        <v>0</v>
      </c>
      <c r="AQ65" s="529">
        <f>IF(OR(11&gt;$B$3,ISBLANK(Actuals!M80)),"",Actuals!M80)</f>
      </c>
      <c r="AR65" s="530">
        <f>IF(OR(11&gt;$B$3,ISBLANK(Actuals!M80)),"",Budget!M80-Actuals!M80)</f>
      </c>
      <c r="AS65" s="530">
        <f>IFERROR(IF(OR(11&gt;$B$3,ISBLANK(Actuals!M80)),"",(Budget!M80-Actuals!M80)/ABS(Budget!M80)),"")</f>
      </c>
      <c r="AT65" s="529">
        <f>Budget!N80</f>
        <v>0</v>
      </c>
      <c r="AU65" s="529">
        <f>IF(OR(12&gt;$B$3,ISBLANK(Actuals!N80)),"",Actuals!N80)</f>
      </c>
      <c r="AV65" s="530">
        <f>IF(OR(12&gt;$B$3,ISBLANK(Actuals!N80)),"",Budget!N80-Actuals!N80)</f>
      </c>
      <c r="AW65" s="530">
        <f>IFERROR(IF(OR(12&gt;$B$3,ISBLANK(Actuals!N80)),"",(Budget!N80-Actuals!N80)/ABS(Budget!N80)),"")</f>
      </c>
      <c r="AX65" s="531">
        <f>SUMPRODUCT((Actuals!C80:N80&lt;&gt;"")*(Budget!C80:N80))</f>
        <v>0</v>
      </c>
      <c r="AY65" s="531">
        <f>SUM(Actuals!C80:N80)</f>
        <v>0</v>
      </c>
      <c r="AZ65" s="532">
        <f>AX65-AY65</f>
        <v>0</v>
      </c>
    </row>
    <row r="66" ht="15" customFormat="1" customHeight="1" s="381">
      <c r="A66" s="472" t="inlineStr">
        <is>
          <t>Non-Cash Revenue Items</t>
        </is>
      </c>
      <c r="B66" s="529">
        <f>Budget!C63</f>
        <v>0</v>
      </c>
      <c r="C66" s="529">
        <f>IF(OR(1&gt;$B$3,ISBLANK(Actuals!C63)),"",Actuals!C63)</f>
      </c>
      <c r="D66" s="530">
        <f>IF(OR(1&gt;$B$3,ISBLANK(Actuals!C63)),"",Budget!C63-Actuals!C63)</f>
      </c>
      <c r="E66" s="530">
        <f>IFERROR(IF(OR(1&gt;$B$3,ISBLANK(Actuals!C63)),"",(Budget!C63-Actuals!C63)/ABS(Budget!C63)),"")</f>
      </c>
      <c r="F66" s="529">
        <f>Budget!D63</f>
        <v>0</v>
      </c>
      <c r="G66" s="529">
        <f>IF(OR(2&gt;$B$3,ISBLANK(Actuals!D63)),"",Actuals!D63)</f>
      </c>
      <c r="H66" s="530">
        <f>IF(OR(2&gt;$B$3,ISBLANK(Actuals!D63)),"",Budget!D63-Actuals!D63)</f>
      </c>
      <c r="I66" s="530">
        <f>IFERROR(IF(OR(2&gt;$B$3,ISBLANK(Actuals!D63)),"",(Budget!D63-Actuals!D63)/ABS(Budget!D63)),"")</f>
      </c>
      <c r="J66" s="529">
        <f>Budget!E63</f>
        <v>0</v>
      </c>
      <c r="K66" s="529">
        <f>IF(OR(3&gt;$B$3,ISBLANK(Actuals!E63)),"",Actuals!E63)</f>
      </c>
      <c r="L66" s="530">
        <f>IF(OR(3&gt;$B$3,ISBLANK(Actuals!E63)),"",Budget!E63-Actuals!E63)</f>
      </c>
      <c r="M66" s="530">
        <f>IFERROR(IF(OR(3&gt;$B$3,ISBLANK(Actuals!E63)),"",(Budget!E63-Actuals!E63)/ABS(Budget!E63)),"")</f>
      </c>
      <c r="N66" s="529">
        <f>Budget!F63</f>
        <v>0</v>
      </c>
      <c r="O66" s="529">
        <f>IF(OR(4&gt;$B$3,ISBLANK(Actuals!F63)),"",Actuals!F63)</f>
      </c>
      <c r="P66" s="530">
        <f>IF(OR(4&gt;$B$3,ISBLANK(Actuals!F63)),"",Budget!F63-Actuals!F63)</f>
      </c>
      <c r="Q66" s="530">
        <f>IFERROR(IF(OR(4&gt;$B$3,ISBLANK(Actuals!F63)),"",(Budget!F63-Actuals!F63)/ABS(Budget!F63)),"")</f>
      </c>
      <c r="R66" s="529">
        <f>Budget!G63</f>
        <v>0</v>
      </c>
      <c r="S66" s="529">
        <f>IF(OR(5&gt;$B$3,ISBLANK(Actuals!G63)),"",Actuals!G63)</f>
      </c>
      <c r="T66" s="530">
        <f>IF(OR(5&gt;$B$3,ISBLANK(Actuals!G63)),"",Budget!G63-Actuals!G63)</f>
      </c>
      <c r="U66" s="530">
        <f>IFERROR(IF(OR(5&gt;$B$3,ISBLANK(Actuals!G63)),"",(Budget!G63-Actuals!G63)/ABS(Budget!G63)),"")</f>
      </c>
      <c r="V66" s="529">
        <f>Budget!H63</f>
        <v>0</v>
      </c>
      <c r="W66" s="529">
        <f>IF(OR(6&gt;$B$3,ISBLANK(Actuals!H63)),"",Actuals!H63)</f>
        <v>299000</v>
      </c>
      <c r="X66" s="530">
        <f>IF(OR(6&gt;$B$3,ISBLANK(Actuals!H63)),"",Budget!H63-Actuals!H63)</f>
        <v>-299000</v>
      </c>
      <c r="Y66" s="530">
        <f>IFERROR(IF(OR(6&gt;$B$3,ISBLANK(Actuals!H63)),"",(Budget!H63-Actuals!H63)/ABS(Budget!H63)),"")</f>
      </c>
      <c r="Z66" s="529">
        <f>Budget!I63</f>
        <v>0</v>
      </c>
      <c r="AA66" s="529">
        <f>IF(OR(7&gt;$B$3,ISBLANK(Actuals!I63)),"",Actuals!I63)</f>
      </c>
      <c r="AB66" s="530">
        <f>IF(OR(7&gt;$B$3,ISBLANK(Actuals!I63)),"",Budget!I63-Actuals!I63)</f>
      </c>
      <c r="AC66" s="530">
        <f>IFERROR(IF(OR(7&gt;$B$3,ISBLANK(Actuals!I63)),"",(Budget!I63-Actuals!I63)/ABS(Budget!I63)),"")</f>
      </c>
      <c r="AD66" s="529">
        <f>Budget!J63</f>
        <v>0</v>
      </c>
      <c r="AE66" s="529">
        <f>IF(OR(8&gt;$B$3,ISBLANK(Actuals!J63)),"",Actuals!J63)</f>
      </c>
      <c r="AF66" s="530">
        <f>IF(OR(8&gt;$B$3,ISBLANK(Actuals!J63)),"",Budget!J63-Actuals!J63)</f>
      </c>
      <c r="AG66" s="530">
        <f>IFERROR(IF(OR(8&gt;$B$3,ISBLANK(Actuals!J63)),"",(Budget!J63-Actuals!J63)/ABS(Budget!J63)),"")</f>
      </c>
      <c r="AH66" s="529">
        <f>Budget!K63</f>
        <v>0</v>
      </c>
      <c r="AI66" s="529">
        <f>IF(OR(9&gt;$B$3,ISBLANK(Actuals!K63)),"",Actuals!K63)</f>
      </c>
      <c r="AJ66" s="530">
        <f>IF(OR(9&gt;$B$3,ISBLANK(Actuals!K63)),"",Budget!K63-Actuals!K63)</f>
      </c>
      <c r="AK66" s="530">
        <f>IFERROR(IF(OR(9&gt;$B$3,ISBLANK(Actuals!K63)),"",(Budget!K63-Actuals!K63)/ABS(Budget!K63)),"")</f>
      </c>
      <c r="AL66" s="529">
        <f>Budget!L63</f>
        <v>0</v>
      </c>
      <c r="AM66" s="529">
        <f>IF(OR(10&gt;$B$3,ISBLANK(Actuals!L63)),"",Actuals!L63)</f>
      </c>
      <c r="AN66" s="530">
        <f>IF(OR(10&gt;$B$3,ISBLANK(Actuals!L63)),"",Budget!L63-Actuals!L63)</f>
      </c>
      <c r="AO66" s="530">
        <f>IFERROR(IF(OR(10&gt;$B$3,ISBLANK(Actuals!L63)),"",(Budget!L63-Actuals!L63)/ABS(Budget!L63)),"")</f>
      </c>
      <c r="AP66" s="529">
        <f>Budget!M63</f>
        <v>0</v>
      </c>
      <c r="AQ66" s="529">
        <f>IF(OR(11&gt;$B$3,ISBLANK(Actuals!M63)),"",Actuals!M63)</f>
      </c>
      <c r="AR66" s="530">
        <f>IF(OR(11&gt;$B$3,ISBLANK(Actuals!M63)),"",Budget!M63-Actuals!M63)</f>
      </c>
      <c r="AS66" s="530">
        <f>IFERROR(IF(OR(11&gt;$B$3,ISBLANK(Actuals!M63)),"",(Budget!M63-Actuals!M63)/ABS(Budget!M63)),"")</f>
      </c>
      <c r="AT66" s="529">
        <f>Budget!N63</f>
        <v>0</v>
      </c>
      <c r="AU66" s="529">
        <f>IF(OR(12&gt;$B$3,ISBLANK(Actuals!N63)),"",Actuals!N63)</f>
      </c>
      <c r="AV66" s="530">
        <f>IF(OR(12&gt;$B$3,ISBLANK(Actuals!N63)),"",Budget!N63-Actuals!N63)</f>
      </c>
      <c r="AW66" s="530">
        <f>IFERROR(IF(OR(12&gt;$B$3,ISBLANK(Actuals!N63)),"",(Budget!N63-Actuals!N63)/ABS(Budget!N63)),"")</f>
      </c>
      <c r="AX66" s="531">
        <f>SUMPRODUCT((Actuals!C63:N66&lt;&gt;"")*(Budget!C63:N66))</f>
        <v>224230.74</v>
      </c>
      <c r="AY66" s="531">
        <f>SUM(Actuals!C63:N66)</f>
        <v>447437.48</v>
      </c>
      <c r="AZ66" s="532">
        <f>AX66-AY66</f>
        <v>-223206.74</v>
      </c>
    </row>
    <row r="67" ht="15" customFormat="1" customHeight="1" s="381">
      <c r="A67" s="528" t="inlineStr">
        <is>
          <t>5000-1000 Payroll</t>
        </is>
      </c>
      <c r="B67" s="529">
        <f>Budget!C83</f>
        <v>-90233.32</v>
      </c>
      <c r="C67" s="529">
        <f>IF(OR(1&gt;$B$3,ISBLANK(Actuals!C83)),"",Actuals!C83)</f>
        <v>-54421</v>
      </c>
      <c r="D67" s="530">
        <f>IF(OR(1&gt;$B$3,ISBLANK(Actuals!C83)),"",Budget!C83-Actuals!C83)</f>
        <v>-35812.32</v>
      </c>
      <c r="E67" s="530">
        <f>IFERROR(IF(OR(1&gt;$B$3,ISBLANK(Actuals!C83)),"",(Budget!C83-Actuals!C83)/ABS(Budget!C83)),"")</f>
        <v>-0.396885762376914</v>
      </c>
      <c r="F67" s="529">
        <f>Budget!D83</f>
        <v>-90233.32</v>
      </c>
      <c r="G67" s="529">
        <f>IF(OR(2&gt;$B$3,ISBLANK(Actuals!D83)),"",Actuals!D83)</f>
        <v>-54166.68</v>
      </c>
      <c r="H67" s="530">
        <f>IF(OR(2&gt;$B$3,ISBLANK(Actuals!D83)),"",Budget!D83-Actuals!D83)</f>
        <v>-36066.64</v>
      </c>
      <c r="I67" s="530">
        <f>IFERROR(IF(OR(2&gt;$B$3,ISBLANK(Actuals!D83)),"",(Budget!D83-Actuals!D83)/ABS(Budget!D83)),"")</f>
        <v>-0.399704233425081</v>
      </c>
      <c r="J67" s="529">
        <f>Budget!E83</f>
        <v>-90233.32</v>
      </c>
      <c r="K67" s="529">
        <f>IF(OR(3&gt;$B$3,ISBLANK(Actuals!E83)),"",Actuals!E83)</f>
        <v>-54166.68</v>
      </c>
      <c r="L67" s="530">
        <f>IF(OR(3&gt;$B$3,ISBLANK(Actuals!E83)),"",Budget!E83-Actuals!E83)</f>
        <v>-36066.64</v>
      </c>
      <c r="M67" s="530">
        <f>IFERROR(IF(OR(3&gt;$B$3,ISBLANK(Actuals!E83)),"",(Budget!E83-Actuals!E83)/ABS(Budget!E83)),"")</f>
        <v>-0.399704233425081</v>
      </c>
      <c r="N67" s="529">
        <f>Budget!F83</f>
        <v>-90233.32</v>
      </c>
      <c r="O67" s="529">
        <f>IF(OR(4&gt;$B$3,ISBLANK(Actuals!F83)),"",Actuals!F83)</f>
        <v>-54166.68</v>
      </c>
      <c r="P67" s="530">
        <f>IF(OR(4&gt;$B$3,ISBLANK(Actuals!F83)),"",Budget!F83-Actuals!F83)</f>
        <v>-36066.64</v>
      </c>
      <c r="Q67" s="530">
        <f>IFERROR(IF(OR(4&gt;$B$3,ISBLANK(Actuals!F83)),"",(Budget!F83-Actuals!F83)/ABS(Budget!F83)),"")</f>
        <v>-0.399704233425081</v>
      </c>
      <c r="R67" s="529">
        <f>Budget!G83</f>
        <v>-90233.32</v>
      </c>
      <c r="S67" s="529">
        <f>IF(OR(5&gt;$B$3,ISBLANK(Actuals!G83)),"",Actuals!G83)</f>
        <v>-54166.68</v>
      </c>
      <c r="T67" s="530">
        <f>IF(OR(5&gt;$B$3,ISBLANK(Actuals!G83)),"",Budget!G83-Actuals!G83)</f>
        <v>-36066.64</v>
      </c>
      <c r="U67" s="530">
        <f>IFERROR(IF(OR(5&gt;$B$3,ISBLANK(Actuals!G83)),"",(Budget!G83-Actuals!G83)/ABS(Budget!G83)),"")</f>
        <v>-0.399704233425081</v>
      </c>
      <c r="V67" s="529">
        <f>Budget!H83</f>
        <v>-90233.32</v>
      </c>
      <c r="W67" s="529">
        <f>IF(OR(6&gt;$B$3,ISBLANK(Actuals!H83)),"",Actuals!H83)</f>
        <v>-54166.68</v>
      </c>
      <c r="X67" s="530">
        <f>IF(OR(6&gt;$B$3,ISBLANK(Actuals!H83)),"",Budget!H83-Actuals!H83)</f>
        <v>-36066.64</v>
      </c>
      <c r="Y67" s="530">
        <f>IFERROR(IF(OR(6&gt;$B$3,ISBLANK(Actuals!H83)),"",(Budget!H83-Actuals!H83)/ABS(Budget!H83)),"")</f>
        <v>-0.399704233425081</v>
      </c>
      <c r="Z67" s="529">
        <f>Budget!I83</f>
        <v>-89059.65</v>
      </c>
      <c r="AA67" s="529">
        <f>IF(OR(7&gt;$B$3,ISBLANK(Actuals!I83)),"",Actuals!I83)</f>
      </c>
      <c r="AB67" s="530">
        <f>IF(OR(7&gt;$B$3,ISBLANK(Actuals!I83)),"",Budget!I83-Actuals!I83)</f>
      </c>
      <c r="AC67" s="530">
        <f>IFERROR(IF(OR(7&gt;$B$3,ISBLANK(Actuals!I83)),"",(Budget!I83-Actuals!I83)/ABS(Budget!I83)),"")</f>
      </c>
      <c r="AD67" s="529">
        <f>Budget!J83</f>
        <v>-89059.65</v>
      </c>
      <c r="AE67" s="529">
        <f>IF(OR(8&gt;$B$3,ISBLANK(Actuals!J83)),"",Actuals!J83)</f>
      </c>
      <c r="AF67" s="530">
        <f>IF(OR(8&gt;$B$3,ISBLANK(Actuals!J83)),"",Budget!J83-Actuals!J83)</f>
      </c>
      <c r="AG67" s="530">
        <f>IFERROR(IF(OR(8&gt;$B$3,ISBLANK(Actuals!J83)),"",(Budget!J83-Actuals!J83)/ABS(Budget!J83)),"")</f>
      </c>
      <c r="AH67" s="529">
        <f>Budget!K83</f>
        <v>-89059.65</v>
      </c>
      <c r="AI67" s="529">
        <f>IF(OR(9&gt;$B$3,ISBLANK(Actuals!K83)),"",Actuals!K83)</f>
      </c>
      <c r="AJ67" s="530">
        <f>IF(OR(9&gt;$B$3,ISBLANK(Actuals!K83)),"",Budget!K83-Actuals!K83)</f>
      </c>
      <c r="AK67" s="530">
        <f>IFERROR(IF(OR(9&gt;$B$3,ISBLANK(Actuals!K83)),"",(Budget!K83-Actuals!K83)/ABS(Budget!K83)),"")</f>
      </c>
      <c r="AL67" s="529">
        <f>Budget!L83</f>
        <v>-89059.65</v>
      </c>
      <c r="AM67" s="529">
        <f>IF(OR(10&gt;$B$3,ISBLANK(Actuals!L83)),"",Actuals!L83)</f>
      </c>
      <c r="AN67" s="530">
        <f>IF(OR(10&gt;$B$3,ISBLANK(Actuals!L83)),"",Budget!L83-Actuals!L83)</f>
      </c>
      <c r="AO67" s="530">
        <f>IFERROR(IF(OR(10&gt;$B$3,ISBLANK(Actuals!L83)),"",(Budget!L83-Actuals!L83)/ABS(Budget!L83)),"")</f>
      </c>
      <c r="AP67" s="529">
        <f>Budget!M83</f>
        <v>-89059.65</v>
      </c>
      <c r="AQ67" s="529">
        <f>IF(OR(11&gt;$B$3,ISBLANK(Actuals!M83)),"",Actuals!M83)</f>
      </c>
      <c r="AR67" s="530">
        <f>IF(OR(11&gt;$B$3,ISBLANK(Actuals!M83)),"",Budget!M83-Actuals!M83)</f>
      </c>
      <c r="AS67" s="530">
        <f>IFERROR(IF(OR(11&gt;$B$3,ISBLANK(Actuals!M83)),"",(Budget!M83-Actuals!M83)/ABS(Budget!M83)),"")</f>
      </c>
      <c r="AT67" s="529">
        <f>Budget!N83</f>
        <v>-89059.65</v>
      </c>
      <c r="AU67" s="529">
        <f>IF(OR(12&gt;$B$3,ISBLANK(Actuals!N83)),"",Actuals!N83)</f>
      </c>
      <c r="AV67" s="530">
        <f>IF(OR(12&gt;$B$3,ISBLANK(Actuals!N83)),"",Budget!N83-Actuals!N83)</f>
      </c>
      <c r="AW67" s="530">
        <f>IFERROR(IF(OR(12&gt;$B$3,ISBLANK(Actuals!N83)),"",(Budget!N83-Actuals!N83)/ABS(Budget!N83)),"")</f>
      </c>
      <c r="AX67" s="531">
        <f>SUMPRODUCT((Actuals!C83:N83&lt;&gt;"")*(Budget!C83:N83))</f>
        <v>-541399.92</v>
      </c>
      <c r="AY67" s="531">
        <f>SUM(Actuals!C83:N83)</f>
        <v>-325254.4</v>
      </c>
      <c r="AZ67" s="532">
        <f>AX67-AY67</f>
        <v>-216145.52</v>
      </c>
    </row>
    <row r="68" ht="15" customFormat="1" customHeight="1" s="381">
      <c r="A68" s="528" t="inlineStr">
        <is>
          <t>5000-1001 Payroll Taxes</t>
        </is>
      </c>
      <c r="B68" s="529">
        <f>Budget!C84</f>
        <v>-8125</v>
      </c>
      <c r="C68" s="529">
        <f>IF(OR(1&gt;$B$3,ISBLANK(Actuals!C84)),"",Actuals!C84)</f>
        <v>-5302</v>
      </c>
      <c r="D68" s="530">
        <f>IF(OR(1&gt;$B$3,ISBLANK(Actuals!C84)),"",Budget!C84-Actuals!C84)</f>
        <v>-2823</v>
      </c>
      <c r="E68" s="530">
        <f>IFERROR(IF(OR(1&gt;$B$3,ISBLANK(Actuals!C84)),"",(Budget!C84-Actuals!C84)/ABS(Budget!C84)),"")</f>
        <v>-0.347446153846154</v>
      </c>
      <c r="F68" s="529">
        <f>Budget!D84</f>
        <v>-8125</v>
      </c>
      <c r="G68" s="529">
        <f>IF(OR(2&gt;$B$3,ISBLANK(Actuals!D84)),"",Actuals!D84)</f>
        <v>-4279.79</v>
      </c>
      <c r="H68" s="530">
        <f>IF(OR(2&gt;$B$3,ISBLANK(Actuals!D84)),"",Budget!D84-Actuals!D84)</f>
        <v>-3845.21</v>
      </c>
      <c r="I68" s="530">
        <f>IFERROR(IF(OR(2&gt;$B$3,ISBLANK(Actuals!D84)),"",(Budget!D84-Actuals!D84)/ABS(Budget!D84)),"")</f>
        <v>-0.473256615384615</v>
      </c>
      <c r="J68" s="529">
        <f>Budget!E84</f>
        <v>-8125</v>
      </c>
      <c r="K68" s="529">
        <f>IF(OR(3&gt;$B$3,ISBLANK(Actuals!E84)),"",Actuals!E84)</f>
        <v>-4145.97</v>
      </c>
      <c r="L68" s="530">
        <f>IF(OR(3&gt;$B$3,ISBLANK(Actuals!E84)),"",Budget!E84-Actuals!E84)</f>
        <v>-3979.03</v>
      </c>
      <c r="M68" s="530">
        <f>IFERROR(IF(OR(3&gt;$B$3,ISBLANK(Actuals!E84)),"",(Budget!E84-Actuals!E84)/ABS(Budget!E84)),"")</f>
        <v>-0.489726769230769</v>
      </c>
      <c r="N68" s="529">
        <f>Budget!F84</f>
        <v>-8125</v>
      </c>
      <c r="O68" s="529">
        <f>IF(OR(4&gt;$B$3,ISBLANK(Actuals!F84)),"",Actuals!F84)</f>
        <v>-4145.96</v>
      </c>
      <c r="P68" s="530">
        <f>IF(OR(4&gt;$B$3,ISBLANK(Actuals!F84)),"",Budget!F84-Actuals!F84)</f>
        <v>-3979.04</v>
      </c>
      <c r="Q68" s="530">
        <f>IFERROR(IF(OR(4&gt;$B$3,ISBLANK(Actuals!F84)),"",(Budget!F84-Actuals!F84)/ABS(Budget!F84)),"")</f>
        <v>-0.489728</v>
      </c>
      <c r="R68" s="529">
        <f>Budget!G84</f>
        <v>-8125</v>
      </c>
      <c r="S68" s="529">
        <f>IF(OR(5&gt;$B$3,ISBLANK(Actuals!G84)),"",Actuals!G84)</f>
        <v>-4145.99</v>
      </c>
      <c r="T68" s="530">
        <f>IF(OR(5&gt;$B$3,ISBLANK(Actuals!G84)),"",Budget!G84-Actuals!G84)</f>
        <v>-3979.01</v>
      </c>
      <c r="U68" s="530">
        <f>IFERROR(IF(OR(5&gt;$B$3,ISBLANK(Actuals!G84)),"",(Budget!G84-Actuals!G84)/ABS(Budget!G84)),"")</f>
        <v>-0.489724307692308</v>
      </c>
      <c r="V68" s="529">
        <f>Budget!H84</f>
        <v>-8125</v>
      </c>
      <c r="W68" s="529">
        <f>IF(OR(6&gt;$B$3,ISBLANK(Actuals!H84)),"",Actuals!H84)</f>
        <v>-4145.95</v>
      </c>
      <c r="X68" s="530">
        <f>IF(OR(6&gt;$B$3,ISBLANK(Actuals!H84)),"",Budget!H84-Actuals!H84)</f>
        <v>-3979.05</v>
      </c>
      <c r="Y68" s="530">
        <f>IFERROR(IF(OR(6&gt;$B$3,ISBLANK(Actuals!H84)),"",(Budget!H84-Actuals!H84)/ABS(Budget!H84)),"")</f>
        <v>-0.489729230769231</v>
      </c>
      <c r="Z68" s="529">
        <f>Budget!I84</f>
        <v>-8125</v>
      </c>
      <c r="AA68" s="529">
        <f>IF(OR(7&gt;$B$3,ISBLANK(Actuals!I84)),"",Actuals!I84)</f>
      </c>
      <c r="AB68" s="530">
        <f>IF(OR(7&gt;$B$3,ISBLANK(Actuals!I84)),"",Budget!I84-Actuals!I84)</f>
      </c>
      <c r="AC68" s="530">
        <f>IFERROR(IF(OR(7&gt;$B$3,ISBLANK(Actuals!I84)),"",(Budget!I84-Actuals!I84)/ABS(Budget!I84)),"")</f>
      </c>
      <c r="AD68" s="529">
        <f>Budget!J84</f>
        <v>-8125</v>
      </c>
      <c r="AE68" s="529">
        <f>IF(OR(8&gt;$B$3,ISBLANK(Actuals!J84)),"",Actuals!J84)</f>
      </c>
      <c r="AF68" s="530">
        <f>IF(OR(8&gt;$B$3,ISBLANK(Actuals!J84)),"",Budget!J84-Actuals!J84)</f>
      </c>
      <c r="AG68" s="530">
        <f>IFERROR(IF(OR(8&gt;$B$3,ISBLANK(Actuals!J84)),"",(Budget!J84-Actuals!J84)/ABS(Budget!J84)),"")</f>
      </c>
      <c r="AH68" s="529">
        <f>Budget!K84</f>
        <v>-8125</v>
      </c>
      <c r="AI68" s="529">
        <f>IF(OR(9&gt;$B$3,ISBLANK(Actuals!K84)),"",Actuals!K84)</f>
      </c>
      <c r="AJ68" s="530">
        <f>IF(OR(9&gt;$B$3,ISBLANK(Actuals!K84)),"",Budget!K84-Actuals!K84)</f>
      </c>
      <c r="AK68" s="530">
        <f>IFERROR(IF(OR(9&gt;$B$3,ISBLANK(Actuals!K84)),"",(Budget!K84-Actuals!K84)/ABS(Budget!K84)),"")</f>
      </c>
      <c r="AL68" s="529">
        <f>Budget!L84</f>
        <v>-8125</v>
      </c>
      <c r="AM68" s="529">
        <f>IF(OR(10&gt;$B$3,ISBLANK(Actuals!L84)),"",Actuals!L84)</f>
      </c>
      <c r="AN68" s="530">
        <f>IF(OR(10&gt;$B$3,ISBLANK(Actuals!L84)),"",Budget!L84-Actuals!L84)</f>
      </c>
      <c r="AO68" s="530">
        <f>IFERROR(IF(OR(10&gt;$B$3,ISBLANK(Actuals!L84)),"",(Budget!L84-Actuals!L84)/ABS(Budget!L84)),"")</f>
      </c>
      <c r="AP68" s="529">
        <f>Budget!M84</f>
        <v>-8125</v>
      </c>
      <c r="AQ68" s="529">
        <f>IF(OR(11&gt;$B$3,ISBLANK(Actuals!M84)),"",Actuals!M84)</f>
      </c>
      <c r="AR68" s="530">
        <f>IF(OR(11&gt;$B$3,ISBLANK(Actuals!M84)),"",Budget!M84-Actuals!M84)</f>
      </c>
      <c r="AS68" s="530">
        <f>IFERROR(IF(OR(11&gt;$B$3,ISBLANK(Actuals!M84)),"",(Budget!M84-Actuals!M84)/ABS(Budget!M84)),"")</f>
      </c>
      <c r="AT68" s="529">
        <f>Budget!N84</f>
        <v>-8125</v>
      </c>
      <c r="AU68" s="529">
        <f>IF(OR(12&gt;$B$3,ISBLANK(Actuals!N84)),"",Actuals!N84)</f>
      </c>
      <c r="AV68" s="530">
        <f>IF(OR(12&gt;$B$3,ISBLANK(Actuals!N84)),"",Budget!N84-Actuals!N84)</f>
      </c>
      <c r="AW68" s="530">
        <f>IFERROR(IF(OR(12&gt;$B$3,ISBLANK(Actuals!N84)),"",(Budget!N84-Actuals!N84)/ABS(Budget!N84)),"")</f>
      </c>
      <c r="AX68" s="531">
        <f>SUMPRODUCT((Actuals!C84:N84&lt;&gt;"")*(Budget!C84:N84))</f>
        <v>-48750</v>
      </c>
      <c r="AY68" s="531">
        <f>SUM(Actuals!C84:N84)</f>
        <v>-26165.66</v>
      </c>
      <c r="AZ68" s="532">
        <f>AX68-AY68</f>
        <v>-22584.34</v>
      </c>
    </row>
    <row r="69" ht="15" customFormat="1" customHeight="1" s="381">
      <c r="A69" s="528" t="inlineStr">
        <is>
          <t>5000-1002 Employee Benefits</t>
        </is>
      </c>
      <c r="B69" s="529">
        <f>Budget!C85</f>
        <v>-6554.17</v>
      </c>
      <c r="C69" s="529">
        <f>IF(OR(1&gt;$B$3,ISBLANK(Actuals!C85)),"",Actuals!C85)</f>
        <v>-12137.77</v>
      </c>
      <c r="D69" s="530">
        <f>IF(OR(1&gt;$B$3,ISBLANK(Actuals!C85)),"",Budget!C85-Actuals!C85)</f>
        <v>5583.6</v>
      </c>
      <c r="E69" s="530">
        <f>IFERROR(IF(OR(1&gt;$B$3,ISBLANK(Actuals!C85)),"",(Budget!C85-Actuals!C85)/ABS(Budget!C85)),"")</f>
        <v>0.85191565064684</v>
      </c>
      <c r="F69" s="529">
        <f>Budget!D85</f>
        <v>-6554.17</v>
      </c>
      <c r="G69" s="529">
        <f>IF(OR(2&gt;$B$3,ISBLANK(Actuals!D85)),"",Actuals!D85)</f>
        <v>-12137.78</v>
      </c>
      <c r="H69" s="530">
        <f>IF(OR(2&gt;$B$3,ISBLANK(Actuals!D85)),"",Budget!D85-Actuals!D85)</f>
        <v>5583.61</v>
      </c>
      <c r="I69" s="530">
        <f>IFERROR(IF(OR(2&gt;$B$3,ISBLANK(Actuals!D85)),"",(Budget!D85-Actuals!D85)/ABS(Budget!D85)),"")</f>
        <v>0.851917176393045</v>
      </c>
      <c r="J69" s="529">
        <f>Budget!E85</f>
        <v>-6554.17</v>
      </c>
      <c r="K69" s="529">
        <f>IF(OR(3&gt;$B$3,ISBLANK(Actuals!E85)),"",Actuals!E85)</f>
        <v>-12137.78</v>
      </c>
      <c r="L69" s="530">
        <f>IF(OR(3&gt;$B$3,ISBLANK(Actuals!E85)),"",Budget!E85-Actuals!E85)</f>
        <v>5583.61</v>
      </c>
      <c r="M69" s="530">
        <f>IFERROR(IF(OR(3&gt;$B$3,ISBLANK(Actuals!E85)),"",(Budget!E85-Actuals!E85)/ABS(Budget!E85)),"")</f>
        <v>0.851917176393045</v>
      </c>
      <c r="N69" s="529">
        <f>Budget!F85</f>
        <v>-6554.17</v>
      </c>
      <c r="O69" s="529">
        <f>IF(OR(4&gt;$B$3,ISBLANK(Actuals!F85)),"",Actuals!F85)</f>
        <v>-12137.78</v>
      </c>
      <c r="P69" s="530">
        <f>IF(OR(4&gt;$B$3,ISBLANK(Actuals!F85)),"",Budget!F85-Actuals!F85)</f>
        <v>5583.61</v>
      </c>
      <c r="Q69" s="530">
        <f>IFERROR(IF(OR(4&gt;$B$3,ISBLANK(Actuals!F85)),"",(Budget!F85-Actuals!F85)/ABS(Budget!F85)),"")</f>
        <v>0.851917176393045</v>
      </c>
      <c r="R69" s="529">
        <f>Budget!G85</f>
        <v>-6554.17</v>
      </c>
      <c r="S69" s="529">
        <f>IF(OR(5&gt;$B$3,ISBLANK(Actuals!G85)),"",Actuals!G85)</f>
        <v>-12137.78</v>
      </c>
      <c r="T69" s="530">
        <f>IF(OR(5&gt;$B$3,ISBLANK(Actuals!G85)),"",Budget!G85-Actuals!G85)</f>
        <v>5583.61</v>
      </c>
      <c r="U69" s="530">
        <f>IFERROR(IF(OR(5&gt;$B$3,ISBLANK(Actuals!G85)),"",(Budget!G85-Actuals!G85)/ABS(Budget!G85)),"")</f>
        <v>0.851917176393045</v>
      </c>
      <c r="V69" s="529">
        <f>Budget!H85</f>
        <v>-6554.17</v>
      </c>
      <c r="W69" s="529">
        <f>IF(OR(6&gt;$B$3,ISBLANK(Actuals!H85)),"",Actuals!H85)</f>
        <v>-12137.78</v>
      </c>
      <c r="X69" s="530">
        <f>IF(OR(6&gt;$B$3,ISBLANK(Actuals!H85)),"",Budget!H85-Actuals!H85)</f>
        <v>5583.61</v>
      </c>
      <c r="Y69" s="530">
        <f>IFERROR(IF(OR(6&gt;$B$3,ISBLANK(Actuals!H85)),"",(Budget!H85-Actuals!H85)/ABS(Budget!H85)),"")</f>
        <v>0.851917176393045</v>
      </c>
      <c r="Z69" s="529">
        <f>Budget!I85</f>
        <v>-6554.17</v>
      </c>
      <c r="AA69" s="529">
        <f>IF(OR(7&gt;$B$3,ISBLANK(Actuals!I85)),"",Actuals!I85)</f>
      </c>
      <c r="AB69" s="530">
        <f>IF(OR(7&gt;$B$3,ISBLANK(Actuals!I85)),"",Budget!I85-Actuals!I85)</f>
      </c>
      <c r="AC69" s="530">
        <f>IFERROR(IF(OR(7&gt;$B$3,ISBLANK(Actuals!I85)),"",(Budget!I85-Actuals!I85)/ABS(Budget!I85)),"")</f>
      </c>
      <c r="AD69" s="529">
        <f>Budget!J85</f>
        <v>-6554.17</v>
      </c>
      <c r="AE69" s="529">
        <f>IF(OR(8&gt;$B$3,ISBLANK(Actuals!J85)),"",Actuals!J85)</f>
      </c>
      <c r="AF69" s="530">
        <f>IF(OR(8&gt;$B$3,ISBLANK(Actuals!J85)),"",Budget!J85-Actuals!J85)</f>
      </c>
      <c r="AG69" s="530">
        <f>IFERROR(IF(OR(8&gt;$B$3,ISBLANK(Actuals!J85)),"",(Budget!J85-Actuals!J85)/ABS(Budget!J85)),"")</f>
      </c>
      <c r="AH69" s="529">
        <f>Budget!K85</f>
        <v>-6554.17</v>
      </c>
      <c r="AI69" s="529">
        <f>IF(OR(9&gt;$B$3,ISBLANK(Actuals!K85)),"",Actuals!K85)</f>
      </c>
      <c r="AJ69" s="530">
        <f>IF(OR(9&gt;$B$3,ISBLANK(Actuals!K85)),"",Budget!K85-Actuals!K85)</f>
      </c>
      <c r="AK69" s="530">
        <f>IFERROR(IF(OR(9&gt;$B$3,ISBLANK(Actuals!K85)),"",(Budget!K85-Actuals!K85)/ABS(Budget!K85)),"")</f>
      </c>
      <c r="AL69" s="529">
        <f>Budget!L85</f>
        <v>-6554.17</v>
      </c>
      <c r="AM69" s="529">
        <f>IF(OR(10&gt;$B$3,ISBLANK(Actuals!L85)),"",Actuals!L85)</f>
      </c>
      <c r="AN69" s="530">
        <f>IF(OR(10&gt;$B$3,ISBLANK(Actuals!L85)),"",Budget!L85-Actuals!L85)</f>
      </c>
      <c r="AO69" s="530">
        <f>IFERROR(IF(OR(10&gt;$B$3,ISBLANK(Actuals!L85)),"",(Budget!L85-Actuals!L85)/ABS(Budget!L85)),"")</f>
      </c>
      <c r="AP69" s="529">
        <f>Budget!M85</f>
        <v>-6554.17</v>
      </c>
      <c r="AQ69" s="529">
        <f>IF(OR(11&gt;$B$3,ISBLANK(Actuals!M85)),"",Actuals!M85)</f>
      </c>
      <c r="AR69" s="530">
        <f>IF(OR(11&gt;$B$3,ISBLANK(Actuals!M85)),"",Budget!M85-Actuals!M85)</f>
      </c>
      <c r="AS69" s="530">
        <f>IFERROR(IF(OR(11&gt;$B$3,ISBLANK(Actuals!M85)),"",(Budget!M85-Actuals!M85)/ABS(Budget!M85)),"")</f>
      </c>
      <c r="AT69" s="529">
        <f>Budget!N85</f>
        <v>-6554.17</v>
      </c>
      <c r="AU69" s="529">
        <f>IF(OR(12&gt;$B$3,ISBLANK(Actuals!N85)),"",Actuals!N85)</f>
      </c>
      <c r="AV69" s="530">
        <f>IF(OR(12&gt;$B$3,ISBLANK(Actuals!N85)),"",Budget!N85-Actuals!N85)</f>
      </c>
      <c r="AW69" s="530">
        <f>IFERROR(IF(OR(12&gt;$B$3,ISBLANK(Actuals!N85)),"",(Budget!N85-Actuals!N85)/ABS(Budget!N85)),"")</f>
      </c>
      <c r="AX69" s="531">
        <f>SUMPRODUCT((Actuals!C85:N85&lt;&gt;"")*(Budget!C85:N85))</f>
        <v>-39325.02</v>
      </c>
      <c r="AY69" s="531">
        <f>SUM(Actuals!C85:N85)</f>
        <v>-72826.67</v>
      </c>
      <c r="AZ69" s="532">
        <f>AX69-AY69</f>
        <v>33501.65</v>
      </c>
    </row>
    <row r="70" ht="15" customFormat="1" customHeight="1" s="381">
      <c r="A70" s="528" t="inlineStr">
        <is>
          <t>5000-1003 Workers Comp</t>
        </is>
      </c>
      <c r="B70" s="529">
        <f>Budget!C86</f>
        <v>-487.5</v>
      </c>
      <c r="C70" s="529">
        <f>IF(OR(1&gt;$B$3,ISBLANK(Actuals!C86)),"",Actuals!C86)</f>
        <v>-475.76</v>
      </c>
      <c r="D70" s="530">
        <f>IF(OR(1&gt;$B$3,ISBLANK(Actuals!C86)),"",Budget!C86-Actuals!C86)</f>
        <v>-11.74</v>
      </c>
      <c r="E70" s="530">
        <f>IFERROR(IF(OR(1&gt;$B$3,ISBLANK(Actuals!C86)),"",(Budget!C86-Actuals!C86)/ABS(Budget!C86)),"")</f>
        <v>-0.0240820512820513</v>
      </c>
      <c r="F70" s="529">
        <f>Budget!D86</f>
        <v>-487.5</v>
      </c>
      <c r="G70" s="529">
        <f>IF(OR(2&gt;$B$3,ISBLANK(Actuals!D86)),"",Actuals!D86)</f>
        <v>-475.76</v>
      </c>
      <c r="H70" s="530">
        <f>IF(OR(2&gt;$B$3,ISBLANK(Actuals!D86)),"",Budget!D86-Actuals!D86)</f>
        <v>-11.74</v>
      </c>
      <c r="I70" s="530">
        <f>IFERROR(IF(OR(2&gt;$B$3,ISBLANK(Actuals!D86)),"",(Budget!D86-Actuals!D86)/ABS(Budget!D86)),"")</f>
        <v>-0.0240820512820513</v>
      </c>
      <c r="J70" s="529">
        <f>Budget!E86</f>
        <v>-487.5</v>
      </c>
      <c r="K70" s="529">
        <f>IF(OR(3&gt;$B$3,ISBLANK(Actuals!E86)),"",Actuals!E86)</f>
        <v>-475.76</v>
      </c>
      <c r="L70" s="530">
        <f>IF(OR(3&gt;$B$3,ISBLANK(Actuals!E86)),"",Budget!E86-Actuals!E86)</f>
        <v>-11.74</v>
      </c>
      <c r="M70" s="530">
        <f>IFERROR(IF(OR(3&gt;$B$3,ISBLANK(Actuals!E86)),"",(Budget!E86-Actuals!E86)/ABS(Budget!E86)),"")</f>
        <v>-0.0240820512820513</v>
      </c>
      <c r="N70" s="529">
        <f>Budget!F86</f>
        <v>-487.5</v>
      </c>
      <c r="O70" s="529">
        <f>IF(OR(4&gt;$B$3,ISBLANK(Actuals!F86)),"",Actuals!F86)</f>
        <v>-475.76</v>
      </c>
      <c r="P70" s="530">
        <f>IF(OR(4&gt;$B$3,ISBLANK(Actuals!F86)),"",Budget!F86-Actuals!F86)</f>
        <v>-11.74</v>
      </c>
      <c r="Q70" s="530">
        <f>IFERROR(IF(OR(4&gt;$B$3,ISBLANK(Actuals!F86)),"",(Budget!F86-Actuals!F86)/ABS(Budget!F86)),"")</f>
        <v>-0.0240820512820513</v>
      </c>
      <c r="R70" s="529">
        <f>Budget!G86</f>
        <v>-487.5</v>
      </c>
      <c r="S70" s="529">
        <f>IF(OR(5&gt;$B$3,ISBLANK(Actuals!G86)),"",Actuals!G86)</f>
        <v>-475.76</v>
      </c>
      <c r="T70" s="530">
        <f>IF(OR(5&gt;$B$3,ISBLANK(Actuals!G86)),"",Budget!G86-Actuals!G86)</f>
        <v>-11.74</v>
      </c>
      <c r="U70" s="530">
        <f>IFERROR(IF(OR(5&gt;$B$3,ISBLANK(Actuals!G86)),"",(Budget!G86-Actuals!G86)/ABS(Budget!G86)),"")</f>
        <v>-0.0240820512820513</v>
      </c>
      <c r="V70" s="529">
        <f>Budget!H86</f>
        <v>-487.5</v>
      </c>
      <c r="W70" s="529">
        <f>IF(OR(6&gt;$B$3,ISBLANK(Actuals!H86)),"",Actuals!H86)</f>
        <v>-475.76</v>
      </c>
      <c r="X70" s="530">
        <f>IF(OR(6&gt;$B$3,ISBLANK(Actuals!H86)),"",Budget!H86-Actuals!H86)</f>
        <v>-11.74</v>
      </c>
      <c r="Y70" s="530">
        <f>IFERROR(IF(OR(6&gt;$B$3,ISBLANK(Actuals!H86)),"",(Budget!H86-Actuals!H86)/ABS(Budget!H86)),"")</f>
        <v>-0.0240820512820513</v>
      </c>
      <c r="Z70" s="529">
        <f>Budget!I86</f>
        <v>-487.5</v>
      </c>
      <c r="AA70" s="529">
        <f>IF(OR(7&gt;$B$3,ISBLANK(Actuals!I86)),"",Actuals!I86)</f>
      </c>
      <c r="AB70" s="530">
        <f>IF(OR(7&gt;$B$3,ISBLANK(Actuals!I86)),"",Budget!I86-Actuals!I86)</f>
      </c>
      <c r="AC70" s="530">
        <f>IFERROR(IF(OR(7&gt;$B$3,ISBLANK(Actuals!I86)),"",(Budget!I86-Actuals!I86)/ABS(Budget!I86)),"")</f>
      </c>
      <c r="AD70" s="529">
        <f>Budget!J86</f>
        <v>-487.5</v>
      </c>
      <c r="AE70" s="529">
        <f>IF(OR(8&gt;$B$3,ISBLANK(Actuals!J86)),"",Actuals!J86)</f>
      </c>
      <c r="AF70" s="530">
        <f>IF(OR(8&gt;$B$3,ISBLANK(Actuals!J86)),"",Budget!J86-Actuals!J86)</f>
      </c>
      <c r="AG70" s="530">
        <f>IFERROR(IF(OR(8&gt;$B$3,ISBLANK(Actuals!J86)),"",(Budget!J86-Actuals!J86)/ABS(Budget!J86)),"")</f>
      </c>
      <c r="AH70" s="529">
        <f>Budget!K86</f>
        <v>-487.5</v>
      </c>
      <c r="AI70" s="529">
        <f>IF(OR(9&gt;$B$3,ISBLANK(Actuals!K86)),"",Actuals!K86)</f>
      </c>
      <c r="AJ70" s="530">
        <f>IF(OR(9&gt;$B$3,ISBLANK(Actuals!K86)),"",Budget!K86-Actuals!K86)</f>
      </c>
      <c r="AK70" s="530">
        <f>IFERROR(IF(OR(9&gt;$B$3,ISBLANK(Actuals!K86)),"",(Budget!K86-Actuals!K86)/ABS(Budget!K86)),"")</f>
      </c>
      <c r="AL70" s="529">
        <f>Budget!L86</f>
        <v>-487.5</v>
      </c>
      <c r="AM70" s="529">
        <f>IF(OR(10&gt;$B$3,ISBLANK(Actuals!L86)),"",Actuals!L86)</f>
      </c>
      <c r="AN70" s="530">
        <f>IF(OR(10&gt;$B$3,ISBLANK(Actuals!L86)),"",Budget!L86-Actuals!L86)</f>
      </c>
      <c r="AO70" s="530">
        <f>IFERROR(IF(OR(10&gt;$B$3,ISBLANK(Actuals!L86)),"",(Budget!L86-Actuals!L86)/ABS(Budget!L86)),"")</f>
      </c>
      <c r="AP70" s="529">
        <f>Budget!M86</f>
        <v>-487.5</v>
      </c>
      <c r="AQ70" s="529">
        <f>IF(OR(11&gt;$B$3,ISBLANK(Actuals!M86)),"",Actuals!M86)</f>
      </c>
      <c r="AR70" s="530">
        <f>IF(OR(11&gt;$B$3,ISBLANK(Actuals!M86)),"",Budget!M86-Actuals!M86)</f>
      </c>
      <c r="AS70" s="530">
        <f>IFERROR(IF(OR(11&gt;$B$3,ISBLANK(Actuals!M86)),"",(Budget!M86-Actuals!M86)/ABS(Budget!M86)),"")</f>
      </c>
      <c r="AT70" s="529">
        <f>Budget!N86</f>
        <v>-487.5</v>
      </c>
      <c r="AU70" s="529">
        <f>IF(OR(12&gt;$B$3,ISBLANK(Actuals!N86)),"",Actuals!N86)</f>
      </c>
      <c r="AV70" s="530">
        <f>IF(OR(12&gt;$B$3,ISBLANK(Actuals!N86)),"",Budget!N86-Actuals!N86)</f>
      </c>
      <c r="AW70" s="530">
        <f>IFERROR(IF(OR(12&gt;$B$3,ISBLANK(Actuals!N86)),"",(Budget!N86-Actuals!N86)/ABS(Budget!N86)),"")</f>
      </c>
      <c r="AX70" s="531">
        <f>SUMPRODUCT((Actuals!C86:N86&lt;&gt;"")*(Budget!C86:N86))</f>
        <v>-2925</v>
      </c>
      <c r="AY70" s="531">
        <f>SUM(Actuals!C86:N86)</f>
        <v>-2854.56</v>
      </c>
      <c r="AZ70" s="532">
        <f>AX70-AY70</f>
        <v>-70.4399999999996</v>
      </c>
    </row>
    <row r="71" ht="15" customFormat="1" customHeight="1" s="381">
      <c r="A71" s="528" t="inlineStr">
        <is>
          <t>5000-1005 Payroll Servicing Fees</t>
        </is>
      </c>
      <c r="B71" s="529">
        <f>Budget!C87</f>
        <v>-270.83</v>
      </c>
      <c r="C71" s="529">
        <f>IF(OR(1&gt;$B$3,ISBLANK(Actuals!C87)),"",Actuals!C87)</f>
        <v>-2200.12</v>
      </c>
      <c r="D71" s="530">
        <f>IF(OR(1&gt;$B$3,ISBLANK(Actuals!C87)),"",Budget!C87-Actuals!C87)</f>
        <v>1929.29</v>
      </c>
      <c r="E71" s="530">
        <f>IFERROR(IF(OR(1&gt;$B$3,ISBLANK(Actuals!C87)),"",(Budget!C87-Actuals!C87)/ABS(Budget!C87)),"")</f>
        <v>7.12361998301518</v>
      </c>
      <c r="F71" s="529">
        <f>Budget!D87</f>
        <v>-270.83</v>
      </c>
      <c r="G71" s="529">
        <f>IF(OR(2&gt;$B$3,ISBLANK(Actuals!D87)),"",Actuals!D87)</f>
        <v>-2200.12</v>
      </c>
      <c r="H71" s="530">
        <f>IF(OR(2&gt;$B$3,ISBLANK(Actuals!D87)),"",Budget!D87-Actuals!D87)</f>
        <v>1929.29</v>
      </c>
      <c r="I71" s="530">
        <f>IFERROR(IF(OR(2&gt;$B$3,ISBLANK(Actuals!D87)),"",(Budget!D87-Actuals!D87)/ABS(Budget!D87)),"")</f>
        <v>7.12361998301518</v>
      </c>
      <c r="J71" s="529">
        <f>Budget!E87</f>
        <v>-270.83</v>
      </c>
      <c r="K71" s="529">
        <f>IF(OR(3&gt;$B$3,ISBLANK(Actuals!E87)),"",Actuals!E87)</f>
        <v>-2200.12</v>
      </c>
      <c r="L71" s="530">
        <f>IF(OR(3&gt;$B$3,ISBLANK(Actuals!E87)),"",Budget!E87-Actuals!E87)</f>
        <v>1929.29</v>
      </c>
      <c r="M71" s="530">
        <f>IFERROR(IF(OR(3&gt;$B$3,ISBLANK(Actuals!E87)),"",(Budget!E87-Actuals!E87)/ABS(Budget!E87)),"")</f>
        <v>7.12361998301518</v>
      </c>
      <c r="N71" s="529">
        <f>Budget!F87</f>
        <v>-270.83</v>
      </c>
      <c r="O71" s="529">
        <f>IF(OR(4&gt;$B$3,ISBLANK(Actuals!F87)),"",Actuals!F87)</f>
        <v>-2200.12</v>
      </c>
      <c r="P71" s="530">
        <f>IF(OR(4&gt;$B$3,ISBLANK(Actuals!F87)),"",Budget!F87-Actuals!F87)</f>
        <v>1929.29</v>
      </c>
      <c r="Q71" s="530">
        <f>IFERROR(IF(OR(4&gt;$B$3,ISBLANK(Actuals!F87)),"",(Budget!F87-Actuals!F87)/ABS(Budget!F87)),"")</f>
        <v>7.12361998301518</v>
      </c>
      <c r="R71" s="529">
        <f>Budget!G87</f>
        <v>-270.83</v>
      </c>
      <c r="S71" s="529">
        <f>IF(OR(5&gt;$B$3,ISBLANK(Actuals!G87)),"",Actuals!G87)</f>
        <v>-2200.12</v>
      </c>
      <c r="T71" s="530">
        <f>IF(OR(5&gt;$B$3,ISBLANK(Actuals!G87)),"",Budget!G87-Actuals!G87)</f>
        <v>1929.29</v>
      </c>
      <c r="U71" s="530">
        <f>IFERROR(IF(OR(5&gt;$B$3,ISBLANK(Actuals!G87)),"",(Budget!G87-Actuals!G87)/ABS(Budget!G87)),"")</f>
        <v>7.12361998301518</v>
      </c>
      <c r="V71" s="529">
        <f>Budget!H87</f>
        <v>-270.83</v>
      </c>
      <c r="W71" s="529">
        <f>IF(OR(6&gt;$B$3,ISBLANK(Actuals!H87)),"",Actuals!H87)</f>
        <v>-2200.12</v>
      </c>
      <c r="X71" s="530">
        <f>IF(OR(6&gt;$B$3,ISBLANK(Actuals!H87)),"",Budget!H87-Actuals!H87)</f>
        <v>1929.29</v>
      </c>
      <c r="Y71" s="530">
        <f>IFERROR(IF(OR(6&gt;$B$3,ISBLANK(Actuals!H87)),"",(Budget!H87-Actuals!H87)/ABS(Budget!H87)),"")</f>
        <v>7.12361998301518</v>
      </c>
      <c r="Z71" s="529">
        <f>Budget!I87</f>
        <v>-270.83</v>
      </c>
      <c r="AA71" s="529">
        <f>IF(OR(7&gt;$B$3,ISBLANK(Actuals!I87)),"",Actuals!I87)</f>
      </c>
      <c r="AB71" s="530">
        <f>IF(OR(7&gt;$B$3,ISBLANK(Actuals!I87)),"",Budget!I87-Actuals!I87)</f>
      </c>
      <c r="AC71" s="530">
        <f>IFERROR(IF(OR(7&gt;$B$3,ISBLANK(Actuals!I87)),"",(Budget!I87-Actuals!I87)/ABS(Budget!I87)),"")</f>
      </c>
      <c r="AD71" s="529">
        <f>Budget!J87</f>
        <v>-270.83</v>
      </c>
      <c r="AE71" s="529">
        <f>IF(OR(8&gt;$B$3,ISBLANK(Actuals!J87)),"",Actuals!J87)</f>
      </c>
      <c r="AF71" s="530">
        <f>IF(OR(8&gt;$B$3,ISBLANK(Actuals!J87)),"",Budget!J87-Actuals!J87)</f>
      </c>
      <c r="AG71" s="530">
        <f>IFERROR(IF(OR(8&gt;$B$3,ISBLANK(Actuals!J87)),"",(Budget!J87-Actuals!J87)/ABS(Budget!J87)),"")</f>
      </c>
      <c r="AH71" s="529">
        <f>Budget!K87</f>
        <v>-270.83</v>
      </c>
      <c r="AI71" s="529">
        <f>IF(OR(9&gt;$B$3,ISBLANK(Actuals!K87)),"",Actuals!K87)</f>
      </c>
      <c r="AJ71" s="530">
        <f>IF(OR(9&gt;$B$3,ISBLANK(Actuals!K87)),"",Budget!K87-Actuals!K87)</f>
      </c>
      <c r="AK71" s="530">
        <f>IFERROR(IF(OR(9&gt;$B$3,ISBLANK(Actuals!K87)),"",(Budget!K87-Actuals!K87)/ABS(Budget!K87)),"")</f>
      </c>
      <c r="AL71" s="529">
        <f>Budget!L87</f>
        <v>-270.83</v>
      </c>
      <c r="AM71" s="529">
        <f>IF(OR(10&gt;$B$3,ISBLANK(Actuals!L87)),"",Actuals!L87)</f>
      </c>
      <c r="AN71" s="530">
        <f>IF(OR(10&gt;$B$3,ISBLANK(Actuals!L87)),"",Budget!L87-Actuals!L87)</f>
      </c>
      <c r="AO71" s="530">
        <f>IFERROR(IF(OR(10&gt;$B$3,ISBLANK(Actuals!L87)),"",(Budget!L87-Actuals!L87)/ABS(Budget!L87)),"")</f>
      </c>
      <c r="AP71" s="529">
        <f>Budget!M87</f>
        <v>-270.83</v>
      </c>
      <c r="AQ71" s="529">
        <f>IF(OR(11&gt;$B$3,ISBLANK(Actuals!M87)),"",Actuals!M87)</f>
      </c>
      <c r="AR71" s="530">
        <f>IF(OR(11&gt;$B$3,ISBLANK(Actuals!M87)),"",Budget!M87-Actuals!M87)</f>
      </c>
      <c r="AS71" s="530">
        <f>IFERROR(IF(OR(11&gt;$B$3,ISBLANK(Actuals!M87)),"",(Budget!M87-Actuals!M87)/ABS(Budget!M87)),"")</f>
      </c>
      <c r="AT71" s="529">
        <f>Budget!N87</f>
        <v>-270.83</v>
      </c>
      <c r="AU71" s="529">
        <f>IF(OR(12&gt;$B$3,ISBLANK(Actuals!N87)),"",Actuals!N87)</f>
      </c>
      <c r="AV71" s="530">
        <f>IF(OR(12&gt;$B$3,ISBLANK(Actuals!N87)),"",Budget!N87-Actuals!N87)</f>
      </c>
      <c r="AW71" s="530">
        <f>IFERROR(IF(OR(12&gt;$B$3,ISBLANK(Actuals!N87)),"",(Budget!N87-Actuals!N87)/ABS(Budget!N87)),"")</f>
      </c>
      <c r="AX71" s="531">
        <f>SUMPRODUCT((Actuals!C87:N87&lt;&gt;"")*(Budget!C87:N87))</f>
        <v>-1624.98</v>
      </c>
      <c r="AY71" s="531">
        <f>SUM(Actuals!C87:N87)</f>
        <v>-13200.72</v>
      </c>
      <c r="AZ71" s="532">
        <f>AX71-AY71</f>
        <v>11575.74</v>
      </c>
    </row>
    <row r="72" ht="15" customFormat="1" customHeight="1" s="381">
      <c r="A72" s="528" t="inlineStr">
        <is>
          <t>5100-1000 Rent Expense</t>
        </is>
      </c>
      <c r="B72" s="529">
        <f>Budget!C88</f>
        <v>-8000</v>
      </c>
      <c r="C72" s="529">
        <f>IF(OR(1&gt;$B$3,ISBLANK(Actuals!C88)),"",Actuals!C88)</f>
        <v>-8848.65</v>
      </c>
      <c r="D72" s="530">
        <f>IF(OR(1&gt;$B$3,ISBLANK(Actuals!C88)),"",Budget!C88-Actuals!C88)</f>
        <v>848.65</v>
      </c>
      <c r="E72" s="530">
        <f>IFERROR(IF(OR(1&gt;$B$3,ISBLANK(Actuals!C88)),"",(Budget!C88-Actuals!C88)/ABS(Budget!C88)),"")</f>
        <v>0.10608125</v>
      </c>
      <c r="F72" s="529">
        <f>Budget!D88</f>
        <v>-8000</v>
      </c>
      <c r="G72" s="529">
        <f>IF(OR(2&gt;$B$3,ISBLANK(Actuals!D88)),"",Actuals!D88)</f>
        <v>-8817.63</v>
      </c>
      <c r="H72" s="530">
        <f>IF(OR(2&gt;$B$3,ISBLANK(Actuals!D88)),"",Budget!D88-Actuals!D88)</f>
        <v>817.629999999999</v>
      </c>
      <c r="I72" s="530">
        <f>IFERROR(IF(OR(2&gt;$B$3,ISBLANK(Actuals!D88)),"",(Budget!D88-Actuals!D88)/ABS(Budget!D88)),"")</f>
        <v>0.10220375</v>
      </c>
      <c r="J72" s="529">
        <f>Budget!E88</f>
        <v>-8000</v>
      </c>
      <c r="K72" s="529">
        <f>IF(OR(3&gt;$B$3,ISBLANK(Actuals!E88)),"",Actuals!E88)</f>
        <v>-3775.91</v>
      </c>
      <c r="L72" s="530">
        <f>IF(OR(3&gt;$B$3,ISBLANK(Actuals!E88)),"",Budget!E88-Actuals!E88)</f>
        <v>-4224.09</v>
      </c>
      <c r="M72" s="530">
        <f>IFERROR(IF(OR(3&gt;$B$3,ISBLANK(Actuals!E88)),"",(Budget!E88-Actuals!E88)/ABS(Budget!E88)),"")</f>
        <v>-0.52801125</v>
      </c>
      <c r="N72" s="529">
        <f>Budget!F88</f>
        <v>-8000</v>
      </c>
      <c r="O72" s="529">
        <f>IF(OR(4&gt;$B$3,ISBLANK(Actuals!F88)),"",Actuals!F88)</f>
        <v>-8731.12</v>
      </c>
      <c r="P72" s="530">
        <f>IF(OR(4&gt;$B$3,ISBLANK(Actuals!F88)),"",Budget!F88-Actuals!F88)</f>
        <v>731.120000000001</v>
      </c>
      <c r="Q72" s="530">
        <f>IFERROR(IF(OR(4&gt;$B$3,ISBLANK(Actuals!F88)),"",(Budget!F88-Actuals!F88)/ABS(Budget!F88)),"")</f>
        <v>0.0913900000000001</v>
      </c>
      <c r="R72" s="529">
        <f>Budget!G88</f>
        <v>-8000</v>
      </c>
      <c r="S72" s="529">
        <f>IF(OR(5&gt;$B$3,ISBLANK(Actuals!G88)),"",Actuals!G88)</f>
        <v>-8739.17</v>
      </c>
      <c r="T72" s="530">
        <f>IF(OR(5&gt;$B$3,ISBLANK(Actuals!G88)),"",Budget!G88-Actuals!G88)</f>
        <v>739.17</v>
      </c>
      <c r="U72" s="530">
        <f>IFERROR(IF(OR(5&gt;$B$3,ISBLANK(Actuals!G88)),"",(Budget!G88-Actuals!G88)/ABS(Budget!G88)),"")</f>
        <v>0.09239625</v>
      </c>
      <c r="V72" s="529">
        <f>Budget!H88</f>
        <v>-8000</v>
      </c>
      <c r="W72" s="529">
        <f>IF(OR(6&gt;$B$3,ISBLANK(Actuals!H88)),"",Actuals!H88)</f>
        <v>-8771.99</v>
      </c>
      <c r="X72" s="530">
        <f>IF(OR(6&gt;$B$3,ISBLANK(Actuals!H88)),"",Budget!H88-Actuals!H88)</f>
        <v>771.99</v>
      </c>
      <c r="Y72" s="530">
        <f>IFERROR(IF(OR(6&gt;$B$3,ISBLANK(Actuals!H88)),"",(Budget!H88-Actuals!H88)/ABS(Budget!H88)),"")</f>
        <v>0.09649875</v>
      </c>
      <c r="Z72" s="529">
        <f>Budget!I88</f>
        <v>-8160</v>
      </c>
      <c r="AA72" s="529">
        <f>IF(OR(7&gt;$B$3,ISBLANK(Actuals!I88)),"",Actuals!I88)</f>
      </c>
      <c r="AB72" s="530">
        <f>IF(OR(7&gt;$B$3,ISBLANK(Actuals!I88)),"",Budget!I88-Actuals!I88)</f>
      </c>
      <c r="AC72" s="530">
        <f>IFERROR(IF(OR(7&gt;$B$3,ISBLANK(Actuals!I88)),"",(Budget!I88-Actuals!I88)/ABS(Budget!I88)),"")</f>
      </c>
      <c r="AD72" s="529">
        <f>Budget!J88</f>
        <v>-8160</v>
      </c>
      <c r="AE72" s="529">
        <f>IF(OR(8&gt;$B$3,ISBLANK(Actuals!J88)),"",Actuals!J88)</f>
      </c>
      <c r="AF72" s="530">
        <f>IF(OR(8&gt;$B$3,ISBLANK(Actuals!J88)),"",Budget!J88-Actuals!J88)</f>
      </c>
      <c r="AG72" s="530">
        <f>IFERROR(IF(OR(8&gt;$B$3,ISBLANK(Actuals!J88)),"",(Budget!J88-Actuals!J88)/ABS(Budget!J88)),"")</f>
      </c>
      <c r="AH72" s="529">
        <f>Budget!K88</f>
        <v>-8160</v>
      </c>
      <c r="AI72" s="529">
        <f>IF(OR(9&gt;$B$3,ISBLANK(Actuals!K88)),"",Actuals!K88)</f>
      </c>
      <c r="AJ72" s="530">
        <f>IF(OR(9&gt;$B$3,ISBLANK(Actuals!K88)),"",Budget!K88-Actuals!K88)</f>
      </c>
      <c r="AK72" s="530">
        <f>IFERROR(IF(OR(9&gt;$B$3,ISBLANK(Actuals!K88)),"",(Budget!K88-Actuals!K88)/ABS(Budget!K88)),"")</f>
      </c>
      <c r="AL72" s="529">
        <f>Budget!L88</f>
        <v>-8160</v>
      </c>
      <c r="AM72" s="529">
        <f>IF(OR(10&gt;$B$3,ISBLANK(Actuals!L88)),"",Actuals!L88)</f>
      </c>
      <c r="AN72" s="530">
        <f>IF(OR(10&gt;$B$3,ISBLANK(Actuals!L88)),"",Budget!L88-Actuals!L88)</f>
      </c>
      <c r="AO72" s="530">
        <f>IFERROR(IF(OR(10&gt;$B$3,ISBLANK(Actuals!L88)),"",(Budget!L88-Actuals!L88)/ABS(Budget!L88)),"")</f>
      </c>
      <c r="AP72" s="529">
        <f>Budget!M88</f>
        <v>-8160</v>
      </c>
      <c r="AQ72" s="529">
        <f>IF(OR(11&gt;$B$3,ISBLANK(Actuals!M88)),"",Actuals!M88)</f>
      </c>
      <c r="AR72" s="530">
        <f>IF(OR(11&gt;$B$3,ISBLANK(Actuals!M88)),"",Budget!M88-Actuals!M88)</f>
      </c>
      <c r="AS72" s="530">
        <f>IFERROR(IF(OR(11&gt;$B$3,ISBLANK(Actuals!M88)),"",(Budget!M88-Actuals!M88)/ABS(Budget!M88)),"")</f>
      </c>
      <c r="AT72" s="529">
        <f>Budget!N88</f>
        <v>-8160</v>
      </c>
      <c r="AU72" s="529">
        <f>IF(OR(12&gt;$B$3,ISBLANK(Actuals!N88)),"",Actuals!N88)</f>
      </c>
      <c r="AV72" s="530">
        <f>IF(OR(12&gt;$B$3,ISBLANK(Actuals!N88)),"",Budget!N88-Actuals!N88)</f>
      </c>
      <c r="AW72" s="530">
        <f>IFERROR(IF(OR(12&gt;$B$3,ISBLANK(Actuals!N88)),"",(Budget!N88-Actuals!N88)/ABS(Budget!N88)),"")</f>
      </c>
      <c r="AX72" s="531">
        <f>SUMPRODUCT((Actuals!C88:N88&lt;&gt;"")*(Budget!C88:N88))</f>
        <v>-48000</v>
      </c>
      <c r="AY72" s="531">
        <f>SUM(Actuals!C88:N88)</f>
        <v>-47684.47</v>
      </c>
      <c r="AZ72" s="532">
        <f>AX72-AY72</f>
        <v>-315.530000000006</v>
      </c>
    </row>
    <row r="73" ht="15" customFormat="1" customHeight="1" s="381">
      <c r="A73" s="528" t="inlineStr">
        <is>
          <t>5200-1000 Office Supplies and Expenses</t>
        </is>
      </c>
      <c r="B73" s="529">
        <f>Budget!C89</f>
        <v>-183.33</v>
      </c>
      <c r="C73" s="529">
        <f>IF(OR(1&gt;$B$3,ISBLANK(Actuals!C89)),"",Actuals!C89)</f>
        <v>-1722.9</v>
      </c>
      <c r="D73" s="530">
        <f>IF(OR(1&gt;$B$3,ISBLANK(Actuals!C89)),"",Budget!C89-Actuals!C89)</f>
        <v>1539.57</v>
      </c>
      <c r="E73" s="530">
        <f>IFERROR(IF(OR(1&gt;$B$3,ISBLANK(Actuals!C89)),"",(Budget!C89-Actuals!C89)/ABS(Budget!C89)),"")</f>
        <v>8.39780723285878</v>
      </c>
      <c r="F73" s="529">
        <f>Budget!D89</f>
        <v>-183.33</v>
      </c>
      <c r="G73" s="529">
        <f>IF(OR(2&gt;$B$3,ISBLANK(Actuals!D89)),"",Actuals!D89)</f>
        <v>0</v>
      </c>
      <c r="H73" s="530">
        <f>IF(OR(2&gt;$B$3,ISBLANK(Actuals!D89)),"",Budget!D89-Actuals!D89)</f>
        <v>-183.33</v>
      </c>
      <c r="I73" s="530">
        <f>IFERROR(IF(OR(2&gt;$B$3,ISBLANK(Actuals!D89)),"",(Budget!D89-Actuals!D89)/ABS(Budget!D89)),"")</f>
        <v>-1</v>
      </c>
      <c r="J73" s="529">
        <f>Budget!E89</f>
        <v>-183.33</v>
      </c>
      <c r="K73" s="529">
        <f>IF(OR(3&gt;$B$3,ISBLANK(Actuals!E89)),"",Actuals!E89)</f>
        <v>-28.51</v>
      </c>
      <c r="L73" s="530">
        <f>IF(OR(3&gt;$B$3,ISBLANK(Actuals!E89)),"",Budget!E89-Actuals!E89)</f>
        <v>-154.82</v>
      </c>
      <c r="M73" s="530">
        <f>IFERROR(IF(OR(3&gt;$B$3,ISBLANK(Actuals!E89)),"",(Budget!E89-Actuals!E89)/ABS(Budget!E89)),"")</f>
        <v>-0.844488081601484</v>
      </c>
      <c r="N73" s="529">
        <f>Budget!F89</f>
        <v>-183.33</v>
      </c>
      <c r="O73" s="529">
        <f>IF(OR(4&gt;$B$3,ISBLANK(Actuals!F89)),"",Actuals!F89)</f>
        <v>0</v>
      </c>
      <c r="P73" s="530">
        <f>IF(OR(4&gt;$B$3,ISBLANK(Actuals!F89)),"",Budget!F89-Actuals!F89)</f>
        <v>-183.33</v>
      </c>
      <c r="Q73" s="530">
        <f>IFERROR(IF(OR(4&gt;$B$3,ISBLANK(Actuals!F89)),"",(Budget!F89-Actuals!F89)/ABS(Budget!F89)),"")</f>
        <v>-1</v>
      </c>
      <c r="R73" s="529">
        <f>Budget!G89</f>
        <v>-183.33</v>
      </c>
      <c r="S73" s="529">
        <f>IF(OR(5&gt;$B$3,ISBLANK(Actuals!G89)),"",Actuals!G89)</f>
        <v>-212.12</v>
      </c>
      <c r="T73" s="530">
        <f>IF(OR(5&gt;$B$3,ISBLANK(Actuals!G89)),"",Budget!G89-Actuals!G89)</f>
        <v>28.79</v>
      </c>
      <c r="U73" s="530">
        <f>IFERROR(IF(OR(5&gt;$B$3,ISBLANK(Actuals!G89)),"",(Budget!G89-Actuals!G89)/ABS(Budget!G89)),"")</f>
        <v>0.157039218894889</v>
      </c>
      <c r="V73" s="529">
        <f>Budget!H89</f>
        <v>-183.33</v>
      </c>
      <c r="W73" s="529">
        <f>IF(OR(6&gt;$B$3,ISBLANK(Actuals!H89)),"",Actuals!H89)</f>
        <v>-83.92</v>
      </c>
      <c r="X73" s="530">
        <f>IF(OR(6&gt;$B$3,ISBLANK(Actuals!H89)),"",Budget!H89-Actuals!H89)</f>
        <v>-99.41</v>
      </c>
      <c r="Y73" s="530">
        <f>IFERROR(IF(OR(6&gt;$B$3,ISBLANK(Actuals!H89)),"",(Budget!H89-Actuals!H89)/ABS(Budget!H89)),"")</f>
        <v>-0.542246222658594</v>
      </c>
      <c r="Z73" s="529">
        <f>Budget!I89</f>
        <v>-187</v>
      </c>
      <c r="AA73" s="529">
        <f>IF(OR(7&gt;$B$3,ISBLANK(Actuals!I89)),"",Actuals!I89)</f>
      </c>
      <c r="AB73" s="530">
        <f>IF(OR(7&gt;$B$3,ISBLANK(Actuals!I89)),"",Budget!I89-Actuals!I89)</f>
      </c>
      <c r="AC73" s="530">
        <f>IFERROR(IF(OR(7&gt;$B$3,ISBLANK(Actuals!I89)),"",(Budget!I89-Actuals!I89)/ABS(Budget!I89)),"")</f>
      </c>
      <c r="AD73" s="529">
        <f>Budget!J89</f>
        <v>-187</v>
      </c>
      <c r="AE73" s="529">
        <f>IF(OR(8&gt;$B$3,ISBLANK(Actuals!J89)),"",Actuals!J89)</f>
      </c>
      <c r="AF73" s="530">
        <f>IF(OR(8&gt;$B$3,ISBLANK(Actuals!J89)),"",Budget!J89-Actuals!J89)</f>
      </c>
      <c r="AG73" s="530">
        <f>IFERROR(IF(OR(8&gt;$B$3,ISBLANK(Actuals!J89)),"",(Budget!J89-Actuals!J89)/ABS(Budget!J89)),"")</f>
      </c>
      <c r="AH73" s="529">
        <f>Budget!K89</f>
        <v>-187</v>
      </c>
      <c r="AI73" s="529">
        <f>IF(OR(9&gt;$B$3,ISBLANK(Actuals!K89)),"",Actuals!K89)</f>
      </c>
      <c r="AJ73" s="530">
        <f>IF(OR(9&gt;$B$3,ISBLANK(Actuals!K89)),"",Budget!K89-Actuals!K89)</f>
      </c>
      <c r="AK73" s="530">
        <f>IFERROR(IF(OR(9&gt;$B$3,ISBLANK(Actuals!K89)),"",(Budget!K89-Actuals!K89)/ABS(Budget!K89)),"")</f>
      </c>
      <c r="AL73" s="529">
        <f>Budget!L89</f>
        <v>-187</v>
      </c>
      <c r="AM73" s="529">
        <f>IF(OR(10&gt;$B$3,ISBLANK(Actuals!L89)),"",Actuals!L89)</f>
      </c>
      <c r="AN73" s="530">
        <f>IF(OR(10&gt;$B$3,ISBLANK(Actuals!L89)),"",Budget!L89-Actuals!L89)</f>
      </c>
      <c r="AO73" s="530">
        <f>IFERROR(IF(OR(10&gt;$B$3,ISBLANK(Actuals!L89)),"",(Budget!L89-Actuals!L89)/ABS(Budget!L89)),"")</f>
      </c>
      <c r="AP73" s="529">
        <f>Budget!M89</f>
        <v>-187</v>
      </c>
      <c r="AQ73" s="529">
        <f>IF(OR(11&gt;$B$3,ISBLANK(Actuals!M89)),"",Actuals!M89)</f>
      </c>
      <c r="AR73" s="530">
        <f>IF(OR(11&gt;$B$3,ISBLANK(Actuals!M89)),"",Budget!M89-Actuals!M89)</f>
      </c>
      <c r="AS73" s="530">
        <f>IFERROR(IF(OR(11&gt;$B$3,ISBLANK(Actuals!M89)),"",(Budget!M89-Actuals!M89)/ABS(Budget!M89)),"")</f>
      </c>
      <c r="AT73" s="529">
        <f>Budget!N89</f>
        <v>-187</v>
      </c>
      <c r="AU73" s="529">
        <f>IF(OR(12&gt;$B$3,ISBLANK(Actuals!N89)),"",Actuals!N89)</f>
      </c>
      <c r="AV73" s="530">
        <f>IF(OR(12&gt;$B$3,ISBLANK(Actuals!N89)),"",Budget!N89-Actuals!N89)</f>
      </c>
      <c r="AW73" s="530">
        <f>IFERROR(IF(OR(12&gt;$B$3,ISBLANK(Actuals!N89)),"",(Budget!N89-Actuals!N89)/ABS(Budget!N89)),"")</f>
      </c>
      <c r="AX73" s="531">
        <f>SUMPRODUCT((Actuals!C89:N89&lt;&gt;"")*(Budget!C89:N89))</f>
        <v>-1099.98</v>
      </c>
      <c r="AY73" s="531">
        <f>SUM(Actuals!C89:N89)</f>
        <v>-2047.45</v>
      </c>
      <c r="AZ73" s="532">
        <f>AX73-AY73</f>
        <v>947.47</v>
      </c>
    </row>
    <row r="74" ht="15" customFormat="1" customHeight="1" s="381">
      <c r="A74" s="528" t="inlineStr">
        <is>
          <t>5200-1053 IT Software and Subscriptions</t>
        </is>
      </c>
      <c r="B74" s="529">
        <f>Budget!C90</f>
        <v>-3000</v>
      </c>
      <c r="C74" s="529">
        <f>IF(OR(1&gt;$B$3,ISBLANK(Actuals!C90)),"",Actuals!C90)</f>
        <v>-246.85</v>
      </c>
      <c r="D74" s="530">
        <f>IF(OR(1&gt;$B$3,ISBLANK(Actuals!C90)),"",Budget!C90-Actuals!C90)</f>
        <v>-2753.15</v>
      </c>
      <c r="E74" s="530">
        <f>IFERROR(IF(OR(1&gt;$B$3,ISBLANK(Actuals!C90)),"",(Budget!C90-Actuals!C90)/ABS(Budget!C90)),"")</f>
        <v>-0.917716666666667</v>
      </c>
      <c r="F74" s="529">
        <f>Budget!D90</f>
        <v>-3000</v>
      </c>
      <c r="G74" s="529">
        <f>IF(OR(2&gt;$B$3,ISBLANK(Actuals!D90)),"",Actuals!D90)</f>
        <v>0</v>
      </c>
      <c r="H74" s="530">
        <f>IF(OR(2&gt;$B$3,ISBLANK(Actuals!D90)),"",Budget!D90-Actuals!D90)</f>
        <v>-3000</v>
      </c>
      <c r="I74" s="530">
        <f>IFERROR(IF(OR(2&gt;$B$3,ISBLANK(Actuals!D90)),"",(Budget!D90-Actuals!D90)/ABS(Budget!D90)),"")</f>
        <v>-1</v>
      </c>
      <c r="J74" s="529">
        <f>Budget!E90</f>
        <v>-3000</v>
      </c>
      <c r="K74" s="529">
        <f>IF(OR(3&gt;$B$3,ISBLANK(Actuals!E90)),"",Actuals!E90)</f>
        <v>-4246.73</v>
      </c>
      <c r="L74" s="530">
        <f>IF(OR(3&gt;$B$3,ISBLANK(Actuals!E90)),"",Budget!E90-Actuals!E90)</f>
        <v>1246.73</v>
      </c>
      <c r="M74" s="530">
        <f>IFERROR(IF(OR(3&gt;$B$3,ISBLANK(Actuals!E90)),"",(Budget!E90-Actuals!E90)/ABS(Budget!E90)),"")</f>
        <v>0.415576666666667</v>
      </c>
      <c r="N74" s="529">
        <f>Budget!F90</f>
        <v>-3000</v>
      </c>
      <c r="O74" s="529">
        <f>IF(OR(4&gt;$B$3,ISBLANK(Actuals!F90)),"",Actuals!F90)</f>
        <v>-3123.87</v>
      </c>
      <c r="P74" s="530">
        <f>IF(OR(4&gt;$B$3,ISBLANK(Actuals!F90)),"",Budget!F90-Actuals!F90)</f>
        <v>123.87</v>
      </c>
      <c r="Q74" s="530">
        <f>IFERROR(IF(OR(4&gt;$B$3,ISBLANK(Actuals!F90)),"",(Budget!F90-Actuals!F90)/ABS(Budget!F90)),"")</f>
        <v>0.04129</v>
      </c>
      <c r="R74" s="529">
        <f>Budget!G90</f>
        <v>-3000</v>
      </c>
      <c r="S74" s="529">
        <f>IF(OR(5&gt;$B$3,ISBLANK(Actuals!G90)),"",Actuals!G90)</f>
        <v>-3184.88</v>
      </c>
      <c r="T74" s="530">
        <f>IF(OR(5&gt;$B$3,ISBLANK(Actuals!G90)),"",Budget!G90-Actuals!G90)</f>
        <v>184.88</v>
      </c>
      <c r="U74" s="530">
        <f>IFERROR(IF(OR(5&gt;$B$3,ISBLANK(Actuals!G90)),"",(Budget!G90-Actuals!G90)/ABS(Budget!G90)),"")</f>
        <v>0.0616266666666667</v>
      </c>
      <c r="V74" s="529">
        <f>Budget!H90</f>
        <v>-3000</v>
      </c>
      <c r="W74" s="529">
        <f>IF(OR(6&gt;$B$3,ISBLANK(Actuals!H90)),"",Actuals!H90)</f>
        <v>-4015.94</v>
      </c>
      <c r="X74" s="530">
        <f>IF(OR(6&gt;$B$3,ISBLANK(Actuals!H90)),"",Budget!H90-Actuals!H90)</f>
        <v>1015.94</v>
      </c>
      <c r="Y74" s="530">
        <f>IFERROR(IF(OR(6&gt;$B$3,ISBLANK(Actuals!H90)),"",(Budget!H90-Actuals!H90)/ABS(Budget!H90)),"")</f>
        <v>0.338646666666667</v>
      </c>
      <c r="Z74" s="529">
        <f>Budget!I90</f>
        <v>-3060</v>
      </c>
      <c r="AA74" s="529">
        <f>IF(OR(7&gt;$B$3,ISBLANK(Actuals!I90)),"",Actuals!I90)</f>
      </c>
      <c r="AB74" s="530">
        <f>IF(OR(7&gt;$B$3,ISBLANK(Actuals!I90)),"",Budget!I90-Actuals!I90)</f>
      </c>
      <c r="AC74" s="530">
        <f>IFERROR(IF(OR(7&gt;$B$3,ISBLANK(Actuals!I90)),"",(Budget!I90-Actuals!I90)/ABS(Budget!I90)),"")</f>
      </c>
      <c r="AD74" s="529">
        <f>Budget!J90</f>
        <v>-3060</v>
      </c>
      <c r="AE74" s="529">
        <f>IF(OR(8&gt;$B$3,ISBLANK(Actuals!J90)),"",Actuals!J90)</f>
      </c>
      <c r="AF74" s="530">
        <f>IF(OR(8&gt;$B$3,ISBLANK(Actuals!J90)),"",Budget!J90-Actuals!J90)</f>
      </c>
      <c r="AG74" s="530">
        <f>IFERROR(IF(OR(8&gt;$B$3,ISBLANK(Actuals!J90)),"",(Budget!J90-Actuals!J90)/ABS(Budget!J90)),"")</f>
      </c>
      <c r="AH74" s="529">
        <f>Budget!K90</f>
        <v>-3060</v>
      </c>
      <c r="AI74" s="529">
        <f>IF(OR(9&gt;$B$3,ISBLANK(Actuals!K90)),"",Actuals!K90)</f>
      </c>
      <c r="AJ74" s="530">
        <f>IF(OR(9&gt;$B$3,ISBLANK(Actuals!K90)),"",Budget!K90-Actuals!K90)</f>
      </c>
      <c r="AK74" s="530">
        <f>IFERROR(IF(OR(9&gt;$B$3,ISBLANK(Actuals!K90)),"",(Budget!K90-Actuals!K90)/ABS(Budget!K90)),"")</f>
      </c>
      <c r="AL74" s="529">
        <f>Budget!L90</f>
        <v>-3060</v>
      </c>
      <c r="AM74" s="529">
        <f>IF(OR(10&gt;$B$3,ISBLANK(Actuals!L90)),"",Actuals!L90)</f>
      </c>
      <c r="AN74" s="530">
        <f>IF(OR(10&gt;$B$3,ISBLANK(Actuals!L90)),"",Budget!L90-Actuals!L90)</f>
      </c>
      <c r="AO74" s="530">
        <f>IFERROR(IF(OR(10&gt;$B$3,ISBLANK(Actuals!L90)),"",(Budget!L90-Actuals!L90)/ABS(Budget!L90)),"")</f>
      </c>
      <c r="AP74" s="529">
        <f>Budget!M90</f>
        <v>-3060</v>
      </c>
      <c r="AQ74" s="529">
        <f>IF(OR(11&gt;$B$3,ISBLANK(Actuals!M90)),"",Actuals!M90)</f>
      </c>
      <c r="AR74" s="530">
        <f>IF(OR(11&gt;$B$3,ISBLANK(Actuals!M90)),"",Budget!M90-Actuals!M90)</f>
      </c>
      <c r="AS74" s="530">
        <f>IFERROR(IF(OR(11&gt;$B$3,ISBLANK(Actuals!M90)),"",(Budget!M90-Actuals!M90)/ABS(Budget!M90)),"")</f>
      </c>
      <c r="AT74" s="529">
        <f>Budget!N90</f>
        <v>-3060</v>
      </c>
      <c r="AU74" s="529">
        <f>IF(OR(12&gt;$B$3,ISBLANK(Actuals!N90)),"",Actuals!N90)</f>
      </c>
      <c r="AV74" s="530">
        <f>IF(OR(12&gt;$B$3,ISBLANK(Actuals!N90)),"",Budget!N90-Actuals!N90)</f>
      </c>
      <c r="AW74" s="530">
        <f>IFERROR(IF(OR(12&gt;$B$3,ISBLANK(Actuals!N90)),"",(Budget!N90-Actuals!N90)/ABS(Budget!N90)),"")</f>
      </c>
      <c r="AX74" s="531">
        <f>SUMPRODUCT((Actuals!C90:N90&lt;&gt;"")*(Budget!C90:N90))</f>
        <v>-18000</v>
      </c>
      <c r="AY74" s="531">
        <f>SUM(Actuals!C90:N90)</f>
        <v>-14818.27</v>
      </c>
      <c r="AZ74" s="532">
        <f>AX74-AY74</f>
        <v>-3181.73</v>
      </c>
    </row>
    <row r="75" ht="15" customFormat="1" customHeight="1" s="381">
      <c r="A75" s="528" t="inlineStr">
        <is>
          <t>5200-1060 Website Design</t>
        </is>
      </c>
      <c r="B75" s="529">
        <f>Budget!C91</f>
        <v>0</v>
      </c>
      <c r="C75" s="529">
        <f>IF(OR(1&gt;$B$3,ISBLANK(Actuals!C91)),"",Actuals!C91)</f>
        <v>0</v>
      </c>
      <c r="D75" s="530">
        <f>IF(OR(1&gt;$B$3,ISBLANK(Actuals!C91)),"",Budget!C91-Actuals!C91)</f>
        <v>0</v>
      </c>
      <c r="E75" s="530">
        <f>IFERROR(IF(OR(1&gt;$B$3,ISBLANK(Actuals!C91)),"",(Budget!C91-Actuals!C91)/ABS(Budget!C91)),"")</f>
      </c>
      <c r="F75" s="529">
        <f>Budget!D91</f>
        <v>0</v>
      </c>
      <c r="G75" s="529">
        <f>IF(OR(2&gt;$B$3,ISBLANK(Actuals!D91)),"",Actuals!D91)</f>
        <v>0</v>
      </c>
      <c r="H75" s="530">
        <f>IF(OR(2&gt;$B$3,ISBLANK(Actuals!D91)),"",Budget!D91-Actuals!D91)</f>
        <v>0</v>
      </c>
      <c r="I75" s="530">
        <f>IFERROR(IF(OR(2&gt;$B$3,ISBLANK(Actuals!D91)),"",(Budget!D91-Actuals!D91)/ABS(Budget!D91)),"")</f>
      </c>
      <c r="J75" s="529">
        <f>Budget!E91</f>
        <v>0</v>
      </c>
      <c r="K75" s="529">
        <f>IF(OR(3&gt;$B$3,ISBLANK(Actuals!E91)),"",Actuals!E91)</f>
        <v>-870</v>
      </c>
      <c r="L75" s="530">
        <f>IF(OR(3&gt;$B$3,ISBLANK(Actuals!E91)),"",Budget!E91-Actuals!E91)</f>
        <v>870</v>
      </c>
      <c r="M75" s="530">
        <f>IFERROR(IF(OR(3&gt;$B$3,ISBLANK(Actuals!E91)),"",(Budget!E91-Actuals!E91)/ABS(Budget!E91)),"")</f>
      </c>
      <c r="N75" s="529">
        <f>Budget!F91</f>
        <v>0</v>
      </c>
      <c r="O75" s="529">
        <f>IF(OR(4&gt;$B$3,ISBLANK(Actuals!F91)),"",Actuals!F91)</f>
        <v>0</v>
      </c>
      <c r="P75" s="530">
        <f>IF(OR(4&gt;$B$3,ISBLANK(Actuals!F91)),"",Budget!F91-Actuals!F91)</f>
        <v>0</v>
      </c>
      <c r="Q75" s="530">
        <f>IFERROR(IF(OR(4&gt;$B$3,ISBLANK(Actuals!F91)),"",(Budget!F91-Actuals!F91)/ABS(Budget!F91)),"")</f>
      </c>
      <c r="R75" s="529">
        <f>Budget!G91</f>
        <v>0</v>
      </c>
      <c r="S75" s="529">
        <f>IF(OR(5&gt;$B$3,ISBLANK(Actuals!G91)),"",Actuals!G91)</f>
        <v>0</v>
      </c>
      <c r="T75" s="530">
        <f>IF(OR(5&gt;$B$3,ISBLANK(Actuals!G91)),"",Budget!G91-Actuals!G91)</f>
        <v>0</v>
      </c>
      <c r="U75" s="530">
        <f>IFERROR(IF(OR(5&gt;$B$3,ISBLANK(Actuals!G91)),"",(Budget!G91-Actuals!G91)/ABS(Budget!G91)),"")</f>
      </c>
      <c r="V75" s="529">
        <f>Budget!H91</f>
        <v>0</v>
      </c>
      <c r="W75" s="529">
        <f>IF(OR(6&gt;$B$3,ISBLANK(Actuals!H91)),"",Actuals!H91)</f>
        <v>0</v>
      </c>
      <c r="X75" s="530">
        <f>IF(OR(6&gt;$B$3,ISBLANK(Actuals!H91)),"",Budget!H91-Actuals!H91)</f>
        <v>0</v>
      </c>
      <c r="Y75" s="530">
        <f>IFERROR(IF(OR(6&gt;$B$3,ISBLANK(Actuals!H91)),"",(Budget!H91-Actuals!H91)/ABS(Budget!H91)),"")</f>
      </c>
      <c r="Z75" s="529">
        <f>Budget!I91</f>
        <v>0</v>
      </c>
      <c r="AA75" s="529">
        <f>IF(OR(7&gt;$B$3,ISBLANK(Actuals!I91)),"",Actuals!I91)</f>
      </c>
      <c r="AB75" s="530">
        <f>IF(OR(7&gt;$B$3,ISBLANK(Actuals!I91)),"",Budget!I91-Actuals!I91)</f>
      </c>
      <c r="AC75" s="530">
        <f>IFERROR(IF(OR(7&gt;$B$3,ISBLANK(Actuals!I91)),"",(Budget!I91-Actuals!I91)/ABS(Budget!I91)),"")</f>
      </c>
      <c r="AD75" s="529">
        <f>Budget!J91</f>
        <v>0</v>
      </c>
      <c r="AE75" s="529">
        <f>IF(OR(8&gt;$B$3,ISBLANK(Actuals!J91)),"",Actuals!J91)</f>
      </c>
      <c r="AF75" s="530">
        <f>IF(OR(8&gt;$B$3,ISBLANK(Actuals!J91)),"",Budget!J91-Actuals!J91)</f>
      </c>
      <c r="AG75" s="530">
        <f>IFERROR(IF(OR(8&gt;$B$3,ISBLANK(Actuals!J91)),"",(Budget!J91-Actuals!J91)/ABS(Budget!J91)),"")</f>
      </c>
      <c r="AH75" s="529">
        <f>Budget!K91</f>
        <v>0</v>
      </c>
      <c r="AI75" s="529">
        <f>IF(OR(9&gt;$B$3,ISBLANK(Actuals!K91)),"",Actuals!K91)</f>
      </c>
      <c r="AJ75" s="530">
        <f>IF(OR(9&gt;$B$3,ISBLANK(Actuals!K91)),"",Budget!K91-Actuals!K91)</f>
      </c>
      <c r="AK75" s="530">
        <f>IFERROR(IF(OR(9&gt;$B$3,ISBLANK(Actuals!K91)),"",(Budget!K91-Actuals!K91)/ABS(Budget!K91)),"")</f>
      </c>
      <c r="AL75" s="529">
        <f>Budget!L91</f>
        <v>0</v>
      </c>
      <c r="AM75" s="529">
        <f>IF(OR(10&gt;$B$3,ISBLANK(Actuals!L91)),"",Actuals!L91)</f>
      </c>
      <c r="AN75" s="530">
        <f>IF(OR(10&gt;$B$3,ISBLANK(Actuals!L91)),"",Budget!L91-Actuals!L91)</f>
      </c>
      <c r="AO75" s="530">
        <f>IFERROR(IF(OR(10&gt;$B$3,ISBLANK(Actuals!L91)),"",(Budget!L91-Actuals!L91)/ABS(Budget!L91)),"")</f>
      </c>
      <c r="AP75" s="529">
        <f>Budget!M91</f>
        <v>0</v>
      </c>
      <c r="AQ75" s="529">
        <f>IF(OR(11&gt;$B$3,ISBLANK(Actuals!M91)),"",Actuals!M91)</f>
      </c>
      <c r="AR75" s="530">
        <f>IF(OR(11&gt;$B$3,ISBLANK(Actuals!M91)),"",Budget!M91-Actuals!M91)</f>
      </c>
      <c r="AS75" s="530">
        <f>IFERROR(IF(OR(11&gt;$B$3,ISBLANK(Actuals!M91)),"",(Budget!M91-Actuals!M91)/ABS(Budget!M91)),"")</f>
      </c>
      <c r="AT75" s="529">
        <f>Budget!N91</f>
        <v>0</v>
      </c>
      <c r="AU75" s="529">
        <f>IF(OR(12&gt;$B$3,ISBLANK(Actuals!N91)),"",Actuals!N91)</f>
      </c>
      <c r="AV75" s="530">
        <f>IF(OR(12&gt;$B$3,ISBLANK(Actuals!N91)),"",Budget!N91-Actuals!N91)</f>
      </c>
      <c r="AW75" s="530">
        <f>IFERROR(IF(OR(12&gt;$B$3,ISBLANK(Actuals!N91)),"",(Budget!N91-Actuals!N91)/ABS(Budget!N91)),"")</f>
      </c>
      <c r="AX75" s="531">
        <f>SUMPRODUCT((Actuals!C91:N91&lt;&gt;"")*(Budget!C91:N91))</f>
        <v>0</v>
      </c>
      <c r="AY75" s="531">
        <f>SUM(Actuals!C91:N91)</f>
        <v>-870</v>
      </c>
      <c r="AZ75" s="532">
        <f>AX75-AY75</f>
        <v>870</v>
      </c>
    </row>
    <row r="76" ht="15" customFormat="1" customHeight="1" s="381">
      <c r="A76" s="528" t="inlineStr">
        <is>
          <t>5200-1061 Website Hosting</t>
        </is>
      </c>
      <c r="B76" s="529">
        <f>Budget!C92</f>
        <v>0</v>
      </c>
      <c r="C76" s="529">
        <f>IF(OR(1&gt;$B$3,ISBLANK(Actuals!C92)),"",Actuals!C92)</f>
        <v>-245</v>
      </c>
      <c r="D76" s="530">
        <f>IF(OR(1&gt;$B$3,ISBLANK(Actuals!C92)),"",Budget!C92-Actuals!C92)</f>
        <v>245</v>
      </c>
      <c r="E76" s="530">
        <f>IFERROR(IF(OR(1&gt;$B$3,ISBLANK(Actuals!C92)),"",(Budget!C92-Actuals!C92)/ABS(Budget!C92)),"")</f>
      </c>
      <c r="F76" s="529">
        <f>Budget!D92</f>
        <v>0</v>
      </c>
      <c r="G76" s="529">
        <f>IF(OR(2&gt;$B$3,ISBLANK(Actuals!D92)),"",Actuals!D92)</f>
        <v>-245</v>
      </c>
      <c r="H76" s="530">
        <f>IF(OR(2&gt;$B$3,ISBLANK(Actuals!D92)),"",Budget!D92-Actuals!D92)</f>
        <v>245</v>
      </c>
      <c r="I76" s="530">
        <f>IFERROR(IF(OR(2&gt;$B$3,ISBLANK(Actuals!D92)),"",(Budget!D92-Actuals!D92)/ABS(Budget!D92)),"")</f>
      </c>
      <c r="J76" s="529">
        <f>Budget!E92</f>
        <v>0</v>
      </c>
      <c r="K76" s="529">
        <f>IF(OR(3&gt;$B$3,ISBLANK(Actuals!E92)),"",Actuals!E92)</f>
        <v>-245</v>
      </c>
      <c r="L76" s="530">
        <f>IF(OR(3&gt;$B$3,ISBLANK(Actuals!E92)),"",Budget!E92-Actuals!E92)</f>
        <v>245</v>
      </c>
      <c r="M76" s="530">
        <f>IFERROR(IF(OR(3&gt;$B$3,ISBLANK(Actuals!E92)),"",(Budget!E92-Actuals!E92)/ABS(Budget!E92)),"")</f>
      </c>
      <c r="N76" s="529">
        <f>Budget!F92</f>
        <v>0</v>
      </c>
      <c r="O76" s="529">
        <f>IF(OR(4&gt;$B$3,ISBLANK(Actuals!F92)),"",Actuals!F92)</f>
        <v>-245</v>
      </c>
      <c r="P76" s="530">
        <f>IF(OR(4&gt;$B$3,ISBLANK(Actuals!F92)),"",Budget!F92-Actuals!F92)</f>
        <v>245</v>
      </c>
      <c r="Q76" s="530">
        <f>IFERROR(IF(OR(4&gt;$B$3,ISBLANK(Actuals!F92)),"",(Budget!F92-Actuals!F92)/ABS(Budget!F92)),"")</f>
      </c>
      <c r="R76" s="529">
        <f>Budget!G92</f>
        <v>0</v>
      </c>
      <c r="S76" s="529">
        <f>IF(OR(5&gt;$B$3,ISBLANK(Actuals!G92)),"",Actuals!G92)</f>
        <v>-245</v>
      </c>
      <c r="T76" s="530">
        <f>IF(OR(5&gt;$B$3,ISBLANK(Actuals!G92)),"",Budget!G92-Actuals!G92)</f>
        <v>245</v>
      </c>
      <c r="U76" s="530">
        <f>IFERROR(IF(OR(5&gt;$B$3,ISBLANK(Actuals!G92)),"",(Budget!G92-Actuals!G92)/ABS(Budget!G92)),"")</f>
      </c>
      <c r="V76" s="529">
        <f>Budget!H92</f>
        <v>0</v>
      </c>
      <c r="W76" s="529">
        <f>IF(OR(6&gt;$B$3,ISBLANK(Actuals!H92)),"",Actuals!H92)</f>
        <v>-245</v>
      </c>
      <c r="X76" s="530">
        <f>IF(OR(6&gt;$B$3,ISBLANK(Actuals!H92)),"",Budget!H92-Actuals!H92)</f>
        <v>245</v>
      </c>
      <c r="Y76" s="530">
        <f>IFERROR(IF(OR(6&gt;$B$3,ISBLANK(Actuals!H92)),"",(Budget!H92-Actuals!H92)/ABS(Budget!H92)),"")</f>
      </c>
      <c r="Z76" s="529">
        <f>Budget!I92</f>
        <v>0</v>
      </c>
      <c r="AA76" s="529">
        <f>IF(OR(7&gt;$B$3,ISBLANK(Actuals!I92)),"",Actuals!I92)</f>
      </c>
      <c r="AB76" s="530">
        <f>IF(OR(7&gt;$B$3,ISBLANK(Actuals!I92)),"",Budget!I92-Actuals!I92)</f>
      </c>
      <c r="AC76" s="530">
        <f>IFERROR(IF(OR(7&gt;$B$3,ISBLANK(Actuals!I92)),"",(Budget!I92-Actuals!I92)/ABS(Budget!I92)),"")</f>
      </c>
      <c r="AD76" s="529">
        <f>Budget!J92</f>
        <v>0</v>
      </c>
      <c r="AE76" s="529">
        <f>IF(OR(8&gt;$B$3,ISBLANK(Actuals!J92)),"",Actuals!J92)</f>
      </c>
      <c r="AF76" s="530">
        <f>IF(OR(8&gt;$B$3,ISBLANK(Actuals!J92)),"",Budget!J92-Actuals!J92)</f>
      </c>
      <c r="AG76" s="530">
        <f>IFERROR(IF(OR(8&gt;$B$3,ISBLANK(Actuals!J92)),"",(Budget!J92-Actuals!J92)/ABS(Budget!J92)),"")</f>
      </c>
      <c r="AH76" s="529">
        <f>Budget!K92</f>
        <v>0</v>
      </c>
      <c r="AI76" s="529">
        <f>IF(OR(9&gt;$B$3,ISBLANK(Actuals!K92)),"",Actuals!K92)</f>
      </c>
      <c r="AJ76" s="530">
        <f>IF(OR(9&gt;$B$3,ISBLANK(Actuals!K92)),"",Budget!K92-Actuals!K92)</f>
      </c>
      <c r="AK76" s="530">
        <f>IFERROR(IF(OR(9&gt;$B$3,ISBLANK(Actuals!K92)),"",(Budget!K92-Actuals!K92)/ABS(Budget!K92)),"")</f>
      </c>
      <c r="AL76" s="529">
        <f>Budget!L92</f>
        <v>0</v>
      </c>
      <c r="AM76" s="529">
        <f>IF(OR(10&gt;$B$3,ISBLANK(Actuals!L92)),"",Actuals!L92)</f>
      </c>
      <c r="AN76" s="530">
        <f>IF(OR(10&gt;$B$3,ISBLANK(Actuals!L92)),"",Budget!L92-Actuals!L92)</f>
      </c>
      <c r="AO76" s="530">
        <f>IFERROR(IF(OR(10&gt;$B$3,ISBLANK(Actuals!L92)),"",(Budget!L92-Actuals!L92)/ABS(Budget!L92)),"")</f>
      </c>
      <c r="AP76" s="529">
        <f>Budget!M92</f>
        <v>0</v>
      </c>
      <c r="AQ76" s="529">
        <f>IF(OR(11&gt;$B$3,ISBLANK(Actuals!M92)),"",Actuals!M92)</f>
      </c>
      <c r="AR76" s="530">
        <f>IF(OR(11&gt;$B$3,ISBLANK(Actuals!M92)),"",Budget!M92-Actuals!M92)</f>
      </c>
      <c r="AS76" s="530">
        <f>IFERROR(IF(OR(11&gt;$B$3,ISBLANK(Actuals!M92)),"",(Budget!M92-Actuals!M92)/ABS(Budget!M92)),"")</f>
      </c>
      <c r="AT76" s="529">
        <f>Budget!N92</f>
        <v>0</v>
      </c>
      <c r="AU76" s="529">
        <f>IF(OR(12&gt;$B$3,ISBLANK(Actuals!N92)),"",Actuals!N92)</f>
      </c>
      <c r="AV76" s="530">
        <f>IF(OR(12&gt;$B$3,ISBLANK(Actuals!N92)),"",Budget!N92-Actuals!N92)</f>
      </c>
      <c r="AW76" s="530">
        <f>IFERROR(IF(OR(12&gt;$B$3,ISBLANK(Actuals!N92)),"",(Budget!N92-Actuals!N92)/ABS(Budget!N92)),"")</f>
      </c>
      <c r="AX76" s="531">
        <f>SUMPRODUCT((Actuals!C92:N92&lt;&gt;"")*(Budget!C92:N92))</f>
        <v>0</v>
      </c>
      <c r="AY76" s="531">
        <f>SUM(Actuals!C92:N92)</f>
        <v>-1470</v>
      </c>
      <c r="AZ76" s="532">
        <f>AX76-AY76</f>
        <v>1470</v>
      </c>
    </row>
    <row r="77" ht="15" customFormat="1" customHeight="1" s="381">
      <c r="A77" s="528" t="inlineStr">
        <is>
          <t>5300-1000 Travel and Lodging</t>
        </is>
      </c>
      <c r="B77" s="529">
        <f>Budget!C93</f>
        <v>-3000</v>
      </c>
      <c r="C77" s="529">
        <f>IF(OR(1&gt;$B$3,ISBLANK(Actuals!C93)),"",Actuals!C93)</f>
        <v>-986.57</v>
      </c>
      <c r="D77" s="530">
        <f>IF(OR(1&gt;$B$3,ISBLANK(Actuals!C93)),"",Budget!C93-Actuals!C93)</f>
        <v>-2013.43</v>
      </c>
      <c r="E77" s="530">
        <f>IFERROR(IF(OR(1&gt;$B$3,ISBLANK(Actuals!C93)),"",(Budget!C93-Actuals!C93)/ABS(Budget!C93)),"")</f>
        <v>-0.671143333333333</v>
      </c>
      <c r="F77" s="529">
        <f>Budget!D93</f>
        <v>-3000</v>
      </c>
      <c r="G77" s="529">
        <f>IF(OR(2&gt;$B$3,ISBLANK(Actuals!D93)),"",Actuals!D93)</f>
        <v>-1254.61</v>
      </c>
      <c r="H77" s="530">
        <f>IF(OR(2&gt;$B$3,ISBLANK(Actuals!D93)),"",Budget!D93-Actuals!D93)</f>
        <v>-1745.39</v>
      </c>
      <c r="I77" s="530">
        <f>IFERROR(IF(OR(2&gt;$B$3,ISBLANK(Actuals!D93)),"",(Budget!D93-Actuals!D93)/ABS(Budget!D93)),"")</f>
        <v>-0.581796666666667</v>
      </c>
      <c r="J77" s="529">
        <f>Budget!E93</f>
        <v>-3000</v>
      </c>
      <c r="K77" s="529">
        <f>IF(OR(3&gt;$B$3,ISBLANK(Actuals!E93)),"",Actuals!E93)</f>
        <v>-1297.31</v>
      </c>
      <c r="L77" s="530">
        <f>IF(OR(3&gt;$B$3,ISBLANK(Actuals!E93)),"",Budget!E93-Actuals!E93)</f>
        <v>-1702.69</v>
      </c>
      <c r="M77" s="530">
        <f>IFERROR(IF(OR(3&gt;$B$3,ISBLANK(Actuals!E93)),"",(Budget!E93-Actuals!E93)/ABS(Budget!E93)),"")</f>
        <v>-0.567563333333333</v>
      </c>
      <c r="N77" s="529">
        <f>Budget!F93</f>
        <v>-3000</v>
      </c>
      <c r="O77" s="529">
        <f>IF(OR(4&gt;$B$3,ISBLANK(Actuals!F93)),"",Actuals!F93)</f>
        <v>-48.78</v>
      </c>
      <c r="P77" s="530">
        <f>IF(OR(4&gt;$B$3,ISBLANK(Actuals!F93)),"",Budget!F93-Actuals!F93)</f>
        <v>-2951.22</v>
      </c>
      <c r="Q77" s="530">
        <f>IFERROR(IF(OR(4&gt;$B$3,ISBLANK(Actuals!F93)),"",(Budget!F93-Actuals!F93)/ABS(Budget!F93)),"")</f>
        <v>-0.98374</v>
      </c>
      <c r="R77" s="529">
        <f>Budget!G93</f>
        <v>-3000</v>
      </c>
      <c r="S77" s="529">
        <f>IF(OR(5&gt;$B$3,ISBLANK(Actuals!G93)),"",Actuals!G93)</f>
        <v>-4199.86</v>
      </c>
      <c r="T77" s="530">
        <f>IF(OR(5&gt;$B$3,ISBLANK(Actuals!G93)),"",Budget!G93-Actuals!G93)</f>
        <v>1199.86</v>
      </c>
      <c r="U77" s="530">
        <f>IFERROR(IF(OR(5&gt;$B$3,ISBLANK(Actuals!G93)),"",(Budget!G93-Actuals!G93)/ABS(Budget!G93)),"")</f>
        <v>0.399953333333333</v>
      </c>
      <c r="V77" s="529">
        <f>Budget!H93</f>
        <v>-3000</v>
      </c>
      <c r="W77" s="529">
        <f>IF(OR(6&gt;$B$3,ISBLANK(Actuals!H93)),"",Actuals!H93)</f>
        <v>-3433.39</v>
      </c>
      <c r="X77" s="530">
        <f>IF(OR(6&gt;$B$3,ISBLANK(Actuals!H93)),"",Budget!H93-Actuals!H93)</f>
        <v>433.39</v>
      </c>
      <c r="Y77" s="530">
        <f>IFERROR(IF(OR(6&gt;$B$3,ISBLANK(Actuals!H93)),"",(Budget!H93-Actuals!H93)/ABS(Budget!H93)),"")</f>
        <v>0.144463333333333</v>
      </c>
      <c r="Z77" s="529">
        <f>Budget!I93</f>
        <v>-3060</v>
      </c>
      <c r="AA77" s="529">
        <f>IF(OR(7&gt;$B$3,ISBLANK(Actuals!I93)),"",Actuals!I93)</f>
      </c>
      <c r="AB77" s="530">
        <f>IF(OR(7&gt;$B$3,ISBLANK(Actuals!I93)),"",Budget!I93-Actuals!I93)</f>
      </c>
      <c r="AC77" s="530">
        <f>IFERROR(IF(OR(7&gt;$B$3,ISBLANK(Actuals!I93)),"",(Budget!I93-Actuals!I93)/ABS(Budget!I93)),"")</f>
      </c>
      <c r="AD77" s="529">
        <f>Budget!J93</f>
        <v>-3060</v>
      </c>
      <c r="AE77" s="529">
        <f>IF(OR(8&gt;$B$3,ISBLANK(Actuals!J93)),"",Actuals!J93)</f>
      </c>
      <c r="AF77" s="530">
        <f>IF(OR(8&gt;$B$3,ISBLANK(Actuals!J93)),"",Budget!J93-Actuals!J93)</f>
      </c>
      <c r="AG77" s="530">
        <f>IFERROR(IF(OR(8&gt;$B$3,ISBLANK(Actuals!J93)),"",(Budget!J93-Actuals!J93)/ABS(Budget!J93)),"")</f>
      </c>
      <c r="AH77" s="529">
        <f>Budget!K93</f>
        <v>-3060</v>
      </c>
      <c r="AI77" s="529">
        <f>IF(OR(9&gt;$B$3,ISBLANK(Actuals!K93)),"",Actuals!K93)</f>
      </c>
      <c r="AJ77" s="530">
        <f>IF(OR(9&gt;$B$3,ISBLANK(Actuals!K93)),"",Budget!K93-Actuals!K93)</f>
      </c>
      <c r="AK77" s="530">
        <f>IFERROR(IF(OR(9&gt;$B$3,ISBLANK(Actuals!K93)),"",(Budget!K93-Actuals!K93)/ABS(Budget!K93)),"")</f>
      </c>
      <c r="AL77" s="529">
        <f>Budget!L93</f>
        <v>-3060</v>
      </c>
      <c r="AM77" s="529">
        <f>IF(OR(10&gt;$B$3,ISBLANK(Actuals!L93)),"",Actuals!L93)</f>
      </c>
      <c r="AN77" s="530">
        <f>IF(OR(10&gt;$B$3,ISBLANK(Actuals!L93)),"",Budget!L93-Actuals!L93)</f>
      </c>
      <c r="AO77" s="530">
        <f>IFERROR(IF(OR(10&gt;$B$3,ISBLANK(Actuals!L93)),"",(Budget!L93-Actuals!L93)/ABS(Budget!L93)),"")</f>
      </c>
      <c r="AP77" s="529">
        <f>Budget!M93</f>
        <v>-3060</v>
      </c>
      <c r="AQ77" s="529">
        <f>IF(OR(11&gt;$B$3,ISBLANK(Actuals!M93)),"",Actuals!M93)</f>
      </c>
      <c r="AR77" s="530">
        <f>IF(OR(11&gt;$B$3,ISBLANK(Actuals!M93)),"",Budget!M93-Actuals!M93)</f>
      </c>
      <c r="AS77" s="530">
        <f>IFERROR(IF(OR(11&gt;$B$3,ISBLANK(Actuals!M93)),"",(Budget!M93-Actuals!M93)/ABS(Budget!M93)),"")</f>
      </c>
      <c r="AT77" s="529">
        <f>Budget!N93</f>
        <v>-3060</v>
      </c>
      <c r="AU77" s="529">
        <f>IF(OR(12&gt;$B$3,ISBLANK(Actuals!N93)),"",Actuals!N93)</f>
      </c>
      <c r="AV77" s="530">
        <f>IF(OR(12&gt;$B$3,ISBLANK(Actuals!N93)),"",Budget!N93-Actuals!N93)</f>
      </c>
      <c r="AW77" s="530">
        <f>IFERROR(IF(OR(12&gt;$B$3,ISBLANK(Actuals!N93)),"",(Budget!N93-Actuals!N93)/ABS(Budget!N93)),"")</f>
      </c>
      <c r="AX77" s="531">
        <f>SUMPRODUCT((Actuals!C93:N93&lt;&gt;"")*(Budget!C93:N93))</f>
        <v>-18000</v>
      </c>
      <c r="AY77" s="531">
        <f>SUM(Actuals!C93:N93)</f>
        <v>-11220.52</v>
      </c>
      <c r="AZ77" s="532">
        <f>AX77-AY77</f>
        <v>-6779.48</v>
      </c>
    </row>
    <row r="78" ht="15" customFormat="1" customHeight="1" s="381">
      <c r="A78" s="528" t="inlineStr">
        <is>
          <t>5300-1001 Public Transportation</t>
        </is>
      </c>
      <c r="B78" s="529">
        <f>Budget!C94</f>
        <v>-833.33</v>
      </c>
      <c r="C78" s="529">
        <f>IF(OR(1&gt;$B$3,ISBLANK(Actuals!C94)),"",Actuals!C94)</f>
        <v>-588.66</v>
      </c>
      <c r="D78" s="530">
        <f>IF(OR(1&gt;$B$3,ISBLANK(Actuals!C94)),"",Budget!C94-Actuals!C94)</f>
        <v>-244.67</v>
      </c>
      <c r="E78" s="530">
        <f>IFERROR(IF(OR(1&gt;$B$3,ISBLANK(Actuals!C94)),"",(Budget!C94-Actuals!C94)/ABS(Budget!C94)),"")</f>
        <v>-0.293605174420698</v>
      </c>
      <c r="F78" s="529">
        <f>Budget!D94</f>
        <v>-833.33</v>
      </c>
      <c r="G78" s="529">
        <f>IF(OR(2&gt;$B$3,ISBLANK(Actuals!D94)),"",Actuals!D94)</f>
        <v>-22.94</v>
      </c>
      <c r="H78" s="530">
        <f>IF(OR(2&gt;$B$3,ISBLANK(Actuals!D94)),"",Budget!D94-Actuals!D94)</f>
        <v>-810.39</v>
      </c>
      <c r="I78" s="530">
        <f>IFERROR(IF(OR(2&gt;$B$3,ISBLANK(Actuals!D94)),"",(Budget!D94-Actuals!D94)/ABS(Budget!D94)),"")</f>
        <v>-0.97247188988756</v>
      </c>
      <c r="J78" s="529">
        <f>Budget!E94</f>
        <v>-833.33</v>
      </c>
      <c r="K78" s="529">
        <f>IF(OR(3&gt;$B$3,ISBLANK(Actuals!E94)),"",Actuals!E94)</f>
        <v>-487.3</v>
      </c>
      <c r="L78" s="530">
        <f>IF(OR(3&gt;$B$3,ISBLANK(Actuals!E94)),"",Budget!E94-Actuals!E94)</f>
        <v>-346.03</v>
      </c>
      <c r="M78" s="530">
        <f>IFERROR(IF(OR(3&gt;$B$3,ISBLANK(Actuals!E94)),"",(Budget!E94-Actuals!E94)/ABS(Budget!E94)),"")</f>
        <v>-0.415237660950644</v>
      </c>
      <c r="N78" s="529">
        <f>Budget!F94</f>
        <v>-833.33</v>
      </c>
      <c r="O78" s="529">
        <f>IF(OR(4&gt;$B$3,ISBLANK(Actuals!F94)),"",Actuals!F94)</f>
        <v>-399.98</v>
      </c>
      <c r="P78" s="530">
        <f>IF(OR(4&gt;$B$3,ISBLANK(Actuals!F94)),"",Budget!F94-Actuals!F94)</f>
        <v>-433.35</v>
      </c>
      <c r="Q78" s="530">
        <f>IFERROR(IF(OR(4&gt;$B$3,ISBLANK(Actuals!F94)),"",(Budget!F94-Actuals!F94)/ABS(Budget!F94)),"")</f>
        <v>-0.52002208008832</v>
      </c>
      <c r="R78" s="529">
        <f>Budget!G94</f>
        <v>-833.33</v>
      </c>
      <c r="S78" s="529">
        <f>IF(OR(5&gt;$B$3,ISBLANK(Actuals!G94)),"",Actuals!G94)</f>
        <v>-216.15</v>
      </c>
      <c r="T78" s="530">
        <f>IF(OR(5&gt;$B$3,ISBLANK(Actuals!G94)),"",Budget!G94-Actuals!G94)</f>
        <v>-617.18</v>
      </c>
      <c r="U78" s="530">
        <f>IFERROR(IF(OR(5&gt;$B$3,ISBLANK(Actuals!G94)),"",(Budget!G94-Actuals!G94)/ABS(Budget!G94)),"")</f>
        <v>-0.74061896247585</v>
      </c>
      <c r="V78" s="529">
        <f>Budget!H94</f>
        <v>-833.33</v>
      </c>
      <c r="W78" s="529">
        <f>IF(OR(6&gt;$B$3,ISBLANK(Actuals!H94)),"",Actuals!H94)</f>
        <v>-936.05</v>
      </c>
      <c r="X78" s="530">
        <f>IF(OR(6&gt;$B$3,ISBLANK(Actuals!H94)),"",Budget!H94-Actuals!H94)</f>
        <v>102.72</v>
      </c>
      <c r="Y78" s="530">
        <f>IFERROR(IF(OR(6&gt;$B$3,ISBLANK(Actuals!H94)),"",(Budget!H94-Actuals!H94)/ABS(Budget!H94)),"")</f>
        <v>0.123264493057972</v>
      </c>
      <c r="Z78" s="529">
        <f>Budget!I94</f>
        <v>-850</v>
      </c>
      <c r="AA78" s="529">
        <f>IF(OR(7&gt;$B$3,ISBLANK(Actuals!I94)),"",Actuals!I94)</f>
      </c>
      <c r="AB78" s="530">
        <f>IF(OR(7&gt;$B$3,ISBLANK(Actuals!I94)),"",Budget!I94-Actuals!I94)</f>
      </c>
      <c r="AC78" s="530">
        <f>IFERROR(IF(OR(7&gt;$B$3,ISBLANK(Actuals!I94)),"",(Budget!I94-Actuals!I94)/ABS(Budget!I94)),"")</f>
      </c>
      <c r="AD78" s="529">
        <f>Budget!J94</f>
        <v>-850</v>
      </c>
      <c r="AE78" s="529">
        <f>IF(OR(8&gt;$B$3,ISBLANK(Actuals!J94)),"",Actuals!J94)</f>
      </c>
      <c r="AF78" s="530">
        <f>IF(OR(8&gt;$B$3,ISBLANK(Actuals!J94)),"",Budget!J94-Actuals!J94)</f>
      </c>
      <c r="AG78" s="530">
        <f>IFERROR(IF(OR(8&gt;$B$3,ISBLANK(Actuals!J94)),"",(Budget!J94-Actuals!J94)/ABS(Budget!J94)),"")</f>
      </c>
      <c r="AH78" s="529">
        <f>Budget!K94</f>
        <v>-850</v>
      </c>
      <c r="AI78" s="529">
        <f>IF(OR(9&gt;$B$3,ISBLANK(Actuals!K94)),"",Actuals!K94)</f>
      </c>
      <c r="AJ78" s="530">
        <f>IF(OR(9&gt;$B$3,ISBLANK(Actuals!K94)),"",Budget!K94-Actuals!K94)</f>
      </c>
      <c r="AK78" s="530">
        <f>IFERROR(IF(OR(9&gt;$B$3,ISBLANK(Actuals!K94)),"",(Budget!K94-Actuals!K94)/ABS(Budget!K94)),"")</f>
      </c>
      <c r="AL78" s="529">
        <f>Budget!L94</f>
        <v>-850</v>
      </c>
      <c r="AM78" s="529">
        <f>IF(OR(10&gt;$B$3,ISBLANK(Actuals!L94)),"",Actuals!L94)</f>
      </c>
      <c r="AN78" s="530">
        <f>IF(OR(10&gt;$B$3,ISBLANK(Actuals!L94)),"",Budget!L94-Actuals!L94)</f>
      </c>
      <c r="AO78" s="530">
        <f>IFERROR(IF(OR(10&gt;$B$3,ISBLANK(Actuals!L94)),"",(Budget!L94-Actuals!L94)/ABS(Budget!L94)),"")</f>
      </c>
      <c r="AP78" s="529">
        <f>Budget!M94</f>
        <v>-850</v>
      </c>
      <c r="AQ78" s="529">
        <f>IF(OR(11&gt;$B$3,ISBLANK(Actuals!M94)),"",Actuals!M94)</f>
      </c>
      <c r="AR78" s="530">
        <f>IF(OR(11&gt;$B$3,ISBLANK(Actuals!M94)),"",Budget!M94-Actuals!M94)</f>
      </c>
      <c r="AS78" s="530">
        <f>IFERROR(IF(OR(11&gt;$B$3,ISBLANK(Actuals!M94)),"",(Budget!M94-Actuals!M94)/ABS(Budget!M94)),"")</f>
      </c>
      <c r="AT78" s="529">
        <f>Budget!N94</f>
        <v>-850</v>
      </c>
      <c r="AU78" s="529">
        <f>IF(OR(12&gt;$B$3,ISBLANK(Actuals!N94)),"",Actuals!N94)</f>
      </c>
      <c r="AV78" s="530">
        <f>IF(OR(12&gt;$B$3,ISBLANK(Actuals!N94)),"",Budget!N94-Actuals!N94)</f>
      </c>
      <c r="AW78" s="530">
        <f>IFERROR(IF(OR(12&gt;$B$3,ISBLANK(Actuals!N94)),"",(Budget!N94-Actuals!N94)/ABS(Budget!N94)),"")</f>
      </c>
      <c r="AX78" s="531">
        <f>SUMPRODUCT((Actuals!C94:N94&lt;&gt;"")*(Budget!C94:N94))</f>
        <v>-4999.98</v>
      </c>
      <c r="AY78" s="531">
        <f>SUM(Actuals!C94:N94)</f>
        <v>-2651.08</v>
      </c>
      <c r="AZ78" s="532">
        <f>AX78-AY78</f>
        <v>-2348.9</v>
      </c>
    </row>
    <row r="79" ht="15" customFormat="1" customHeight="1" s="381">
      <c r="A79" s="528" t="inlineStr">
        <is>
          <t>5300-1002 Parking</t>
        </is>
      </c>
      <c r="B79" s="529">
        <f>Budget!C95</f>
        <v>0</v>
      </c>
      <c r="C79" s="529">
        <f>IF(OR(1&gt;$B$3,ISBLANK(Actuals!C95)),"",Actuals!C95)</f>
        <v>0</v>
      </c>
      <c r="D79" s="530">
        <f>IF(OR(1&gt;$B$3,ISBLANK(Actuals!C95)),"",Budget!C95-Actuals!C95)</f>
        <v>0</v>
      </c>
      <c r="E79" s="530">
        <f>IFERROR(IF(OR(1&gt;$B$3,ISBLANK(Actuals!C95)),"",(Budget!C95-Actuals!C95)/ABS(Budget!C95)),"")</f>
      </c>
      <c r="F79" s="529">
        <f>Budget!D95</f>
        <v>0</v>
      </c>
      <c r="G79" s="529">
        <f>IF(OR(2&gt;$B$3,ISBLANK(Actuals!D95)),"",Actuals!D95)</f>
        <v>-92.75</v>
      </c>
      <c r="H79" s="530">
        <f>IF(OR(2&gt;$B$3,ISBLANK(Actuals!D95)),"",Budget!D95-Actuals!D95)</f>
        <v>92.75</v>
      </c>
      <c r="I79" s="530">
        <f>IFERROR(IF(OR(2&gt;$B$3,ISBLANK(Actuals!D95)),"",(Budget!D95-Actuals!D95)/ABS(Budget!D95)),"")</f>
      </c>
      <c r="J79" s="529">
        <f>Budget!E95</f>
        <v>0</v>
      </c>
      <c r="K79" s="529">
        <f>IF(OR(3&gt;$B$3,ISBLANK(Actuals!E95)),"",Actuals!E95)</f>
        <v>-57.46</v>
      </c>
      <c r="L79" s="530">
        <f>IF(OR(3&gt;$B$3,ISBLANK(Actuals!E95)),"",Budget!E95-Actuals!E95)</f>
        <v>57.46</v>
      </c>
      <c r="M79" s="530">
        <f>IFERROR(IF(OR(3&gt;$B$3,ISBLANK(Actuals!E95)),"",(Budget!E95-Actuals!E95)/ABS(Budget!E95)),"")</f>
      </c>
      <c r="N79" s="529">
        <f>Budget!F95</f>
        <v>0</v>
      </c>
      <c r="O79" s="529">
        <f>IF(OR(4&gt;$B$3,ISBLANK(Actuals!F95)),"",Actuals!F95)</f>
        <v>0</v>
      </c>
      <c r="P79" s="530">
        <f>IF(OR(4&gt;$B$3,ISBLANK(Actuals!F95)),"",Budget!F95-Actuals!F95)</f>
        <v>0</v>
      </c>
      <c r="Q79" s="530">
        <f>IFERROR(IF(OR(4&gt;$B$3,ISBLANK(Actuals!F95)),"",(Budget!F95-Actuals!F95)/ABS(Budget!F95)),"")</f>
      </c>
      <c r="R79" s="529">
        <f>Budget!G95</f>
        <v>0</v>
      </c>
      <c r="S79" s="529">
        <f>IF(OR(5&gt;$B$3,ISBLANK(Actuals!G95)),"",Actuals!G95)</f>
        <v>-24.3</v>
      </c>
      <c r="T79" s="530">
        <f>IF(OR(5&gt;$B$3,ISBLANK(Actuals!G95)),"",Budget!G95-Actuals!G95)</f>
        <v>24.3</v>
      </c>
      <c r="U79" s="530">
        <f>IFERROR(IF(OR(5&gt;$B$3,ISBLANK(Actuals!G95)),"",(Budget!G95-Actuals!G95)/ABS(Budget!G95)),"")</f>
      </c>
      <c r="V79" s="529">
        <f>Budget!H95</f>
        <v>0</v>
      </c>
      <c r="W79" s="529">
        <f>IF(OR(6&gt;$B$3,ISBLANK(Actuals!H95)),"",Actuals!H95)</f>
        <v>-917.7</v>
      </c>
      <c r="X79" s="530">
        <f>IF(OR(6&gt;$B$3,ISBLANK(Actuals!H95)),"",Budget!H95-Actuals!H95)</f>
        <v>917.7</v>
      </c>
      <c r="Y79" s="530">
        <f>IFERROR(IF(OR(6&gt;$B$3,ISBLANK(Actuals!H95)),"",(Budget!H95-Actuals!H95)/ABS(Budget!H95)),"")</f>
      </c>
      <c r="Z79" s="529">
        <f>Budget!I95</f>
        <v>0</v>
      </c>
      <c r="AA79" s="529">
        <f>IF(OR(7&gt;$B$3,ISBLANK(Actuals!I95)),"",Actuals!I95)</f>
      </c>
      <c r="AB79" s="530">
        <f>IF(OR(7&gt;$B$3,ISBLANK(Actuals!I95)),"",Budget!I95-Actuals!I95)</f>
      </c>
      <c r="AC79" s="530">
        <f>IFERROR(IF(OR(7&gt;$B$3,ISBLANK(Actuals!I95)),"",(Budget!I95-Actuals!I95)/ABS(Budget!I95)),"")</f>
      </c>
      <c r="AD79" s="529">
        <f>Budget!J95</f>
        <v>0</v>
      </c>
      <c r="AE79" s="529">
        <f>IF(OR(8&gt;$B$3,ISBLANK(Actuals!J95)),"",Actuals!J95)</f>
      </c>
      <c r="AF79" s="530">
        <f>IF(OR(8&gt;$B$3,ISBLANK(Actuals!J95)),"",Budget!J95-Actuals!J95)</f>
      </c>
      <c r="AG79" s="530">
        <f>IFERROR(IF(OR(8&gt;$B$3,ISBLANK(Actuals!J95)),"",(Budget!J95-Actuals!J95)/ABS(Budget!J95)),"")</f>
      </c>
      <c r="AH79" s="529">
        <f>Budget!K95</f>
        <v>0</v>
      </c>
      <c r="AI79" s="529">
        <f>IF(OR(9&gt;$B$3,ISBLANK(Actuals!K95)),"",Actuals!K95)</f>
      </c>
      <c r="AJ79" s="530">
        <f>IF(OR(9&gt;$B$3,ISBLANK(Actuals!K95)),"",Budget!K95-Actuals!K95)</f>
      </c>
      <c r="AK79" s="530">
        <f>IFERROR(IF(OR(9&gt;$B$3,ISBLANK(Actuals!K95)),"",(Budget!K95-Actuals!K95)/ABS(Budget!K95)),"")</f>
      </c>
      <c r="AL79" s="529">
        <f>Budget!L95</f>
        <v>0</v>
      </c>
      <c r="AM79" s="529">
        <f>IF(OR(10&gt;$B$3,ISBLANK(Actuals!L95)),"",Actuals!L95)</f>
      </c>
      <c r="AN79" s="530">
        <f>IF(OR(10&gt;$B$3,ISBLANK(Actuals!L95)),"",Budget!L95-Actuals!L95)</f>
      </c>
      <c r="AO79" s="530">
        <f>IFERROR(IF(OR(10&gt;$B$3,ISBLANK(Actuals!L95)),"",(Budget!L95-Actuals!L95)/ABS(Budget!L95)),"")</f>
      </c>
      <c r="AP79" s="529">
        <f>Budget!M95</f>
        <v>0</v>
      </c>
      <c r="AQ79" s="529">
        <f>IF(OR(11&gt;$B$3,ISBLANK(Actuals!M95)),"",Actuals!M95)</f>
      </c>
      <c r="AR79" s="530">
        <f>IF(OR(11&gt;$B$3,ISBLANK(Actuals!M95)),"",Budget!M95-Actuals!M95)</f>
      </c>
      <c r="AS79" s="530">
        <f>IFERROR(IF(OR(11&gt;$B$3,ISBLANK(Actuals!M95)),"",(Budget!M95-Actuals!M95)/ABS(Budget!M95)),"")</f>
      </c>
      <c r="AT79" s="529">
        <f>Budget!N95</f>
        <v>0</v>
      </c>
      <c r="AU79" s="529">
        <f>IF(OR(12&gt;$B$3,ISBLANK(Actuals!N95)),"",Actuals!N95)</f>
      </c>
      <c r="AV79" s="530">
        <f>IF(OR(12&gt;$B$3,ISBLANK(Actuals!N95)),"",Budget!N95-Actuals!N95)</f>
      </c>
      <c r="AW79" s="530">
        <f>IFERROR(IF(OR(12&gt;$B$3,ISBLANK(Actuals!N95)),"",(Budget!N95-Actuals!N95)/ABS(Budget!N95)),"")</f>
      </c>
      <c r="AX79" s="531">
        <f>SUMPRODUCT((Actuals!C95:N95&lt;&gt;"")*(Budget!C95:N95))</f>
        <v>0</v>
      </c>
      <c r="AY79" s="531">
        <f>SUM(Actuals!C95:N95)</f>
        <v>-1092.21</v>
      </c>
      <c r="AZ79" s="532">
        <f>AX79-AY79</f>
        <v>1092.21</v>
      </c>
    </row>
    <row r="80" ht="15" customFormat="1" customHeight="1" s="381">
      <c r="A80" s="528" t="inlineStr">
        <is>
          <t>5300-1050 Meals and Entertainment</t>
        </is>
      </c>
      <c r="B80" s="529">
        <f>Budget!C96</f>
        <v>-3000</v>
      </c>
      <c r="C80" s="529">
        <f>IF(OR(1&gt;$B$3,ISBLANK(Actuals!C96)),"",Actuals!C96)</f>
        <v>-640.88</v>
      </c>
      <c r="D80" s="530">
        <f>IF(OR(1&gt;$B$3,ISBLANK(Actuals!C96)),"",Budget!C96-Actuals!C96)</f>
        <v>-2359.12</v>
      </c>
      <c r="E80" s="530">
        <f>IFERROR(IF(OR(1&gt;$B$3,ISBLANK(Actuals!C96)),"",(Budget!C96-Actuals!C96)/ABS(Budget!C96)),"")</f>
        <v>-0.786373333333333</v>
      </c>
      <c r="F80" s="529">
        <f>Budget!D96</f>
        <v>-3000</v>
      </c>
      <c r="G80" s="529">
        <f>IF(OR(2&gt;$B$3,ISBLANK(Actuals!D96)),"",Actuals!D96)</f>
        <v>-872.64</v>
      </c>
      <c r="H80" s="530">
        <f>IF(OR(2&gt;$B$3,ISBLANK(Actuals!D96)),"",Budget!D96-Actuals!D96)</f>
        <v>-2127.36</v>
      </c>
      <c r="I80" s="530">
        <f>IFERROR(IF(OR(2&gt;$B$3,ISBLANK(Actuals!D96)),"",(Budget!D96-Actuals!D96)/ABS(Budget!D96)),"")</f>
        <v>-0.70912</v>
      </c>
      <c r="J80" s="529">
        <f>Budget!E96</f>
        <v>-3000</v>
      </c>
      <c r="K80" s="529">
        <f>IF(OR(3&gt;$B$3,ISBLANK(Actuals!E96)),"",Actuals!E96)</f>
        <v>-1175.78</v>
      </c>
      <c r="L80" s="530">
        <f>IF(OR(3&gt;$B$3,ISBLANK(Actuals!E96)),"",Budget!E96-Actuals!E96)</f>
        <v>-1824.22</v>
      </c>
      <c r="M80" s="530">
        <f>IFERROR(IF(OR(3&gt;$B$3,ISBLANK(Actuals!E96)),"",(Budget!E96-Actuals!E96)/ABS(Budget!E96)),"")</f>
        <v>-0.608073333333333</v>
      </c>
      <c r="N80" s="529">
        <f>Budget!F96</f>
        <v>-3000</v>
      </c>
      <c r="O80" s="529">
        <f>IF(OR(4&gt;$B$3,ISBLANK(Actuals!F96)),"",Actuals!F96)</f>
        <v>-471.38</v>
      </c>
      <c r="P80" s="530">
        <f>IF(OR(4&gt;$B$3,ISBLANK(Actuals!F96)),"",Budget!F96-Actuals!F96)</f>
        <v>-2528.62</v>
      </c>
      <c r="Q80" s="530">
        <f>IFERROR(IF(OR(4&gt;$B$3,ISBLANK(Actuals!F96)),"",(Budget!F96-Actuals!F96)/ABS(Budget!F96)),"")</f>
        <v>-0.842873333333333</v>
      </c>
      <c r="R80" s="529">
        <f>Budget!G96</f>
        <v>-3000</v>
      </c>
      <c r="S80" s="529">
        <f>IF(OR(5&gt;$B$3,ISBLANK(Actuals!G96)),"",Actuals!G96)</f>
        <v>-1307.57</v>
      </c>
      <c r="T80" s="530">
        <f>IF(OR(5&gt;$B$3,ISBLANK(Actuals!G96)),"",Budget!G96-Actuals!G96)</f>
        <v>-1692.43</v>
      </c>
      <c r="U80" s="530">
        <f>IFERROR(IF(OR(5&gt;$B$3,ISBLANK(Actuals!G96)),"",(Budget!G96-Actuals!G96)/ABS(Budget!G96)),"")</f>
        <v>-0.564143333333333</v>
      </c>
      <c r="V80" s="529">
        <f>Budget!H96</f>
        <v>-3000</v>
      </c>
      <c r="W80" s="529">
        <f>IF(OR(6&gt;$B$3,ISBLANK(Actuals!H96)),"",Actuals!H96)</f>
        <v>-3067.11</v>
      </c>
      <c r="X80" s="530">
        <f>IF(OR(6&gt;$B$3,ISBLANK(Actuals!H96)),"",Budget!H96-Actuals!H96)</f>
        <v>67.1100000000001</v>
      </c>
      <c r="Y80" s="530">
        <f>IFERROR(IF(OR(6&gt;$B$3,ISBLANK(Actuals!H96)),"",(Budget!H96-Actuals!H96)/ABS(Budget!H96)),"")</f>
        <v>0.02237</v>
      </c>
      <c r="Z80" s="529">
        <f>Budget!I96</f>
        <v>-3060</v>
      </c>
      <c r="AA80" s="529">
        <f>IF(OR(7&gt;$B$3,ISBLANK(Actuals!I96)),"",Actuals!I96)</f>
      </c>
      <c r="AB80" s="530">
        <f>IF(OR(7&gt;$B$3,ISBLANK(Actuals!I96)),"",Budget!I96-Actuals!I96)</f>
      </c>
      <c r="AC80" s="530">
        <f>IFERROR(IF(OR(7&gt;$B$3,ISBLANK(Actuals!I96)),"",(Budget!I96-Actuals!I96)/ABS(Budget!I96)),"")</f>
      </c>
      <c r="AD80" s="529">
        <f>Budget!J96</f>
        <v>-3060</v>
      </c>
      <c r="AE80" s="529">
        <f>IF(OR(8&gt;$B$3,ISBLANK(Actuals!J96)),"",Actuals!J96)</f>
      </c>
      <c r="AF80" s="530">
        <f>IF(OR(8&gt;$B$3,ISBLANK(Actuals!J96)),"",Budget!J96-Actuals!J96)</f>
      </c>
      <c r="AG80" s="530">
        <f>IFERROR(IF(OR(8&gt;$B$3,ISBLANK(Actuals!J96)),"",(Budget!J96-Actuals!J96)/ABS(Budget!J96)),"")</f>
      </c>
      <c r="AH80" s="529">
        <f>Budget!K96</f>
        <v>-3060</v>
      </c>
      <c r="AI80" s="529">
        <f>IF(OR(9&gt;$B$3,ISBLANK(Actuals!K96)),"",Actuals!K96)</f>
      </c>
      <c r="AJ80" s="530">
        <f>IF(OR(9&gt;$B$3,ISBLANK(Actuals!K96)),"",Budget!K96-Actuals!K96)</f>
      </c>
      <c r="AK80" s="530">
        <f>IFERROR(IF(OR(9&gt;$B$3,ISBLANK(Actuals!K96)),"",(Budget!K96-Actuals!K96)/ABS(Budget!K96)),"")</f>
      </c>
      <c r="AL80" s="529">
        <f>Budget!L96</f>
        <v>-3060</v>
      </c>
      <c r="AM80" s="529">
        <f>IF(OR(10&gt;$B$3,ISBLANK(Actuals!L96)),"",Actuals!L96)</f>
      </c>
      <c r="AN80" s="530">
        <f>IF(OR(10&gt;$B$3,ISBLANK(Actuals!L96)),"",Budget!L96-Actuals!L96)</f>
      </c>
      <c r="AO80" s="530">
        <f>IFERROR(IF(OR(10&gt;$B$3,ISBLANK(Actuals!L96)),"",(Budget!L96-Actuals!L96)/ABS(Budget!L96)),"")</f>
      </c>
      <c r="AP80" s="529">
        <f>Budget!M96</f>
        <v>-3060</v>
      </c>
      <c r="AQ80" s="529">
        <f>IF(OR(11&gt;$B$3,ISBLANK(Actuals!M96)),"",Actuals!M96)</f>
      </c>
      <c r="AR80" s="530">
        <f>IF(OR(11&gt;$B$3,ISBLANK(Actuals!M96)),"",Budget!M96-Actuals!M96)</f>
      </c>
      <c r="AS80" s="530">
        <f>IFERROR(IF(OR(11&gt;$B$3,ISBLANK(Actuals!M96)),"",(Budget!M96-Actuals!M96)/ABS(Budget!M96)),"")</f>
      </c>
      <c r="AT80" s="529">
        <f>Budget!N96</f>
        <v>-3060</v>
      </c>
      <c r="AU80" s="529">
        <f>IF(OR(12&gt;$B$3,ISBLANK(Actuals!N96)),"",Actuals!N96)</f>
      </c>
      <c r="AV80" s="530">
        <f>IF(OR(12&gt;$B$3,ISBLANK(Actuals!N96)),"",Budget!N96-Actuals!N96)</f>
      </c>
      <c r="AW80" s="530">
        <f>IFERROR(IF(OR(12&gt;$B$3,ISBLANK(Actuals!N96)),"",(Budget!N96-Actuals!N96)/ABS(Budget!N96)),"")</f>
      </c>
      <c r="AX80" s="531">
        <f>SUMPRODUCT((Actuals!C96:N96&lt;&gt;"")*(Budget!C96:N96))</f>
        <v>-18000</v>
      </c>
      <c r="AY80" s="531">
        <f>SUM(Actuals!C96:N96)</f>
        <v>-7535.36</v>
      </c>
      <c r="AZ80" s="532">
        <f>AX80-AY80</f>
        <v>-10464.64</v>
      </c>
    </row>
    <row r="81" ht="15" customFormat="1" customHeight="1" s="381">
      <c r="A81" s="528" t="inlineStr">
        <is>
          <t>5500-1000 Legal and Professional Fees</t>
        </is>
      </c>
      <c r="B81" s="529">
        <f>Budget!C97</f>
        <v>-500</v>
      </c>
      <c r="C81" s="529">
        <f>IF(OR(1&gt;$B$3,ISBLANK(Actuals!C97)),"",Actuals!C97)</f>
        <v>0</v>
      </c>
      <c r="D81" s="530">
        <f>IF(OR(1&gt;$B$3,ISBLANK(Actuals!C97)),"",Budget!C97-Actuals!C97)</f>
        <v>-500</v>
      </c>
      <c r="E81" s="530">
        <f>IFERROR(IF(OR(1&gt;$B$3,ISBLANK(Actuals!C97)),"",(Budget!C97-Actuals!C97)/ABS(Budget!C97)),"")</f>
        <v>-1</v>
      </c>
      <c r="F81" s="529">
        <f>Budget!D97</f>
        <v>-500</v>
      </c>
      <c r="G81" s="529">
        <f>IF(OR(2&gt;$B$3,ISBLANK(Actuals!D97)),"",Actuals!D97)</f>
        <v>0</v>
      </c>
      <c r="H81" s="530">
        <f>IF(OR(2&gt;$B$3,ISBLANK(Actuals!D97)),"",Budget!D97-Actuals!D97)</f>
        <v>-500</v>
      </c>
      <c r="I81" s="530">
        <f>IFERROR(IF(OR(2&gt;$B$3,ISBLANK(Actuals!D97)),"",(Budget!D97-Actuals!D97)/ABS(Budget!D97)),"")</f>
        <v>-1</v>
      </c>
      <c r="J81" s="529">
        <f>Budget!E97</f>
        <v>-500</v>
      </c>
      <c r="K81" s="529">
        <f>IF(OR(3&gt;$B$3,ISBLANK(Actuals!E97)),"",Actuals!E97)</f>
        <v>-38050.5</v>
      </c>
      <c r="L81" s="530">
        <f>IF(OR(3&gt;$B$3,ISBLANK(Actuals!E97)),"",Budget!E97-Actuals!E97)</f>
        <v>37550.5</v>
      </c>
      <c r="M81" s="530">
        <f>IFERROR(IF(OR(3&gt;$B$3,ISBLANK(Actuals!E97)),"",(Budget!E97-Actuals!E97)/ABS(Budget!E97)),"")</f>
        <v>75.101</v>
      </c>
      <c r="N81" s="529">
        <f>Budget!F97</f>
        <v>-500</v>
      </c>
      <c r="O81" s="529">
        <f>IF(OR(4&gt;$B$3,ISBLANK(Actuals!F97)),"",Actuals!F97)</f>
        <v>0</v>
      </c>
      <c r="P81" s="530">
        <f>IF(OR(4&gt;$B$3,ISBLANK(Actuals!F97)),"",Budget!F97-Actuals!F97)</f>
        <v>-500</v>
      </c>
      <c r="Q81" s="530">
        <f>IFERROR(IF(OR(4&gt;$B$3,ISBLANK(Actuals!F97)),"",(Budget!F97-Actuals!F97)/ABS(Budget!F97)),"")</f>
        <v>-1</v>
      </c>
      <c r="R81" s="529">
        <f>Budget!G97</f>
        <v>-500</v>
      </c>
      <c r="S81" s="529">
        <f>IF(OR(5&gt;$B$3,ISBLANK(Actuals!G97)),"",Actuals!G97)</f>
        <v>-986.5</v>
      </c>
      <c r="T81" s="530">
        <f>IF(OR(5&gt;$B$3,ISBLANK(Actuals!G97)),"",Budget!G97-Actuals!G97)</f>
        <v>486.5</v>
      </c>
      <c r="U81" s="530">
        <f>IFERROR(IF(OR(5&gt;$B$3,ISBLANK(Actuals!G97)),"",(Budget!G97-Actuals!G97)/ABS(Budget!G97)),"")</f>
        <v>0.973</v>
      </c>
      <c r="V81" s="529">
        <f>Budget!H97</f>
        <v>-500</v>
      </c>
      <c r="W81" s="529">
        <f>IF(OR(6&gt;$B$3,ISBLANK(Actuals!H97)),"",Actuals!H97)</f>
        <v>-4830</v>
      </c>
      <c r="X81" s="530">
        <f>IF(OR(6&gt;$B$3,ISBLANK(Actuals!H97)),"",Budget!H97-Actuals!H97)</f>
        <v>4330</v>
      </c>
      <c r="Y81" s="530">
        <f>IFERROR(IF(OR(6&gt;$B$3,ISBLANK(Actuals!H97)),"",(Budget!H97-Actuals!H97)/ABS(Budget!H97)),"")</f>
        <v>8.66</v>
      </c>
      <c r="Z81" s="529">
        <f>Budget!I97</f>
        <v>-510</v>
      </c>
      <c r="AA81" s="529">
        <f>IF(OR(7&gt;$B$3,ISBLANK(Actuals!I97)),"",Actuals!I97)</f>
      </c>
      <c r="AB81" s="530">
        <f>IF(OR(7&gt;$B$3,ISBLANK(Actuals!I97)),"",Budget!I97-Actuals!I97)</f>
      </c>
      <c r="AC81" s="530">
        <f>IFERROR(IF(OR(7&gt;$B$3,ISBLANK(Actuals!I97)),"",(Budget!I97-Actuals!I97)/ABS(Budget!I97)),"")</f>
      </c>
      <c r="AD81" s="529">
        <f>Budget!J97</f>
        <v>-510</v>
      </c>
      <c r="AE81" s="529">
        <f>IF(OR(8&gt;$B$3,ISBLANK(Actuals!J97)),"",Actuals!J97)</f>
      </c>
      <c r="AF81" s="530">
        <f>IF(OR(8&gt;$B$3,ISBLANK(Actuals!J97)),"",Budget!J97-Actuals!J97)</f>
      </c>
      <c r="AG81" s="530">
        <f>IFERROR(IF(OR(8&gt;$B$3,ISBLANK(Actuals!J97)),"",(Budget!J97-Actuals!J97)/ABS(Budget!J97)),"")</f>
      </c>
      <c r="AH81" s="529">
        <f>Budget!K97</f>
        <v>-510</v>
      </c>
      <c r="AI81" s="529">
        <f>IF(OR(9&gt;$B$3,ISBLANK(Actuals!K97)),"",Actuals!K97)</f>
      </c>
      <c r="AJ81" s="530">
        <f>IF(OR(9&gt;$B$3,ISBLANK(Actuals!K97)),"",Budget!K97-Actuals!K97)</f>
      </c>
      <c r="AK81" s="530">
        <f>IFERROR(IF(OR(9&gt;$B$3,ISBLANK(Actuals!K97)),"",(Budget!K97-Actuals!K97)/ABS(Budget!K97)),"")</f>
      </c>
      <c r="AL81" s="529">
        <f>Budget!L97</f>
        <v>-510</v>
      </c>
      <c r="AM81" s="529">
        <f>IF(OR(10&gt;$B$3,ISBLANK(Actuals!L97)),"",Actuals!L97)</f>
      </c>
      <c r="AN81" s="530">
        <f>IF(OR(10&gt;$B$3,ISBLANK(Actuals!L97)),"",Budget!L97-Actuals!L97)</f>
      </c>
      <c r="AO81" s="530">
        <f>IFERROR(IF(OR(10&gt;$B$3,ISBLANK(Actuals!L97)),"",(Budget!L97-Actuals!L97)/ABS(Budget!L97)),"")</f>
      </c>
      <c r="AP81" s="529">
        <f>Budget!M97</f>
        <v>-510</v>
      </c>
      <c r="AQ81" s="529">
        <f>IF(OR(11&gt;$B$3,ISBLANK(Actuals!M97)),"",Actuals!M97)</f>
      </c>
      <c r="AR81" s="530">
        <f>IF(OR(11&gt;$B$3,ISBLANK(Actuals!M97)),"",Budget!M97-Actuals!M97)</f>
      </c>
      <c r="AS81" s="530">
        <f>IFERROR(IF(OR(11&gt;$B$3,ISBLANK(Actuals!M97)),"",(Budget!M97-Actuals!M97)/ABS(Budget!M97)),"")</f>
      </c>
      <c r="AT81" s="529">
        <f>Budget!N97</f>
        <v>-510</v>
      </c>
      <c r="AU81" s="529">
        <f>IF(OR(12&gt;$B$3,ISBLANK(Actuals!N97)),"",Actuals!N97)</f>
      </c>
      <c r="AV81" s="530">
        <f>IF(OR(12&gt;$B$3,ISBLANK(Actuals!N97)),"",Budget!N97-Actuals!N97)</f>
      </c>
      <c r="AW81" s="530">
        <f>IFERROR(IF(OR(12&gt;$B$3,ISBLANK(Actuals!N97)),"",(Budget!N97-Actuals!N97)/ABS(Budget!N97)),"")</f>
      </c>
      <c r="AX81" s="531">
        <f>SUMPRODUCT((Actuals!C97:N97&lt;&gt;"")*(Budget!C97:N97))</f>
        <v>-3000</v>
      </c>
      <c r="AY81" s="531">
        <f>SUM(Actuals!C97:N97)</f>
        <v>-43867</v>
      </c>
      <c r="AZ81" s="532">
        <f>AX81-AY81</f>
        <v>40867</v>
      </c>
    </row>
    <row r="82" ht="15" customFormat="1" customHeight="1" s="381">
      <c r="A82" s="528" t="inlineStr">
        <is>
          <t>5500-1002 Accounting Consulting and Overhead</t>
        </is>
      </c>
      <c r="B82" s="529">
        <f>Budget!C98</f>
        <v>-5500</v>
      </c>
      <c r="C82" s="529">
        <f>IF(OR(1&gt;$B$3,ISBLANK(Actuals!C98)),"",Actuals!C98)</f>
        <v>-4097.78</v>
      </c>
      <c r="D82" s="530">
        <f>IF(OR(1&gt;$B$3,ISBLANK(Actuals!C98)),"",Budget!C98-Actuals!C98)</f>
        <v>-1402.22</v>
      </c>
      <c r="E82" s="530">
        <f>IFERROR(IF(OR(1&gt;$B$3,ISBLANK(Actuals!C98)),"",(Budget!C98-Actuals!C98)/ABS(Budget!C98)),"")</f>
        <v>-0.254949090909091</v>
      </c>
      <c r="F82" s="529">
        <f>Budget!D98</f>
        <v>-5500</v>
      </c>
      <c r="G82" s="529">
        <f>IF(OR(2&gt;$B$3,ISBLANK(Actuals!D98)),"",Actuals!D98)</f>
        <v>-1950.2</v>
      </c>
      <c r="H82" s="530">
        <f>IF(OR(2&gt;$B$3,ISBLANK(Actuals!D98)),"",Budget!D98-Actuals!D98)</f>
        <v>-3549.8</v>
      </c>
      <c r="I82" s="530">
        <f>IFERROR(IF(OR(2&gt;$B$3,ISBLANK(Actuals!D98)),"",(Budget!D98-Actuals!D98)/ABS(Budget!D98)),"")</f>
        <v>-0.645418181818182</v>
      </c>
      <c r="J82" s="529">
        <f>Budget!E98</f>
        <v>-5500</v>
      </c>
      <c r="K82" s="529">
        <f>IF(OR(3&gt;$B$3,ISBLANK(Actuals!E98)),"",Actuals!E98)</f>
        <v>-1978.2</v>
      </c>
      <c r="L82" s="530">
        <f>IF(OR(3&gt;$B$3,ISBLANK(Actuals!E98)),"",Budget!E98-Actuals!E98)</f>
        <v>-3521.8</v>
      </c>
      <c r="M82" s="530">
        <f>IFERROR(IF(OR(3&gt;$B$3,ISBLANK(Actuals!E98)),"",(Budget!E98-Actuals!E98)/ABS(Budget!E98)),"")</f>
        <v>-0.640327272727273</v>
      </c>
      <c r="N82" s="529">
        <f>Budget!F98</f>
        <v>-5500</v>
      </c>
      <c r="O82" s="529">
        <f>IF(OR(4&gt;$B$3,ISBLANK(Actuals!F98)),"",Actuals!F98)</f>
        <v>-1970.2</v>
      </c>
      <c r="P82" s="530">
        <f>IF(OR(4&gt;$B$3,ISBLANK(Actuals!F98)),"",Budget!F98-Actuals!F98)</f>
        <v>-3529.8</v>
      </c>
      <c r="Q82" s="530">
        <f>IFERROR(IF(OR(4&gt;$B$3,ISBLANK(Actuals!F98)),"",(Budget!F98-Actuals!F98)/ABS(Budget!F98)),"")</f>
        <v>-0.641781818181818</v>
      </c>
      <c r="R82" s="529">
        <f>Budget!G98</f>
        <v>-5500</v>
      </c>
      <c r="S82" s="529">
        <f>IF(OR(5&gt;$B$3,ISBLANK(Actuals!G98)),"",Actuals!G98)</f>
        <v>-6126.2</v>
      </c>
      <c r="T82" s="530">
        <f>IF(OR(5&gt;$B$3,ISBLANK(Actuals!G98)),"",Budget!G98-Actuals!G98)</f>
        <v>626.2</v>
      </c>
      <c r="U82" s="530">
        <f>IFERROR(IF(OR(5&gt;$B$3,ISBLANK(Actuals!G98)),"",(Budget!G98-Actuals!G98)/ABS(Budget!G98)),"")</f>
        <v>0.113854545454545</v>
      </c>
      <c r="V82" s="529">
        <f>Budget!H98</f>
        <v>-5500</v>
      </c>
      <c r="W82" s="529">
        <f>IF(OR(6&gt;$B$3,ISBLANK(Actuals!H98)),"",Actuals!H98)</f>
        <v>-1993.2</v>
      </c>
      <c r="X82" s="530">
        <f>IF(OR(6&gt;$B$3,ISBLANK(Actuals!H98)),"",Budget!H98-Actuals!H98)</f>
        <v>-3506.8</v>
      </c>
      <c r="Y82" s="530">
        <f>IFERROR(IF(OR(6&gt;$B$3,ISBLANK(Actuals!H98)),"",(Budget!H98-Actuals!H98)/ABS(Budget!H98)),"")</f>
        <v>-0.6376</v>
      </c>
      <c r="Z82" s="529">
        <f>Budget!I98</f>
        <v>-5610</v>
      </c>
      <c r="AA82" s="529">
        <f>IF(OR(7&gt;$B$3,ISBLANK(Actuals!I98)),"",Actuals!I98)</f>
      </c>
      <c r="AB82" s="530">
        <f>IF(OR(7&gt;$B$3,ISBLANK(Actuals!I98)),"",Budget!I98-Actuals!I98)</f>
      </c>
      <c r="AC82" s="530">
        <f>IFERROR(IF(OR(7&gt;$B$3,ISBLANK(Actuals!I98)),"",(Budget!I98-Actuals!I98)/ABS(Budget!I98)),"")</f>
      </c>
      <c r="AD82" s="529">
        <f>Budget!J98</f>
        <v>-5610</v>
      </c>
      <c r="AE82" s="529">
        <f>IF(OR(8&gt;$B$3,ISBLANK(Actuals!J98)),"",Actuals!J98)</f>
      </c>
      <c r="AF82" s="530">
        <f>IF(OR(8&gt;$B$3,ISBLANK(Actuals!J98)),"",Budget!J98-Actuals!J98)</f>
      </c>
      <c r="AG82" s="530">
        <f>IFERROR(IF(OR(8&gt;$B$3,ISBLANK(Actuals!J98)),"",(Budget!J98-Actuals!J98)/ABS(Budget!J98)),"")</f>
      </c>
      <c r="AH82" s="529">
        <f>Budget!K98</f>
        <v>-5610</v>
      </c>
      <c r="AI82" s="529">
        <f>IF(OR(9&gt;$B$3,ISBLANK(Actuals!K98)),"",Actuals!K98)</f>
      </c>
      <c r="AJ82" s="530">
        <f>IF(OR(9&gt;$B$3,ISBLANK(Actuals!K98)),"",Budget!K98-Actuals!K98)</f>
      </c>
      <c r="AK82" s="530">
        <f>IFERROR(IF(OR(9&gt;$B$3,ISBLANK(Actuals!K98)),"",(Budget!K98-Actuals!K98)/ABS(Budget!K98)),"")</f>
      </c>
      <c r="AL82" s="529">
        <f>Budget!L98</f>
        <v>-5610</v>
      </c>
      <c r="AM82" s="529">
        <f>IF(OR(10&gt;$B$3,ISBLANK(Actuals!L98)),"",Actuals!L98)</f>
      </c>
      <c r="AN82" s="530">
        <f>IF(OR(10&gt;$B$3,ISBLANK(Actuals!L98)),"",Budget!L98-Actuals!L98)</f>
      </c>
      <c r="AO82" s="530">
        <f>IFERROR(IF(OR(10&gt;$B$3,ISBLANK(Actuals!L98)),"",(Budget!L98-Actuals!L98)/ABS(Budget!L98)),"")</f>
      </c>
      <c r="AP82" s="529">
        <f>Budget!M98</f>
        <v>-5610</v>
      </c>
      <c r="AQ82" s="529">
        <f>IF(OR(11&gt;$B$3,ISBLANK(Actuals!M98)),"",Actuals!M98)</f>
      </c>
      <c r="AR82" s="530">
        <f>IF(OR(11&gt;$B$3,ISBLANK(Actuals!M98)),"",Budget!M98-Actuals!M98)</f>
      </c>
      <c r="AS82" s="530">
        <f>IFERROR(IF(OR(11&gt;$B$3,ISBLANK(Actuals!M98)),"",(Budget!M98-Actuals!M98)/ABS(Budget!M98)),"")</f>
      </c>
      <c r="AT82" s="529">
        <f>Budget!N98</f>
        <v>-5610</v>
      </c>
      <c r="AU82" s="529">
        <f>IF(OR(12&gt;$B$3,ISBLANK(Actuals!N98)),"",Actuals!N98)</f>
      </c>
      <c r="AV82" s="530">
        <f>IF(OR(12&gt;$B$3,ISBLANK(Actuals!N98)),"",Budget!N98-Actuals!N98)</f>
      </c>
      <c r="AW82" s="530">
        <f>IFERROR(IF(OR(12&gt;$B$3,ISBLANK(Actuals!N98)),"",(Budget!N98-Actuals!N98)/ABS(Budget!N98)),"")</f>
      </c>
      <c r="AX82" s="531">
        <f>SUMPRODUCT((Actuals!C98:N98&lt;&gt;"")*(Budget!C98:N98))</f>
        <v>-33000</v>
      </c>
      <c r="AY82" s="531">
        <f>SUM(Actuals!C98:N98)</f>
        <v>-18115.78</v>
      </c>
      <c r="AZ82" s="532">
        <f>AX82-AY82</f>
        <v>-14884.22</v>
      </c>
    </row>
    <row r="83" ht="15" customFormat="1" customHeight="1" s="381">
      <c r="A83" s="528" t="inlineStr">
        <is>
          <t>5500-1004 Consultants and Other Professional Expenses</t>
        </is>
      </c>
      <c r="B83" s="529">
        <f>Budget!C99</f>
        <v>-2083.33</v>
      </c>
      <c r="C83" s="529">
        <f>IF(OR(1&gt;$B$3,ISBLANK(Actuals!C99)),"",Actuals!C99)</f>
        <v>-28038</v>
      </c>
      <c r="D83" s="530">
        <f>IF(OR(1&gt;$B$3,ISBLANK(Actuals!C99)),"",Budget!C99-Actuals!C99)</f>
        <v>25954.67</v>
      </c>
      <c r="E83" s="530">
        <f>IFERROR(IF(OR(1&gt;$B$3,ISBLANK(Actuals!C99)),"",(Budget!C99-Actuals!C99)/ABS(Budget!C99)),"")</f>
        <v>12.4582615332185</v>
      </c>
      <c r="F83" s="529">
        <f>Budget!D99</f>
        <v>-2083.33</v>
      </c>
      <c r="G83" s="529">
        <f>IF(OR(2&gt;$B$3,ISBLANK(Actuals!D99)),"",Actuals!D99)</f>
        <v>-29387.5</v>
      </c>
      <c r="H83" s="530">
        <f>IF(OR(2&gt;$B$3,ISBLANK(Actuals!D99)),"",Budget!D99-Actuals!D99)</f>
        <v>27304.17</v>
      </c>
      <c r="I83" s="530">
        <f>IFERROR(IF(OR(2&gt;$B$3,ISBLANK(Actuals!D99)),"",(Budget!D99-Actuals!D99)/ABS(Budget!D99)),"")</f>
        <v>13.1060225696361</v>
      </c>
      <c r="J83" s="529">
        <f>Budget!E99</f>
        <v>-2083.33</v>
      </c>
      <c r="K83" s="529">
        <f>IF(OR(3&gt;$B$3,ISBLANK(Actuals!E99)),"",Actuals!E99)</f>
        <v>-28083</v>
      </c>
      <c r="L83" s="530">
        <f>IF(OR(3&gt;$B$3,ISBLANK(Actuals!E99)),"",Budget!E99-Actuals!E99)</f>
        <v>25999.67</v>
      </c>
      <c r="M83" s="530">
        <f>IFERROR(IF(OR(3&gt;$B$3,ISBLANK(Actuals!E99)),"",(Budget!E99-Actuals!E99)/ABS(Budget!E99)),"")</f>
        <v>12.4798615677785</v>
      </c>
      <c r="N83" s="529">
        <f>Budget!F99</f>
        <v>-2083.33</v>
      </c>
      <c r="O83" s="529">
        <f>IF(OR(4&gt;$B$3,ISBLANK(Actuals!F99)),"",Actuals!F99)</f>
        <v>-28083</v>
      </c>
      <c r="P83" s="530">
        <f>IF(OR(4&gt;$B$3,ISBLANK(Actuals!F99)),"",Budget!F99-Actuals!F99)</f>
        <v>25999.67</v>
      </c>
      <c r="Q83" s="530">
        <f>IFERROR(IF(OR(4&gt;$B$3,ISBLANK(Actuals!F99)),"",(Budget!F99-Actuals!F99)/ABS(Budget!F99)),"")</f>
        <v>12.4798615677785</v>
      </c>
      <c r="R83" s="529">
        <f>Budget!G99</f>
        <v>-2083.33</v>
      </c>
      <c r="S83" s="529">
        <f>IF(OR(5&gt;$B$3,ISBLANK(Actuals!G99)),"",Actuals!G99)</f>
        <v>-69333</v>
      </c>
      <c r="T83" s="530">
        <f>IF(OR(5&gt;$B$3,ISBLANK(Actuals!G99)),"",Budget!G99-Actuals!G99)</f>
        <v>67249.67</v>
      </c>
      <c r="U83" s="530">
        <f>IFERROR(IF(OR(5&gt;$B$3,ISBLANK(Actuals!G99)),"",(Budget!G99-Actuals!G99)/ABS(Budget!G99)),"")</f>
        <v>32.2798932478292</v>
      </c>
      <c r="V83" s="529">
        <f>Budget!H99</f>
        <v>-2083.33</v>
      </c>
      <c r="W83" s="529">
        <f>IF(OR(6&gt;$B$3,ISBLANK(Actuals!H99)),"",Actuals!H99)</f>
        <v>-28083</v>
      </c>
      <c r="X83" s="530">
        <f>IF(OR(6&gt;$B$3,ISBLANK(Actuals!H99)),"",Budget!H99-Actuals!H99)</f>
        <v>25999.67</v>
      </c>
      <c r="Y83" s="530">
        <f>IFERROR(IF(OR(6&gt;$B$3,ISBLANK(Actuals!H99)),"",(Budget!H99-Actuals!H99)/ABS(Budget!H99)),"")</f>
        <v>12.4798615677785</v>
      </c>
      <c r="Z83" s="529">
        <f>Budget!I99</f>
        <v>-2125</v>
      </c>
      <c r="AA83" s="529">
        <f>IF(OR(7&gt;$B$3,ISBLANK(Actuals!I99)),"",Actuals!I99)</f>
      </c>
      <c r="AB83" s="530">
        <f>IF(OR(7&gt;$B$3,ISBLANK(Actuals!I99)),"",Budget!I99-Actuals!I99)</f>
      </c>
      <c r="AC83" s="530">
        <f>IFERROR(IF(OR(7&gt;$B$3,ISBLANK(Actuals!I99)),"",(Budget!I99-Actuals!I99)/ABS(Budget!I99)),"")</f>
      </c>
      <c r="AD83" s="529">
        <f>Budget!J99</f>
        <v>-2125</v>
      </c>
      <c r="AE83" s="529">
        <f>IF(OR(8&gt;$B$3,ISBLANK(Actuals!J99)),"",Actuals!J99)</f>
      </c>
      <c r="AF83" s="530">
        <f>IF(OR(8&gt;$B$3,ISBLANK(Actuals!J99)),"",Budget!J99-Actuals!J99)</f>
      </c>
      <c r="AG83" s="530">
        <f>IFERROR(IF(OR(8&gt;$B$3,ISBLANK(Actuals!J99)),"",(Budget!J99-Actuals!J99)/ABS(Budget!J99)),"")</f>
      </c>
      <c r="AH83" s="529">
        <f>Budget!K99</f>
        <v>-2125</v>
      </c>
      <c r="AI83" s="529">
        <f>IF(OR(9&gt;$B$3,ISBLANK(Actuals!K99)),"",Actuals!K99)</f>
      </c>
      <c r="AJ83" s="530">
        <f>IF(OR(9&gt;$B$3,ISBLANK(Actuals!K99)),"",Budget!K99-Actuals!K99)</f>
      </c>
      <c r="AK83" s="530">
        <f>IFERROR(IF(OR(9&gt;$B$3,ISBLANK(Actuals!K99)),"",(Budget!K99-Actuals!K99)/ABS(Budget!K99)),"")</f>
      </c>
      <c r="AL83" s="529">
        <f>Budget!L99</f>
        <v>-2125</v>
      </c>
      <c r="AM83" s="529">
        <f>IF(OR(10&gt;$B$3,ISBLANK(Actuals!L99)),"",Actuals!L99)</f>
      </c>
      <c r="AN83" s="530">
        <f>IF(OR(10&gt;$B$3,ISBLANK(Actuals!L99)),"",Budget!L99-Actuals!L99)</f>
      </c>
      <c r="AO83" s="530">
        <f>IFERROR(IF(OR(10&gt;$B$3,ISBLANK(Actuals!L99)),"",(Budget!L99-Actuals!L99)/ABS(Budget!L99)),"")</f>
      </c>
      <c r="AP83" s="529">
        <f>Budget!M99</f>
        <v>-2125</v>
      </c>
      <c r="AQ83" s="529">
        <f>IF(OR(11&gt;$B$3,ISBLANK(Actuals!M99)),"",Actuals!M99)</f>
      </c>
      <c r="AR83" s="530">
        <f>IF(OR(11&gt;$B$3,ISBLANK(Actuals!M99)),"",Budget!M99-Actuals!M99)</f>
      </c>
      <c r="AS83" s="530">
        <f>IFERROR(IF(OR(11&gt;$B$3,ISBLANK(Actuals!M99)),"",(Budget!M99-Actuals!M99)/ABS(Budget!M99)),"")</f>
      </c>
      <c r="AT83" s="529">
        <f>Budget!N99</f>
        <v>-2125</v>
      </c>
      <c r="AU83" s="529">
        <f>IF(OR(12&gt;$B$3,ISBLANK(Actuals!N99)),"",Actuals!N99)</f>
      </c>
      <c r="AV83" s="530">
        <f>IF(OR(12&gt;$B$3,ISBLANK(Actuals!N99)),"",Budget!N99-Actuals!N99)</f>
      </c>
      <c r="AW83" s="530">
        <f>IFERROR(IF(OR(12&gt;$B$3,ISBLANK(Actuals!N99)),"",(Budget!N99-Actuals!N99)/ABS(Budget!N99)),"")</f>
      </c>
      <c r="AX83" s="531">
        <f>SUMPRODUCT((Actuals!C99:N99&lt;&gt;"")*(Budget!C99:N99))</f>
        <v>-12499.98</v>
      </c>
      <c r="AY83" s="531">
        <f>SUM(Actuals!C99:N99)</f>
        <v>-211007.5</v>
      </c>
      <c r="AZ83" s="532">
        <f>AX83-AY83</f>
        <v>198507.52</v>
      </c>
    </row>
    <row r="84" ht="15" customFormat="1" customHeight="1" s="381">
      <c r="A84" s="528" t="inlineStr">
        <is>
          <t>5500-1007 Dues and Subscriptions</t>
        </is>
      </c>
      <c r="B84" s="529">
        <f>Budget!C100</f>
        <v>-500</v>
      </c>
      <c r="C84" s="529">
        <f>IF(OR(1&gt;$B$3,ISBLANK(Actuals!C100)),"",Actuals!C100)</f>
        <v>-268</v>
      </c>
      <c r="D84" s="530">
        <f>IF(OR(1&gt;$B$3,ISBLANK(Actuals!C100)),"",Budget!C100-Actuals!C100)</f>
        <v>-232</v>
      </c>
      <c r="E84" s="530">
        <f>IFERROR(IF(OR(1&gt;$B$3,ISBLANK(Actuals!C100)),"",(Budget!C100-Actuals!C100)/ABS(Budget!C100)),"")</f>
        <v>-0.464</v>
      </c>
      <c r="F84" s="529">
        <f>Budget!D100</f>
        <v>-500</v>
      </c>
      <c r="G84" s="529">
        <f>IF(OR(2&gt;$B$3,ISBLANK(Actuals!D100)),"",Actuals!D100)</f>
        <v>-2088.75</v>
      </c>
      <c r="H84" s="530">
        <f>IF(OR(2&gt;$B$3,ISBLANK(Actuals!D100)),"",Budget!D100-Actuals!D100)</f>
        <v>1588.75</v>
      </c>
      <c r="I84" s="530">
        <f>IFERROR(IF(OR(2&gt;$B$3,ISBLANK(Actuals!D100)),"",(Budget!D100-Actuals!D100)/ABS(Budget!D100)),"")</f>
        <v>3.1775</v>
      </c>
      <c r="J84" s="529">
        <f>Budget!E100</f>
        <v>-500</v>
      </c>
      <c r="K84" s="529">
        <f>IF(OR(3&gt;$B$3,ISBLANK(Actuals!E100)),"",Actuals!E100)</f>
        <v>-2401.75</v>
      </c>
      <c r="L84" s="530">
        <f>IF(OR(3&gt;$B$3,ISBLANK(Actuals!E100)),"",Budget!E100-Actuals!E100)</f>
        <v>1901.75</v>
      </c>
      <c r="M84" s="530">
        <f>IFERROR(IF(OR(3&gt;$B$3,ISBLANK(Actuals!E100)),"",(Budget!E100-Actuals!E100)/ABS(Budget!E100)),"")</f>
        <v>3.8035</v>
      </c>
      <c r="N84" s="529">
        <f>Budget!F100</f>
        <v>-500</v>
      </c>
      <c r="O84" s="529">
        <f>IF(OR(4&gt;$B$3,ISBLANK(Actuals!F100)),"",Actuals!F100)</f>
        <v>-4209.5</v>
      </c>
      <c r="P84" s="530">
        <f>IF(OR(4&gt;$B$3,ISBLANK(Actuals!F100)),"",Budget!F100-Actuals!F100)</f>
        <v>3709.5</v>
      </c>
      <c r="Q84" s="530">
        <f>IFERROR(IF(OR(4&gt;$B$3,ISBLANK(Actuals!F100)),"",(Budget!F100-Actuals!F100)/ABS(Budget!F100)),"")</f>
        <v>7.419</v>
      </c>
      <c r="R84" s="529">
        <f>Budget!G100</f>
        <v>-500</v>
      </c>
      <c r="S84" s="529">
        <f>IF(OR(5&gt;$B$3,ISBLANK(Actuals!G100)),"",Actuals!G100)</f>
        <v>-2377.59</v>
      </c>
      <c r="T84" s="530">
        <f>IF(OR(5&gt;$B$3,ISBLANK(Actuals!G100)),"",Budget!G100-Actuals!G100)</f>
        <v>1877.59</v>
      </c>
      <c r="U84" s="530">
        <f>IFERROR(IF(OR(5&gt;$B$3,ISBLANK(Actuals!G100)),"",(Budget!G100-Actuals!G100)/ABS(Budget!G100)),"")</f>
        <v>3.75518</v>
      </c>
      <c r="V84" s="529">
        <f>Budget!H100</f>
        <v>-500</v>
      </c>
      <c r="W84" s="529">
        <f>IF(OR(6&gt;$B$3,ISBLANK(Actuals!H100)),"",Actuals!H100)</f>
        <v>-16</v>
      </c>
      <c r="X84" s="530">
        <f>IF(OR(6&gt;$B$3,ISBLANK(Actuals!H100)),"",Budget!H100-Actuals!H100)</f>
        <v>-484</v>
      </c>
      <c r="Y84" s="530">
        <f>IFERROR(IF(OR(6&gt;$B$3,ISBLANK(Actuals!H100)),"",(Budget!H100-Actuals!H100)/ABS(Budget!H100)),"")</f>
        <v>-0.968</v>
      </c>
      <c r="Z84" s="529">
        <f>Budget!I100</f>
        <v>-510</v>
      </c>
      <c r="AA84" s="529">
        <f>IF(OR(7&gt;$B$3,ISBLANK(Actuals!I100)),"",Actuals!I100)</f>
      </c>
      <c r="AB84" s="530">
        <f>IF(OR(7&gt;$B$3,ISBLANK(Actuals!I100)),"",Budget!I100-Actuals!I100)</f>
      </c>
      <c r="AC84" s="530">
        <f>IFERROR(IF(OR(7&gt;$B$3,ISBLANK(Actuals!I100)),"",(Budget!I100-Actuals!I100)/ABS(Budget!I100)),"")</f>
      </c>
      <c r="AD84" s="529">
        <f>Budget!J100</f>
        <v>-510</v>
      </c>
      <c r="AE84" s="529">
        <f>IF(OR(8&gt;$B$3,ISBLANK(Actuals!J100)),"",Actuals!J100)</f>
      </c>
      <c r="AF84" s="530">
        <f>IF(OR(8&gt;$B$3,ISBLANK(Actuals!J100)),"",Budget!J100-Actuals!J100)</f>
      </c>
      <c r="AG84" s="530">
        <f>IFERROR(IF(OR(8&gt;$B$3,ISBLANK(Actuals!J100)),"",(Budget!J100-Actuals!J100)/ABS(Budget!J100)),"")</f>
      </c>
      <c r="AH84" s="529">
        <f>Budget!K100</f>
        <v>-510</v>
      </c>
      <c r="AI84" s="529">
        <f>IF(OR(9&gt;$B$3,ISBLANK(Actuals!K100)),"",Actuals!K100)</f>
      </c>
      <c r="AJ84" s="530">
        <f>IF(OR(9&gt;$B$3,ISBLANK(Actuals!K100)),"",Budget!K100-Actuals!K100)</f>
      </c>
      <c r="AK84" s="530">
        <f>IFERROR(IF(OR(9&gt;$B$3,ISBLANK(Actuals!K100)),"",(Budget!K100-Actuals!K100)/ABS(Budget!K100)),"")</f>
      </c>
      <c r="AL84" s="529">
        <f>Budget!L100</f>
        <v>-510</v>
      </c>
      <c r="AM84" s="529">
        <f>IF(OR(10&gt;$B$3,ISBLANK(Actuals!L100)),"",Actuals!L100)</f>
      </c>
      <c r="AN84" s="530">
        <f>IF(OR(10&gt;$B$3,ISBLANK(Actuals!L100)),"",Budget!L100-Actuals!L100)</f>
      </c>
      <c r="AO84" s="530">
        <f>IFERROR(IF(OR(10&gt;$B$3,ISBLANK(Actuals!L100)),"",(Budget!L100-Actuals!L100)/ABS(Budget!L100)),"")</f>
      </c>
      <c r="AP84" s="529">
        <f>Budget!M100</f>
        <v>-510</v>
      </c>
      <c r="AQ84" s="529">
        <f>IF(OR(11&gt;$B$3,ISBLANK(Actuals!M100)),"",Actuals!M100)</f>
      </c>
      <c r="AR84" s="530">
        <f>IF(OR(11&gt;$B$3,ISBLANK(Actuals!M100)),"",Budget!M100-Actuals!M100)</f>
      </c>
      <c r="AS84" s="530">
        <f>IFERROR(IF(OR(11&gt;$B$3,ISBLANK(Actuals!M100)),"",(Budget!M100-Actuals!M100)/ABS(Budget!M100)),"")</f>
      </c>
      <c r="AT84" s="529">
        <f>Budget!N100</f>
        <v>-510</v>
      </c>
      <c r="AU84" s="529">
        <f>IF(OR(12&gt;$B$3,ISBLANK(Actuals!N100)),"",Actuals!N100)</f>
      </c>
      <c r="AV84" s="530">
        <f>IF(OR(12&gt;$B$3,ISBLANK(Actuals!N100)),"",Budget!N100-Actuals!N100)</f>
      </c>
      <c r="AW84" s="530">
        <f>IFERROR(IF(OR(12&gt;$B$3,ISBLANK(Actuals!N100)),"",(Budget!N100-Actuals!N100)/ABS(Budget!N100)),"")</f>
      </c>
      <c r="AX84" s="531">
        <f>SUMPRODUCT((Actuals!C100:N100&lt;&gt;"")*(Budget!C100:N100))</f>
        <v>-3000</v>
      </c>
      <c r="AY84" s="531">
        <f>SUM(Actuals!C100:N100)</f>
        <v>-11361.59</v>
      </c>
      <c r="AZ84" s="532">
        <f>AX84-AY84</f>
        <v>8361.59</v>
      </c>
    </row>
    <row r="85" ht="15" customFormat="1" customHeight="1" s="381">
      <c r="A85" s="528" t="inlineStr">
        <is>
          <t>5500-1009 Entity Filing and Formation Fees</t>
        </is>
      </c>
      <c r="B85" s="529">
        <f>Budget!C101</f>
        <v>-2000</v>
      </c>
      <c r="C85" s="529">
        <f>IF(OR(1&gt;$B$3,ISBLANK(Actuals!C101)),"",Actuals!C101)</f>
        <v>-341.83</v>
      </c>
      <c r="D85" s="530">
        <f>IF(OR(1&gt;$B$3,ISBLANK(Actuals!C101)),"",Budget!C101-Actuals!C101)</f>
        <v>-1658.17</v>
      </c>
      <c r="E85" s="530">
        <f>IFERROR(IF(OR(1&gt;$B$3,ISBLANK(Actuals!C101)),"",(Budget!C101-Actuals!C101)/ABS(Budget!C101)),"")</f>
        <v>-0.829085</v>
      </c>
      <c r="F85" s="529">
        <f>Budget!D101</f>
        <v>-2000</v>
      </c>
      <c r="G85" s="529">
        <f>IF(OR(2&gt;$B$3,ISBLANK(Actuals!D101)),"",Actuals!D101)</f>
        <v>-728</v>
      </c>
      <c r="H85" s="530">
        <f>IF(OR(2&gt;$B$3,ISBLANK(Actuals!D101)),"",Budget!D101-Actuals!D101)</f>
        <v>-1272</v>
      </c>
      <c r="I85" s="530">
        <f>IFERROR(IF(OR(2&gt;$B$3,ISBLANK(Actuals!D101)),"",(Budget!D101-Actuals!D101)/ABS(Budget!D101)),"")</f>
        <v>-0.636</v>
      </c>
      <c r="J85" s="529">
        <f>Budget!E101</f>
        <v>-2000</v>
      </c>
      <c r="K85" s="529">
        <f>IF(OR(3&gt;$B$3,ISBLANK(Actuals!E101)),"",Actuals!E101)</f>
        <v>-15256.75</v>
      </c>
      <c r="L85" s="530">
        <f>IF(OR(3&gt;$B$3,ISBLANK(Actuals!E101)),"",Budget!E101-Actuals!E101)</f>
        <v>13256.75</v>
      </c>
      <c r="M85" s="530">
        <f>IFERROR(IF(OR(3&gt;$B$3,ISBLANK(Actuals!E101)),"",(Budget!E101-Actuals!E101)/ABS(Budget!E101)),"")</f>
        <v>6.628375</v>
      </c>
      <c r="N85" s="529">
        <f>Budget!F101</f>
        <v>-2000</v>
      </c>
      <c r="O85" s="529">
        <f>IF(OR(4&gt;$B$3,ISBLANK(Actuals!F101)),"",Actuals!F101)</f>
        <v>-1033.41</v>
      </c>
      <c r="P85" s="530">
        <f>IF(OR(4&gt;$B$3,ISBLANK(Actuals!F101)),"",Budget!F101-Actuals!F101)</f>
        <v>-966.59</v>
      </c>
      <c r="Q85" s="530">
        <f>IFERROR(IF(OR(4&gt;$B$3,ISBLANK(Actuals!F101)),"",(Budget!F101-Actuals!F101)/ABS(Budget!F101)),"")</f>
        <v>-0.483295</v>
      </c>
      <c r="R85" s="529">
        <f>Budget!G101</f>
        <v>-2000</v>
      </c>
      <c r="S85" s="529">
        <f>IF(OR(5&gt;$B$3,ISBLANK(Actuals!G101)),"",Actuals!G101)</f>
        <v>-3499</v>
      </c>
      <c r="T85" s="530">
        <f>IF(OR(5&gt;$B$3,ISBLANK(Actuals!G101)),"",Budget!G101-Actuals!G101)</f>
        <v>1499</v>
      </c>
      <c r="U85" s="530">
        <f>IFERROR(IF(OR(5&gt;$B$3,ISBLANK(Actuals!G101)),"",(Budget!G101-Actuals!G101)/ABS(Budget!G101)),"")</f>
        <v>0.7495</v>
      </c>
      <c r="V85" s="529">
        <f>Budget!H101</f>
        <v>-2000</v>
      </c>
      <c r="W85" s="529">
        <f>IF(OR(6&gt;$B$3,ISBLANK(Actuals!H101)),"",Actuals!H101)</f>
        <v>-1033.41</v>
      </c>
      <c r="X85" s="530">
        <f>IF(OR(6&gt;$B$3,ISBLANK(Actuals!H101)),"",Budget!H101-Actuals!H101)</f>
        <v>-966.59</v>
      </c>
      <c r="Y85" s="530">
        <f>IFERROR(IF(OR(6&gt;$B$3,ISBLANK(Actuals!H101)),"",(Budget!H101-Actuals!H101)/ABS(Budget!H101)),"")</f>
        <v>-0.483295</v>
      </c>
      <c r="Z85" s="529">
        <f>Budget!I101</f>
        <v>-2040</v>
      </c>
      <c r="AA85" s="529">
        <f>IF(OR(7&gt;$B$3,ISBLANK(Actuals!I101)),"",Actuals!I101)</f>
      </c>
      <c r="AB85" s="530">
        <f>IF(OR(7&gt;$B$3,ISBLANK(Actuals!I101)),"",Budget!I101-Actuals!I101)</f>
      </c>
      <c r="AC85" s="530">
        <f>IFERROR(IF(OR(7&gt;$B$3,ISBLANK(Actuals!I101)),"",(Budget!I101-Actuals!I101)/ABS(Budget!I101)),"")</f>
      </c>
      <c r="AD85" s="529">
        <f>Budget!J101</f>
        <v>-2040</v>
      </c>
      <c r="AE85" s="529">
        <f>IF(OR(8&gt;$B$3,ISBLANK(Actuals!J101)),"",Actuals!J101)</f>
      </c>
      <c r="AF85" s="530">
        <f>IF(OR(8&gt;$B$3,ISBLANK(Actuals!J101)),"",Budget!J101-Actuals!J101)</f>
      </c>
      <c r="AG85" s="530">
        <f>IFERROR(IF(OR(8&gt;$B$3,ISBLANK(Actuals!J101)),"",(Budget!J101-Actuals!J101)/ABS(Budget!J101)),"")</f>
      </c>
      <c r="AH85" s="529">
        <f>Budget!K101</f>
        <v>-2040</v>
      </c>
      <c r="AI85" s="529">
        <f>IF(OR(9&gt;$B$3,ISBLANK(Actuals!K101)),"",Actuals!K101)</f>
      </c>
      <c r="AJ85" s="530">
        <f>IF(OR(9&gt;$B$3,ISBLANK(Actuals!K101)),"",Budget!K101-Actuals!K101)</f>
      </c>
      <c r="AK85" s="530">
        <f>IFERROR(IF(OR(9&gt;$B$3,ISBLANK(Actuals!K101)),"",(Budget!K101-Actuals!K101)/ABS(Budget!K101)),"")</f>
      </c>
      <c r="AL85" s="529">
        <f>Budget!L101</f>
        <v>-2040</v>
      </c>
      <c r="AM85" s="529">
        <f>IF(OR(10&gt;$B$3,ISBLANK(Actuals!L101)),"",Actuals!L101)</f>
      </c>
      <c r="AN85" s="530">
        <f>IF(OR(10&gt;$B$3,ISBLANK(Actuals!L101)),"",Budget!L101-Actuals!L101)</f>
      </c>
      <c r="AO85" s="530">
        <f>IFERROR(IF(OR(10&gt;$B$3,ISBLANK(Actuals!L101)),"",(Budget!L101-Actuals!L101)/ABS(Budget!L101)),"")</f>
      </c>
      <c r="AP85" s="529">
        <f>Budget!M101</f>
        <v>-2040</v>
      </c>
      <c r="AQ85" s="529">
        <f>IF(OR(11&gt;$B$3,ISBLANK(Actuals!M101)),"",Actuals!M101)</f>
      </c>
      <c r="AR85" s="530">
        <f>IF(OR(11&gt;$B$3,ISBLANK(Actuals!M101)),"",Budget!M101-Actuals!M101)</f>
      </c>
      <c r="AS85" s="530">
        <f>IFERROR(IF(OR(11&gt;$B$3,ISBLANK(Actuals!M101)),"",(Budget!M101-Actuals!M101)/ABS(Budget!M101)),"")</f>
      </c>
      <c r="AT85" s="529">
        <f>Budget!N101</f>
        <v>-2040</v>
      </c>
      <c r="AU85" s="529">
        <f>IF(OR(12&gt;$B$3,ISBLANK(Actuals!N101)),"",Actuals!N101)</f>
      </c>
      <c r="AV85" s="530">
        <f>IF(OR(12&gt;$B$3,ISBLANK(Actuals!N101)),"",Budget!N101-Actuals!N101)</f>
      </c>
      <c r="AW85" s="530">
        <f>IFERROR(IF(OR(12&gt;$B$3,ISBLANK(Actuals!N101)),"",(Budget!N101-Actuals!N101)/ABS(Budget!N101)),"")</f>
      </c>
      <c r="AX85" s="531">
        <f>SUMPRODUCT((Actuals!C101:N101&lt;&gt;"")*(Budget!C101:N101))</f>
        <v>-12000</v>
      </c>
      <c r="AY85" s="531">
        <f>SUM(Actuals!C101:N101)</f>
        <v>-21892.4</v>
      </c>
      <c r="AZ85" s="532">
        <f>AX85-AY85</f>
        <v>9892.4</v>
      </c>
    </row>
    <row r="86" ht="15" customFormat="1" customHeight="1" s="381">
      <c r="A86" s="528" t="inlineStr">
        <is>
          <t>5500-1010 Investment Management Software</t>
        </is>
      </c>
      <c r="B86" s="529">
        <f>Budget!C102</f>
        <v>-1541.67</v>
      </c>
      <c r="C86" s="529">
        <f>IF(OR(1&gt;$B$3,ISBLANK(Actuals!C102)),"",Actuals!C102)</f>
        <v>-1905.31</v>
      </c>
      <c r="D86" s="530">
        <f>IF(OR(1&gt;$B$3,ISBLANK(Actuals!C102)),"",Budget!C102-Actuals!C102)</f>
        <v>363.64</v>
      </c>
      <c r="E86" s="530">
        <f>IFERROR(IF(OR(1&gt;$B$3,ISBLANK(Actuals!C102)),"",(Budget!C102-Actuals!C102)/ABS(Budget!C102)),"")</f>
        <v>0.235874084596574</v>
      </c>
      <c r="F86" s="529">
        <f>Budget!D102</f>
        <v>-1541.67</v>
      </c>
      <c r="G86" s="529">
        <f>IF(OR(2&gt;$B$3,ISBLANK(Actuals!D102)),"",Actuals!D102)</f>
        <v>-1905.31</v>
      </c>
      <c r="H86" s="530">
        <f>IF(OR(2&gt;$B$3,ISBLANK(Actuals!D102)),"",Budget!D102-Actuals!D102)</f>
        <v>363.64</v>
      </c>
      <c r="I86" s="530">
        <f>IFERROR(IF(OR(2&gt;$B$3,ISBLANK(Actuals!D102)),"",(Budget!D102-Actuals!D102)/ABS(Budget!D102)),"")</f>
        <v>0.235874084596574</v>
      </c>
      <c r="J86" s="529">
        <f>Budget!E102</f>
        <v>-1541.67</v>
      </c>
      <c r="K86" s="529">
        <f>IF(OR(3&gt;$B$3,ISBLANK(Actuals!E102)),"",Actuals!E102)</f>
        <v>-1905.31</v>
      </c>
      <c r="L86" s="530">
        <f>IF(OR(3&gt;$B$3,ISBLANK(Actuals!E102)),"",Budget!E102-Actuals!E102)</f>
        <v>363.64</v>
      </c>
      <c r="M86" s="530">
        <f>IFERROR(IF(OR(3&gt;$B$3,ISBLANK(Actuals!E102)),"",(Budget!E102-Actuals!E102)/ABS(Budget!E102)),"")</f>
        <v>0.235874084596574</v>
      </c>
      <c r="N86" s="529">
        <f>Budget!F102</f>
        <v>-1541.67</v>
      </c>
      <c r="O86" s="529">
        <f>IF(OR(4&gt;$B$3,ISBLANK(Actuals!F102)),"",Actuals!F102)</f>
        <v>-1905.31</v>
      </c>
      <c r="P86" s="530">
        <f>IF(OR(4&gt;$B$3,ISBLANK(Actuals!F102)),"",Budget!F102-Actuals!F102)</f>
        <v>363.64</v>
      </c>
      <c r="Q86" s="530">
        <f>IFERROR(IF(OR(4&gt;$B$3,ISBLANK(Actuals!F102)),"",(Budget!F102-Actuals!F102)/ABS(Budget!F102)),"")</f>
        <v>0.235874084596574</v>
      </c>
      <c r="R86" s="529">
        <f>Budget!G102</f>
        <v>-1541.67</v>
      </c>
      <c r="S86" s="529">
        <f>IF(OR(5&gt;$B$3,ISBLANK(Actuals!G102)),"",Actuals!G102)</f>
        <v>-1905.31</v>
      </c>
      <c r="T86" s="530">
        <f>IF(OR(5&gt;$B$3,ISBLANK(Actuals!G102)),"",Budget!G102-Actuals!G102)</f>
        <v>363.64</v>
      </c>
      <c r="U86" s="530">
        <f>IFERROR(IF(OR(5&gt;$B$3,ISBLANK(Actuals!G102)),"",(Budget!G102-Actuals!G102)/ABS(Budget!G102)),"")</f>
        <v>0.235874084596574</v>
      </c>
      <c r="V86" s="529">
        <f>Budget!H102</f>
        <v>-1541.67</v>
      </c>
      <c r="W86" s="529">
        <f>IF(OR(6&gt;$B$3,ISBLANK(Actuals!H102)),"",Actuals!H102)</f>
        <v>-1905.31</v>
      </c>
      <c r="X86" s="530">
        <f>IF(OR(6&gt;$B$3,ISBLANK(Actuals!H102)),"",Budget!H102-Actuals!H102)</f>
        <v>363.64</v>
      </c>
      <c r="Y86" s="530">
        <f>IFERROR(IF(OR(6&gt;$B$3,ISBLANK(Actuals!H102)),"",(Budget!H102-Actuals!H102)/ABS(Budget!H102)),"")</f>
        <v>0.235874084596574</v>
      </c>
      <c r="Z86" s="529">
        <f>Budget!I102</f>
        <v>-1572.5</v>
      </c>
      <c r="AA86" s="529">
        <f>IF(OR(7&gt;$B$3,ISBLANK(Actuals!I102)),"",Actuals!I102)</f>
      </c>
      <c r="AB86" s="530">
        <f>IF(OR(7&gt;$B$3,ISBLANK(Actuals!I102)),"",Budget!I102-Actuals!I102)</f>
      </c>
      <c r="AC86" s="530">
        <f>IFERROR(IF(OR(7&gt;$B$3,ISBLANK(Actuals!I102)),"",(Budget!I102-Actuals!I102)/ABS(Budget!I102)),"")</f>
      </c>
      <c r="AD86" s="529">
        <f>Budget!J102</f>
        <v>-1572.5</v>
      </c>
      <c r="AE86" s="529">
        <f>IF(OR(8&gt;$B$3,ISBLANK(Actuals!J102)),"",Actuals!J102)</f>
      </c>
      <c r="AF86" s="530">
        <f>IF(OR(8&gt;$B$3,ISBLANK(Actuals!J102)),"",Budget!J102-Actuals!J102)</f>
      </c>
      <c r="AG86" s="530">
        <f>IFERROR(IF(OR(8&gt;$B$3,ISBLANK(Actuals!J102)),"",(Budget!J102-Actuals!J102)/ABS(Budget!J102)),"")</f>
      </c>
      <c r="AH86" s="529">
        <f>Budget!K102</f>
        <v>-1572.5</v>
      </c>
      <c r="AI86" s="529">
        <f>IF(OR(9&gt;$B$3,ISBLANK(Actuals!K102)),"",Actuals!K102)</f>
      </c>
      <c r="AJ86" s="530">
        <f>IF(OR(9&gt;$B$3,ISBLANK(Actuals!K102)),"",Budget!K102-Actuals!K102)</f>
      </c>
      <c r="AK86" s="530">
        <f>IFERROR(IF(OR(9&gt;$B$3,ISBLANK(Actuals!K102)),"",(Budget!K102-Actuals!K102)/ABS(Budget!K102)),"")</f>
      </c>
      <c r="AL86" s="529">
        <f>Budget!L102</f>
        <v>-1572.5</v>
      </c>
      <c r="AM86" s="529">
        <f>IF(OR(10&gt;$B$3,ISBLANK(Actuals!L102)),"",Actuals!L102)</f>
      </c>
      <c r="AN86" s="530">
        <f>IF(OR(10&gt;$B$3,ISBLANK(Actuals!L102)),"",Budget!L102-Actuals!L102)</f>
      </c>
      <c r="AO86" s="530">
        <f>IFERROR(IF(OR(10&gt;$B$3,ISBLANK(Actuals!L102)),"",(Budget!L102-Actuals!L102)/ABS(Budget!L102)),"")</f>
      </c>
      <c r="AP86" s="529">
        <f>Budget!M102</f>
        <v>-1572.5</v>
      </c>
      <c r="AQ86" s="529">
        <f>IF(OR(11&gt;$B$3,ISBLANK(Actuals!M102)),"",Actuals!M102)</f>
      </c>
      <c r="AR86" s="530">
        <f>IF(OR(11&gt;$B$3,ISBLANK(Actuals!M102)),"",Budget!M102-Actuals!M102)</f>
      </c>
      <c r="AS86" s="530">
        <f>IFERROR(IF(OR(11&gt;$B$3,ISBLANK(Actuals!M102)),"",(Budget!M102-Actuals!M102)/ABS(Budget!M102)),"")</f>
      </c>
      <c r="AT86" s="529">
        <f>Budget!N102</f>
        <v>-1572.5</v>
      </c>
      <c r="AU86" s="529">
        <f>IF(OR(12&gt;$B$3,ISBLANK(Actuals!N102)),"",Actuals!N102)</f>
      </c>
      <c r="AV86" s="530">
        <f>IF(OR(12&gt;$B$3,ISBLANK(Actuals!N102)),"",Budget!N102-Actuals!N102)</f>
      </c>
      <c r="AW86" s="530">
        <f>IFERROR(IF(OR(12&gt;$B$3,ISBLANK(Actuals!N102)),"",(Budget!N102-Actuals!N102)/ABS(Budget!N102)),"")</f>
      </c>
      <c r="AX86" s="531">
        <f>SUMPRODUCT((Actuals!C102:N102&lt;&gt;"")*(Budget!C102:N102))</f>
        <v>-9250.02</v>
      </c>
      <c r="AY86" s="531">
        <f>SUM(Actuals!C102:N102)</f>
        <v>-11431.86</v>
      </c>
      <c r="AZ86" s="532">
        <f>AX86-AY86</f>
        <v>2181.84</v>
      </c>
    </row>
    <row r="87" ht="15" customFormat="1" customHeight="1" s="381">
      <c r="A87" s="528" t="inlineStr">
        <is>
          <t>5500-1053 E&amp;O/D&amp;O Insurance</t>
        </is>
      </c>
      <c r="B87" s="529">
        <f>Budget!C103</f>
        <v>-2100</v>
      </c>
      <c r="C87" s="529">
        <f>IF(OR(1&gt;$B$3,ISBLANK(Actuals!C103)),"",Actuals!C103)</f>
        <v>-2100</v>
      </c>
      <c r="D87" s="530">
        <f>IF(OR(1&gt;$B$3,ISBLANK(Actuals!C103)),"",Budget!C103-Actuals!C103)</f>
        <v>0</v>
      </c>
      <c r="E87" s="530">
        <f>IFERROR(IF(OR(1&gt;$B$3,ISBLANK(Actuals!C103)),"",(Budget!C103-Actuals!C103)/ABS(Budget!C103)),"")</f>
        <v>0</v>
      </c>
      <c r="F87" s="529">
        <f>Budget!D103</f>
        <v>-2100</v>
      </c>
      <c r="G87" s="529">
        <f>IF(OR(2&gt;$B$3,ISBLANK(Actuals!D103)),"",Actuals!D103)</f>
        <v>-2100</v>
      </c>
      <c r="H87" s="530">
        <f>IF(OR(2&gt;$B$3,ISBLANK(Actuals!D103)),"",Budget!D103-Actuals!D103)</f>
        <v>0</v>
      </c>
      <c r="I87" s="530">
        <f>IFERROR(IF(OR(2&gt;$B$3,ISBLANK(Actuals!D103)),"",(Budget!D103-Actuals!D103)/ABS(Budget!D103)),"")</f>
        <v>0</v>
      </c>
      <c r="J87" s="529">
        <f>Budget!E103</f>
        <v>-2100</v>
      </c>
      <c r="K87" s="529">
        <f>IF(OR(3&gt;$B$3,ISBLANK(Actuals!E103)),"",Actuals!E103)</f>
        <v>-2100</v>
      </c>
      <c r="L87" s="530">
        <f>IF(OR(3&gt;$B$3,ISBLANK(Actuals!E103)),"",Budget!E103-Actuals!E103)</f>
        <v>0</v>
      </c>
      <c r="M87" s="530">
        <f>IFERROR(IF(OR(3&gt;$B$3,ISBLANK(Actuals!E103)),"",(Budget!E103-Actuals!E103)/ABS(Budget!E103)),"")</f>
        <v>0</v>
      </c>
      <c r="N87" s="529">
        <f>Budget!F103</f>
        <v>-2100</v>
      </c>
      <c r="O87" s="529">
        <f>IF(OR(4&gt;$B$3,ISBLANK(Actuals!F103)),"",Actuals!F103)</f>
        <v>-2100</v>
      </c>
      <c r="P87" s="530">
        <f>IF(OR(4&gt;$B$3,ISBLANK(Actuals!F103)),"",Budget!F103-Actuals!F103)</f>
        <v>0</v>
      </c>
      <c r="Q87" s="530">
        <f>IFERROR(IF(OR(4&gt;$B$3,ISBLANK(Actuals!F103)),"",(Budget!F103-Actuals!F103)/ABS(Budget!F103)),"")</f>
        <v>0</v>
      </c>
      <c r="R87" s="529">
        <f>Budget!G103</f>
        <v>-2100</v>
      </c>
      <c r="S87" s="529">
        <f>IF(OR(5&gt;$B$3,ISBLANK(Actuals!G103)),"",Actuals!G103)</f>
        <v>-2100</v>
      </c>
      <c r="T87" s="530">
        <f>IF(OR(5&gt;$B$3,ISBLANK(Actuals!G103)),"",Budget!G103-Actuals!G103)</f>
        <v>0</v>
      </c>
      <c r="U87" s="530">
        <f>IFERROR(IF(OR(5&gt;$B$3,ISBLANK(Actuals!G103)),"",(Budget!G103-Actuals!G103)/ABS(Budget!G103)),"")</f>
        <v>0</v>
      </c>
      <c r="V87" s="529">
        <f>Budget!H103</f>
        <v>-2100</v>
      </c>
      <c r="W87" s="529">
        <f>IF(OR(6&gt;$B$3,ISBLANK(Actuals!H103)),"",Actuals!H103)</f>
        <v>-2100</v>
      </c>
      <c r="X87" s="530">
        <f>IF(OR(6&gt;$B$3,ISBLANK(Actuals!H103)),"",Budget!H103-Actuals!H103)</f>
        <v>0</v>
      </c>
      <c r="Y87" s="530">
        <f>IFERROR(IF(OR(6&gt;$B$3,ISBLANK(Actuals!H103)),"",(Budget!H103-Actuals!H103)/ABS(Budget!H103)),"")</f>
        <v>0</v>
      </c>
      <c r="Z87" s="529">
        <f>Budget!I103</f>
        <v>-2142</v>
      </c>
      <c r="AA87" s="529">
        <f>IF(OR(7&gt;$B$3,ISBLANK(Actuals!I103)),"",Actuals!I103)</f>
      </c>
      <c r="AB87" s="530">
        <f>IF(OR(7&gt;$B$3,ISBLANK(Actuals!I103)),"",Budget!I103-Actuals!I103)</f>
      </c>
      <c r="AC87" s="530">
        <f>IFERROR(IF(OR(7&gt;$B$3,ISBLANK(Actuals!I103)),"",(Budget!I103-Actuals!I103)/ABS(Budget!I103)),"")</f>
      </c>
      <c r="AD87" s="529">
        <f>Budget!J103</f>
        <v>-2142</v>
      </c>
      <c r="AE87" s="529">
        <f>IF(OR(8&gt;$B$3,ISBLANK(Actuals!J103)),"",Actuals!J103)</f>
      </c>
      <c r="AF87" s="530">
        <f>IF(OR(8&gt;$B$3,ISBLANK(Actuals!J103)),"",Budget!J103-Actuals!J103)</f>
      </c>
      <c r="AG87" s="530">
        <f>IFERROR(IF(OR(8&gt;$B$3,ISBLANK(Actuals!J103)),"",(Budget!J103-Actuals!J103)/ABS(Budget!J103)),"")</f>
      </c>
      <c r="AH87" s="529">
        <f>Budget!K103</f>
        <v>-2142</v>
      </c>
      <c r="AI87" s="529">
        <f>IF(OR(9&gt;$B$3,ISBLANK(Actuals!K103)),"",Actuals!K103)</f>
      </c>
      <c r="AJ87" s="530">
        <f>IF(OR(9&gt;$B$3,ISBLANK(Actuals!K103)),"",Budget!K103-Actuals!K103)</f>
      </c>
      <c r="AK87" s="530">
        <f>IFERROR(IF(OR(9&gt;$B$3,ISBLANK(Actuals!K103)),"",(Budget!K103-Actuals!K103)/ABS(Budget!K103)),"")</f>
      </c>
      <c r="AL87" s="529">
        <f>Budget!L103</f>
        <v>-2142</v>
      </c>
      <c r="AM87" s="529">
        <f>IF(OR(10&gt;$B$3,ISBLANK(Actuals!L103)),"",Actuals!L103)</f>
      </c>
      <c r="AN87" s="530">
        <f>IF(OR(10&gt;$B$3,ISBLANK(Actuals!L103)),"",Budget!L103-Actuals!L103)</f>
      </c>
      <c r="AO87" s="530">
        <f>IFERROR(IF(OR(10&gt;$B$3,ISBLANK(Actuals!L103)),"",(Budget!L103-Actuals!L103)/ABS(Budget!L103)),"")</f>
      </c>
      <c r="AP87" s="529">
        <f>Budget!M103</f>
        <v>-2142</v>
      </c>
      <c r="AQ87" s="529">
        <f>IF(OR(11&gt;$B$3,ISBLANK(Actuals!M103)),"",Actuals!M103)</f>
      </c>
      <c r="AR87" s="530">
        <f>IF(OR(11&gt;$B$3,ISBLANK(Actuals!M103)),"",Budget!M103-Actuals!M103)</f>
      </c>
      <c r="AS87" s="530">
        <f>IFERROR(IF(OR(11&gt;$B$3,ISBLANK(Actuals!M103)),"",(Budget!M103-Actuals!M103)/ABS(Budget!M103)),"")</f>
      </c>
      <c r="AT87" s="529">
        <f>Budget!N103</f>
        <v>-2142</v>
      </c>
      <c r="AU87" s="529">
        <f>IF(OR(12&gt;$B$3,ISBLANK(Actuals!N103)),"",Actuals!N103)</f>
      </c>
      <c r="AV87" s="530">
        <f>IF(OR(12&gt;$B$3,ISBLANK(Actuals!N103)),"",Budget!N103-Actuals!N103)</f>
      </c>
      <c r="AW87" s="530">
        <f>IFERROR(IF(OR(12&gt;$B$3,ISBLANK(Actuals!N103)),"",(Budget!N103-Actuals!N103)/ABS(Budget!N103)),"")</f>
      </c>
      <c r="AX87" s="531">
        <f>SUMPRODUCT((Actuals!C103:N103&lt;&gt;"")*(Budget!C103:N103))</f>
        <v>-12600</v>
      </c>
      <c r="AY87" s="531">
        <f>SUM(Actuals!C103:N103)</f>
        <v>-12600</v>
      </c>
      <c r="AZ87" s="532">
        <f>AX87-AY87</f>
        <v>0</v>
      </c>
    </row>
    <row r="88" ht="15" customFormat="1" customHeight="1" s="381">
      <c r="A88" s="528" t="inlineStr">
        <is>
          <t>5800-1003 Consulting Fee</t>
        </is>
      </c>
      <c r="B88" s="529">
        <f>Budget!C104</f>
        <v>0</v>
      </c>
      <c r="C88" s="529">
        <f>IF(OR(1&gt;$B$3,ISBLANK(Actuals!C104)),"",Actuals!C104)</f>
        <v>-66666.66</v>
      </c>
      <c r="D88" s="530">
        <f>IF(OR(1&gt;$B$3,ISBLANK(Actuals!C104)),"",Budget!C104-Actuals!C104)</f>
        <v>66666.66</v>
      </c>
      <c r="E88" s="530">
        <f>IFERROR(IF(OR(1&gt;$B$3,ISBLANK(Actuals!C104)),"",(Budget!C104-Actuals!C104)/ABS(Budget!C104)),"")</f>
      </c>
      <c r="F88" s="529">
        <f>Budget!D104</f>
        <v>0</v>
      </c>
      <c r="G88" s="529">
        <f>IF(OR(2&gt;$B$3,ISBLANK(Actuals!D104)),"",Actuals!D104)</f>
        <v>-66666.66</v>
      </c>
      <c r="H88" s="530">
        <f>IF(OR(2&gt;$B$3,ISBLANK(Actuals!D104)),"",Budget!D104-Actuals!D104)</f>
        <v>66666.66</v>
      </c>
      <c r="I88" s="530">
        <f>IFERROR(IF(OR(2&gt;$B$3,ISBLANK(Actuals!D104)),"",(Budget!D104-Actuals!D104)/ABS(Budget!D104)),"")</f>
      </c>
      <c r="J88" s="529">
        <f>Budget!E104</f>
        <v>0</v>
      </c>
      <c r="K88" s="529">
        <f>IF(OR(3&gt;$B$3,ISBLANK(Actuals!E104)),"",Actuals!E104)</f>
        <v>-66666.66</v>
      </c>
      <c r="L88" s="530">
        <f>IF(OR(3&gt;$B$3,ISBLANK(Actuals!E104)),"",Budget!E104-Actuals!E104)</f>
        <v>66666.66</v>
      </c>
      <c r="M88" s="530">
        <f>IFERROR(IF(OR(3&gt;$B$3,ISBLANK(Actuals!E104)),"",(Budget!E104-Actuals!E104)/ABS(Budget!E104)),"")</f>
      </c>
      <c r="N88" s="529">
        <f>Budget!F104</f>
        <v>0</v>
      </c>
      <c r="O88" s="529">
        <f>IF(OR(4&gt;$B$3,ISBLANK(Actuals!F104)),"",Actuals!F104)</f>
        <v>-66666.66</v>
      </c>
      <c r="P88" s="530">
        <f>IF(OR(4&gt;$B$3,ISBLANK(Actuals!F104)),"",Budget!F104-Actuals!F104)</f>
        <v>66666.66</v>
      </c>
      <c r="Q88" s="530">
        <f>IFERROR(IF(OR(4&gt;$B$3,ISBLANK(Actuals!F104)),"",(Budget!F104-Actuals!F104)/ABS(Budget!F104)),"")</f>
      </c>
      <c r="R88" s="529">
        <f>Budget!G104</f>
        <v>0</v>
      </c>
      <c r="S88" s="529">
        <f>IF(OR(5&gt;$B$3,ISBLANK(Actuals!G104)),"",Actuals!G104)</f>
        <v>-66666.66</v>
      </c>
      <c r="T88" s="530">
        <f>IF(OR(5&gt;$B$3,ISBLANK(Actuals!G104)),"",Budget!G104-Actuals!G104)</f>
        <v>66666.66</v>
      </c>
      <c r="U88" s="530">
        <f>IFERROR(IF(OR(5&gt;$B$3,ISBLANK(Actuals!G104)),"",(Budget!G104-Actuals!G104)/ABS(Budget!G104)),"")</f>
      </c>
      <c r="V88" s="529">
        <f>Budget!H104</f>
        <v>0</v>
      </c>
      <c r="W88" s="529">
        <f>IF(OR(6&gt;$B$3,ISBLANK(Actuals!H104)),"",Actuals!H104)</f>
        <v>-66666.66</v>
      </c>
      <c r="X88" s="530">
        <f>IF(OR(6&gt;$B$3,ISBLANK(Actuals!H104)),"",Budget!H104-Actuals!H104)</f>
        <v>66666.66</v>
      </c>
      <c r="Y88" s="530">
        <f>IFERROR(IF(OR(6&gt;$B$3,ISBLANK(Actuals!H104)),"",(Budget!H104-Actuals!H104)/ABS(Budget!H104)),"")</f>
      </c>
      <c r="Z88" s="529">
        <f>Budget!I104</f>
        <v>0</v>
      </c>
      <c r="AA88" s="529">
        <f>IF(OR(7&gt;$B$3,ISBLANK(Actuals!I104)),"",Actuals!I104)</f>
      </c>
      <c r="AB88" s="530">
        <f>IF(OR(7&gt;$B$3,ISBLANK(Actuals!I104)),"",Budget!I104-Actuals!I104)</f>
      </c>
      <c r="AC88" s="530">
        <f>IFERROR(IF(OR(7&gt;$B$3,ISBLANK(Actuals!I104)),"",(Budget!I104-Actuals!I104)/ABS(Budget!I104)),"")</f>
      </c>
      <c r="AD88" s="529">
        <f>Budget!J104</f>
        <v>0</v>
      </c>
      <c r="AE88" s="529">
        <f>IF(OR(8&gt;$B$3,ISBLANK(Actuals!J104)),"",Actuals!J104)</f>
      </c>
      <c r="AF88" s="530">
        <f>IF(OR(8&gt;$B$3,ISBLANK(Actuals!J104)),"",Budget!J104-Actuals!J104)</f>
      </c>
      <c r="AG88" s="530">
        <f>IFERROR(IF(OR(8&gt;$B$3,ISBLANK(Actuals!J104)),"",(Budget!J104-Actuals!J104)/ABS(Budget!J104)),"")</f>
      </c>
      <c r="AH88" s="529">
        <f>Budget!K104</f>
        <v>0</v>
      </c>
      <c r="AI88" s="529">
        <f>IF(OR(9&gt;$B$3,ISBLANK(Actuals!K104)),"",Actuals!K104)</f>
      </c>
      <c r="AJ88" s="530">
        <f>IF(OR(9&gt;$B$3,ISBLANK(Actuals!K104)),"",Budget!K104-Actuals!K104)</f>
      </c>
      <c r="AK88" s="530">
        <f>IFERROR(IF(OR(9&gt;$B$3,ISBLANK(Actuals!K104)),"",(Budget!K104-Actuals!K104)/ABS(Budget!K104)),"")</f>
      </c>
      <c r="AL88" s="529">
        <f>Budget!L104</f>
        <v>0</v>
      </c>
      <c r="AM88" s="529">
        <f>IF(OR(10&gt;$B$3,ISBLANK(Actuals!L104)),"",Actuals!L104)</f>
      </c>
      <c r="AN88" s="530">
        <f>IF(OR(10&gt;$B$3,ISBLANK(Actuals!L104)),"",Budget!L104-Actuals!L104)</f>
      </c>
      <c r="AO88" s="530">
        <f>IFERROR(IF(OR(10&gt;$B$3,ISBLANK(Actuals!L104)),"",(Budget!L104-Actuals!L104)/ABS(Budget!L104)),"")</f>
      </c>
      <c r="AP88" s="529">
        <f>Budget!M104</f>
        <v>0</v>
      </c>
      <c r="AQ88" s="529">
        <f>IF(OR(11&gt;$B$3,ISBLANK(Actuals!M104)),"",Actuals!M104)</f>
      </c>
      <c r="AR88" s="530">
        <f>IF(OR(11&gt;$B$3,ISBLANK(Actuals!M104)),"",Budget!M104-Actuals!M104)</f>
      </c>
      <c r="AS88" s="530">
        <f>IFERROR(IF(OR(11&gt;$B$3,ISBLANK(Actuals!M104)),"",(Budget!M104-Actuals!M104)/ABS(Budget!M104)),"")</f>
      </c>
      <c r="AT88" s="529">
        <f>Budget!N104</f>
        <v>0</v>
      </c>
      <c r="AU88" s="529">
        <f>IF(OR(12&gt;$B$3,ISBLANK(Actuals!N104)),"",Actuals!N104)</f>
      </c>
      <c r="AV88" s="530">
        <f>IF(OR(12&gt;$B$3,ISBLANK(Actuals!N104)),"",Budget!N104-Actuals!N104)</f>
      </c>
      <c r="AW88" s="530">
        <f>IFERROR(IF(OR(12&gt;$B$3,ISBLANK(Actuals!N104)),"",(Budget!N104-Actuals!N104)/ABS(Budget!N104)),"")</f>
      </c>
      <c r="AX88" s="531">
        <f>SUMPRODUCT((Actuals!C104:N104&lt;&gt;"")*(Budget!C104:N104))</f>
        <v>0</v>
      </c>
      <c r="AY88" s="531">
        <f>SUM(Actuals!C104:N104)</f>
        <v>-399999.96</v>
      </c>
      <c r="AZ88" s="532">
        <f>AX88-AY88</f>
        <v>399999.96</v>
      </c>
    </row>
    <row r="89" ht="15" customFormat="1" customHeight="1" s="381">
      <c r="A89" s="528" t="inlineStr">
        <is>
          <t>5900-1075 Miscellaneous Expense</t>
        </is>
      </c>
      <c r="B89" s="529">
        <f>Budget!C105</f>
        <v>0</v>
      </c>
      <c r="C89" s="529">
        <f>IF(OR(1&gt;$B$3,ISBLANK(Actuals!C105)),"",Actuals!C105)</f>
        <v>-6935.84</v>
      </c>
      <c r="D89" s="530">
        <f>IF(OR(1&gt;$B$3,ISBLANK(Actuals!C105)),"",Budget!C105-Actuals!C105)</f>
        <v>6935.84</v>
      </c>
      <c r="E89" s="530">
        <f>IFERROR(IF(OR(1&gt;$B$3,ISBLANK(Actuals!C105)),"",(Budget!C105-Actuals!C105)/ABS(Budget!C105)),"")</f>
      </c>
      <c r="F89" s="529">
        <f>Budget!D105</f>
        <v>0</v>
      </c>
      <c r="G89" s="529">
        <f>IF(OR(2&gt;$B$3,ISBLANK(Actuals!D105)),"",Actuals!D105)</f>
        <v>-2799.88</v>
      </c>
      <c r="H89" s="530">
        <f>IF(OR(2&gt;$B$3,ISBLANK(Actuals!D105)),"",Budget!D105-Actuals!D105)</f>
        <v>2799.88</v>
      </c>
      <c r="I89" s="530">
        <f>IFERROR(IF(OR(2&gt;$B$3,ISBLANK(Actuals!D105)),"",(Budget!D105-Actuals!D105)/ABS(Budget!D105)),"")</f>
      </c>
      <c r="J89" s="529">
        <f>Budget!E105</f>
        <v>0</v>
      </c>
      <c r="K89" s="529">
        <f>IF(OR(3&gt;$B$3,ISBLANK(Actuals!E105)),"",Actuals!E105)</f>
        <v>-12899.88</v>
      </c>
      <c r="L89" s="530">
        <f>IF(OR(3&gt;$B$3,ISBLANK(Actuals!E105)),"",Budget!E105-Actuals!E105)</f>
        <v>12899.88</v>
      </c>
      <c r="M89" s="530">
        <f>IFERROR(IF(OR(3&gt;$B$3,ISBLANK(Actuals!E105)),"",(Budget!E105-Actuals!E105)/ABS(Budget!E105)),"")</f>
      </c>
      <c r="N89" s="529">
        <f>Budget!F105</f>
        <v>0</v>
      </c>
      <c r="O89" s="529">
        <f>IF(OR(4&gt;$B$3,ISBLANK(Actuals!F105)),"",Actuals!F105)</f>
        <v>-2932.88</v>
      </c>
      <c r="P89" s="530">
        <f>IF(OR(4&gt;$B$3,ISBLANK(Actuals!F105)),"",Budget!F105-Actuals!F105)</f>
        <v>2932.88</v>
      </c>
      <c r="Q89" s="530">
        <f>IFERROR(IF(OR(4&gt;$B$3,ISBLANK(Actuals!F105)),"",(Budget!F105-Actuals!F105)/ABS(Budget!F105)),"")</f>
      </c>
      <c r="R89" s="529">
        <f>Budget!G105</f>
        <v>0</v>
      </c>
      <c r="S89" s="529">
        <f>IF(OR(5&gt;$B$3,ISBLANK(Actuals!G105)),"",Actuals!G105)</f>
        <v>-5474.88</v>
      </c>
      <c r="T89" s="530">
        <f>IF(OR(5&gt;$B$3,ISBLANK(Actuals!G105)),"",Budget!G105-Actuals!G105)</f>
        <v>5474.88</v>
      </c>
      <c r="U89" s="530">
        <f>IFERROR(IF(OR(5&gt;$B$3,ISBLANK(Actuals!G105)),"",(Budget!G105-Actuals!G105)/ABS(Budget!G105)),"")</f>
      </c>
      <c r="V89" s="529">
        <f>Budget!H105</f>
        <v>0</v>
      </c>
      <c r="W89" s="529">
        <f>IF(OR(6&gt;$B$3,ISBLANK(Actuals!H105)),"",Actuals!H105)</f>
        <v>-5</v>
      </c>
      <c r="X89" s="530">
        <f>IF(OR(6&gt;$B$3,ISBLANK(Actuals!H105)),"",Budget!H105-Actuals!H105)</f>
        <v>5</v>
      </c>
      <c r="Y89" s="530">
        <f>IFERROR(IF(OR(6&gt;$B$3,ISBLANK(Actuals!H105)),"",(Budget!H105-Actuals!H105)/ABS(Budget!H105)),"")</f>
      </c>
      <c r="Z89" s="529">
        <f>Budget!I105</f>
        <v>0</v>
      </c>
      <c r="AA89" s="529">
        <f>IF(OR(7&gt;$B$3,ISBLANK(Actuals!I105)),"",Actuals!I105)</f>
      </c>
      <c r="AB89" s="530">
        <f>IF(OR(7&gt;$B$3,ISBLANK(Actuals!I105)),"",Budget!I105-Actuals!I105)</f>
      </c>
      <c r="AC89" s="530">
        <f>IFERROR(IF(OR(7&gt;$B$3,ISBLANK(Actuals!I105)),"",(Budget!I105-Actuals!I105)/ABS(Budget!I105)),"")</f>
      </c>
      <c r="AD89" s="529">
        <f>Budget!J105</f>
        <v>0</v>
      </c>
      <c r="AE89" s="529">
        <f>IF(OR(8&gt;$B$3,ISBLANK(Actuals!J105)),"",Actuals!J105)</f>
      </c>
      <c r="AF89" s="530">
        <f>IF(OR(8&gt;$B$3,ISBLANK(Actuals!J105)),"",Budget!J105-Actuals!J105)</f>
      </c>
      <c r="AG89" s="530">
        <f>IFERROR(IF(OR(8&gt;$B$3,ISBLANK(Actuals!J105)),"",(Budget!J105-Actuals!J105)/ABS(Budget!J105)),"")</f>
      </c>
      <c r="AH89" s="529">
        <f>Budget!K105</f>
        <v>0</v>
      </c>
      <c r="AI89" s="529">
        <f>IF(OR(9&gt;$B$3,ISBLANK(Actuals!K105)),"",Actuals!K105)</f>
      </c>
      <c r="AJ89" s="530">
        <f>IF(OR(9&gt;$B$3,ISBLANK(Actuals!K105)),"",Budget!K105-Actuals!K105)</f>
      </c>
      <c r="AK89" s="530">
        <f>IFERROR(IF(OR(9&gt;$B$3,ISBLANK(Actuals!K105)),"",(Budget!K105-Actuals!K105)/ABS(Budget!K105)),"")</f>
      </c>
      <c r="AL89" s="529">
        <f>Budget!L105</f>
        <v>0</v>
      </c>
      <c r="AM89" s="529">
        <f>IF(OR(10&gt;$B$3,ISBLANK(Actuals!L105)),"",Actuals!L105)</f>
      </c>
      <c r="AN89" s="530">
        <f>IF(OR(10&gt;$B$3,ISBLANK(Actuals!L105)),"",Budget!L105-Actuals!L105)</f>
      </c>
      <c r="AO89" s="530">
        <f>IFERROR(IF(OR(10&gt;$B$3,ISBLANK(Actuals!L105)),"",(Budget!L105-Actuals!L105)/ABS(Budget!L105)),"")</f>
      </c>
      <c r="AP89" s="529">
        <f>Budget!M105</f>
        <v>0</v>
      </c>
      <c r="AQ89" s="529">
        <f>IF(OR(11&gt;$B$3,ISBLANK(Actuals!M105)),"",Actuals!M105)</f>
      </c>
      <c r="AR89" s="530">
        <f>IF(OR(11&gt;$B$3,ISBLANK(Actuals!M105)),"",Budget!M105-Actuals!M105)</f>
      </c>
      <c r="AS89" s="530">
        <f>IFERROR(IF(OR(11&gt;$B$3,ISBLANK(Actuals!M105)),"",(Budget!M105-Actuals!M105)/ABS(Budget!M105)),"")</f>
      </c>
      <c r="AT89" s="529">
        <f>Budget!N105</f>
        <v>0</v>
      </c>
      <c r="AU89" s="529">
        <f>IF(OR(12&gt;$B$3,ISBLANK(Actuals!N105)),"",Actuals!N105)</f>
      </c>
      <c r="AV89" s="530">
        <f>IF(OR(12&gt;$B$3,ISBLANK(Actuals!N105)),"",Budget!N105-Actuals!N105)</f>
      </c>
      <c r="AW89" s="530">
        <f>IFERROR(IF(OR(12&gt;$B$3,ISBLANK(Actuals!N105)),"",(Budget!N105-Actuals!N105)/ABS(Budget!N105)),"")</f>
      </c>
      <c r="AX89" s="531">
        <f>SUMPRODUCT((Actuals!C105:N105&lt;&gt;"")*(Budget!C105:N105))</f>
        <v>0</v>
      </c>
      <c r="AY89" s="531">
        <f>SUM(Actuals!C105:N105)</f>
        <v>-31048.36</v>
      </c>
      <c r="AZ89" s="532">
        <f>AX89-AY89</f>
        <v>31048.36</v>
      </c>
    </row>
    <row r="90" ht="15" customFormat="1" customHeight="1" s="381">
      <c r="A90" s="528" t="inlineStr">
        <is>
          <t>5900-1080 Bank Service Charges</t>
        </is>
      </c>
      <c r="B90" s="529">
        <f>Budget!C106</f>
        <v>-500</v>
      </c>
      <c r="C90" s="529">
        <f>IF(OR(1&gt;$B$3,ISBLANK(Actuals!C106)),"",Actuals!C106)</f>
        <v>-658.14</v>
      </c>
      <c r="D90" s="530">
        <f>IF(OR(1&gt;$B$3,ISBLANK(Actuals!C106)),"",Budget!C106-Actuals!C106)</f>
        <v>158.14</v>
      </c>
      <c r="E90" s="530">
        <f>IFERROR(IF(OR(1&gt;$B$3,ISBLANK(Actuals!C106)),"",(Budget!C106-Actuals!C106)/ABS(Budget!C106)),"")</f>
        <v>0.31628</v>
      </c>
      <c r="F90" s="529">
        <f>Budget!D106</f>
        <v>-500</v>
      </c>
      <c r="G90" s="529">
        <f>IF(OR(2&gt;$B$3,ISBLANK(Actuals!D106)),"",Actuals!D106)</f>
        <v>-310</v>
      </c>
      <c r="H90" s="530">
        <f>IF(OR(2&gt;$B$3,ISBLANK(Actuals!D106)),"",Budget!D106-Actuals!D106)</f>
        <v>-190</v>
      </c>
      <c r="I90" s="530">
        <f>IFERROR(IF(OR(2&gt;$B$3,ISBLANK(Actuals!D106)),"",(Budget!D106-Actuals!D106)/ABS(Budget!D106)),"")</f>
        <v>-0.38</v>
      </c>
      <c r="J90" s="529">
        <f>Budget!E106</f>
        <v>-500</v>
      </c>
      <c r="K90" s="529">
        <f>IF(OR(3&gt;$B$3,ISBLANK(Actuals!E106)),"",Actuals!E106)</f>
        <v>-371.74</v>
      </c>
      <c r="L90" s="530">
        <f>IF(OR(3&gt;$B$3,ISBLANK(Actuals!E106)),"",Budget!E106-Actuals!E106)</f>
        <v>-128.26</v>
      </c>
      <c r="M90" s="530">
        <f>IFERROR(IF(OR(3&gt;$B$3,ISBLANK(Actuals!E106)),"",(Budget!E106-Actuals!E106)/ABS(Budget!E106)),"")</f>
        <v>-0.25652</v>
      </c>
      <c r="N90" s="529">
        <f>Budget!F106</f>
        <v>-500</v>
      </c>
      <c r="O90" s="529">
        <f>IF(OR(4&gt;$B$3,ISBLANK(Actuals!F106)),"",Actuals!F106)</f>
        <v>-857.33</v>
      </c>
      <c r="P90" s="530">
        <f>IF(OR(4&gt;$B$3,ISBLANK(Actuals!F106)),"",Budget!F106-Actuals!F106)</f>
        <v>357.33</v>
      </c>
      <c r="Q90" s="530">
        <f>IFERROR(IF(OR(4&gt;$B$3,ISBLANK(Actuals!F106)),"",(Budget!F106-Actuals!F106)/ABS(Budget!F106)),"")</f>
        <v>0.71466</v>
      </c>
      <c r="R90" s="529">
        <f>Budget!G106</f>
        <v>-500</v>
      </c>
      <c r="S90" s="529">
        <f>IF(OR(5&gt;$B$3,ISBLANK(Actuals!G106)),"",Actuals!G106)</f>
        <v>-305</v>
      </c>
      <c r="T90" s="530">
        <f>IF(OR(5&gt;$B$3,ISBLANK(Actuals!G106)),"",Budget!G106-Actuals!G106)</f>
        <v>-195</v>
      </c>
      <c r="U90" s="530">
        <f>IFERROR(IF(OR(5&gt;$B$3,ISBLANK(Actuals!G106)),"",(Budget!G106-Actuals!G106)/ABS(Budget!G106)),"")</f>
        <v>-0.39</v>
      </c>
      <c r="V90" s="529">
        <f>Budget!H106</f>
        <v>-500</v>
      </c>
      <c r="W90" s="529">
        <f>IF(OR(6&gt;$B$3,ISBLANK(Actuals!H106)),"",Actuals!H106)</f>
        <v>-352.5</v>
      </c>
      <c r="X90" s="530">
        <f>IF(OR(6&gt;$B$3,ISBLANK(Actuals!H106)),"",Budget!H106-Actuals!H106)</f>
        <v>-147.5</v>
      </c>
      <c r="Y90" s="530">
        <f>IFERROR(IF(OR(6&gt;$B$3,ISBLANK(Actuals!H106)),"",(Budget!H106-Actuals!H106)/ABS(Budget!H106)),"")</f>
        <v>-0.295</v>
      </c>
      <c r="Z90" s="529">
        <f>Budget!I106</f>
        <v>-510</v>
      </c>
      <c r="AA90" s="529">
        <f>IF(OR(7&gt;$B$3,ISBLANK(Actuals!I106)),"",Actuals!I106)</f>
      </c>
      <c r="AB90" s="530">
        <f>IF(OR(7&gt;$B$3,ISBLANK(Actuals!I106)),"",Budget!I106-Actuals!I106)</f>
      </c>
      <c r="AC90" s="530">
        <f>IFERROR(IF(OR(7&gt;$B$3,ISBLANK(Actuals!I106)),"",(Budget!I106-Actuals!I106)/ABS(Budget!I106)),"")</f>
      </c>
      <c r="AD90" s="529">
        <f>Budget!J106</f>
        <v>-510</v>
      </c>
      <c r="AE90" s="529">
        <f>IF(OR(8&gt;$B$3,ISBLANK(Actuals!J106)),"",Actuals!J106)</f>
      </c>
      <c r="AF90" s="530">
        <f>IF(OR(8&gt;$B$3,ISBLANK(Actuals!J106)),"",Budget!J106-Actuals!J106)</f>
      </c>
      <c r="AG90" s="530">
        <f>IFERROR(IF(OR(8&gt;$B$3,ISBLANK(Actuals!J106)),"",(Budget!J106-Actuals!J106)/ABS(Budget!J106)),"")</f>
      </c>
      <c r="AH90" s="529">
        <f>Budget!K106</f>
        <v>-510</v>
      </c>
      <c r="AI90" s="529">
        <f>IF(OR(9&gt;$B$3,ISBLANK(Actuals!K106)),"",Actuals!K106)</f>
      </c>
      <c r="AJ90" s="530">
        <f>IF(OR(9&gt;$B$3,ISBLANK(Actuals!K106)),"",Budget!K106-Actuals!K106)</f>
      </c>
      <c r="AK90" s="530">
        <f>IFERROR(IF(OR(9&gt;$B$3,ISBLANK(Actuals!K106)),"",(Budget!K106-Actuals!K106)/ABS(Budget!K106)),"")</f>
      </c>
      <c r="AL90" s="529">
        <f>Budget!L106</f>
        <v>-510</v>
      </c>
      <c r="AM90" s="529">
        <f>IF(OR(10&gt;$B$3,ISBLANK(Actuals!L106)),"",Actuals!L106)</f>
      </c>
      <c r="AN90" s="530">
        <f>IF(OR(10&gt;$B$3,ISBLANK(Actuals!L106)),"",Budget!L106-Actuals!L106)</f>
      </c>
      <c r="AO90" s="530">
        <f>IFERROR(IF(OR(10&gt;$B$3,ISBLANK(Actuals!L106)),"",(Budget!L106-Actuals!L106)/ABS(Budget!L106)),"")</f>
      </c>
      <c r="AP90" s="529">
        <f>Budget!M106</f>
        <v>-510</v>
      </c>
      <c r="AQ90" s="529">
        <f>IF(OR(11&gt;$B$3,ISBLANK(Actuals!M106)),"",Actuals!M106)</f>
      </c>
      <c r="AR90" s="530">
        <f>IF(OR(11&gt;$B$3,ISBLANK(Actuals!M106)),"",Budget!M106-Actuals!M106)</f>
      </c>
      <c r="AS90" s="530">
        <f>IFERROR(IF(OR(11&gt;$B$3,ISBLANK(Actuals!M106)),"",(Budget!M106-Actuals!M106)/ABS(Budget!M106)),"")</f>
      </c>
      <c r="AT90" s="529">
        <f>Budget!N106</f>
        <v>-510</v>
      </c>
      <c r="AU90" s="529">
        <f>IF(OR(12&gt;$B$3,ISBLANK(Actuals!N106)),"",Actuals!N106)</f>
      </c>
      <c r="AV90" s="530">
        <f>IF(OR(12&gt;$B$3,ISBLANK(Actuals!N106)),"",Budget!N106-Actuals!N106)</f>
      </c>
      <c r="AW90" s="530">
        <f>IFERROR(IF(OR(12&gt;$B$3,ISBLANK(Actuals!N106)),"",(Budget!N106-Actuals!N106)/ABS(Budget!N106)),"")</f>
      </c>
      <c r="AX90" s="531">
        <f>SUMPRODUCT((Actuals!C106:N106&lt;&gt;"")*(Budget!C106:N106))</f>
        <v>-3000</v>
      </c>
      <c r="AY90" s="531">
        <f>SUM(Actuals!C106:N106)</f>
        <v>-2854.71</v>
      </c>
      <c r="AZ90" s="532">
        <f>AX90-AY90</f>
        <v>-145.29</v>
      </c>
    </row>
    <row r="91" ht="15" customFormat="1" customHeight="1" s="381">
      <c r="A91" s="528" t="inlineStr">
        <is>
          <t>Steyn Group Guaranty Fee</t>
        </is>
      </c>
      <c r="B91" s="529">
        <f>Budget!C107</f>
        <v>0</v>
      </c>
      <c r="C91" s="529">
        <f>IF(OR(1&gt;$B$3,ISBLANK(Actuals!C107)),"",Actuals!C107)</f>
      </c>
      <c r="D91" s="530">
        <f>IF(OR(1&gt;$B$3,ISBLANK(Actuals!C107)),"",Budget!C107-Actuals!C107)</f>
      </c>
      <c r="E91" s="530">
        <f>IFERROR(IF(OR(1&gt;$B$3,ISBLANK(Actuals!C107)),"",(Budget!C107-Actuals!C107)/ABS(Budget!C107)),"")</f>
      </c>
      <c r="F91" s="529">
        <f>Budget!D107</f>
        <v>0</v>
      </c>
      <c r="G91" s="529">
        <f>IF(OR(2&gt;$B$3,ISBLANK(Actuals!D107)),"",Actuals!D107)</f>
      </c>
      <c r="H91" s="530">
        <f>IF(OR(2&gt;$B$3,ISBLANK(Actuals!D107)),"",Budget!D107-Actuals!D107)</f>
      </c>
      <c r="I91" s="530">
        <f>IFERROR(IF(OR(2&gt;$B$3,ISBLANK(Actuals!D107)),"",(Budget!D107-Actuals!D107)/ABS(Budget!D107)),"")</f>
      </c>
      <c r="J91" s="529">
        <f>Budget!E107</f>
        <v>0</v>
      </c>
      <c r="K91" s="529">
        <f>IF(OR(3&gt;$B$3,ISBLANK(Actuals!E107)),"",Actuals!E107)</f>
      </c>
      <c r="L91" s="530">
        <f>IF(OR(3&gt;$B$3,ISBLANK(Actuals!E107)),"",Budget!E107-Actuals!E107)</f>
      </c>
      <c r="M91" s="530">
        <f>IFERROR(IF(OR(3&gt;$B$3,ISBLANK(Actuals!E107)),"",(Budget!E107-Actuals!E107)/ABS(Budget!E107)),"")</f>
      </c>
      <c r="N91" s="529">
        <f>Budget!F107</f>
        <v>0</v>
      </c>
      <c r="O91" s="529">
        <f>IF(OR(4&gt;$B$3,ISBLANK(Actuals!F107)),"",Actuals!F107)</f>
      </c>
      <c r="P91" s="530">
        <f>IF(OR(4&gt;$B$3,ISBLANK(Actuals!F107)),"",Budget!F107-Actuals!F107)</f>
      </c>
      <c r="Q91" s="530">
        <f>IFERROR(IF(OR(4&gt;$B$3,ISBLANK(Actuals!F107)),"",(Budget!F107-Actuals!F107)/ABS(Budget!F107)),"")</f>
      </c>
      <c r="R91" s="529">
        <f>Budget!G107</f>
        <v>0</v>
      </c>
      <c r="S91" s="529">
        <f>IF(OR(5&gt;$B$3,ISBLANK(Actuals!G107)),"",Actuals!G107)</f>
      </c>
      <c r="T91" s="530">
        <f>IF(OR(5&gt;$B$3,ISBLANK(Actuals!G107)),"",Budget!G107-Actuals!G107)</f>
      </c>
      <c r="U91" s="530">
        <f>IFERROR(IF(OR(5&gt;$B$3,ISBLANK(Actuals!G107)),"",(Budget!G107-Actuals!G107)/ABS(Budget!G107)),"")</f>
      </c>
      <c r="V91" s="529">
        <f>Budget!H107</f>
        <v>0</v>
      </c>
      <c r="W91" s="529">
        <f>IF(OR(6&gt;$B$3,ISBLANK(Actuals!H107)),"",Actuals!H107)</f>
      </c>
      <c r="X91" s="530">
        <f>IF(OR(6&gt;$B$3,ISBLANK(Actuals!H107)),"",Budget!H107-Actuals!H107)</f>
      </c>
      <c r="Y91" s="530">
        <f>IFERROR(IF(OR(6&gt;$B$3,ISBLANK(Actuals!H107)),"",(Budget!H107-Actuals!H107)/ABS(Budget!H107)),"")</f>
      </c>
      <c r="Z91" s="529">
        <f>Budget!I107</f>
        <v>0</v>
      </c>
      <c r="AA91" s="529">
        <f>IF(OR(7&gt;$B$3,ISBLANK(Actuals!I107)),"",Actuals!I107)</f>
      </c>
      <c r="AB91" s="530">
        <f>IF(OR(7&gt;$B$3,ISBLANK(Actuals!I107)),"",Budget!I107-Actuals!I107)</f>
      </c>
      <c r="AC91" s="530">
        <f>IFERROR(IF(OR(7&gt;$B$3,ISBLANK(Actuals!I107)),"",(Budget!I107-Actuals!I107)/ABS(Budget!I107)),"")</f>
      </c>
      <c r="AD91" s="529">
        <f>Budget!J107</f>
        <v>0</v>
      </c>
      <c r="AE91" s="529">
        <f>IF(OR(8&gt;$B$3,ISBLANK(Actuals!J107)),"",Actuals!J107)</f>
      </c>
      <c r="AF91" s="530">
        <f>IF(OR(8&gt;$B$3,ISBLANK(Actuals!J107)),"",Budget!J107-Actuals!J107)</f>
      </c>
      <c r="AG91" s="530">
        <f>IFERROR(IF(OR(8&gt;$B$3,ISBLANK(Actuals!J107)),"",(Budget!J107-Actuals!J107)/ABS(Budget!J107)),"")</f>
      </c>
      <c r="AH91" s="529">
        <f>Budget!K107</f>
        <v>0</v>
      </c>
      <c r="AI91" s="529">
        <f>IF(OR(9&gt;$B$3,ISBLANK(Actuals!K107)),"",Actuals!K107)</f>
      </c>
      <c r="AJ91" s="530">
        <f>IF(OR(9&gt;$B$3,ISBLANK(Actuals!K107)),"",Budget!K107-Actuals!K107)</f>
      </c>
      <c r="AK91" s="530">
        <f>IFERROR(IF(OR(9&gt;$B$3,ISBLANK(Actuals!K107)),"",(Budget!K107-Actuals!K107)/ABS(Budget!K107)),"")</f>
      </c>
      <c r="AL91" s="529">
        <f>Budget!L107</f>
        <v>0</v>
      </c>
      <c r="AM91" s="529">
        <f>IF(OR(10&gt;$B$3,ISBLANK(Actuals!L107)),"",Actuals!L107)</f>
      </c>
      <c r="AN91" s="530">
        <f>IF(OR(10&gt;$B$3,ISBLANK(Actuals!L107)),"",Budget!L107-Actuals!L107)</f>
      </c>
      <c r="AO91" s="530">
        <f>IFERROR(IF(OR(10&gt;$B$3,ISBLANK(Actuals!L107)),"",(Budget!L107-Actuals!L107)/ABS(Budget!L107)),"")</f>
      </c>
      <c r="AP91" s="529">
        <f>Budget!M107</f>
        <v>0</v>
      </c>
      <c r="AQ91" s="529">
        <f>IF(OR(11&gt;$B$3,ISBLANK(Actuals!M107)),"",Actuals!M107)</f>
      </c>
      <c r="AR91" s="530">
        <f>IF(OR(11&gt;$B$3,ISBLANK(Actuals!M107)),"",Budget!M107-Actuals!M107)</f>
      </c>
      <c r="AS91" s="530">
        <f>IFERROR(IF(OR(11&gt;$B$3,ISBLANK(Actuals!M107)),"",(Budget!M107-Actuals!M107)/ABS(Budget!M107)),"")</f>
      </c>
      <c r="AT91" s="529">
        <f>Budget!N107</f>
        <v>0</v>
      </c>
      <c r="AU91" s="529">
        <f>IF(OR(12&gt;$B$3,ISBLANK(Actuals!N107)),"",Actuals!N107)</f>
      </c>
      <c r="AV91" s="530">
        <f>IF(OR(12&gt;$B$3,ISBLANK(Actuals!N107)),"",Budget!N107-Actuals!N107)</f>
      </c>
      <c r="AW91" s="530">
        <f>IFERROR(IF(OR(12&gt;$B$3,ISBLANK(Actuals!N107)),"",(Budget!N107-Actuals!N107)/ABS(Budget!N107)),"")</f>
      </c>
      <c r="AX91" s="531">
        <f>SUMPRODUCT((Actuals!C107:N107&lt;&gt;"")*(Budget!C107:N107))</f>
        <v>0</v>
      </c>
      <c r="AY91" s="531">
        <f>SUM(Actuals!C107:N107)</f>
        <v>0</v>
      </c>
      <c r="AZ91" s="532">
        <f>AX91-AY91</f>
        <v>0</v>
      </c>
    </row>
    <row r="92" ht="15" customFormat="1" customHeight="1" s="381">
      <c r="A92" s="528" t="inlineStr">
        <is>
          <t>Steyn Liquidity Guarantee Fee</t>
        </is>
      </c>
      <c r="B92" s="529">
        <f>Budget!C108</f>
        <v>0</v>
      </c>
      <c r="C92" s="529">
        <f>IF(OR(1&gt;$B$3,ISBLANK(Actuals!C108)),"",Actuals!C108)</f>
      </c>
      <c r="D92" s="530">
        <f>IF(OR(1&gt;$B$3,ISBLANK(Actuals!C108)),"",Budget!C108-Actuals!C108)</f>
      </c>
      <c r="E92" s="530">
        <f>IFERROR(IF(OR(1&gt;$B$3,ISBLANK(Actuals!C108)),"",(Budget!C108-Actuals!C108)/ABS(Budget!C108)),"")</f>
      </c>
      <c r="F92" s="529">
        <f>Budget!D108</f>
        <v>0</v>
      </c>
      <c r="G92" s="529">
        <f>IF(OR(2&gt;$B$3,ISBLANK(Actuals!D108)),"",Actuals!D108)</f>
      </c>
      <c r="H92" s="530">
        <f>IF(OR(2&gt;$B$3,ISBLANK(Actuals!D108)),"",Budget!D108-Actuals!D108)</f>
      </c>
      <c r="I92" s="530">
        <f>IFERROR(IF(OR(2&gt;$B$3,ISBLANK(Actuals!D108)),"",(Budget!D108-Actuals!D108)/ABS(Budget!D108)),"")</f>
      </c>
      <c r="J92" s="529">
        <f>Budget!E108</f>
        <v>0</v>
      </c>
      <c r="K92" s="529">
        <f>IF(OR(3&gt;$B$3,ISBLANK(Actuals!E108)),"",Actuals!E108)</f>
      </c>
      <c r="L92" s="530">
        <f>IF(OR(3&gt;$B$3,ISBLANK(Actuals!E108)),"",Budget!E108-Actuals!E108)</f>
      </c>
      <c r="M92" s="530">
        <f>IFERROR(IF(OR(3&gt;$B$3,ISBLANK(Actuals!E108)),"",(Budget!E108-Actuals!E108)/ABS(Budget!E108)),"")</f>
      </c>
      <c r="N92" s="529">
        <f>Budget!F108</f>
        <v>0</v>
      </c>
      <c r="O92" s="529">
        <f>IF(OR(4&gt;$B$3,ISBLANK(Actuals!F108)),"",Actuals!F108)</f>
      </c>
      <c r="P92" s="530">
        <f>IF(OR(4&gt;$B$3,ISBLANK(Actuals!F108)),"",Budget!F108-Actuals!F108)</f>
      </c>
      <c r="Q92" s="530">
        <f>IFERROR(IF(OR(4&gt;$B$3,ISBLANK(Actuals!F108)),"",(Budget!F108-Actuals!F108)/ABS(Budget!F108)),"")</f>
      </c>
      <c r="R92" s="529">
        <f>Budget!G108</f>
        <v>0</v>
      </c>
      <c r="S92" s="529">
        <f>IF(OR(5&gt;$B$3,ISBLANK(Actuals!G108)),"",Actuals!G108)</f>
      </c>
      <c r="T92" s="530">
        <f>IF(OR(5&gt;$B$3,ISBLANK(Actuals!G108)),"",Budget!G108-Actuals!G108)</f>
      </c>
      <c r="U92" s="530">
        <f>IFERROR(IF(OR(5&gt;$B$3,ISBLANK(Actuals!G108)),"",(Budget!G108-Actuals!G108)/ABS(Budget!G108)),"")</f>
      </c>
      <c r="V92" s="529">
        <f>Budget!H108</f>
        <v>0</v>
      </c>
      <c r="W92" s="529">
        <f>IF(OR(6&gt;$B$3,ISBLANK(Actuals!H108)),"",Actuals!H108)</f>
      </c>
      <c r="X92" s="530">
        <f>IF(OR(6&gt;$B$3,ISBLANK(Actuals!H108)),"",Budget!H108-Actuals!H108)</f>
      </c>
      <c r="Y92" s="530">
        <f>IFERROR(IF(OR(6&gt;$B$3,ISBLANK(Actuals!H108)),"",(Budget!H108-Actuals!H108)/ABS(Budget!H108)),"")</f>
      </c>
      <c r="Z92" s="529">
        <f>Budget!I108</f>
        <v>0</v>
      </c>
      <c r="AA92" s="529">
        <f>IF(OR(7&gt;$B$3,ISBLANK(Actuals!I108)),"",Actuals!I108)</f>
      </c>
      <c r="AB92" s="530">
        <f>IF(OR(7&gt;$B$3,ISBLANK(Actuals!I108)),"",Budget!I108-Actuals!I108)</f>
      </c>
      <c r="AC92" s="530">
        <f>IFERROR(IF(OR(7&gt;$B$3,ISBLANK(Actuals!I108)),"",(Budget!I108-Actuals!I108)/ABS(Budget!I108)),"")</f>
      </c>
      <c r="AD92" s="529">
        <f>Budget!J108</f>
        <v>0</v>
      </c>
      <c r="AE92" s="529">
        <f>IF(OR(8&gt;$B$3,ISBLANK(Actuals!J108)),"",Actuals!J108)</f>
      </c>
      <c r="AF92" s="530">
        <f>IF(OR(8&gt;$B$3,ISBLANK(Actuals!J108)),"",Budget!J108-Actuals!J108)</f>
      </c>
      <c r="AG92" s="530">
        <f>IFERROR(IF(OR(8&gt;$B$3,ISBLANK(Actuals!J108)),"",(Budget!J108-Actuals!J108)/ABS(Budget!J108)),"")</f>
      </c>
      <c r="AH92" s="529">
        <f>Budget!K108</f>
        <v>0</v>
      </c>
      <c r="AI92" s="529">
        <f>IF(OR(9&gt;$B$3,ISBLANK(Actuals!K108)),"",Actuals!K108)</f>
      </c>
      <c r="AJ92" s="530">
        <f>IF(OR(9&gt;$B$3,ISBLANK(Actuals!K108)),"",Budget!K108-Actuals!K108)</f>
      </c>
      <c r="AK92" s="530">
        <f>IFERROR(IF(OR(9&gt;$B$3,ISBLANK(Actuals!K108)),"",(Budget!K108-Actuals!K108)/ABS(Budget!K108)),"")</f>
      </c>
      <c r="AL92" s="529">
        <f>Budget!L108</f>
        <v>0</v>
      </c>
      <c r="AM92" s="529">
        <f>IF(OR(10&gt;$B$3,ISBLANK(Actuals!L108)),"",Actuals!L108)</f>
      </c>
      <c r="AN92" s="530">
        <f>IF(OR(10&gt;$B$3,ISBLANK(Actuals!L108)),"",Budget!L108-Actuals!L108)</f>
      </c>
      <c r="AO92" s="530">
        <f>IFERROR(IF(OR(10&gt;$B$3,ISBLANK(Actuals!L108)),"",(Budget!L108-Actuals!L108)/ABS(Budget!L108)),"")</f>
      </c>
      <c r="AP92" s="529">
        <f>Budget!M108</f>
        <v>0</v>
      </c>
      <c r="AQ92" s="529">
        <f>IF(OR(11&gt;$B$3,ISBLANK(Actuals!M108)),"",Actuals!M108)</f>
      </c>
      <c r="AR92" s="530">
        <f>IF(OR(11&gt;$B$3,ISBLANK(Actuals!M108)),"",Budget!M108-Actuals!M108)</f>
      </c>
      <c r="AS92" s="530">
        <f>IFERROR(IF(OR(11&gt;$B$3,ISBLANK(Actuals!M108)),"",(Budget!M108-Actuals!M108)/ABS(Budget!M108)),"")</f>
      </c>
      <c r="AT92" s="529">
        <f>Budget!N108</f>
        <v>0</v>
      </c>
      <c r="AU92" s="529">
        <f>IF(OR(12&gt;$B$3,ISBLANK(Actuals!N108)),"",Actuals!N108)</f>
      </c>
      <c r="AV92" s="530">
        <f>IF(OR(12&gt;$B$3,ISBLANK(Actuals!N108)),"",Budget!N108-Actuals!N108)</f>
      </c>
      <c r="AW92" s="530">
        <f>IFERROR(IF(OR(12&gt;$B$3,ISBLANK(Actuals!N108)),"",(Budget!N108-Actuals!N108)/ABS(Budget!N108)),"")</f>
      </c>
      <c r="AX92" s="531">
        <f>SUMPRODUCT((Actuals!C108:N108&lt;&gt;"")*(Budget!C108:N108))</f>
        <v>0</v>
      </c>
      <c r="AY92" s="531">
        <f>SUM(Actuals!C108:N108)</f>
        <v>0</v>
      </c>
      <c r="AZ92" s="532">
        <f>AX92-AY92</f>
        <v>0</v>
      </c>
    </row>
    <row r="93" ht="15" customFormat="1" customHeight="1" s="381">
      <c r="A93" s="528" t="inlineStr">
        <is>
          <t>Francis Steyn Fee + PIK (from LIHTC Revenue)</t>
        </is>
      </c>
      <c r="B93" s="529">
        <f>Budget!C109</f>
        <v>0</v>
      </c>
      <c r="C93" s="529">
        <f>IF(OR(1&gt;$B$3,ISBLANK(Actuals!C109)),"",Actuals!C109)</f>
      </c>
      <c r="D93" s="530">
        <f>IF(OR(1&gt;$B$3,ISBLANK(Actuals!C109)),"",Budget!C109-Actuals!C109)</f>
      </c>
      <c r="E93" s="530">
        <f>IFERROR(IF(OR(1&gt;$B$3,ISBLANK(Actuals!C109)),"",(Budget!C109-Actuals!C109)/ABS(Budget!C109)),"")</f>
      </c>
      <c r="F93" s="529">
        <f>Budget!D109</f>
        <v>0</v>
      </c>
      <c r="G93" s="529">
        <f>IF(OR(2&gt;$B$3,ISBLANK(Actuals!D109)),"",Actuals!D109)</f>
      </c>
      <c r="H93" s="530">
        <f>IF(OR(2&gt;$B$3,ISBLANK(Actuals!D109)),"",Budget!D109-Actuals!D109)</f>
      </c>
      <c r="I93" s="530">
        <f>IFERROR(IF(OR(2&gt;$B$3,ISBLANK(Actuals!D109)),"",(Budget!D109-Actuals!D109)/ABS(Budget!D109)),"")</f>
      </c>
      <c r="J93" s="529">
        <f>Budget!E109</f>
        <v>0</v>
      </c>
      <c r="K93" s="529">
        <f>IF(OR(3&gt;$B$3,ISBLANK(Actuals!E109)),"",Actuals!E109)</f>
      </c>
      <c r="L93" s="530">
        <f>IF(OR(3&gt;$B$3,ISBLANK(Actuals!E109)),"",Budget!E109-Actuals!E109)</f>
      </c>
      <c r="M93" s="530">
        <f>IFERROR(IF(OR(3&gt;$B$3,ISBLANK(Actuals!E109)),"",(Budget!E109-Actuals!E109)/ABS(Budget!E109)),"")</f>
      </c>
      <c r="N93" s="529">
        <f>Budget!F109</f>
        <v>0</v>
      </c>
      <c r="O93" s="529">
        <f>IF(OR(4&gt;$B$3,ISBLANK(Actuals!F109)),"",Actuals!F109)</f>
      </c>
      <c r="P93" s="530">
        <f>IF(OR(4&gt;$B$3,ISBLANK(Actuals!F109)),"",Budget!F109-Actuals!F109)</f>
      </c>
      <c r="Q93" s="530">
        <f>IFERROR(IF(OR(4&gt;$B$3,ISBLANK(Actuals!F109)),"",(Budget!F109-Actuals!F109)/ABS(Budget!F109)),"")</f>
      </c>
      <c r="R93" s="529">
        <f>Budget!G109</f>
        <v>0</v>
      </c>
      <c r="S93" s="529">
        <f>IF(OR(5&gt;$B$3,ISBLANK(Actuals!G109)),"",Actuals!G109)</f>
      </c>
      <c r="T93" s="530">
        <f>IF(OR(5&gt;$B$3,ISBLANK(Actuals!G109)),"",Budget!G109-Actuals!G109)</f>
      </c>
      <c r="U93" s="530">
        <f>IFERROR(IF(OR(5&gt;$B$3,ISBLANK(Actuals!G109)),"",(Budget!G109-Actuals!G109)/ABS(Budget!G109)),"")</f>
      </c>
      <c r="V93" s="529">
        <f>Budget!H109</f>
        <v>0</v>
      </c>
      <c r="W93" s="529">
        <f>IF(OR(6&gt;$B$3,ISBLANK(Actuals!H109)),"",Actuals!H109)</f>
      </c>
      <c r="X93" s="530">
        <f>IF(OR(6&gt;$B$3,ISBLANK(Actuals!H109)),"",Budget!H109-Actuals!H109)</f>
      </c>
      <c r="Y93" s="530">
        <f>IFERROR(IF(OR(6&gt;$B$3,ISBLANK(Actuals!H109)),"",(Budget!H109-Actuals!H109)/ABS(Budget!H109)),"")</f>
      </c>
      <c r="Z93" s="529">
        <f>Budget!I109</f>
        <v>0</v>
      </c>
      <c r="AA93" s="529">
        <f>IF(OR(7&gt;$B$3,ISBLANK(Actuals!I109)),"",Actuals!I109)</f>
      </c>
      <c r="AB93" s="530">
        <f>IF(OR(7&gt;$B$3,ISBLANK(Actuals!I109)),"",Budget!I109-Actuals!I109)</f>
      </c>
      <c r="AC93" s="530">
        <f>IFERROR(IF(OR(7&gt;$B$3,ISBLANK(Actuals!I109)),"",(Budget!I109-Actuals!I109)/ABS(Budget!I109)),"")</f>
      </c>
      <c r="AD93" s="529">
        <f>Budget!J109</f>
        <v>0</v>
      </c>
      <c r="AE93" s="529">
        <f>IF(OR(8&gt;$B$3,ISBLANK(Actuals!J109)),"",Actuals!J109)</f>
      </c>
      <c r="AF93" s="530">
        <f>IF(OR(8&gt;$B$3,ISBLANK(Actuals!J109)),"",Budget!J109-Actuals!J109)</f>
      </c>
      <c r="AG93" s="530">
        <f>IFERROR(IF(OR(8&gt;$B$3,ISBLANK(Actuals!J109)),"",(Budget!J109-Actuals!J109)/ABS(Budget!J109)),"")</f>
      </c>
      <c r="AH93" s="529">
        <f>Budget!K109</f>
        <v>0</v>
      </c>
      <c r="AI93" s="529">
        <f>IF(OR(9&gt;$B$3,ISBLANK(Actuals!K109)),"",Actuals!K109)</f>
      </c>
      <c r="AJ93" s="530">
        <f>IF(OR(9&gt;$B$3,ISBLANK(Actuals!K109)),"",Budget!K109-Actuals!K109)</f>
      </c>
      <c r="AK93" s="530">
        <f>IFERROR(IF(OR(9&gt;$B$3,ISBLANK(Actuals!K109)),"",(Budget!K109-Actuals!K109)/ABS(Budget!K109)),"")</f>
      </c>
      <c r="AL93" s="529">
        <f>Budget!L109</f>
        <v>0</v>
      </c>
      <c r="AM93" s="529">
        <f>IF(OR(10&gt;$B$3,ISBLANK(Actuals!L109)),"",Actuals!L109)</f>
      </c>
      <c r="AN93" s="530">
        <f>IF(OR(10&gt;$B$3,ISBLANK(Actuals!L109)),"",Budget!L109-Actuals!L109)</f>
      </c>
      <c r="AO93" s="530">
        <f>IFERROR(IF(OR(10&gt;$B$3,ISBLANK(Actuals!L109)),"",(Budget!L109-Actuals!L109)/ABS(Budget!L109)),"")</f>
      </c>
      <c r="AP93" s="529">
        <f>Budget!M109</f>
        <v>0</v>
      </c>
      <c r="AQ93" s="529">
        <f>IF(OR(11&gt;$B$3,ISBLANK(Actuals!M109)),"",Actuals!M109)</f>
      </c>
      <c r="AR93" s="530">
        <f>IF(OR(11&gt;$B$3,ISBLANK(Actuals!M109)),"",Budget!M109-Actuals!M109)</f>
      </c>
      <c r="AS93" s="530">
        <f>IFERROR(IF(OR(11&gt;$B$3,ISBLANK(Actuals!M109)),"",(Budget!M109-Actuals!M109)/ABS(Budget!M109)),"")</f>
      </c>
      <c r="AT93" s="529">
        <f>Budget!N109</f>
        <v>0</v>
      </c>
      <c r="AU93" s="529">
        <f>IF(OR(12&gt;$B$3,ISBLANK(Actuals!N109)),"",Actuals!N109)</f>
      </c>
      <c r="AV93" s="530">
        <f>IF(OR(12&gt;$B$3,ISBLANK(Actuals!N109)),"",Budget!N109-Actuals!N109)</f>
      </c>
      <c r="AW93" s="530">
        <f>IFERROR(IF(OR(12&gt;$B$3,ISBLANK(Actuals!N109)),"",(Budget!N109-Actuals!N109)/ABS(Budget!N109)),"")</f>
      </c>
      <c r="AX93" s="531">
        <f>SUMPRODUCT((Actuals!C109:N109&lt;&gt;"")*(Budget!C109:N109))</f>
        <v>0</v>
      </c>
      <c r="AY93" s="531">
        <f>SUM(Actuals!C109:N109)</f>
        <v>0</v>
      </c>
      <c r="AZ93" s="532">
        <f>AX93-AY93</f>
        <v>0</v>
      </c>
    </row>
    <row r="94" ht="15" customFormat="1" customHeight="1" s="381">
      <c r="A94" s="528" t="inlineStr">
        <is>
          <t>Reseda Steyn Fee + PIK (from LIHTC Revenue)</t>
        </is>
      </c>
      <c r="B94" s="529">
        <f>Budget!C110</f>
        <v>0</v>
      </c>
      <c r="C94" s="529">
        <f>IF(OR(1&gt;$B$3,ISBLANK(Actuals!C110)),"",Actuals!C110)</f>
      </c>
      <c r="D94" s="530">
        <f>IF(OR(1&gt;$B$3,ISBLANK(Actuals!C110)),"",Budget!C110-Actuals!C110)</f>
      </c>
      <c r="E94" s="530">
        <f>IFERROR(IF(OR(1&gt;$B$3,ISBLANK(Actuals!C110)),"",(Budget!C110-Actuals!C110)/ABS(Budget!C110)),"")</f>
      </c>
      <c r="F94" s="529">
        <f>Budget!D110</f>
        <v>0</v>
      </c>
      <c r="G94" s="529">
        <f>IF(OR(2&gt;$B$3,ISBLANK(Actuals!D110)),"",Actuals!D110)</f>
      </c>
      <c r="H94" s="530">
        <f>IF(OR(2&gt;$B$3,ISBLANK(Actuals!D110)),"",Budget!D110-Actuals!D110)</f>
      </c>
      <c r="I94" s="530">
        <f>IFERROR(IF(OR(2&gt;$B$3,ISBLANK(Actuals!D110)),"",(Budget!D110-Actuals!D110)/ABS(Budget!D110)),"")</f>
      </c>
      <c r="J94" s="529">
        <f>Budget!E110</f>
        <v>0</v>
      </c>
      <c r="K94" s="529">
        <f>IF(OR(3&gt;$B$3,ISBLANK(Actuals!E110)),"",Actuals!E110)</f>
      </c>
      <c r="L94" s="530">
        <f>IF(OR(3&gt;$B$3,ISBLANK(Actuals!E110)),"",Budget!E110-Actuals!E110)</f>
      </c>
      <c r="M94" s="530">
        <f>IFERROR(IF(OR(3&gt;$B$3,ISBLANK(Actuals!E110)),"",(Budget!E110-Actuals!E110)/ABS(Budget!E110)),"")</f>
      </c>
      <c r="N94" s="529">
        <f>Budget!F110</f>
        <v>0</v>
      </c>
      <c r="O94" s="529">
        <f>IF(OR(4&gt;$B$3,ISBLANK(Actuals!F110)),"",Actuals!F110)</f>
      </c>
      <c r="P94" s="530">
        <f>IF(OR(4&gt;$B$3,ISBLANK(Actuals!F110)),"",Budget!F110-Actuals!F110)</f>
      </c>
      <c r="Q94" s="530">
        <f>IFERROR(IF(OR(4&gt;$B$3,ISBLANK(Actuals!F110)),"",(Budget!F110-Actuals!F110)/ABS(Budget!F110)),"")</f>
      </c>
      <c r="R94" s="529">
        <f>Budget!G110</f>
        <v>0</v>
      </c>
      <c r="S94" s="529">
        <f>IF(OR(5&gt;$B$3,ISBLANK(Actuals!G110)),"",Actuals!G110)</f>
      </c>
      <c r="T94" s="530">
        <f>IF(OR(5&gt;$B$3,ISBLANK(Actuals!G110)),"",Budget!G110-Actuals!G110)</f>
      </c>
      <c r="U94" s="530">
        <f>IFERROR(IF(OR(5&gt;$B$3,ISBLANK(Actuals!G110)),"",(Budget!G110-Actuals!G110)/ABS(Budget!G110)),"")</f>
      </c>
      <c r="V94" s="529">
        <f>Budget!H110</f>
        <v>0</v>
      </c>
      <c r="W94" s="529">
        <f>IF(OR(6&gt;$B$3,ISBLANK(Actuals!H110)),"",Actuals!H110)</f>
      </c>
      <c r="X94" s="530">
        <f>IF(OR(6&gt;$B$3,ISBLANK(Actuals!H110)),"",Budget!H110-Actuals!H110)</f>
      </c>
      <c r="Y94" s="530">
        <f>IFERROR(IF(OR(6&gt;$B$3,ISBLANK(Actuals!H110)),"",(Budget!H110-Actuals!H110)/ABS(Budget!H110)),"")</f>
      </c>
      <c r="Z94" s="529">
        <f>Budget!I110</f>
        <v>0</v>
      </c>
      <c r="AA94" s="529">
        <f>IF(OR(7&gt;$B$3,ISBLANK(Actuals!I110)),"",Actuals!I110)</f>
      </c>
      <c r="AB94" s="530">
        <f>IF(OR(7&gt;$B$3,ISBLANK(Actuals!I110)),"",Budget!I110-Actuals!I110)</f>
      </c>
      <c r="AC94" s="530">
        <f>IFERROR(IF(OR(7&gt;$B$3,ISBLANK(Actuals!I110)),"",(Budget!I110-Actuals!I110)/ABS(Budget!I110)),"")</f>
      </c>
      <c r="AD94" s="529">
        <f>Budget!J110</f>
        <v>0</v>
      </c>
      <c r="AE94" s="529">
        <f>IF(OR(8&gt;$B$3,ISBLANK(Actuals!J110)),"",Actuals!J110)</f>
      </c>
      <c r="AF94" s="530">
        <f>IF(OR(8&gt;$B$3,ISBLANK(Actuals!J110)),"",Budget!J110-Actuals!J110)</f>
      </c>
      <c r="AG94" s="530">
        <f>IFERROR(IF(OR(8&gt;$B$3,ISBLANK(Actuals!J110)),"",(Budget!J110-Actuals!J110)/ABS(Budget!J110)),"")</f>
      </c>
      <c r="AH94" s="529">
        <f>Budget!K110</f>
        <v>0</v>
      </c>
      <c r="AI94" s="529">
        <f>IF(OR(9&gt;$B$3,ISBLANK(Actuals!K110)),"",Actuals!K110)</f>
      </c>
      <c r="AJ94" s="530">
        <f>IF(OR(9&gt;$B$3,ISBLANK(Actuals!K110)),"",Budget!K110-Actuals!K110)</f>
      </c>
      <c r="AK94" s="530">
        <f>IFERROR(IF(OR(9&gt;$B$3,ISBLANK(Actuals!K110)),"",(Budget!K110-Actuals!K110)/ABS(Budget!K110)),"")</f>
      </c>
      <c r="AL94" s="529">
        <f>Budget!L110</f>
        <v>0</v>
      </c>
      <c r="AM94" s="529">
        <f>IF(OR(10&gt;$B$3,ISBLANK(Actuals!L110)),"",Actuals!L110)</f>
      </c>
      <c r="AN94" s="530">
        <f>IF(OR(10&gt;$B$3,ISBLANK(Actuals!L110)),"",Budget!L110-Actuals!L110)</f>
      </c>
      <c r="AO94" s="530">
        <f>IFERROR(IF(OR(10&gt;$B$3,ISBLANK(Actuals!L110)),"",(Budget!L110-Actuals!L110)/ABS(Budget!L110)),"")</f>
      </c>
      <c r="AP94" s="529">
        <f>Budget!M110</f>
        <v>0</v>
      </c>
      <c r="AQ94" s="529">
        <f>IF(OR(11&gt;$B$3,ISBLANK(Actuals!M110)),"",Actuals!M110)</f>
      </c>
      <c r="AR94" s="530">
        <f>IF(OR(11&gt;$B$3,ISBLANK(Actuals!M110)),"",Budget!M110-Actuals!M110)</f>
      </c>
      <c r="AS94" s="530">
        <f>IFERROR(IF(OR(11&gt;$B$3,ISBLANK(Actuals!M110)),"",(Budget!M110-Actuals!M110)/ABS(Budget!M110)),"")</f>
      </c>
      <c r="AT94" s="529">
        <f>Budget!N110</f>
        <v>0</v>
      </c>
      <c r="AU94" s="529">
        <f>IF(OR(12&gt;$B$3,ISBLANK(Actuals!N110)),"",Actuals!N110)</f>
      </c>
      <c r="AV94" s="530">
        <f>IF(OR(12&gt;$B$3,ISBLANK(Actuals!N110)),"",Budget!N110-Actuals!N110)</f>
      </c>
      <c r="AW94" s="530">
        <f>IFERROR(IF(OR(12&gt;$B$3,ISBLANK(Actuals!N110)),"",(Budget!N110-Actuals!N110)/ABS(Budget!N110)),"")</f>
      </c>
      <c r="AX94" s="531">
        <f>SUMPRODUCT((Actuals!C110:N110&lt;&gt;"")*(Budget!C110:N110))</f>
        <v>0</v>
      </c>
      <c r="AY94" s="531">
        <f>SUM(Actuals!C110:N110)</f>
        <v>0</v>
      </c>
      <c r="AZ94" s="532">
        <f>AX94-AY94</f>
        <v>0</v>
      </c>
    </row>
    <row r="95" ht="15" customFormat="1" customHeight="1" s="381">
      <c r="A95" s="528" t="inlineStr">
        <is>
          <t>3rd St Steyn Fee + PIK (from LIHTC Revenue)</t>
        </is>
      </c>
      <c r="B95" s="529">
        <f>Budget!C111</f>
        <v>0</v>
      </c>
      <c r="C95" s="529">
        <f>IF(OR(1&gt;$B$3,ISBLANK(Actuals!C111)),"",Actuals!C111)</f>
      </c>
      <c r="D95" s="530">
        <f>IF(OR(1&gt;$B$3,ISBLANK(Actuals!C111)),"",Budget!C111-Actuals!C111)</f>
      </c>
      <c r="E95" s="530">
        <f>IFERROR(IF(OR(1&gt;$B$3,ISBLANK(Actuals!C111)),"",(Budget!C111-Actuals!C111)/ABS(Budget!C111)),"")</f>
      </c>
      <c r="F95" s="529">
        <f>Budget!D111</f>
        <v>0</v>
      </c>
      <c r="G95" s="529">
        <f>IF(OR(2&gt;$B$3,ISBLANK(Actuals!D111)),"",Actuals!D111)</f>
      </c>
      <c r="H95" s="530">
        <f>IF(OR(2&gt;$B$3,ISBLANK(Actuals!D111)),"",Budget!D111-Actuals!D111)</f>
      </c>
      <c r="I95" s="530">
        <f>IFERROR(IF(OR(2&gt;$B$3,ISBLANK(Actuals!D111)),"",(Budget!D111-Actuals!D111)/ABS(Budget!D111)),"")</f>
      </c>
      <c r="J95" s="529">
        <f>Budget!E111</f>
        <v>0</v>
      </c>
      <c r="K95" s="529">
        <f>IF(OR(3&gt;$B$3,ISBLANK(Actuals!E111)),"",Actuals!E111)</f>
      </c>
      <c r="L95" s="530">
        <f>IF(OR(3&gt;$B$3,ISBLANK(Actuals!E111)),"",Budget!E111-Actuals!E111)</f>
      </c>
      <c r="M95" s="530">
        <f>IFERROR(IF(OR(3&gt;$B$3,ISBLANK(Actuals!E111)),"",(Budget!E111-Actuals!E111)/ABS(Budget!E111)),"")</f>
      </c>
      <c r="N95" s="529">
        <f>Budget!F111</f>
        <v>0</v>
      </c>
      <c r="O95" s="529">
        <f>IF(OR(4&gt;$B$3,ISBLANK(Actuals!F111)),"",Actuals!F111)</f>
      </c>
      <c r="P95" s="530">
        <f>IF(OR(4&gt;$B$3,ISBLANK(Actuals!F111)),"",Budget!F111-Actuals!F111)</f>
      </c>
      <c r="Q95" s="530">
        <f>IFERROR(IF(OR(4&gt;$B$3,ISBLANK(Actuals!F111)),"",(Budget!F111-Actuals!F111)/ABS(Budget!F111)),"")</f>
      </c>
      <c r="R95" s="529">
        <f>Budget!G111</f>
        <v>0</v>
      </c>
      <c r="S95" s="529">
        <f>IF(OR(5&gt;$B$3,ISBLANK(Actuals!G111)),"",Actuals!G111)</f>
      </c>
      <c r="T95" s="530">
        <f>IF(OR(5&gt;$B$3,ISBLANK(Actuals!G111)),"",Budget!G111-Actuals!G111)</f>
      </c>
      <c r="U95" s="530">
        <f>IFERROR(IF(OR(5&gt;$B$3,ISBLANK(Actuals!G111)),"",(Budget!G111-Actuals!G111)/ABS(Budget!G111)),"")</f>
      </c>
      <c r="V95" s="529">
        <f>Budget!H111</f>
        <v>0</v>
      </c>
      <c r="W95" s="529">
        <f>IF(OR(6&gt;$B$3,ISBLANK(Actuals!H111)),"",Actuals!H111)</f>
      </c>
      <c r="X95" s="530">
        <f>IF(OR(6&gt;$B$3,ISBLANK(Actuals!H111)),"",Budget!H111-Actuals!H111)</f>
      </c>
      <c r="Y95" s="530">
        <f>IFERROR(IF(OR(6&gt;$B$3,ISBLANK(Actuals!H111)),"",(Budget!H111-Actuals!H111)/ABS(Budget!H111)),"")</f>
      </c>
      <c r="Z95" s="529">
        <f>Budget!I111</f>
        <v>0</v>
      </c>
      <c r="AA95" s="529">
        <f>IF(OR(7&gt;$B$3,ISBLANK(Actuals!I111)),"",Actuals!I111)</f>
      </c>
      <c r="AB95" s="530">
        <f>IF(OR(7&gt;$B$3,ISBLANK(Actuals!I111)),"",Budget!I111-Actuals!I111)</f>
      </c>
      <c r="AC95" s="530">
        <f>IFERROR(IF(OR(7&gt;$B$3,ISBLANK(Actuals!I111)),"",(Budget!I111-Actuals!I111)/ABS(Budget!I111)),"")</f>
      </c>
      <c r="AD95" s="529">
        <f>Budget!J111</f>
        <v>0</v>
      </c>
      <c r="AE95" s="529">
        <f>IF(OR(8&gt;$B$3,ISBLANK(Actuals!J111)),"",Actuals!J111)</f>
      </c>
      <c r="AF95" s="530">
        <f>IF(OR(8&gt;$B$3,ISBLANK(Actuals!J111)),"",Budget!J111-Actuals!J111)</f>
      </c>
      <c r="AG95" s="530">
        <f>IFERROR(IF(OR(8&gt;$B$3,ISBLANK(Actuals!J111)),"",(Budget!J111-Actuals!J111)/ABS(Budget!J111)),"")</f>
      </c>
      <c r="AH95" s="529">
        <f>Budget!K111</f>
        <v>0</v>
      </c>
      <c r="AI95" s="529">
        <f>IF(OR(9&gt;$B$3,ISBLANK(Actuals!K111)),"",Actuals!K111)</f>
      </c>
      <c r="AJ95" s="530">
        <f>IF(OR(9&gt;$B$3,ISBLANK(Actuals!K111)),"",Budget!K111-Actuals!K111)</f>
      </c>
      <c r="AK95" s="530">
        <f>IFERROR(IF(OR(9&gt;$B$3,ISBLANK(Actuals!K111)),"",(Budget!K111-Actuals!K111)/ABS(Budget!K111)),"")</f>
      </c>
      <c r="AL95" s="529">
        <f>Budget!L111</f>
        <v>0</v>
      </c>
      <c r="AM95" s="529">
        <f>IF(OR(10&gt;$B$3,ISBLANK(Actuals!L111)),"",Actuals!L111)</f>
      </c>
      <c r="AN95" s="530">
        <f>IF(OR(10&gt;$B$3,ISBLANK(Actuals!L111)),"",Budget!L111-Actuals!L111)</f>
      </c>
      <c r="AO95" s="530">
        <f>IFERROR(IF(OR(10&gt;$B$3,ISBLANK(Actuals!L111)),"",(Budget!L111-Actuals!L111)/ABS(Budget!L111)),"")</f>
      </c>
      <c r="AP95" s="529">
        <f>Budget!M111</f>
        <v>0</v>
      </c>
      <c r="AQ95" s="529">
        <f>IF(OR(11&gt;$B$3,ISBLANK(Actuals!M111)),"",Actuals!M111)</f>
      </c>
      <c r="AR95" s="530">
        <f>IF(OR(11&gt;$B$3,ISBLANK(Actuals!M111)),"",Budget!M111-Actuals!M111)</f>
      </c>
      <c r="AS95" s="530">
        <f>IFERROR(IF(OR(11&gt;$B$3,ISBLANK(Actuals!M111)),"",(Budget!M111-Actuals!M111)/ABS(Budget!M111)),"")</f>
      </c>
      <c r="AT95" s="529">
        <f>Budget!N111</f>
        <v>0</v>
      </c>
      <c r="AU95" s="529">
        <f>IF(OR(12&gt;$B$3,ISBLANK(Actuals!N111)),"",Actuals!N111)</f>
      </c>
      <c r="AV95" s="530">
        <f>IF(OR(12&gt;$B$3,ISBLANK(Actuals!N111)),"",Budget!N111-Actuals!N111)</f>
      </c>
      <c r="AW95" s="530">
        <f>IFERROR(IF(OR(12&gt;$B$3,ISBLANK(Actuals!N111)),"",(Budget!N111-Actuals!N111)/ABS(Budget!N111)),"")</f>
      </c>
      <c r="AX95" s="531">
        <f>SUMPRODUCT((Actuals!C111:N111&lt;&gt;"")*(Budget!C111:N111))</f>
        <v>0</v>
      </c>
      <c r="AY95" s="531">
        <f>SUM(Actuals!C111:N111)</f>
        <v>0</v>
      </c>
      <c r="AZ95" s="532">
        <f>AX95-AY95</f>
        <v>0</v>
      </c>
    </row>
    <row r="96" ht="15" customFormat="1" customHeight="1" s="381">
      <c r="B96" s="491" t="n"/>
      <c r="C96" s="491" t="n"/>
      <c r="D96" s="491" t="n"/>
      <c r="E96" s="491" t="n"/>
      <c r="F96" s="491" t="n"/>
      <c r="G96" s="491" t="n"/>
      <c r="H96" s="491" t="n"/>
      <c r="I96" s="491" t="n"/>
      <c r="J96" s="491" t="n"/>
      <c r="K96" s="491" t="n"/>
      <c r="L96" s="491" t="n"/>
      <c r="M96" s="491" t="n"/>
      <c r="N96" s="491" t="n"/>
      <c r="O96" s="491" t="n"/>
      <c r="P96" s="491" t="n"/>
      <c r="Q96" s="491" t="n"/>
      <c r="R96" s="491" t="n"/>
      <c r="S96" s="491" t="n"/>
      <c r="T96" s="491" t="n"/>
      <c r="U96" s="491" t="n"/>
      <c r="V96" s="491" t="n"/>
      <c r="W96" s="491" t="n"/>
      <c r="X96" s="491" t="n"/>
      <c r="Y96" s="491" t="n"/>
      <c r="Z96" s="491" t="n"/>
      <c r="AA96" s="491" t="n"/>
      <c r="AB96" s="491" t="n"/>
      <c r="AC96" s="491" t="n"/>
      <c r="AD96" s="491" t="n"/>
      <c r="AE96" s="491" t="n"/>
      <c r="AF96" s="491" t="n"/>
      <c r="AG96" s="491" t="n"/>
      <c r="AH96" s="491" t="n"/>
      <c r="AI96" s="491" t="n"/>
      <c r="AJ96" s="491" t="n"/>
      <c r="AK96" s="491" t="n"/>
      <c r="AL96" s="491" t="n"/>
      <c r="AM96" s="491" t="n"/>
      <c r="AN96" s="491" t="n"/>
      <c r="AO96" s="491" t="n"/>
      <c r="AP96" s="491" t="n"/>
      <c r="AQ96" s="491" t="n"/>
      <c r="AR96" s="491" t="n"/>
      <c r="AS96" s="491" t="n"/>
      <c r="AT96" s="491" t="n"/>
      <c r="AU96" s="491" t="n"/>
      <c r="AV96" s="491" t="n"/>
      <c r="AW96" s="491" t="n"/>
      <c r="AX96" s="491" t="n"/>
      <c r="AY96" s="491" t="n"/>
      <c r="AZ96" s="491" t="n"/>
    </row>
    <row r="97" ht="15" customFormat="1" customHeight="1" s="381">
      <c r="A97" s="533" t="inlineStr">
        <is>
          <t>TOTAL — sum of all P&amp;L lines</t>
        </is>
      </c>
      <c r="B97" s="534">
        <f>SUM(B6:B13)+SUM(B15:B95)</f>
        <v>-88218.8299999999</v>
      </c>
      <c r="C97" s="534">
        <f>SUM(C6:C13)+SUM(C15:C95)</f>
        <v>-206557.78</v>
      </c>
      <c r="D97" s="534">
        <f>SUM(D6:D13)+SUM(D15:D95)</f>
        <v>177022.28</v>
      </c>
      <c r="E97" s="534" t="n"/>
      <c r="F97" s="534">
        <f>SUM(F6:F13)+SUM(F15:F95)</f>
        <v>-72974.1700000002</v>
      </c>
      <c r="G97" s="534">
        <f>SUM(G6:G13)+SUM(G15:G95)</f>
        <v>-469696.73</v>
      </c>
      <c r="H97" s="534">
        <f>SUM(H6:H13)+SUM(H15:H95)</f>
        <v>455405.89</v>
      </c>
      <c r="I97" s="534" t="n"/>
      <c r="J97" s="534">
        <f>SUM(J6:J13)+SUM(J15:J95)</f>
        <v>-57798.7600000001</v>
      </c>
      <c r="K97" s="534">
        <f>SUM(K6:K13)+SUM(K15:K95)</f>
        <v>21337.2600000002</v>
      </c>
      <c r="L97" s="534">
        <f>SUM(L6:L13)+SUM(L15:L95)</f>
        <v>-20452.6900000003</v>
      </c>
      <c r="M97" s="534" t="n"/>
      <c r="N97" s="534">
        <f>SUM(N6:N13)+SUM(N15:N95)</f>
        <v>-31421.3600000002</v>
      </c>
      <c r="O97" s="534">
        <f>SUM(O6:O13)+SUM(O15:O95)</f>
        <v>212136.55</v>
      </c>
      <c r="P97" s="534">
        <f>SUM(P6:P13)+SUM(P15:P95)</f>
        <v>-255432.91</v>
      </c>
      <c r="Q97" s="534" t="n"/>
      <c r="R97" s="534">
        <f>SUM(R6:R13)+SUM(R15:R95)</f>
        <v>122738.83</v>
      </c>
      <c r="S97" s="534">
        <f>SUM(S6:S13)+SUM(S15:S95)</f>
        <v>-188293.09</v>
      </c>
      <c r="T97" s="534">
        <f>SUM(T6:T13)+SUM(T15:T95)</f>
        <v>299156.92</v>
      </c>
      <c r="U97" s="534" t="n"/>
      <c r="V97" s="534">
        <f>SUM(V6:V13)+SUM(V15:V95)</f>
        <v>139414.41</v>
      </c>
      <c r="W97" s="534">
        <f>SUM(W6:W13)+SUM(W15:W95)</f>
        <v>449429.350000001</v>
      </c>
      <c r="X97" s="534">
        <f>SUM(X6:X13)+SUM(X15:X95)</f>
        <v>-321889.940000001</v>
      </c>
      <c r="Y97" s="534" t="n"/>
      <c r="Z97" s="534">
        <f>SUM(Z6:Z13)+SUM(Z15:Z95)</f>
        <v>153517.41</v>
      </c>
      <c r="AA97" s="534">
        <f>SUM(AA6:AA13)+SUM(AA15:AA95)</f>
        <v>0</v>
      </c>
      <c r="AB97" s="534">
        <f>SUM(AB6:AB13)+SUM(AB15:AB95)</f>
        <v>0</v>
      </c>
      <c r="AC97" s="534" t="n"/>
      <c r="AD97" s="534">
        <f>SUM(AD6:AD13)+SUM(AD15:AD95)</f>
        <v>164629.55</v>
      </c>
      <c r="AE97" s="534">
        <f>SUM(AE6:AE13)+SUM(AE15:AE95)</f>
        <v>0</v>
      </c>
      <c r="AF97" s="534">
        <f>SUM(AF6:AF13)+SUM(AF15:AF95)</f>
        <v>0</v>
      </c>
      <c r="AG97" s="534" t="n"/>
      <c r="AH97" s="534">
        <f>SUM(AH6:AH13)+SUM(AH15:AH95)</f>
        <v>172088.91</v>
      </c>
      <c r="AI97" s="534">
        <f>SUM(AI6:AI13)+SUM(AI15:AI95)</f>
        <v>0</v>
      </c>
      <c r="AJ97" s="534">
        <f>SUM(AJ6:AJ13)+SUM(AJ15:AJ95)</f>
        <v>0</v>
      </c>
      <c r="AK97" s="534" t="n"/>
      <c r="AL97" s="534">
        <f>SUM(AL6:AL13)+SUM(AL15:AL95)</f>
        <v>165342.57</v>
      </c>
      <c r="AM97" s="534">
        <f>SUM(AM6:AM13)+SUM(AM15:AM95)</f>
        <v>0</v>
      </c>
      <c r="AN97" s="534">
        <f>SUM(AN6:AN13)+SUM(AN15:AN95)</f>
        <v>0</v>
      </c>
      <c r="AO97" s="534" t="n"/>
      <c r="AP97" s="534">
        <f>SUM(AP6:AP13)+SUM(AP15:AP95)</f>
        <v>164759.67</v>
      </c>
      <c r="AQ97" s="534">
        <f>SUM(AQ6:AQ13)+SUM(AQ15:AQ95)</f>
        <v>0</v>
      </c>
      <c r="AR97" s="534">
        <f>SUM(AR6:AR13)+SUM(AR15:AR95)</f>
        <v>0</v>
      </c>
      <c r="AS97" s="534" t="n"/>
      <c r="AT97" s="534">
        <f>SUM(AT6:AT13)+SUM(AT15:AT95)</f>
        <v>115877.35</v>
      </c>
      <c r="AU97" s="534">
        <f>SUM(AU6:AU13)+SUM(AU15:AU95)</f>
        <v>0</v>
      </c>
      <c r="AV97" s="534">
        <f>SUM(AV6:AV13)+SUM(AV15:AV95)</f>
        <v>0</v>
      </c>
      <c r="AW97" s="534" t="n"/>
      <c r="AX97" s="534">
        <f>SUM(AX6:AX13)+SUM(AX15:AX95)</f>
        <v>376395.850000001</v>
      </c>
      <c r="AY97" s="534">
        <f>SUM(AY6:AY13)+SUM(AY15:AY95)</f>
        <v>-33206.9600000004</v>
      </c>
      <c r="AZ97" s="534">
        <f>SUM(AZ6:AZ13)+SUM(AZ15:AZ95)</f>
        <v>409602.81</v>
      </c>
    </row>
    <row r="98" ht="15" customFormat="1" customHeight="1" s="381">
      <c r="B98" s="535" t="n"/>
      <c r="C98" s="535" t="n"/>
      <c r="D98" s="535" t="n"/>
      <c r="E98" s="535" t="n"/>
      <c r="F98" s="535" t="n"/>
      <c r="G98" s="535" t="n"/>
      <c r="H98" s="535" t="n"/>
      <c r="I98" s="535" t="n"/>
      <c r="J98" s="535" t="n"/>
      <c r="K98" s="535" t="n"/>
      <c r="L98" s="535" t="n"/>
      <c r="M98" s="535" t="n"/>
      <c r="N98" s="535" t="n"/>
      <c r="O98" s="535" t="n"/>
      <c r="P98" s="535" t="n"/>
      <c r="Q98" s="535" t="n"/>
      <c r="R98" s="535" t="n"/>
      <c r="S98" s="535" t="n"/>
      <c r="T98" s="535" t="n"/>
      <c r="U98" s="535" t="n"/>
      <c r="V98" s="535" t="n"/>
      <c r="W98" s="535" t="n"/>
      <c r="X98" s="535" t="n"/>
      <c r="Y98" s="535" t="n"/>
      <c r="Z98" s="535" t="n"/>
      <c r="AA98" s="535" t="n"/>
      <c r="AB98" s="535" t="n"/>
      <c r="AC98" s="535" t="n"/>
      <c r="AD98" s="535" t="n"/>
      <c r="AE98" s="535" t="n"/>
      <c r="AF98" s="535" t="n"/>
      <c r="AG98" s="535" t="n"/>
      <c r="AH98" s="535" t="n"/>
      <c r="AI98" s="535" t="n"/>
      <c r="AJ98" s="535" t="n"/>
      <c r="AK98" s="535" t="n"/>
      <c r="AL98" s="535" t="n"/>
      <c r="AM98" s="535" t="n"/>
      <c r="AN98" s="535" t="n"/>
      <c r="AO98" s="535" t="n"/>
      <c r="AP98" s="535" t="n"/>
      <c r="AQ98" s="535" t="n"/>
      <c r="AR98" s="535" t="n"/>
      <c r="AS98" s="535" t="n"/>
      <c r="AT98" s="535" t="n"/>
      <c r="AU98" s="535" t="n"/>
      <c r="AV98" s="535" t="n"/>
      <c r="AW98" s="535" t="n"/>
      <c r="AX98" s="535" t="n"/>
      <c r="AY98" s="535" t="n"/>
      <c r="AZ98" s="535" t="n"/>
    </row>
    <row r="99" ht="15" customFormat="1" customHeight="1" s="381">
      <c r="B99" s="535" t="n"/>
      <c r="C99" s="535" t="n"/>
      <c r="D99" s="535" t="n"/>
      <c r="E99" s="535" t="n"/>
      <c r="F99" s="535" t="n"/>
      <c r="G99" s="535" t="n"/>
      <c r="H99" s="535" t="n"/>
      <c r="I99" s="535" t="n"/>
      <c r="J99" s="535" t="n"/>
      <c r="K99" s="535" t="n"/>
      <c r="L99" s="535" t="n"/>
      <c r="M99" s="535" t="n"/>
      <c r="N99" s="535" t="n"/>
      <c r="O99" s="535" t="n"/>
      <c r="P99" s="535" t="n"/>
      <c r="Q99" s="535" t="n"/>
      <c r="R99" s="535" t="n"/>
      <c r="S99" s="535" t="n"/>
      <c r="T99" s="535" t="n"/>
      <c r="U99" s="535" t="n"/>
      <c r="V99" s="535" t="n"/>
      <c r="W99" s="535" t="n"/>
      <c r="X99" s="535" t="n"/>
      <c r="Y99" s="535" t="n"/>
      <c r="Z99" s="535" t="n"/>
      <c r="AA99" s="535" t="n"/>
      <c r="AB99" s="535" t="n"/>
      <c r="AC99" s="535" t="n"/>
      <c r="AD99" s="535" t="n"/>
      <c r="AE99" s="535" t="n"/>
      <c r="AF99" s="535" t="n"/>
      <c r="AG99" s="535" t="n"/>
      <c r="AH99" s="535" t="n"/>
      <c r="AI99" s="535" t="n"/>
      <c r="AJ99" s="535" t="n"/>
      <c r="AK99" s="535" t="n"/>
      <c r="AL99" s="535" t="n"/>
      <c r="AM99" s="535" t="n"/>
      <c r="AN99" s="535" t="n"/>
      <c r="AO99" s="535" t="n"/>
      <c r="AP99" s="535" t="n"/>
      <c r="AQ99" s="535" t="n"/>
      <c r="AR99" s="535" t="n"/>
      <c r="AS99" s="535" t="n"/>
      <c r="AT99" s="535" t="n"/>
      <c r="AU99" s="535" t="n"/>
      <c r="AV99" s="535" t="n"/>
      <c r="AW99" s="535" t="n"/>
      <c r="AX99" s="535" t="n"/>
      <c r="AY99" s="535" t="n"/>
      <c r="AZ99" s="535" t="n"/>
    </row>
    <row r="100" ht="15" customFormat="1" customHeight="1" s="381">
      <c r="B100" s="535" t="n"/>
      <c r="C100" s="535" t="n"/>
      <c r="D100" s="535" t="n"/>
      <c r="E100" s="535" t="n"/>
      <c r="F100" s="535" t="n"/>
      <c r="G100" s="535" t="n"/>
      <c r="H100" s="535" t="n"/>
      <c r="I100" s="535" t="n"/>
      <c r="J100" s="535" t="n"/>
      <c r="K100" s="535" t="n"/>
      <c r="L100" s="535" t="n"/>
      <c r="M100" s="535" t="n"/>
      <c r="N100" s="535" t="n"/>
      <c r="O100" s="535" t="n"/>
      <c r="P100" s="535" t="n"/>
      <c r="Q100" s="535" t="n"/>
      <c r="R100" s="535" t="n"/>
      <c r="S100" s="535" t="n"/>
      <c r="T100" s="535" t="n"/>
      <c r="U100" s="535" t="n"/>
      <c r="V100" s="535" t="n"/>
      <c r="W100" s="535" t="n"/>
      <c r="X100" s="535" t="n"/>
      <c r="Y100" s="535" t="n"/>
      <c r="Z100" s="535" t="n"/>
      <c r="AA100" s="535" t="n"/>
      <c r="AB100" s="535" t="n"/>
      <c r="AC100" s="535" t="n"/>
      <c r="AD100" s="535" t="n"/>
      <c r="AE100" s="535" t="n"/>
      <c r="AF100" s="535" t="n"/>
      <c r="AG100" s="535" t="n"/>
      <c r="AH100" s="535" t="n"/>
      <c r="AI100" s="535" t="n"/>
      <c r="AJ100" s="535" t="n"/>
      <c r="AK100" s="535" t="n"/>
      <c r="AL100" s="535" t="n"/>
      <c r="AM100" s="535" t="n"/>
      <c r="AN100" s="535" t="n"/>
      <c r="AO100" s="535" t="n"/>
      <c r="AP100" s="535" t="n"/>
      <c r="AQ100" s="535" t="n"/>
      <c r="AR100" s="535" t="n"/>
      <c r="AS100" s="535" t="n"/>
      <c r="AT100" s="535" t="n"/>
      <c r="AU100" s="535" t="n"/>
      <c r="AV100" s="535" t="n"/>
      <c r="AW100" s="535" t="n"/>
      <c r="AX100" s="535" t="n"/>
      <c r="AY100" s="535" t="n"/>
      <c r="AZ100" s="535" t="n"/>
    </row>
    <row r="101" ht="15" customFormat="1" customHeight="1" s="381">
      <c r="B101" s="535" t="n"/>
      <c r="C101" s="535" t="n"/>
      <c r="D101" s="535" t="n"/>
      <c r="E101" s="535" t="n"/>
      <c r="F101" s="535" t="n"/>
      <c r="G101" s="535" t="n"/>
      <c r="H101" s="535" t="n"/>
      <c r="I101" s="535" t="n"/>
      <c r="J101" s="535" t="n"/>
      <c r="K101" s="535" t="n"/>
      <c r="L101" s="535" t="n"/>
      <c r="M101" s="535" t="n"/>
      <c r="N101" s="535" t="n"/>
      <c r="O101" s="535" t="n"/>
      <c r="P101" s="535" t="n"/>
      <c r="Q101" s="535" t="n"/>
      <c r="R101" s="535" t="n"/>
      <c r="S101" s="535" t="n"/>
      <c r="T101" s="535" t="n"/>
      <c r="U101" s="535" t="n"/>
      <c r="V101" s="535" t="n"/>
      <c r="W101" s="535" t="n"/>
      <c r="X101" s="535" t="n"/>
      <c r="Y101" s="535" t="n"/>
      <c r="Z101" s="535" t="n"/>
      <c r="AA101" s="535" t="n"/>
      <c r="AB101" s="535" t="n"/>
      <c r="AC101" s="535" t="n"/>
      <c r="AD101" s="535" t="n"/>
      <c r="AE101" s="535" t="n"/>
      <c r="AF101" s="535" t="n"/>
      <c r="AG101" s="535" t="n"/>
      <c r="AH101" s="535" t="n"/>
      <c r="AI101" s="535" t="n"/>
      <c r="AJ101" s="535" t="n"/>
      <c r="AK101" s="535" t="n"/>
      <c r="AL101" s="535" t="n"/>
      <c r="AM101" s="535" t="n"/>
      <c r="AN101" s="535" t="n"/>
      <c r="AO101" s="535" t="n"/>
      <c r="AP101" s="535" t="n"/>
      <c r="AQ101" s="535" t="n"/>
      <c r="AR101" s="535" t="n"/>
      <c r="AS101" s="535" t="n"/>
      <c r="AT101" s="535" t="n"/>
      <c r="AU101" s="535" t="n"/>
      <c r="AV101" s="535" t="n"/>
      <c r="AW101" s="535" t="n"/>
      <c r="AX101" s="535" t="n"/>
      <c r="AY101" s="535" t="n"/>
      <c r="AZ101" s="535" t="n"/>
    </row>
    <row r="102" ht="15" customFormat="1" customHeight="1" s="381">
      <c r="B102" s="535" t="n"/>
      <c r="C102" s="535" t="n"/>
      <c r="D102" s="535" t="n"/>
      <c r="E102" s="535" t="n"/>
      <c r="F102" s="535" t="n"/>
      <c r="G102" s="535" t="n"/>
      <c r="H102" s="535" t="n"/>
      <c r="I102" s="535" t="n"/>
      <c r="J102" s="535" t="n"/>
      <c r="K102" s="535" t="n"/>
      <c r="L102" s="535" t="n"/>
      <c r="M102" s="535" t="n"/>
      <c r="N102" s="535" t="n"/>
      <c r="O102" s="535" t="n"/>
      <c r="P102" s="535" t="n"/>
      <c r="Q102" s="535" t="n"/>
      <c r="R102" s="535" t="n"/>
      <c r="S102" s="535" t="n"/>
      <c r="T102" s="535" t="n"/>
      <c r="U102" s="535" t="n"/>
      <c r="V102" s="535" t="n"/>
      <c r="W102" s="535" t="n"/>
      <c r="X102" s="535" t="n"/>
      <c r="Y102" s="535" t="n"/>
      <c r="Z102" s="535" t="n"/>
      <c r="AA102" s="535" t="n"/>
      <c r="AB102" s="535" t="n"/>
      <c r="AC102" s="535" t="n"/>
      <c r="AD102" s="535" t="n"/>
      <c r="AE102" s="535" t="n"/>
      <c r="AF102" s="535" t="n"/>
      <c r="AG102" s="535" t="n"/>
      <c r="AH102" s="535" t="n"/>
      <c r="AI102" s="535" t="n"/>
      <c r="AJ102" s="535" t="n"/>
      <c r="AK102" s="535" t="n"/>
      <c r="AL102" s="535" t="n"/>
      <c r="AM102" s="535" t="n"/>
      <c r="AN102" s="535" t="n"/>
      <c r="AO102" s="535" t="n"/>
      <c r="AP102" s="535" t="n"/>
      <c r="AQ102" s="535" t="n"/>
      <c r="AR102" s="535" t="n"/>
      <c r="AS102" s="535" t="n"/>
      <c r="AT102" s="535" t="n"/>
      <c r="AU102" s="535" t="n"/>
      <c r="AV102" s="535" t="n"/>
      <c r="AW102" s="535" t="n"/>
      <c r="AX102" s="535" t="n"/>
      <c r="AY102" s="535" t="n"/>
      <c r="AZ102" s="535" t="n"/>
    </row>
    <row r="103" ht="15" customFormat="1" customHeight="1" s="381">
      <c r="B103" s="535" t="n"/>
      <c r="C103" s="535" t="n"/>
      <c r="D103" s="535" t="n"/>
      <c r="E103" s="535" t="n"/>
      <c r="F103" s="535" t="n"/>
      <c r="G103" s="535" t="n"/>
      <c r="H103" s="535" t="n"/>
      <c r="I103" s="535" t="n"/>
      <c r="J103" s="535" t="n"/>
      <c r="K103" s="535" t="n"/>
      <c r="L103" s="535" t="n"/>
      <c r="M103" s="535" t="n"/>
      <c r="N103" s="535" t="n"/>
      <c r="O103" s="535" t="n"/>
      <c r="P103" s="535" t="n"/>
      <c r="Q103" s="535" t="n"/>
      <c r="R103" s="535" t="n"/>
      <c r="S103" s="535" t="n"/>
      <c r="T103" s="535" t="n"/>
      <c r="U103" s="535" t="n"/>
      <c r="V103" s="535" t="n"/>
      <c r="W103" s="535" t="n"/>
      <c r="X103" s="535" t="n"/>
      <c r="Y103" s="535" t="n"/>
      <c r="Z103" s="535" t="n"/>
      <c r="AA103" s="535" t="n"/>
      <c r="AB103" s="535" t="n"/>
      <c r="AC103" s="535" t="n"/>
      <c r="AD103" s="535" t="n"/>
      <c r="AE103" s="535" t="n"/>
      <c r="AF103" s="535" t="n"/>
      <c r="AG103" s="535" t="n"/>
      <c r="AH103" s="535" t="n"/>
      <c r="AI103" s="535" t="n"/>
      <c r="AJ103" s="535" t="n"/>
      <c r="AK103" s="535" t="n"/>
      <c r="AL103" s="535" t="n"/>
      <c r="AM103" s="535" t="n"/>
      <c r="AN103" s="535" t="n"/>
      <c r="AO103" s="535" t="n"/>
      <c r="AP103" s="535" t="n"/>
      <c r="AQ103" s="535" t="n"/>
      <c r="AR103" s="535" t="n"/>
      <c r="AS103" s="535" t="n"/>
      <c r="AT103" s="535" t="n"/>
      <c r="AU103" s="535" t="n"/>
      <c r="AV103" s="535" t="n"/>
      <c r="AW103" s="535" t="n"/>
      <c r="AX103" s="535" t="n"/>
      <c r="AY103" s="535" t="n"/>
      <c r="AZ103" s="535" t="n"/>
    </row>
    <row r="104" ht="15" customFormat="1" customHeight="1" s="381">
      <c r="B104" s="535" t="n"/>
      <c r="C104" s="535" t="n"/>
      <c r="D104" s="535" t="n"/>
      <c r="E104" s="535" t="n"/>
      <c r="F104" s="535" t="n"/>
      <c r="G104" s="535" t="n"/>
      <c r="H104" s="535" t="n"/>
      <c r="I104" s="535" t="n"/>
      <c r="J104" s="535" t="n"/>
      <c r="K104" s="535" t="n"/>
      <c r="L104" s="535" t="n"/>
      <c r="M104" s="535" t="n"/>
      <c r="N104" s="535" t="n"/>
      <c r="O104" s="535" t="n"/>
      <c r="P104" s="535" t="n"/>
      <c r="Q104" s="535" t="n"/>
      <c r="R104" s="535" t="n"/>
      <c r="S104" s="535" t="n"/>
      <c r="T104" s="535" t="n"/>
      <c r="U104" s="535" t="n"/>
      <c r="V104" s="535" t="n"/>
      <c r="W104" s="535" t="n"/>
      <c r="X104" s="535" t="n"/>
      <c r="Y104" s="535" t="n"/>
      <c r="Z104" s="535" t="n"/>
      <c r="AA104" s="535" t="n"/>
      <c r="AB104" s="535" t="n"/>
      <c r="AC104" s="535" t="n"/>
      <c r="AD104" s="535" t="n"/>
      <c r="AE104" s="535" t="n"/>
      <c r="AF104" s="535" t="n"/>
      <c r="AG104" s="535" t="n"/>
      <c r="AH104" s="535" t="n"/>
      <c r="AI104" s="535" t="n"/>
      <c r="AJ104" s="535" t="n"/>
      <c r="AK104" s="535" t="n"/>
      <c r="AL104" s="535" t="n"/>
      <c r="AM104" s="535" t="n"/>
      <c r="AN104" s="535" t="n"/>
      <c r="AO104" s="535" t="n"/>
      <c r="AP104" s="535" t="n"/>
      <c r="AQ104" s="535" t="n"/>
      <c r="AR104" s="535" t="n"/>
      <c r="AS104" s="535" t="n"/>
      <c r="AT104" s="535" t="n"/>
      <c r="AU104" s="535" t="n"/>
      <c r="AV104" s="535" t="n"/>
      <c r="AW104" s="535" t="n"/>
      <c r="AX104" s="535" t="n"/>
      <c r="AY104" s="535" t="n"/>
      <c r="AZ104" s="535" t="n"/>
    </row>
    <row r="105" ht="15" customFormat="1" customHeight="1" s="381">
      <c r="B105" s="535" t="n"/>
      <c r="C105" s="535" t="n"/>
      <c r="D105" s="535" t="n"/>
      <c r="E105" s="535" t="n"/>
      <c r="F105" s="535" t="n"/>
      <c r="G105" s="535" t="n"/>
      <c r="H105" s="535" t="n"/>
      <c r="I105" s="535" t="n"/>
      <c r="J105" s="535" t="n"/>
      <c r="K105" s="535" t="n"/>
      <c r="L105" s="535" t="n"/>
      <c r="M105" s="535" t="n"/>
      <c r="N105" s="535" t="n"/>
      <c r="O105" s="535" t="n"/>
      <c r="P105" s="535" t="n"/>
      <c r="Q105" s="535" t="n"/>
      <c r="R105" s="535" t="n"/>
      <c r="S105" s="535" t="n"/>
      <c r="T105" s="535" t="n"/>
      <c r="U105" s="535" t="n"/>
      <c r="V105" s="535" t="n"/>
      <c r="W105" s="535" t="n"/>
      <c r="X105" s="535" t="n"/>
      <c r="Y105" s="535" t="n"/>
      <c r="Z105" s="535" t="n"/>
      <c r="AA105" s="535" t="n"/>
      <c r="AB105" s="535" t="n"/>
      <c r="AC105" s="535" t="n"/>
      <c r="AD105" s="535" t="n"/>
      <c r="AE105" s="535" t="n"/>
      <c r="AF105" s="535" t="n"/>
      <c r="AG105" s="535" t="n"/>
      <c r="AH105" s="535" t="n"/>
      <c r="AI105" s="535" t="n"/>
      <c r="AJ105" s="535" t="n"/>
      <c r="AK105" s="535" t="n"/>
      <c r="AL105" s="535" t="n"/>
      <c r="AM105" s="535" t="n"/>
      <c r="AN105" s="535" t="n"/>
      <c r="AO105" s="535" t="n"/>
      <c r="AP105" s="535" t="n"/>
      <c r="AQ105" s="535" t="n"/>
      <c r="AR105" s="535" t="n"/>
      <c r="AS105" s="535" t="n"/>
      <c r="AT105" s="535" t="n"/>
      <c r="AU105" s="535" t="n"/>
      <c r="AV105" s="535" t="n"/>
      <c r="AW105" s="535" t="n"/>
      <c r="AX105" s="535" t="n"/>
      <c r="AY105" s="535" t="n"/>
      <c r="AZ105" s="535" t="n"/>
    </row>
    <row r="106" ht="15" customFormat="1" customHeight="1" s="381">
      <c r="B106" s="535" t="n"/>
      <c r="C106" s="535" t="n"/>
      <c r="D106" s="535" t="n"/>
      <c r="E106" s="535" t="n"/>
      <c r="F106" s="535" t="n"/>
      <c r="G106" s="535" t="n"/>
      <c r="H106" s="535" t="n"/>
      <c r="I106" s="535" t="n"/>
      <c r="J106" s="535" t="n"/>
      <c r="K106" s="535" t="n"/>
      <c r="L106" s="535" t="n"/>
      <c r="M106" s="535" t="n"/>
      <c r="N106" s="535" t="n"/>
      <c r="O106" s="535" t="n"/>
      <c r="P106" s="535" t="n"/>
      <c r="Q106" s="535" t="n"/>
      <c r="R106" s="535" t="n"/>
      <c r="S106" s="535" t="n"/>
      <c r="T106" s="535" t="n"/>
      <c r="U106" s="535" t="n"/>
      <c r="V106" s="535" t="n"/>
      <c r="W106" s="535" t="n"/>
      <c r="X106" s="535" t="n"/>
      <c r="Y106" s="535" t="n"/>
      <c r="Z106" s="535" t="n"/>
      <c r="AA106" s="535" t="n"/>
      <c r="AB106" s="535" t="n"/>
      <c r="AC106" s="535" t="n"/>
      <c r="AD106" s="535" t="n"/>
      <c r="AE106" s="535" t="n"/>
      <c r="AF106" s="535" t="n"/>
      <c r="AG106" s="535" t="n"/>
      <c r="AH106" s="535" t="n"/>
      <c r="AI106" s="535" t="n"/>
      <c r="AJ106" s="535" t="n"/>
      <c r="AK106" s="535" t="n"/>
      <c r="AL106" s="535" t="n"/>
      <c r="AM106" s="535" t="n"/>
      <c r="AN106" s="535" t="n"/>
      <c r="AO106" s="535" t="n"/>
      <c r="AP106" s="535" t="n"/>
      <c r="AQ106" s="535" t="n"/>
      <c r="AR106" s="535" t="n"/>
      <c r="AS106" s="535" t="n"/>
      <c r="AT106" s="535" t="n"/>
      <c r="AU106" s="535" t="n"/>
      <c r="AV106" s="535" t="n"/>
      <c r="AW106" s="535" t="n"/>
      <c r="AX106" s="535" t="n"/>
      <c r="AY106" s="535" t="n"/>
      <c r="AZ106" s="535" t="n"/>
    </row>
    <row r="107" ht="15" customFormat="1" customHeight="1" s="381">
      <c r="B107" s="535" t="n"/>
      <c r="C107" s="535" t="n"/>
      <c r="D107" s="535" t="n"/>
      <c r="E107" s="535" t="n"/>
      <c r="F107" s="535" t="n"/>
      <c r="G107" s="535" t="n"/>
      <c r="H107" s="535" t="n"/>
      <c r="I107" s="535" t="n"/>
      <c r="J107" s="535" t="n"/>
      <c r="K107" s="535" t="n"/>
      <c r="L107" s="535" t="n"/>
      <c r="M107" s="535" t="n"/>
      <c r="N107" s="535" t="n"/>
      <c r="O107" s="535" t="n"/>
      <c r="P107" s="535" t="n"/>
      <c r="Q107" s="535" t="n"/>
      <c r="R107" s="535" t="n"/>
      <c r="S107" s="535" t="n"/>
      <c r="T107" s="535" t="n"/>
      <c r="U107" s="535" t="n"/>
      <c r="V107" s="535" t="n"/>
      <c r="W107" s="535" t="n"/>
      <c r="X107" s="535" t="n"/>
      <c r="Y107" s="535" t="n"/>
      <c r="Z107" s="535" t="n"/>
      <c r="AA107" s="535" t="n"/>
      <c r="AB107" s="535" t="n"/>
      <c r="AC107" s="535" t="n"/>
      <c r="AD107" s="535" t="n"/>
      <c r="AE107" s="535" t="n"/>
      <c r="AF107" s="535" t="n"/>
      <c r="AG107" s="535" t="n"/>
      <c r="AH107" s="535" t="n"/>
      <c r="AI107" s="535" t="n"/>
      <c r="AJ107" s="535" t="n"/>
      <c r="AK107" s="535" t="n"/>
      <c r="AL107" s="535" t="n"/>
      <c r="AM107" s="535" t="n"/>
      <c r="AN107" s="535" t="n"/>
      <c r="AO107" s="535" t="n"/>
      <c r="AP107" s="535" t="n"/>
      <c r="AQ107" s="535" t="n"/>
      <c r="AR107" s="535" t="n"/>
      <c r="AS107" s="535" t="n"/>
      <c r="AT107" s="535" t="n"/>
      <c r="AU107" s="535" t="n"/>
      <c r="AV107" s="535" t="n"/>
      <c r="AW107" s="535" t="n"/>
      <c r="AX107" s="535" t="n"/>
      <c r="AY107" s="535" t="n"/>
      <c r="AZ107" s="535" t="n"/>
    </row>
    <row r="108" ht="15" customFormat="1" customHeight="1" s="381">
      <c r="B108" s="535" t="n"/>
      <c r="C108" s="535" t="n"/>
      <c r="D108" s="535" t="n"/>
      <c r="E108" s="535" t="n"/>
      <c r="F108" s="535" t="n"/>
      <c r="G108" s="535" t="n"/>
      <c r="H108" s="535" t="n"/>
      <c r="I108" s="535" t="n"/>
      <c r="J108" s="535" t="n"/>
      <c r="K108" s="535" t="n"/>
      <c r="L108" s="535" t="n"/>
      <c r="M108" s="535" t="n"/>
      <c r="N108" s="535" t="n"/>
      <c r="O108" s="535" t="n"/>
      <c r="P108" s="535" t="n"/>
      <c r="Q108" s="535" t="n"/>
      <c r="R108" s="535" t="n"/>
      <c r="S108" s="535" t="n"/>
      <c r="T108" s="535" t="n"/>
      <c r="U108" s="535" t="n"/>
      <c r="V108" s="535" t="n"/>
      <c r="W108" s="535" t="n"/>
      <c r="X108" s="535" t="n"/>
      <c r="Y108" s="535" t="n"/>
      <c r="Z108" s="535" t="n"/>
      <c r="AA108" s="535" t="n"/>
      <c r="AB108" s="535" t="n"/>
      <c r="AC108" s="535" t="n"/>
      <c r="AD108" s="535" t="n"/>
      <c r="AE108" s="535" t="n"/>
      <c r="AF108" s="535" t="n"/>
      <c r="AG108" s="535" t="n"/>
      <c r="AH108" s="535" t="n"/>
      <c r="AI108" s="535" t="n"/>
      <c r="AJ108" s="535" t="n"/>
      <c r="AK108" s="535" t="n"/>
      <c r="AL108" s="535" t="n"/>
      <c r="AM108" s="535" t="n"/>
      <c r="AN108" s="535" t="n"/>
      <c r="AO108" s="535" t="n"/>
      <c r="AP108" s="535" t="n"/>
      <c r="AQ108" s="535" t="n"/>
      <c r="AR108" s="535" t="n"/>
      <c r="AS108" s="535" t="n"/>
      <c r="AT108" s="535" t="n"/>
      <c r="AU108" s="535" t="n"/>
      <c r="AV108" s="535" t="n"/>
      <c r="AW108" s="535" t="n"/>
      <c r="AX108" s="535" t="n"/>
      <c r="AY108" s="535" t="n"/>
      <c r="AZ108" s="535" t="n"/>
    </row>
    <row r="109" ht="15" customFormat="1" customHeight="1" s="381">
      <c r="B109" s="535" t="n"/>
      <c r="C109" s="535" t="n"/>
      <c r="D109" s="535" t="n"/>
      <c r="E109" s="535" t="n"/>
      <c r="F109" s="535" t="n"/>
      <c r="G109" s="535" t="n"/>
      <c r="H109" s="535" t="n"/>
      <c r="I109" s="535" t="n"/>
      <c r="J109" s="535" t="n"/>
      <c r="K109" s="535" t="n"/>
      <c r="L109" s="535" t="n"/>
      <c r="M109" s="535" t="n"/>
      <c r="N109" s="535" t="n"/>
      <c r="O109" s="535" t="n"/>
      <c r="P109" s="535" t="n"/>
      <c r="Q109" s="535" t="n"/>
      <c r="R109" s="535" t="n"/>
      <c r="S109" s="535" t="n"/>
      <c r="T109" s="535" t="n"/>
      <c r="U109" s="535" t="n"/>
      <c r="V109" s="535" t="n"/>
      <c r="W109" s="535" t="n"/>
      <c r="X109" s="535" t="n"/>
      <c r="Y109" s="535" t="n"/>
      <c r="Z109" s="535" t="n"/>
      <c r="AA109" s="535" t="n"/>
      <c r="AB109" s="535" t="n"/>
      <c r="AC109" s="535" t="n"/>
      <c r="AD109" s="535" t="n"/>
      <c r="AE109" s="535" t="n"/>
      <c r="AF109" s="535" t="n"/>
      <c r="AG109" s="535" t="n"/>
      <c r="AH109" s="535" t="n"/>
      <c r="AI109" s="535" t="n"/>
      <c r="AJ109" s="535" t="n"/>
      <c r="AK109" s="535" t="n"/>
      <c r="AL109" s="535" t="n"/>
      <c r="AM109" s="535" t="n"/>
      <c r="AN109" s="535" t="n"/>
      <c r="AO109" s="535" t="n"/>
      <c r="AP109" s="535" t="n"/>
      <c r="AQ109" s="535" t="n"/>
      <c r="AR109" s="535" t="n"/>
      <c r="AS109" s="535" t="n"/>
      <c r="AT109" s="535" t="n"/>
      <c r="AU109" s="535" t="n"/>
      <c r="AV109" s="535" t="n"/>
      <c r="AW109" s="535" t="n"/>
      <c r="AX109" s="535" t="n"/>
      <c r="AY109" s="535" t="n"/>
      <c r="AZ109" s="535" t="n"/>
    </row>
  </sheetData>
  <mergeCells count="13">
    <mergeCell ref="AD4:AG4"/>
    <mergeCell ref="B4:E4"/>
    <mergeCell ref="R4:U4"/>
    <mergeCell ref="AT4:AW4"/>
    <mergeCell ref="F4:I4"/>
    <mergeCell ref="V4:Y4"/>
    <mergeCell ref="J4:M4"/>
    <mergeCell ref="Z4:AC4"/>
    <mergeCell ref="N4:Q4"/>
    <mergeCell ref="AH4:AK4"/>
    <mergeCell ref="AL4:AO4"/>
    <mergeCell ref="AP4:AS4"/>
    <mergeCell ref="AX4:AZ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Z10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P96" activeCellId="0" sqref="P96"/>
    </sheetView>
  </sheetViews>
  <sheetFormatPr baseColWidth="8" defaultColWidth="8.71875" defaultRowHeight="15" zeroHeight="0" outlineLevelRow="0"/>
  <cols>
    <col width="38" customWidth="1" style="381" min="1" max="1"/>
    <col width="12.42" customWidth="1" style="381" min="2" max="52"/>
  </cols>
  <sheetData>
    <row r="1" ht="17.25" customFormat="1" customHeight="1" s="381">
      <c r="A1" s="477" t="inlineStr">
        <is>
          <t>VARIANCE — Reforecast Q1 2026 vs Actual</t>
        </is>
      </c>
    </row>
    <row r="2" ht="15" customFormat="1" customHeight="1" s="381">
      <c r="A2" s="453" t="inlineStr">
        <is>
          <t>Variance computes for any month with actuals entered.</t>
        </is>
      </c>
    </row>
    <row r="3">
      <c r="A3" t="inlineStr">
        <is>
          <t xml:space="preserve">Closed months (auto):</t>
        </is>
      </c>
      <c r="B3">
        <f>SUMPRODUCT(--(Actuals!$C$21:$N$21&lt;&gt;""))</f>
        <v>6</v>
      </c>
    </row>
    <row r="4" ht="15" customFormat="1" customHeight="1" s="381">
      <c r="B4" s="524" t="inlineStr">
        <is>
          <t>Jan 2026</t>
        </is>
      </c>
      <c r="C4" s="495" t="n"/>
      <c r="D4" s="495" t="n"/>
      <c r="E4" s="495" t="n"/>
      <c r="F4" s="524" t="inlineStr">
        <is>
          <t>Feb 2026</t>
        </is>
      </c>
      <c r="G4" s="495" t="n"/>
      <c r="H4" s="495" t="n"/>
      <c r="I4" s="495" t="n"/>
      <c r="J4" s="524" t="inlineStr">
        <is>
          <t>Mar 2026</t>
        </is>
      </c>
      <c r="K4" s="495" t="n"/>
      <c r="L4" s="495" t="n"/>
      <c r="M4" s="495" t="n"/>
      <c r="N4" s="524" t="inlineStr">
        <is>
          <t>Apr 2026</t>
        </is>
      </c>
      <c r="O4" s="495" t="n"/>
      <c r="P4" s="495" t="n"/>
      <c r="Q4" s="495" t="n"/>
      <c r="R4" s="524" t="inlineStr">
        <is>
          <t>May 2026</t>
        </is>
      </c>
      <c r="S4" s="495" t="n"/>
      <c r="T4" s="495" t="n"/>
      <c r="U4" s="495" t="n"/>
      <c r="V4" s="524" t="inlineStr">
        <is>
          <t>Jun 2026</t>
        </is>
      </c>
      <c r="W4" s="495" t="n"/>
      <c r="X4" s="495" t="n"/>
      <c r="Y4" s="495" t="n"/>
      <c r="Z4" s="524" t="inlineStr">
        <is>
          <t>Jul 2026</t>
        </is>
      </c>
      <c r="AA4" s="495" t="n"/>
      <c r="AB4" s="495" t="n"/>
      <c r="AC4" s="495" t="n"/>
      <c r="AD4" s="524" t="inlineStr">
        <is>
          <t>Aug 2026</t>
        </is>
      </c>
      <c r="AE4" s="495" t="n"/>
      <c r="AF4" s="495" t="n"/>
      <c r="AG4" s="495" t="n"/>
      <c r="AH4" s="524" t="inlineStr">
        <is>
          <t>Sep 2026</t>
        </is>
      </c>
      <c r="AI4" s="495" t="n"/>
      <c r="AJ4" s="495" t="n"/>
      <c r="AK4" s="495" t="n"/>
      <c r="AL4" s="524" t="inlineStr">
        <is>
          <t>Oct 2026</t>
        </is>
      </c>
      <c r="AM4" s="495" t="n"/>
      <c r="AN4" s="495" t="n"/>
      <c r="AO4" s="495" t="n"/>
      <c r="AP4" s="524" t="inlineStr">
        <is>
          <t>Nov 2026</t>
        </is>
      </c>
      <c r="AQ4" s="495" t="n"/>
      <c r="AR4" s="495" t="n"/>
      <c r="AS4" s="495" t="n"/>
      <c r="AT4" s="524" t="inlineStr">
        <is>
          <t>Dec 2026</t>
        </is>
      </c>
      <c r="AU4" s="495" t="n"/>
      <c r="AV4" s="495" t="n"/>
      <c r="AW4" s="495" t="n"/>
      <c r="AX4" s="525" t="inlineStr">
        <is>
          <t>YTD 2026 (Actuals only)</t>
        </is>
      </c>
      <c r="AY4" s="495" t="n"/>
      <c r="AZ4" s="495" t="n"/>
    </row>
    <row r="5" ht="15" customFormat="1" customHeight="1" s="381">
      <c r="A5" s="526" t="inlineStr">
        <is>
          <t>Line Item</t>
        </is>
      </c>
      <c r="B5" s="526" t="inlineStr">
        <is>
          <t xml:space="preserve">Reforecast</t>
        </is>
      </c>
      <c r="C5" s="526" t="inlineStr">
        <is>
          <t>Actual</t>
        </is>
      </c>
      <c r="D5" s="526" t="inlineStr">
        <is>
          <t>$ Var</t>
        </is>
      </c>
      <c r="E5" s="526" t="inlineStr">
        <is>
          <t>% Var</t>
        </is>
      </c>
      <c r="F5" s="526" t="inlineStr">
        <is>
          <t xml:space="preserve">Reforecast</t>
        </is>
      </c>
      <c r="G5" s="526" t="inlineStr">
        <is>
          <t>Actual</t>
        </is>
      </c>
      <c r="H5" s="526" t="inlineStr">
        <is>
          <t>$ Var</t>
        </is>
      </c>
      <c r="I5" s="526" t="inlineStr">
        <is>
          <t>% Var</t>
        </is>
      </c>
      <c r="J5" s="526" t="inlineStr">
        <is>
          <t xml:space="preserve">Reforecast</t>
        </is>
      </c>
      <c r="K5" s="526" t="inlineStr">
        <is>
          <t>Actual</t>
        </is>
      </c>
      <c r="L5" s="526" t="inlineStr">
        <is>
          <t>$ Var</t>
        </is>
      </c>
      <c r="M5" s="526" t="inlineStr">
        <is>
          <t>% Var</t>
        </is>
      </c>
      <c r="N5" s="526" t="inlineStr">
        <is>
          <t xml:space="preserve">Reforecast</t>
        </is>
      </c>
      <c r="O5" s="526" t="inlineStr">
        <is>
          <t>Actual</t>
        </is>
      </c>
      <c r="P5" s="526" t="inlineStr">
        <is>
          <t>$ Var</t>
        </is>
      </c>
      <c r="Q5" s="526" t="inlineStr">
        <is>
          <t>% Var</t>
        </is>
      </c>
      <c r="R5" s="526" t="inlineStr">
        <is>
          <t xml:space="preserve">Reforecast</t>
        </is>
      </c>
      <c r="S5" s="526" t="inlineStr">
        <is>
          <t>Actual</t>
        </is>
      </c>
      <c r="T5" s="526" t="inlineStr">
        <is>
          <t>$ Var</t>
        </is>
      </c>
      <c r="U5" s="526" t="inlineStr">
        <is>
          <t>% Var</t>
        </is>
      </c>
      <c r="V5" s="526" t="inlineStr">
        <is>
          <t xml:space="preserve">Reforecast</t>
        </is>
      </c>
      <c r="W5" s="526" t="inlineStr">
        <is>
          <t>Actual</t>
        </is>
      </c>
      <c r="X5" s="526" t="inlineStr">
        <is>
          <t>$ Var</t>
        </is>
      </c>
      <c r="Y5" s="526" t="inlineStr">
        <is>
          <t>% Var</t>
        </is>
      </c>
      <c r="Z5" s="526" t="inlineStr">
        <is>
          <t xml:space="preserve">Reforecast</t>
        </is>
      </c>
      <c r="AA5" s="526" t="inlineStr">
        <is>
          <t>Actual</t>
        </is>
      </c>
      <c r="AB5" s="526" t="inlineStr">
        <is>
          <t>$ Var</t>
        </is>
      </c>
      <c r="AC5" s="526" t="inlineStr">
        <is>
          <t>% Var</t>
        </is>
      </c>
      <c r="AD5" s="526" t="inlineStr">
        <is>
          <t xml:space="preserve">Reforecast</t>
        </is>
      </c>
      <c r="AE5" s="526" t="inlineStr">
        <is>
          <t>Actual</t>
        </is>
      </c>
      <c r="AF5" s="526" t="inlineStr">
        <is>
          <t>$ Var</t>
        </is>
      </c>
      <c r="AG5" s="526" t="inlineStr">
        <is>
          <t>% Var</t>
        </is>
      </c>
      <c r="AH5" s="526" t="inlineStr">
        <is>
          <t xml:space="preserve">Reforecast</t>
        </is>
      </c>
      <c r="AI5" s="526" t="inlineStr">
        <is>
          <t>Actual</t>
        </is>
      </c>
      <c r="AJ5" s="526" t="inlineStr">
        <is>
          <t>$ Var</t>
        </is>
      </c>
      <c r="AK5" s="526" t="inlineStr">
        <is>
          <t>% Var</t>
        </is>
      </c>
      <c r="AL5" s="526" t="inlineStr">
        <is>
          <t xml:space="preserve">Reforecast</t>
        </is>
      </c>
      <c r="AM5" s="526" t="inlineStr">
        <is>
          <t>Actual</t>
        </is>
      </c>
      <c r="AN5" s="526" t="inlineStr">
        <is>
          <t>$ Var</t>
        </is>
      </c>
      <c r="AO5" s="526" t="inlineStr">
        <is>
          <t>% Var</t>
        </is>
      </c>
      <c r="AP5" s="526" t="inlineStr">
        <is>
          <t xml:space="preserve">Reforecast</t>
        </is>
      </c>
      <c r="AQ5" s="526" t="inlineStr">
        <is>
          <t>Actual</t>
        </is>
      </c>
      <c r="AR5" s="526" t="inlineStr">
        <is>
          <t>$ Var</t>
        </is>
      </c>
      <c r="AS5" s="526" t="inlineStr">
        <is>
          <t>% Var</t>
        </is>
      </c>
      <c r="AT5" s="526" t="inlineStr">
        <is>
          <t xml:space="preserve">Reforecast</t>
        </is>
      </c>
      <c r="AU5" s="526" t="inlineStr">
        <is>
          <t>Actual</t>
        </is>
      </c>
      <c r="AV5" s="526" t="inlineStr">
        <is>
          <t>$ Var</t>
        </is>
      </c>
      <c r="AW5" s="526" t="inlineStr">
        <is>
          <t>% Var</t>
        </is>
      </c>
      <c r="AX5" s="527" t="inlineStr">
        <is>
          <t>YTD Budget</t>
        </is>
      </c>
      <c r="AY5" s="527" t="inlineStr">
        <is>
          <t>YTD Actual</t>
        </is>
      </c>
      <c r="AZ5" s="527" t="inlineStr">
        <is>
          <t>YTD $ Var</t>
        </is>
      </c>
    </row>
    <row r="6" ht="15" customFormat="1" customHeight="1" s="381">
      <c r="A6" s="528" t="inlineStr">
        <is>
          <t>Other GC Income</t>
        </is>
      </c>
      <c r="B6" s="529">
        <f>'Reforecast Q1 2026'!C8</f>
        <v>116363.3</v>
      </c>
      <c r="C6" s="529">
        <f>IF(OR(1&gt;$B$3,ISBLANK(Actuals!C8)),"",Actuals!C8)</f>
        <v>116367.35</v>
      </c>
      <c r="D6" s="530">
        <f>IF(OR(1&gt;$B$3,ISBLANK(Actuals!C8)),"",'Reforecast Q1 2026'!C8-Actuals!C8)</f>
        <v>-4.05000000000291</v>
      </c>
      <c r="E6" s="530">
        <f>IFERROR(IF(OR(1&gt;$B$3,ISBLANK(Actuals!C8)),"",('Reforecast Q1 2026'!C8-Actuals!C8)/ABS('Reforecast Q1 2026'!C8)),"")</f>
        <v>-3.48047881076156e-05</v>
      </c>
      <c r="F6" s="529">
        <f>'Reforecast Q1 2026'!D8</f>
        <v>138801.52</v>
      </c>
      <c r="G6" s="529">
        <f>IF(OR(2&gt;$B$3,ISBLANK(Actuals!D8)),"",Actuals!D8)</f>
        <v>138804.22</v>
      </c>
      <c r="H6" s="530">
        <f>IF(OR(2&gt;$B$3,ISBLANK(Actuals!D8)),"",'Reforecast Q1 2026'!D8-Actuals!D8)</f>
        <v>-2.70000000001164</v>
      </c>
      <c r="I6" s="530">
        <f>IFERROR(IF(OR(2&gt;$B$3,ISBLANK(Actuals!D8)),"",('Reforecast Q1 2026'!D8-Actuals!D8)/ABS('Reforecast Q1 2026'!D8)),"")</f>
        <v>-1.94522365461966e-05</v>
      </c>
      <c r="J6" s="529">
        <f>'Reforecast Q1 2026'!E8</f>
        <v>219366.88</v>
      </c>
      <c r="K6" s="529">
        <f>IF(OR(3&gt;$B$3,ISBLANK(Actuals!E8)),"",Actuals!E8)</f>
        <v>219366.88</v>
      </c>
      <c r="L6" s="530">
        <f>IF(OR(3&gt;$B$3,ISBLANK(Actuals!E8)),"",'Reforecast Q1 2026'!E8-Actuals!E8)</f>
        <v>0</v>
      </c>
      <c r="M6" s="530">
        <f>IFERROR(IF(OR(3&gt;$B$3,ISBLANK(Actuals!E8)),"",('Reforecast Q1 2026'!E8-Actuals!E8)/ABS('Reforecast Q1 2026'!E8)),"")</f>
        <v>0</v>
      </c>
      <c r="N6" s="529">
        <f>'Reforecast Q1 2026'!F8</f>
        <v>267934.879957489</v>
      </c>
      <c r="O6" s="529">
        <f>IF(OR(4&gt;$B$3,ISBLANK(Actuals!F8)),"",Actuals!F8)</f>
        <v>212079.14</v>
      </c>
      <c r="P6" s="530">
        <f>IF(OR(4&gt;$B$3,ISBLANK(Actuals!F8)),"",'Reforecast Q1 2026'!F8-Actuals!F8)</f>
        <v>55855.739957489</v>
      </c>
      <c r="Q6" s="530">
        <f>IFERROR(IF(OR(4&gt;$B$3,ISBLANK(Actuals!F8)),"",('Reforecast Q1 2026'!F8-Actuals!F8)/ABS('Reforecast Q1 2026'!F8)),"")</f>
        <v>0.208467594687004</v>
      </c>
      <c r="R6" s="529">
        <f>'Reforecast Q1 2026'!G8</f>
        <v>267934.879957489</v>
      </c>
      <c r="S6" s="529">
        <f>IF(OR(5&gt;$B$3,ISBLANK(Actuals!G8)),"",Actuals!G8)</f>
        <v>267726.14</v>
      </c>
      <c r="T6" s="530">
        <f>IF(OR(5&gt;$B$3,ISBLANK(Actuals!G8)),"",'Reforecast Q1 2026'!G8-Actuals!G8)</f>
        <v>208.739957489015</v>
      </c>
      <c r="U6" s="530">
        <f>IFERROR(IF(OR(5&gt;$B$3,ISBLANK(Actuals!G8)),"",('Reforecast Q1 2026'!G8-Actuals!G8)/ABS('Reforecast Q1 2026'!G8)),"")</f>
        <v>0.000779069740834542</v>
      </c>
      <c r="V6" s="529">
        <f>'Reforecast Q1 2026'!H8</f>
        <v>267934.879957489</v>
      </c>
      <c r="W6" s="529">
        <f>IF(OR(6&gt;$B$3,ISBLANK(Actuals!H8)),"",Actuals!H8)</f>
        <v>374773.89</v>
      </c>
      <c r="X6" s="530">
        <f>IF(OR(6&gt;$B$3,ISBLANK(Actuals!H8)),"",'Reforecast Q1 2026'!H8-Actuals!H8)</f>
        <v>-106839.010042511</v>
      </c>
      <c r="Y6" s="530">
        <f>IFERROR(IF(OR(6&gt;$B$3,ISBLANK(Actuals!H8)),"",('Reforecast Q1 2026'!H8-Actuals!H8)/ABS('Reforecast Q1 2026'!H8)),"")</f>
        <v>-0.398749912887274</v>
      </c>
      <c r="Z6" s="529">
        <f>'Reforecast Q1 2026'!I8</f>
        <v>361542.001995889</v>
      </c>
      <c r="AA6" s="529">
        <f>IF(OR(7&gt;$B$3,ISBLANK(Actuals!I8)),"",Actuals!I8)</f>
      </c>
      <c r="AB6" s="530">
        <f>IF(OR(7&gt;$B$3,ISBLANK(Actuals!I8)),"",'Reforecast Q1 2026'!I8-Actuals!I8)</f>
      </c>
      <c r="AC6" s="530">
        <f>IFERROR(IF(OR(7&gt;$B$3,ISBLANK(Actuals!I8)),"",('Reforecast Q1 2026'!I8-Actuals!I8)/ABS('Reforecast Q1 2026'!I8)),"")</f>
      </c>
      <c r="AD6" s="529">
        <f>'Reforecast Q1 2026'!J8</f>
        <v>361542.001995889</v>
      </c>
      <c r="AE6" s="529">
        <f>IF(OR(8&gt;$B$3,ISBLANK(Actuals!J8)),"",Actuals!J8)</f>
      </c>
      <c r="AF6" s="530">
        <f>IF(OR(8&gt;$B$3,ISBLANK(Actuals!J8)),"",'Reforecast Q1 2026'!J8-Actuals!J8)</f>
      </c>
      <c r="AG6" s="530">
        <f>IFERROR(IF(OR(8&gt;$B$3,ISBLANK(Actuals!J8)),"",('Reforecast Q1 2026'!J8-Actuals!J8)/ABS('Reforecast Q1 2026'!J8)),"")</f>
      </c>
      <c r="AH6" s="529">
        <f>'Reforecast Q1 2026'!K8</f>
        <v>361542.001995889</v>
      </c>
      <c r="AI6" s="529">
        <f>IF(OR(9&gt;$B$3,ISBLANK(Actuals!K8)),"",Actuals!K8)</f>
      </c>
      <c r="AJ6" s="530">
        <f>IF(OR(9&gt;$B$3,ISBLANK(Actuals!K8)),"",'Reforecast Q1 2026'!K8-Actuals!K8)</f>
      </c>
      <c r="AK6" s="530">
        <f>IFERROR(IF(OR(9&gt;$B$3,ISBLANK(Actuals!K8)),"",('Reforecast Q1 2026'!K8-Actuals!K8)/ABS('Reforecast Q1 2026'!K8)),"")</f>
      </c>
      <c r="AL6" s="529">
        <f>'Reforecast Q1 2026'!L8</f>
        <v>442929.46088908</v>
      </c>
      <c r="AM6" s="529">
        <f>IF(OR(10&gt;$B$3,ISBLANK(Actuals!L8)),"",Actuals!L8)</f>
      </c>
      <c r="AN6" s="530">
        <f>IF(OR(10&gt;$B$3,ISBLANK(Actuals!L8)),"",'Reforecast Q1 2026'!L8-Actuals!L8)</f>
      </c>
      <c r="AO6" s="530">
        <f>IFERROR(IF(OR(10&gt;$B$3,ISBLANK(Actuals!L8)),"",('Reforecast Q1 2026'!L8-Actuals!L8)/ABS('Reforecast Q1 2026'!L8)),"")</f>
      </c>
      <c r="AP6" s="529">
        <f>'Reforecast Q1 2026'!M8</f>
        <v>525344.508604757</v>
      </c>
      <c r="AQ6" s="529">
        <f>IF(OR(11&gt;$B$3,ISBLANK(Actuals!M8)),"",Actuals!M8)</f>
      </c>
      <c r="AR6" s="530">
        <f>IF(OR(11&gt;$B$3,ISBLANK(Actuals!M8)),"",'Reforecast Q1 2026'!M8-Actuals!M8)</f>
      </c>
      <c r="AS6" s="530">
        <f>IFERROR(IF(OR(11&gt;$B$3,ISBLANK(Actuals!M8)),"",('Reforecast Q1 2026'!M8-Actuals!M8)/ABS('Reforecast Q1 2026'!M8)),"")</f>
      </c>
      <c r="AT6" s="529">
        <f>'Reforecast Q1 2026'!N8</f>
        <v>442616.790480539</v>
      </c>
      <c r="AU6" s="529">
        <f>IF(OR(12&gt;$B$3,ISBLANK(Actuals!N8)),"",Actuals!N8)</f>
      </c>
      <c r="AV6" s="530">
        <f>IF(OR(12&gt;$B$3,ISBLANK(Actuals!N8)),"",'Reforecast Q1 2026'!N8-Actuals!N8)</f>
      </c>
      <c r="AW6" s="530">
        <f>IFERROR(IF(OR(12&gt;$B$3,ISBLANK(Actuals!N8)),"",('Reforecast Q1 2026'!N8-Actuals!N8)/ABS('Reforecast Q1 2026'!N8)),"")</f>
      </c>
      <c r="AX6" s="531">
        <f>SUMPRODUCT((Actuals!C8:N8&lt;&gt;"")*('Reforecast Q1 2026'!C8:N8))</f>
        <v>1278336.33987247</v>
      </c>
      <c r="AY6" s="531">
        <f>SUM(Actuals!C8:N8)</f>
        <v>1329117.62</v>
      </c>
      <c r="AZ6" s="532">
        <f>AX6-AY6</f>
        <v>-50781.280127533</v>
      </c>
    </row>
    <row r="7" ht="15" customFormat="1" customHeight="1" s="381">
      <c r="A7" s="528" t="inlineStr">
        <is>
          <t>Project Supervision Revenue</t>
        </is>
      </c>
      <c r="B7" s="529">
        <f>'Reforecast Q1 2026'!C9</f>
        <v>0</v>
      </c>
      <c r="C7" s="529">
        <f>IF(OR(1&gt;$B$3,ISBLANK(Actuals!C9)),"",Actuals!C9)</f>
        <v>0</v>
      </c>
      <c r="D7" s="530">
        <f>IF(OR(1&gt;$B$3,ISBLANK(Actuals!C9)),"",'Reforecast Q1 2026'!C9-Actuals!C9)</f>
        <v>0</v>
      </c>
      <c r="E7" s="530">
        <f>IFERROR(IF(OR(1&gt;$B$3,ISBLANK(Actuals!C9)),"",('Reforecast Q1 2026'!C9-Actuals!C9)/ABS('Reforecast Q1 2026'!C9)),"")</f>
      </c>
      <c r="F7" s="529">
        <f>'Reforecast Q1 2026'!D9</f>
        <v>0</v>
      </c>
      <c r="G7" s="529">
        <f>IF(OR(2&gt;$B$3,ISBLANK(Actuals!D9)),"",Actuals!D9)</f>
        <v>0</v>
      </c>
      <c r="H7" s="530">
        <f>IF(OR(2&gt;$B$3,ISBLANK(Actuals!D9)),"",'Reforecast Q1 2026'!D9-Actuals!D9)</f>
        <v>0</v>
      </c>
      <c r="I7" s="530">
        <f>IFERROR(IF(OR(2&gt;$B$3,ISBLANK(Actuals!D9)),"",('Reforecast Q1 2026'!D9-Actuals!D9)/ABS('Reforecast Q1 2026'!D9)),"")</f>
      </c>
      <c r="J7" s="529">
        <f>'Reforecast Q1 2026'!E9</f>
        <v>0</v>
      </c>
      <c r="K7" s="529">
        <f>IF(OR(3&gt;$B$3,ISBLANK(Actuals!E9)),"",Actuals!E9)</f>
        <v>0</v>
      </c>
      <c r="L7" s="530">
        <f>IF(OR(3&gt;$B$3,ISBLANK(Actuals!E9)),"",'Reforecast Q1 2026'!E9-Actuals!E9)</f>
        <v>0</v>
      </c>
      <c r="M7" s="530">
        <f>IFERROR(IF(OR(3&gt;$B$3,ISBLANK(Actuals!E9)),"",('Reforecast Q1 2026'!E9-Actuals!E9)/ABS('Reforecast Q1 2026'!E9)),"")</f>
      </c>
      <c r="N7" s="529">
        <f>'Reforecast Q1 2026'!F9</f>
        <v>0</v>
      </c>
      <c r="O7" s="529">
        <f>IF(OR(4&gt;$B$3,ISBLANK(Actuals!F9)),"",Actuals!F9)</f>
        <v>0</v>
      </c>
      <c r="P7" s="530">
        <f>IF(OR(4&gt;$B$3,ISBLANK(Actuals!F9)),"",'Reforecast Q1 2026'!F9-Actuals!F9)</f>
        <v>0</v>
      </c>
      <c r="Q7" s="530">
        <f>IFERROR(IF(OR(4&gt;$B$3,ISBLANK(Actuals!F9)),"",('Reforecast Q1 2026'!F9-Actuals!F9)/ABS('Reforecast Q1 2026'!F9)),"")</f>
      </c>
      <c r="R7" s="529">
        <f>'Reforecast Q1 2026'!G9</f>
        <v>0</v>
      </c>
      <c r="S7" s="529">
        <f>IF(OR(5&gt;$B$3,ISBLANK(Actuals!G9)),"",Actuals!G9)</f>
        <v>0</v>
      </c>
      <c r="T7" s="530">
        <f>IF(OR(5&gt;$B$3,ISBLANK(Actuals!G9)),"",'Reforecast Q1 2026'!G9-Actuals!G9)</f>
        <v>0</v>
      </c>
      <c r="U7" s="530">
        <f>IFERROR(IF(OR(5&gt;$B$3,ISBLANK(Actuals!G9)),"",('Reforecast Q1 2026'!G9-Actuals!G9)/ABS('Reforecast Q1 2026'!G9)),"")</f>
      </c>
      <c r="V7" s="529">
        <f>'Reforecast Q1 2026'!H9</f>
        <v>0</v>
      </c>
      <c r="W7" s="529">
        <f>IF(OR(6&gt;$B$3,ISBLANK(Actuals!H9)),"",Actuals!H9)</f>
        <v>0</v>
      </c>
      <c r="X7" s="530">
        <f>IF(OR(6&gt;$B$3,ISBLANK(Actuals!H9)),"",'Reforecast Q1 2026'!H9-Actuals!H9)</f>
        <v>0</v>
      </c>
      <c r="Y7" s="530">
        <f>IFERROR(IF(OR(6&gt;$B$3,ISBLANK(Actuals!H9)),"",('Reforecast Q1 2026'!H9-Actuals!H9)/ABS('Reforecast Q1 2026'!H9)),"")</f>
      </c>
      <c r="Z7" s="529">
        <f>'Reforecast Q1 2026'!I9</f>
        <v>0</v>
      </c>
      <c r="AA7" s="529">
        <f>IF(OR(7&gt;$B$3,ISBLANK(Actuals!I9)),"",Actuals!I9)</f>
      </c>
      <c r="AB7" s="530">
        <f>IF(OR(7&gt;$B$3,ISBLANK(Actuals!I9)),"",'Reforecast Q1 2026'!I9-Actuals!I9)</f>
      </c>
      <c r="AC7" s="530">
        <f>IFERROR(IF(OR(7&gt;$B$3,ISBLANK(Actuals!I9)),"",('Reforecast Q1 2026'!I9-Actuals!I9)/ABS('Reforecast Q1 2026'!I9)),"")</f>
      </c>
      <c r="AD7" s="529">
        <f>'Reforecast Q1 2026'!J9</f>
        <v>0</v>
      </c>
      <c r="AE7" s="529">
        <f>IF(OR(8&gt;$B$3,ISBLANK(Actuals!J9)),"",Actuals!J9)</f>
      </c>
      <c r="AF7" s="530">
        <f>IF(OR(8&gt;$B$3,ISBLANK(Actuals!J9)),"",'Reforecast Q1 2026'!J9-Actuals!J9)</f>
      </c>
      <c r="AG7" s="530">
        <f>IFERROR(IF(OR(8&gt;$B$3,ISBLANK(Actuals!J9)),"",('Reforecast Q1 2026'!J9-Actuals!J9)/ABS('Reforecast Q1 2026'!J9)),"")</f>
      </c>
      <c r="AH7" s="529">
        <f>'Reforecast Q1 2026'!K9</f>
        <v>0</v>
      </c>
      <c r="AI7" s="529">
        <f>IF(OR(9&gt;$B$3,ISBLANK(Actuals!K9)),"",Actuals!K9)</f>
      </c>
      <c r="AJ7" s="530">
        <f>IF(OR(9&gt;$B$3,ISBLANK(Actuals!K9)),"",'Reforecast Q1 2026'!K9-Actuals!K9)</f>
      </c>
      <c r="AK7" s="530">
        <f>IFERROR(IF(OR(9&gt;$B$3,ISBLANK(Actuals!K9)),"",('Reforecast Q1 2026'!K9-Actuals!K9)/ABS('Reforecast Q1 2026'!K9)),"")</f>
      </c>
      <c r="AL7" s="529">
        <f>'Reforecast Q1 2026'!L9</f>
        <v>0</v>
      </c>
      <c r="AM7" s="529">
        <f>IF(OR(10&gt;$B$3,ISBLANK(Actuals!L9)),"",Actuals!L9)</f>
      </c>
      <c r="AN7" s="530">
        <f>IF(OR(10&gt;$B$3,ISBLANK(Actuals!L9)),"",'Reforecast Q1 2026'!L9-Actuals!L9)</f>
      </c>
      <c r="AO7" s="530">
        <f>IFERROR(IF(OR(10&gt;$B$3,ISBLANK(Actuals!L9)),"",('Reforecast Q1 2026'!L9-Actuals!L9)/ABS('Reforecast Q1 2026'!L9)),"")</f>
      </c>
      <c r="AP7" s="529">
        <f>'Reforecast Q1 2026'!M9</f>
        <v>0</v>
      </c>
      <c r="AQ7" s="529">
        <f>IF(OR(11&gt;$B$3,ISBLANK(Actuals!M9)),"",Actuals!M9)</f>
      </c>
      <c r="AR7" s="530">
        <f>IF(OR(11&gt;$B$3,ISBLANK(Actuals!M9)),"",'Reforecast Q1 2026'!M9-Actuals!M9)</f>
      </c>
      <c r="AS7" s="530">
        <f>IFERROR(IF(OR(11&gt;$B$3,ISBLANK(Actuals!M9)),"",('Reforecast Q1 2026'!M9-Actuals!M9)/ABS('Reforecast Q1 2026'!M9)),"")</f>
      </c>
      <c r="AT7" s="529">
        <f>'Reforecast Q1 2026'!N9</f>
        <v>0</v>
      </c>
      <c r="AU7" s="529">
        <f>IF(OR(12&gt;$B$3,ISBLANK(Actuals!N9)),"",Actuals!N9)</f>
      </c>
      <c r="AV7" s="530">
        <f>IF(OR(12&gt;$B$3,ISBLANK(Actuals!N9)),"",'Reforecast Q1 2026'!N9-Actuals!N9)</f>
      </c>
      <c r="AW7" s="530">
        <f>IFERROR(IF(OR(12&gt;$B$3,ISBLANK(Actuals!N9)),"",('Reforecast Q1 2026'!N9-Actuals!N9)/ABS('Reforecast Q1 2026'!N9)),"")</f>
      </c>
      <c r="AX7" s="531">
        <f>SUMPRODUCT((Actuals!C9:N9&lt;&gt;"")*('Reforecast Q1 2026'!C9:N9))</f>
        <v>0</v>
      </c>
      <c r="AY7" s="531">
        <f>SUM(Actuals!C9:N9)</f>
        <v>0</v>
      </c>
      <c r="AZ7" s="532">
        <f>AX7-AY7</f>
        <v>0</v>
      </c>
    </row>
    <row r="8" ht="15" customFormat="1" customHeight="1" s="381">
      <c r="A8" s="528" t="inlineStr">
        <is>
          <t>GC Fee Income</t>
        </is>
      </c>
      <c r="B8" s="529">
        <f>'Reforecast Q1 2026'!C10</f>
        <v>95370.25</v>
      </c>
      <c r="C8" s="529">
        <f>IF(OR(1&gt;$B$3,ISBLANK(Actuals!C10)),"",Actuals!C10)</f>
        <v>95370.25</v>
      </c>
      <c r="D8" s="530">
        <f>IF(OR(1&gt;$B$3,ISBLANK(Actuals!C10)),"",'Reforecast Q1 2026'!C10-Actuals!C10)</f>
        <v>0</v>
      </c>
      <c r="E8" s="530">
        <f>IFERROR(IF(OR(1&gt;$B$3,ISBLANK(Actuals!C10)),"",('Reforecast Q1 2026'!C10-Actuals!C10)/ABS('Reforecast Q1 2026'!C10)),"")</f>
        <v>0</v>
      </c>
      <c r="F8" s="529">
        <f>'Reforecast Q1 2026'!D10</f>
        <v>173282.89</v>
      </c>
      <c r="G8" s="529">
        <f>IF(OR(2&gt;$B$3,ISBLANK(Actuals!D10)),"",Actuals!D10)</f>
        <v>173282.89</v>
      </c>
      <c r="H8" s="530">
        <f>IF(OR(2&gt;$B$3,ISBLANK(Actuals!D10)),"",'Reforecast Q1 2026'!D10-Actuals!D10)</f>
        <v>0</v>
      </c>
      <c r="I8" s="530">
        <f>IFERROR(IF(OR(2&gt;$B$3,ISBLANK(Actuals!D10)),"",('Reforecast Q1 2026'!D10-Actuals!D10)/ABS('Reforecast Q1 2026'!D10)),"")</f>
        <v>0</v>
      </c>
      <c r="J8" s="529">
        <f>'Reforecast Q1 2026'!E10</f>
        <v>50438.85</v>
      </c>
      <c r="K8" s="529">
        <f>IF(OR(3&gt;$B$3,ISBLANK(Actuals!E10)),"",Actuals!E10)</f>
        <v>50438.85</v>
      </c>
      <c r="L8" s="530">
        <f>IF(OR(3&gt;$B$3,ISBLANK(Actuals!E10)),"",'Reforecast Q1 2026'!E10-Actuals!E10)</f>
        <v>0</v>
      </c>
      <c r="M8" s="530">
        <f>IFERROR(IF(OR(3&gt;$B$3,ISBLANK(Actuals!E10)),"",('Reforecast Q1 2026'!E10-Actuals!E10)/ABS('Reforecast Q1 2026'!E10)),"")</f>
        <v>0</v>
      </c>
      <c r="N8" s="529">
        <f>'Reforecast Q1 2026'!F10</f>
        <v>200950.186296774</v>
      </c>
      <c r="O8" s="529">
        <f>IF(OR(4&gt;$B$3,ISBLANK(Actuals!F10)),"",Actuals!F10)</f>
        <v>167518.85</v>
      </c>
      <c r="P8" s="530">
        <f>IF(OR(4&gt;$B$3,ISBLANK(Actuals!F10)),"",'Reforecast Q1 2026'!F10-Actuals!F10)</f>
        <v>33431.336296774</v>
      </c>
      <c r="Q8" s="530">
        <f>IFERROR(IF(OR(4&gt;$B$3,ISBLANK(Actuals!F10)),"",('Reforecast Q1 2026'!F10-Actuals!F10)/ABS('Reforecast Q1 2026'!F10)),"")</f>
        <v>0.166366286654747</v>
      </c>
      <c r="R8" s="529">
        <f>'Reforecast Q1 2026'!G10</f>
        <v>200950.186296774</v>
      </c>
      <c r="S8" s="529">
        <f>IF(OR(5&gt;$B$3,ISBLANK(Actuals!G10)),"",Actuals!G10)</f>
        <v>209057.26</v>
      </c>
      <c r="T8" s="530">
        <f>IF(OR(5&gt;$B$3,ISBLANK(Actuals!G10)),"",'Reforecast Q1 2026'!G10-Actuals!G10)</f>
        <v>-8107.07370322602</v>
      </c>
      <c r="U8" s="530">
        <f>IFERROR(IF(OR(5&gt;$B$3,ISBLANK(Actuals!G10)),"",('Reforecast Q1 2026'!G10-Actuals!G10)/ABS('Reforecast Q1 2026'!G10)),"")</f>
        <v>-0.0403436983693713</v>
      </c>
      <c r="V8" s="529">
        <f>'Reforecast Q1 2026'!H10</f>
        <v>200950.186296774</v>
      </c>
      <c r="W8" s="529">
        <f>IF(OR(6&gt;$B$3,ISBLANK(Actuals!H10)),"",Actuals!H10)</f>
        <v>292966.36</v>
      </c>
      <c r="X8" s="530">
        <f>IF(OR(6&gt;$B$3,ISBLANK(Actuals!H10)),"",'Reforecast Q1 2026'!H10-Actuals!H10)</f>
        <v>-92016.173703226</v>
      </c>
      <c r="Y8" s="530">
        <f>IFERROR(IF(OR(6&gt;$B$3,ISBLANK(Actuals!H10)),"",('Reforecast Q1 2026'!H10-Actuals!H10)/ABS('Reforecast Q1 2026'!H10)),"")</f>
        <v>-0.45790539137561</v>
      </c>
      <c r="Z8" s="529">
        <f>'Reforecast Q1 2026'!I10</f>
        <v>271155.187658694</v>
      </c>
      <c r="AA8" s="529">
        <f>IF(OR(7&gt;$B$3,ISBLANK(Actuals!I10)),"",Actuals!I10)</f>
      </c>
      <c r="AB8" s="530">
        <f>IF(OR(7&gt;$B$3,ISBLANK(Actuals!I10)),"",'Reforecast Q1 2026'!I10-Actuals!I10)</f>
      </c>
      <c r="AC8" s="530">
        <f>IFERROR(IF(OR(7&gt;$B$3,ISBLANK(Actuals!I10)),"",('Reforecast Q1 2026'!I10-Actuals!I10)/ABS('Reforecast Q1 2026'!I10)),"")</f>
      </c>
      <c r="AD8" s="529">
        <f>'Reforecast Q1 2026'!J10</f>
        <v>271155.187658694</v>
      </c>
      <c r="AE8" s="529">
        <f>IF(OR(8&gt;$B$3,ISBLANK(Actuals!J10)),"",Actuals!J10)</f>
      </c>
      <c r="AF8" s="530">
        <f>IF(OR(8&gt;$B$3,ISBLANK(Actuals!J10)),"",'Reforecast Q1 2026'!J10-Actuals!J10)</f>
      </c>
      <c r="AG8" s="530">
        <f>IFERROR(IF(OR(8&gt;$B$3,ISBLANK(Actuals!J10)),"",('Reforecast Q1 2026'!J10-Actuals!J10)/ABS('Reforecast Q1 2026'!J10)),"")</f>
      </c>
      <c r="AH8" s="529">
        <f>'Reforecast Q1 2026'!K10</f>
        <v>271155.187658694</v>
      </c>
      <c r="AI8" s="529">
        <f>IF(OR(9&gt;$B$3,ISBLANK(Actuals!K10)),"",Actuals!K10)</f>
      </c>
      <c r="AJ8" s="530">
        <f>IF(OR(9&gt;$B$3,ISBLANK(Actuals!K10)),"",'Reforecast Q1 2026'!K10-Actuals!K10)</f>
      </c>
      <c r="AK8" s="530">
        <f>IFERROR(IF(OR(9&gt;$B$3,ISBLANK(Actuals!K10)),"",('Reforecast Q1 2026'!K10-Actuals!K10)/ABS('Reforecast Q1 2026'!K10)),"")</f>
      </c>
      <c r="AL8" s="529">
        <f>'Reforecast Q1 2026'!L10</f>
        <v>332195.486067781</v>
      </c>
      <c r="AM8" s="529">
        <f>IF(OR(10&gt;$B$3,ISBLANK(Actuals!L10)),"",Actuals!L10)</f>
      </c>
      <c r="AN8" s="530">
        <f>IF(OR(10&gt;$B$3,ISBLANK(Actuals!L10)),"",'Reforecast Q1 2026'!L10-Actuals!L10)</f>
      </c>
      <c r="AO8" s="530">
        <f>IFERROR(IF(OR(10&gt;$B$3,ISBLANK(Actuals!L10)),"",('Reforecast Q1 2026'!L10-Actuals!L10)/ABS('Reforecast Q1 2026'!L10)),"")</f>
      </c>
      <c r="AP8" s="529">
        <f>'Reforecast Q1 2026'!M10</f>
        <v>394006.472359489</v>
      </c>
      <c r="AQ8" s="529">
        <f>IF(OR(11&gt;$B$3,ISBLANK(Actuals!M10)),"",Actuals!M10)</f>
      </c>
      <c r="AR8" s="530">
        <f>IF(OR(11&gt;$B$3,ISBLANK(Actuals!M10)),"",'Reforecast Q1 2026'!M10-Actuals!M10)</f>
      </c>
      <c r="AS8" s="530">
        <f>IFERROR(IF(OR(11&gt;$B$3,ISBLANK(Actuals!M10)),"",('Reforecast Q1 2026'!M10-Actuals!M10)/ABS('Reforecast Q1 2026'!M10)),"")</f>
      </c>
      <c r="AT8" s="529">
        <f>'Reforecast Q1 2026'!N10</f>
        <v>331960.984397614</v>
      </c>
      <c r="AU8" s="529">
        <f>IF(OR(12&gt;$B$3,ISBLANK(Actuals!N10)),"",Actuals!N10)</f>
      </c>
      <c r="AV8" s="530">
        <f>IF(OR(12&gt;$B$3,ISBLANK(Actuals!N10)),"",'Reforecast Q1 2026'!N10-Actuals!N10)</f>
      </c>
      <c r="AW8" s="530">
        <f>IFERROR(IF(OR(12&gt;$B$3,ISBLANK(Actuals!N10)),"",('Reforecast Q1 2026'!N10-Actuals!N10)/ABS('Reforecast Q1 2026'!N10)),"")</f>
      </c>
      <c r="AX8" s="531">
        <f>SUMPRODUCT((Actuals!C10:N10&lt;&gt;"")*('Reforecast Q1 2026'!C10:N10))</f>
        <v>921942.548890322</v>
      </c>
      <c r="AY8" s="531">
        <f>SUM(Actuals!C10:N10)</f>
        <v>988634.46</v>
      </c>
      <c r="AZ8" s="532">
        <f>AX8-AY8</f>
        <v>-66691.911109678</v>
      </c>
    </row>
    <row r="9" ht="15" customFormat="1" customHeight="1" s="381">
      <c r="A9" s="528" t="inlineStr">
        <is>
          <t>Project Administration Revenue</t>
        </is>
      </c>
      <c r="B9" s="529">
        <f>'Reforecast Q1 2026'!C11</f>
        <v>0</v>
      </c>
      <c r="C9" s="529">
        <f>IF(OR(1&gt;$B$3,ISBLANK(Actuals!C11)),"",Actuals!C11)</f>
        <v>0</v>
      </c>
      <c r="D9" s="530">
        <f>IF(OR(1&gt;$B$3,ISBLANK(Actuals!C11)),"",'Reforecast Q1 2026'!C11-Actuals!C11)</f>
        <v>0</v>
      </c>
      <c r="E9" s="530">
        <f>IFERROR(IF(OR(1&gt;$B$3,ISBLANK(Actuals!C11)),"",('Reforecast Q1 2026'!C11-Actuals!C11)/ABS('Reforecast Q1 2026'!C11)),"")</f>
      </c>
      <c r="F9" s="529">
        <f>'Reforecast Q1 2026'!D11</f>
        <v>0</v>
      </c>
      <c r="G9" s="529">
        <f>IF(OR(2&gt;$B$3,ISBLANK(Actuals!D11)),"",Actuals!D11)</f>
        <v>0</v>
      </c>
      <c r="H9" s="530">
        <f>IF(OR(2&gt;$B$3,ISBLANK(Actuals!D11)),"",'Reforecast Q1 2026'!D11-Actuals!D11)</f>
        <v>0</v>
      </c>
      <c r="I9" s="530">
        <f>IFERROR(IF(OR(2&gt;$B$3,ISBLANK(Actuals!D11)),"",('Reforecast Q1 2026'!D11-Actuals!D11)/ABS('Reforecast Q1 2026'!D11)),"")</f>
      </c>
      <c r="J9" s="529">
        <f>'Reforecast Q1 2026'!E11</f>
        <v>0</v>
      </c>
      <c r="K9" s="529">
        <f>IF(OR(3&gt;$B$3,ISBLANK(Actuals!E11)),"",Actuals!E11)</f>
        <v>0</v>
      </c>
      <c r="L9" s="530">
        <f>IF(OR(3&gt;$B$3,ISBLANK(Actuals!E11)),"",'Reforecast Q1 2026'!E11-Actuals!E11)</f>
        <v>0</v>
      </c>
      <c r="M9" s="530">
        <f>IFERROR(IF(OR(3&gt;$B$3,ISBLANK(Actuals!E11)),"",('Reforecast Q1 2026'!E11-Actuals!E11)/ABS('Reforecast Q1 2026'!E11)),"")</f>
      </c>
      <c r="N9" s="529">
        <f>'Reforecast Q1 2026'!F11</f>
        <v>0</v>
      </c>
      <c r="O9" s="529">
        <f>IF(OR(4&gt;$B$3,ISBLANK(Actuals!F11)),"",Actuals!F11)</f>
        <v>0</v>
      </c>
      <c r="P9" s="530">
        <f>IF(OR(4&gt;$B$3,ISBLANK(Actuals!F11)),"",'Reforecast Q1 2026'!F11-Actuals!F11)</f>
        <v>0</v>
      </c>
      <c r="Q9" s="530">
        <f>IFERROR(IF(OR(4&gt;$B$3,ISBLANK(Actuals!F11)),"",('Reforecast Q1 2026'!F11-Actuals!F11)/ABS('Reforecast Q1 2026'!F11)),"")</f>
      </c>
      <c r="R9" s="529">
        <f>'Reforecast Q1 2026'!G11</f>
        <v>0</v>
      </c>
      <c r="S9" s="529">
        <f>IF(OR(5&gt;$B$3,ISBLANK(Actuals!G11)),"",Actuals!G11)</f>
        <v>0</v>
      </c>
      <c r="T9" s="530">
        <f>IF(OR(5&gt;$B$3,ISBLANK(Actuals!G11)),"",'Reforecast Q1 2026'!G11-Actuals!G11)</f>
        <v>0</v>
      </c>
      <c r="U9" s="530">
        <f>IFERROR(IF(OR(5&gt;$B$3,ISBLANK(Actuals!G11)),"",('Reforecast Q1 2026'!G11-Actuals!G11)/ABS('Reforecast Q1 2026'!G11)),"")</f>
      </c>
      <c r="V9" s="529">
        <f>'Reforecast Q1 2026'!H11</f>
        <v>0</v>
      </c>
      <c r="W9" s="529">
        <f>IF(OR(6&gt;$B$3,ISBLANK(Actuals!H11)),"",Actuals!H11)</f>
        <v>0</v>
      </c>
      <c r="X9" s="530">
        <f>IF(OR(6&gt;$B$3,ISBLANK(Actuals!H11)),"",'Reforecast Q1 2026'!H11-Actuals!H11)</f>
        <v>0</v>
      </c>
      <c r="Y9" s="530">
        <f>IFERROR(IF(OR(6&gt;$B$3,ISBLANK(Actuals!H11)),"",('Reforecast Q1 2026'!H11-Actuals!H11)/ABS('Reforecast Q1 2026'!H11)),"")</f>
      </c>
      <c r="Z9" s="529">
        <f>'Reforecast Q1 2026'!I11</f>
        <v>0</v>
      </c>
      <c r="AA9" s="529">
        <f>IF(OR(7&gt;$B$3,ISBLANK(Actuals!I11)),"",Actuals!I11)</f>
      </c>
      <c r="AB9" s="530">
        <f>IF(OR(7&gt;$B$3,ISBLANK(Actuals!I11)),"",'Reforecast Q1 2026'!I11-Actuals!I11)</f>
      </c>
      <c r="AC9" s="530">
        <f>IFERROR(IF(OR(7&gt;$B$3,ISBLANK(Actuals!I11)),"",('Reforecast Q1 2026'!I11-Actuals!I11)/ABS('Reforecast Q1 2026'!I11)),"")</f>
      </c>
      <c r="AD9" s="529">
        <f>'Reforecast Q1 2026'!J11</f>
        <v>0</v>
      </c>
      <c r="AE9" s="529">
        <f>IF(OR(8&gt;$B$3,ISBLANK(Actuals!J11)),"",Actuals!J11)</f>
      </c>
      <c r="AF9" s="530">
        <f>IF(OR(8&gt;$B$3,ISBLANK(Actuals!J11)),"",'Reforecast Q1 2026'!J11-Actuals!J11)</f>
      </c>
      <c r="AG9" s="530">
        <f>IFERROR(IF(OR(8&gt;$B$3,ISBLANK(Actuals!J11)),"",('Reforecast Q1 2026'!J11-Actuals!J11)/ABS('Reforecast Q1 2026'!J11)),"")</f>
      </c>
      <c r="AH9" s="529">
        <f>'Reforecast Q1 2026'!K11</f>
        <v>0</v>
      </c>
      <c r="AI9" s="529">
        <f>IF(OR(9&gt;$B$3,ISBLANK(Actuals!K11)),"",Actuals!K11)</f>
      </c>
      <c r="AJ9" s="530">
        <f>IF(OR(9&gt;$B$3,ISBLANK(Actuals!K11)),"",'Reforecast Q1 2026'!K11-Actuals!K11)</f>
      </c>
      <c r="AK9" s="530">
        <f>IFERROR(IF(OR(9&gt;$B$3,ISBLANK(Actuals!K11)),"",('Reforecast Q1 2026'!K11-Actuals!K11)/ABS('Reforecast Q1 2026'!K11)),"")</f>
      </c>
      <c r="AL9" s="529">
        <f>'Reforecast Q1 2026'!L11</f>
        <v>0</v>
      </c>
      <c r="AM9" s="529">
        <f>IF(OR(10&gt;$B$3,ISBLANK(Actuals!L11)),"",Actuals!L11)</f>
      </c>
      <c r="AN9" s="530">
        <f>IF(OR(10&gt;$B$3,ISBLANK(Actuals!L11)),"",'Reforecast Q1 2026'!L11-Actuals!L11)</f>
      </c>
      <c r="AO9" s="530">
        <f>IFERROR(IF(OR(10&gt;$B$3,ISBLANK(Actuals!L11)),"",('Reforecast Q1 2026'!L11-Actuals!L11)/ABS('Reforecast Q1 2026'!L11)),"")</f>
      </c>
      <c r="AP9" s="529">
        <f>'Reforecast Q1 2026'!M11</f>
        <v>0</v>
      </c>
      <c r="AQ9" s="529">
        <f>IF(OR(11&gt;$B$3,ISBLANK(Actuals!M11)),"",Actuals!M11)</f>
      </c>
      <c r="AR9" s="530">
        <f>IF(OR(11&gt;$B$3,ISBLANK(Actuals!M11)),"",'Reforecast Q1 2026'!M11-Actuals!M11)</f>
      </c>
      <c r="AS9" s="530">
        <f>IFERROR(IF(OR(11&gt;$B$3,ISBLANK(Actuals!M11)),"",('Reforecast Q1 2026'!M11-Actuals!M11)/ABS('Reforecast Q1 2026'!M11)),"")</f>
      </c>
      <c r="AT9" s="529">
        <f>'Reforecast Q1 2026'!N11</f>
        <v>0</v>
      </c>
      <c r="AU9" s="529">
        <f>IF(OR(12&gt;$B$3,ISBLANK(Actuals!N11)),"",Actuals!N11)</f>
      </c>
      <c r="AV9" s="530">
        <f>IF(OR(12&gt;$B$3,ISBLANK(Actuals!N11)),"",'Reforecast Q1 2026'!N11-Actuals!N11)</f>
      </c>
      <c r="AW9" s="530">
        <f>IFERROR(IF(OR(12&gt;$B$3,ISBLANK(Actuals!N11)),"",('Reforecast Q1 2026'!N11-Actuals!N11)/ABS('Reforecast Q1 2026'!N11)),"")</f>
      </c>
      <c r="AX9" s="531">
        <f>SUMPRODUCT((Actuals!C11:N11&lt;&gt;"")*('Reforecast Q1 2026'!C11:N11))</f>
        <v>0</v>
      </c>
      <c r="AY9" s="531">
        <f>SUM(Actuals!C11:N11)</f>
        <v>0</v>
      </c>
      <c r="AZ9" s="532">
        <f>AX9-AY9</f>
        <v>0</v>
      </c>
    </row>
    <row r="10" ht="15" customFormat="1" customHeight="1" s="381">
      <c r="A10" s="528" t="inlineStr">
        <is>
          <t>Trades and Site Cost Billing</t>
        </is>
      </c>
      <c r="B10" s="529">
        <f>'Reforecast Q1 2026'!C12</f>
        <v>1242053.19</v>
      </c>
      <c r="C10" s="529">
        <f>IF(OR(1&gt;$B$3,ISBLANK(Actuals!C12)),"",Actuals!C12)</f>
        <v>1242053.19</v>
      </c>
      <c r="D10" s="530">
        <f>IF(OR(1&gt;$B$3,ISBLANK(Actuals!C12)),"",'Reforecast Q1 2026'!C12-Actuals!C12)</f>
        <v>0</v>
      </c>
      <c r="E10" s="530">
        <f>IFERROR(IF(OR(1&gt;$B$3,ISBLANK(Actuals!C12)),"",('Reforecast Q1 2026'!C12-Actuals!C12)/ABS('Reforecast Q1 2026'!C12)),"")</f>
        <v>0</v>
      </c>
      <c r="F10" s="529">
        <f>'Reforecast Q1 2026'!D12</f>
        <v>2710434.48</v>
      </c>
      <c r="G10" s="529">
        <f>IF(OR(2&gt;$B$3,ISBLANK(Actuals!D12)),"",Actuals!D12)</f>
        <v>2710434.48</v>
      </c>
      <c r="H10" s="530">
        <f>IF(OR(2&gt;$B$3,ISBLANK(Actuals!D12)),"",'Reforecast Q1 2026'!D12-Actuals!D12)</f>
        <v>0</v>
      </c>
      <c r="I10" s="530">
        <f>IFERROR(IF(OR(2&gt;$B$3,ISBLANK(Actuals!D12)),"",('Reforecast Q1 2026'!D12-Actuals!D12)/ABS('Reforecast Q1 2026'!D12)),"")</f>
        <v>0</v>
      </c>
      <c r="J10" s="529">
        <f>'Reforecast Q1 2026'!E12</f>
        <v>2402410.43</v>
      </c>
      <c r="K10" s="529">
        <f>IF(OR(3&gt;$B$3,ISBLANK(Actuals!E12)),"",Actuals!E12)</f>
        <v>2402410.43</v>
      </c>
      <c r="L10" s="530">
        <f>IF(OR(3&gt;$B$3,ISBLANK(Actuals!E12)),"",'Reforecast Q1 2026'!E12-Actuals!E12)</f>
        <v>0</v>
      </c>
      <c r="M10" s="530">
        <f>IFERROR(IF(OR(3&gt;$B$3,ISBLANK(Actuals!E12)),"",('Reforecast Q1 2026'!E12-Actuals!E12)/ABS('Reforecast Q1 2026'!E12)),"")</f>
        <v>0</v>
      </c>
      <c r="N10" s="529">
        <f>'Reforecast Q1 2026'!F12</f>
        <v>3985482.58</v>
      </c>
      <c r="O10" s="529">
        <f>IF(OR(4&gt;$B$3,ISBLANK(Actuals!F12)),"",Actuals!F12)</f>
        <v>3312759.91</v>
      </c>
      <c r="P10" s="530">
        <f>IF(OR(4&gt;$B$3,ISBLANK(Actuals!F12)),"",'Reforecast Q1 2026'!F12-Actuals!F12)</f>
        <v>672722.67</v>
      </c>
      <c r="Q10" s="530">
        <f>IFERROR(IF(OR(4&gt;$B$3,ISBLANK(Actuals!F12)),"",('Reforecast Q1 2026'!F12-Actuals!F12)/ABS('Reforecast Q1 2026'!F12)),"")</f>
        <v>0.168793278228304</v>
      </c>
      <c r="R10" s="529">
        <f>'Reforecast Q1 2026'!G12</f>
        <v>4178441.93</v>
      </c>
      <c r="S10" s="529">
        <f>IF(OR(5&gt;$B$3,ISBLANK(Actuals!G12)),"",Actuals!G12)</f>
        <v>3939278.23</v>
      </c>
      <c r="T10" s="530">
        <f>IF(OR(5&gt;$B$3,ISBLANK(Actuals!G12)),"",'Reforecast Q1 2026'!G12-Actuals!G12)</f>
        <v>239163.7</v>
      </c>
      <c r="U10" s="530">
        <f>IFERROR(IF(OR(5&gt;$B$3,ISBLANK(Actuals!G12)),"",('Reforecast Q1 2026'!G12-Actuals!G12)/ABS('Reforecast Q1 2026'!G12)),"")</f>
        <v>0.057237531119644</v>
      </c>
      <c r="V10" s="529">
        <f>'Reforecast Q1 2026'!H12</f>
        <v>4314673.98</v>
      </c>
      <c r="W10" s="529">
        <f>IF(OR(6&gt;$B$3,ISBLANK(Actuals!H12)),"",Actuals!H12)</f>
        <v>5584522.73</v>
      </c>
      <c r="X10" s="530">
        <f>IF(OR(6&gt;$B$3,ISBLANK(Actuals!H12)),"",'Reforecast Q1 2026'!H12-Actuals!H12)</f>
        <v>-1269848.75</v>
      </c>
      <c r="Y10" s="530">
        <f>IFERROR(IF(OR(6&gt;$B$3,ISBLANK(Actuals!H12)),"",('Reforecast Q1 2026'!H12-Actuals!H12)/ABS('Reforecast Q1 2026'!H12)),"")</f>
        <v>-0.294309316505995</v>
      </c>
      <c r="Z10" s="529">
        <f>'Reforecast Q1 2026'!I12</f>
        <v>5100719.4</v>
      </c>
      <c r="AA10" s="529">
        <f>IF(OR(7&gt;$B$3,ISBLANK(Actuals!I12)),"",Actuals!I12)</f>
      </c>
      <c r="AB10" s="530">
        <f>IF(OR(7&gt;$B$3,ISBLANK(Actuals!I12)),"",'Reforecast Q1 2026'!I12-Actuals!I12)</f>
      </c>
      <c r="AC10" s="530">
        <f>IFERROR(IF(OR(7&gt;$B$3,ISBLANK(Actuals!I12)),"",('Reforecast Q1 2026'!I12-Actuals!I12)/ABS('Reforecast Q1 2026'!I12)),"")</f>
      </c>
      <c r="AD10" s="529">
        <f>'Reforecast Q1 2026'!J12</f>
        <v>5260214.26</v>
      </c>
      <c r="AE10" s="529">
        <f>IF(OR(8&gt;$B$3,ISBLANK(Actuals!J12)),"",Actuals!J12)</f>
      </c>
      <c r="AF10" s="530">
        <f>IF(OR(8&gt;$B$3,ISBLANK(Actuals!J12)),"",'Reforecast Q1 2026'!J12-Actuals!J12)</f>
      </c>
      <c r="AG10" s="530">
        <f>IFERROR(IF(OR(8&gt;$B$3,ISBLANK(Actuals!J12)),"",('Reforecast Q1 2026'!J12-Actuals!J12)/ABS('Reforecast Q1 2026'!J12)),"")</f>
      </c>
      <c r="AH10" s="529">
        <f>'Reforecast Q1 2026'!K12</f>
        <v>5352854.32</v>
      </c>
      <c r="AI10" s="529">
        <f>IF(OR(9&gt;$B$3,ISBLANK(Actuals!K12)),"",Actuals!K12)</f>
      </c>
      <c r="AJ10" s="530">
        <f>IF(OR(9&gt;$B$3,ISBLANK(Actuals!K12)),"",'Reforecast Q1 2026'!K12-Actuals!K12)</f>
      </c>
      <c r="AK10" s="530">
        <f>IFERROR(IF(OR(9&gt;$B$3,ISBLANK(Actuals!K12)),"",('Reforecast Q1 2026'!K12-Actuals!K12)/ABS('Reforecast Q1 2026'!K12)),"")</f>
      </c>
      <c r="AL10" s="529">
        <f>'Reforecast Q1 2026'!L12</f>
        <v>5849570.15</v>
      </c>
      <c r="AM10" s="529">
        <f>IF(OR(10&gt;$B$3,ISBLANK(Actuals!L12)),"",Actuals!L12)</f>
      </c>
      <c r="AN10" s="530">
        <f>IF(OR(10&gt;$B$3,ISBLANK(Actuals!L12)),"",'Reforecast Q1 2026'!L12-Actuals!L12)</f>
      </c>
      <c r="AO10" s="530">
        <f>IFERROR(IF(OR(10&gt;$B$3,ISBLANK(Actuals!L12)),"",('Reforecast Q1 2026'!L12-Actuals!L12)/ABS('Reforecast Q1 2026'!L12)),"")</f>
      </c>
      <c r="AP10" s="529">
        <f>'Reforecast Q1 2026'!M12</f>
        <v>6345476.13</v>
      </c>
      <c r="AQ10" s="529">
        <f>IF(OR(11&gt;$B$3,ISBLANK(Actuals!M12)),"",Actuals!M12)</f>
      </c>
      <c r="AR10" s="530">
        <f>IF(OR(11&gt;$B$3,ISBLANK(Actuals!M12)),"",'Reforecast Q1 2026'!M12-Actuals!M12)</f>
      </c>
      <c r="AS10" s="530">
        <f>IFERROR(IF(OR(11&gt;$B$3,ISBLANK(Actuals!M12)),"",('Reforecast Q1 2026'!M12-Actuals!M12)/ABS('Reforecast Q1 2026'!M12)),"")</f>
      </c>
      <c r="AT10" s="529">
        <f>'Reforecast Q1 2026'!N12</f>
        <v>6208239.26</v>
      </c>
      <c r="AU10" s="529">
        <f>IF(OR(12&gt;$B$3,ISBLANK(Actuals!N12)),"",Actuals!N12)</f>
      </c>
      <c r="AV10" s="530">
        <f>IF(OR(12&gt;$B$3,ISBLANK(Actuals!N12)),"",'Reforecast Q1 2026'!N12-Actuals!N12)</f>
      </c>
      <c r="AW10" s="530">
        <f>IFERROR(IF(OR(12&gt;$B$3,ISBLANK(Actuals!N12)),"",('Reforecast Q1 2026'!N12-Actuals!N12)/ABS('Reforecast Q1 2026'!N12)),"")</f>
      </c>
      <c r="AX10" s="531">
        <f>SUMPRODUCT((Actuals!C12:N12&lt;&gt;"")*('Reforecast Q1 2026'!C12:N12))</f>
        <v>18833496.59</v>
      </c>
      <c r="AY10" s="531">
        <f>SUM(Actuals!C12:N12)</f>
        <v>19191458.97</v>
      </c>
      <c r="AZ10" s="532">
        <f>AX10-AY10</f>
        <v>-357962.379999999</v>
      </c>
    </row>
    <row r="11" ht="15" customFormat="1" customHeight="1" s="381">
      <c r="A11" s="528" t="inlineStr">
        <is>
          <t>COGS — Trades &amp; Site Costs</t>
        </is>
      </c>
      <c r="B11" s="529">
        <f>'Reforecast Q1 2026'!C14</f>
        <v>-1233067.43</v>
      </c>
      <c r="C11" s="529">
        <f>IF(OR(1&gt;$B$3,ISBLANK(Actuals!C14)),"",Actuals!C14)</f>
        <v>-1233067.43</v>
      </c>
      <c r="D11" s="530">
        <f>IF(OR(1&gt;$B$3,ISBLANK(Actuals!C14)),"",'Reforecast Q1 2026'!C14-Actuals!C14)</f>
        <v>0</v>
      </c>
      <c r="E11" s="530">
        <f>IFERROR(IF(OR(1&gt;$B$3,ISBLANK(Actuals!C14)),"",('Reforecast Q1 2026'!C14-Actuals!C14)/ABS('Reforecast Q1 2026'!C14)),"")</f>
        <v>0</v>
      </c>
      <c r="F11" s="529">
        <f>'Reforecast Q1 2026'!D14</f>
        <v>-3073522.36</v>
      </c>
      <c r="G11" s="529">
        <f>IF(OR(2&gt;$B$3,ISBLANK(Actuals!D14)),"",Actuals!D14)</f>
        <v>-3073522.36</v>
      </c>
      <c r="H11" s="530">
        <f>IF(OR(2&gt;$B$3,ISBLANK(Actuals!D14)),"",'Reforecast Q1 2026'!D14-Actuals!D14)</f>
        <v>0</v>
      </c>
      <c r="I11" s="530">
        <f>IFERROR(IF(OR(2&gt;$B$3,ISBLANK(Actuals!D14)),"",('Reforecast Q1 2026'!D14-Actuals!D14)/ABS('Reforecast Q1 2026'!D14)),"")</f>
        <v>0</v>
      </c>
      <c r="J11" s="529">
        <f>'Reforecast Q1 2026'!E14</f>
        <v>-2078031.64</v>
      </c>
      <c r="K11" s="529">
        <f>IF(OR(3&gt;$B$3,ISBLANK(Actuals!E14)),"",Actuals!E14)</f>
        <v>-2078031.64</v>
      </c>
      <c r="L11" s="530">
        <f>IF(OR(3&gt;$B$3,ISBLANK(Actuals!E14)),"",'Reforecast Q1 2026'!E14-Actuals!E14)</f>
        <v>0</v>
      </c>
      <c r="M11" s="530">
        <f>IFERROR(IF(OR(3&gt;$B$3,ISBLANK(Actuals!E14)),"",('Reforecast Q1 2026'!E14-Actuals!E14)/ABS('Reforecast Q1 2026'!E14)),"")</f>
        <v>0</v>
      </c>
      <c r="N11" s="529">
        <f>'Reforecast Q1 2026'!F14</f>
        <v>-3985482.58403402</v>
      </c>
      <c r="O11" s="529">
        <f>IF(OR(4&gt;$B$3,ISBLANK(Actuals!F14)),"",Actuals!F14)</f>
        <v>-3244999.65</v>
      </c>
      <c r="P11" s="530">
        <f>IF(OR(4&gt;$B$3,ISBLANK(Actuals!F14)),"",'Reforecast Q1 2026'!F14-Actuals!F14)</f>
        <v>-740482.93403402</v>
      </c>
      <c r="Q11" s="530">
        <f>IFERROR(IF(OR(4&gt;$B$3,ISBLANK(Actuals!F14)),"",('Reforecast Q1 2026'!F14-Actuals!F14)/ABS('Reforecast Q1 2026'!F14)),"")</f>
        <v>-0.185795049513055</v>
      </c>
      <c r="R11" s="529">
        <f>'Reforecast Q1 2026'!G14</f>
        <v>-4178441.93467641</v>
      </c>
      <c r="S11" s="529">
        <f>IF(OR(5&gt;$B$3,ISBLANK(Actuals!G14)),"",Actuals!G14)</f>
        <v>-3950524.93</v>
      </c>
      <c r="T11" s="530">
        <f>IF(OR(5&gt;$B$3,ISBLANK(Actuals!G14)),"",'Reforecast Q1 2026'!G14-Actuals!G14)</f>
        <v>-227917.00467641</v>
      </c>
      <c r="U11" s="530">
        <f>IFERROR(IF(OR(5&gt;$B$3,ISBLANK(Actuals!G14)),"",('Reforecast Q1 2026'!G14-Actuals!G14)/ABS('Reforecast Q1 2026'!G14)),"")</f>
        <v>-0.0545459308133381</v>
      </c>
      <c r="V11" s="529">
        <f>'Reforecast Q1 2026'!H14</f>
        <v>-4314673.98179329</v>
      </c>
      <c r="W11" s="529">
        <f>IF(OR(6&gt;$B$3,ISBLANK(Actuals!H14)),"",Actuals!H14)</f>
        <v>-5610911.85</v>
      </c>
      <c r="X11" s="530">
        <f>IF(OR(6&gt;$B$3,ISBLANK(Actuals!H14)),"",'Reforecast Q1 2026'!H14-Actuals!H14)</f>
        <v>1296237.86820671</v>
      </c>
      <c r="Y11" s="530">
        <f>IFERROR(IF(OR(6&gt;$B$3,ISBLANK(Actuals!H14)),"",('Reforecast Q1 2026'!H14-Actuals!H14)/ABS('Reforecast Q1 2026'!H14)),"")</f>
        <v>0.300425448985594</v>
      </c>
      <c r="Z11" s="529">
        <f>'Reforecast Q1 2026'!I14</f>
        <v>-5100719.40418529</v>
      </c>
      <c r="AA11" s="529">
        <f>IF(OR(7&gt;$B$3,ISBLANK(Actuals!I14)),"",Actuals!I14)</f>
      </c>
      <c r="AB11" s="530">
        <f>IF(OR(7&gt;$B$3,ISBLANK(Actuals!I14)),"",'Reforecast Q1 2026'!I14-Actuals!I14)</f>
      </c>
      <c r="AC11" s="530">
        <f>IFERROR(IF(OR(7&gt;$B$3,ISBLANK(Actuals!I14)),"",('Reforecast Q1 2026'!I14-Actuals!I14)/ABS('Reforecast Q1 2026'!I14)),"")</f>
      </c>
      <c r="AD11" s="529">
        <f>'Reforecast Q1 2026'!J14</f>
        <v>-5260214.25623971</v>
      </c>
      <c r="AE11" s="529">
        <f>IF(OR(8&gt;$B$3,ISBLANK(Actuals!J14)),"",Actuals!J14)</f>
      </c>
      <c r="AF11" s="530">
        <f>IF(OR(8&gt;$B$3,ISBLANK(Actuals!J14)),"",'Reforecast Q1 2026'!J14-Actuals!J14)</f>
      </c>
      <c r="AG11" s="530">
        <f>IFERROR(IF(OR(8&gt;$B$3,ISBLANK(Actuals!J14)),"",('Reforecast Q1 2026'!J14-Actuals!J14)/ABS('Reforecast Q1 2026'!J14)),"")</f>
      </c>
      <c r="AH11" s="529">
        <f>'Reforecast Q1 2026'!K14</f>
        <v>-5352854.31833945</v>
      </c>
      <c r="AI11" s="529">
        <f>IF(OR(9&gt;$B$3,ISBLANK(Actuals!K14)),"",Actuals!K14)</f>
      </c>
      <c r="AJ11" s="530">
        <f>IF(OR(9&gt;$B$3,ISBLANK(Actuals!K14)),"",'Reforecast Q1 2026'!K14-Actuals!K14)</f>
      </c>
      <c r="AK11" s="530">
        <f>IFERROR(IF(OR(9&gt;$B$3,ISBLANK(Actuals!K14)),"",('Reforecast Q1 2026'!K14-Actuals!K14)/ABS('Reforecast Q1 2026'!K14)),"")</f>
      </c>
      <c r="AL11" s="529">
        <f>'Reforecast Q1 2026'!L14</f>
        <v>-5849570.14613038</v>
      </c>
      <c r="AM11" s="529">
        <f>IF(OR(10&gt;$B$3,ISBLANK(Actuals!L14)),"",Actuals!L14)</f>
      </c>
      <c r="AN11" s="530">
        <f>IF(OR(10&gt;$B$3,ISBLANK(Actuals!L14)),"",'Reforecast Q1 2026'!L14-Actuals!L14)</f>
      </c>
      <c r="AO11" s="530">
        <f>IFERROR(IF(OR(10&gt;$B$3,ISBLANK(Actuals!L14)),"",('Reforecast Q1 2026'!L14-Actuals!L14)/ABS('Reforecast Q1 2026'!L14)),"")</f>
      </c>
      <c r="AP11" s="529">
        <f>'Reforecast Q1 2026'!M14</f>
        <v>-6345476.13239193</v>
      </c>
      <c r="AQ11" s="529">
        <f>IF(OR(11&gt;$B$3,ISBLANK(Actuals!M14)),"",Actuals!M14)</f>
      </c>
      <c r="AR11" s="530">
        <f>IF(OR(11&gt;$B$3,ISBLANK(Actuals!M14)),"",'Reforecast Q1 2026'!M14-Actuals!M14)</f>
      </c>
      <c r="AS11" s="530">
        <f>IFERROR(IF(OR(11&gt;$B$3,ISBLANK(Actuals!M14)),"",('Reforecast Q1 2026'!M14-Actuals!M14)/ABS('Reforecast Q1 2026'!M14)),"")</f>
      </c>
      <c r="AT11" s="529">
        <f>'Reforecast Q1 2026'!N14</f>
        <v>-6208239.26255321</v>
      </c>
      <c r="AU11" s="529">
        <f>IF(OR(12&gt;$B$3,ISBLANK(Actuals!N14)),"",Actuals!N14)</f>
      </c>
      <c r="AV11" s="530">
        <f>IF(OR(12&gt;$B$3,ISBLANK(Actuals!N14)),"",'Reforecast Q1 2026'!N14-Actuals!N14)</f>
      </c>
      <c r="AW11" s="530">
        <f>IFERROR(IF(OR(12&gt;$B$3,ISBLANK(Actuals!N14)),"",('Reforecast Q1 2026'!N14-Actuals!N14)/ABS('Reforecast Q1 2026'!N14)),"")</f>
      </c>
      <c r="AX11" s="531">
        <f>SUMPRODUCT((Actuals!C14:N14&lt;&gt;"")*('Reforecast Q1 2026'!C14:N14))</f>
        <v>-18863219.9305037</v>
      </c>
      <c r="AY11" s="531">
        <f>SUM(Actuals!C14:N14)</f>
        <v>-19191057.86</v>
      </c>
      <c r="AZ11" s="532">
        <f>AX11-AY11</f>
        <v>327837.929496281</v>
      </c>
    </row>
    <row r="12" ht="15" customFormat="1" customHeight="1" s="381">
      <c r="A12" s="528" t="inlineStr">
        <is>
          <t>Bonding Revenue</t>
        </is>
      </c>
      <c r="B12" s="529">
        <f>'Reforecast Q1 2026'!C15</f>
        <v>0</v>
      </c>
      <c r="C12" s="529">
        <f>IF(OR(1&gt;$B$3,ISBLANK(Actuals!C15)),"",Actuals!C15)</f>
        <v>0</v>
      </c>
      <c r="D12" s="530">
        <f>IF(OR(1&gt;$B$3,ISBLANK(Actuals!C15)),"",'Reforecast Q1 2026'!C15-Actuals!C15)</f>
        <v>0</v>
      </c>
      <c r="E12" s="530">
        <f>IFERROR(IF(OR(1&gt;$B$3,ISBLANK(Actuals!C15)),"",('Reforecast Q1 2026'!C15-Actuals!C15)/ABS('Reforecast Q1 2026'!C15)),"")</f>
      </c>
      <c r="F12" s="529">
        <f>'Reforecast Q1 2026'!D15</f>
        <v>0</v>
      </c>
      <c r="G12" s="529">
        <f>IF(OR(2&gt;$B$3,ISBLANK(Actuals!D15)),"",Actuals!D15)</f>
        <v>0</v>
      </c>
      <c r="H12" s="530">
        <f>IF(OR(2&gt;$B$3,ISBLANK(Actuals!D15)),"",'Reforecast Q1 2026'!D15-Actuals!D15)</f>
        <v>0</v>
      </c>
      <c r="I12" s="530">
        <f>IFERROR(IF(OR(2&gt;$B$3,ISBLANK(Actuals!D15)),"",('Reforecast Q1 2026'!D15-Actuals!D15)/ABS('Reforecast Q1 2026'!D15)),"")</f>
      </c>
      <c r="J12" s="529">
        <f>'Reforecast Q1 2026'!E15</f>
        <v>0</v>
      </c>
      <c r="K12" s="529">
        <f>IF(OR(3&gt;$B$3,ISBLANK(Actuals!E15)),"",Actuals!E15)</f>
        <v>0</v>
      </c>
      <c r="L12" s="530">
        <f>IF(OR(3&gt;$B$3,ISBLANK(Actuals!E15)),"",'Reforecast Q1 2026'!E15-Actuals!E15)</f>
        <v>0</v>
      </c>
      <c r="M12" s="530">
        <f>IFERROR(IF(OR(3&gt;$B$3,ISBLANK(Actuals!E15)),"",('Reforecast Q1 2026'!E15-Actuals!E15)/ABS('Reforecast Q1 2026'!E15)),"")</f>
      </c>
      <c r="N12" s="529">
        <f>'Reforecast Q1 2026'!F15</f>
        <v>0</v>
      </c>
      <c r="O12" s="529">
        <f>IF(OR(4&gt;$B$3,ISBLANK(Actuals!F15)),"",Actuals!F15)</f>
        <v>0</v>
      </c>
      <c r="P12" s="530">
        <f>IF(OR(4&gt;$B$3,ISBLANK(Actuals!F15)),"",'Reforecast Q1 2026'!F15-Actuals!F15)</f>
        <v>0</v>
      </c>
      <c r="Q12" s="530">
        <f>IFERROR(IF(OR(4&gt;$B$3,ISBLANK(Actuals!F15)),"",('Reforecast Q1 2026'!F15-Actuals!F15)/ABS('Reforecast Q1 2026'!F15)),"")</f>
      </c>
      <c r="R12" s="529">
        <f>'Reforecast Q1 2026'!G15</f>
        <v>0</v>
      </c>
      <c r="S12" s="529">
        <f>IF(OR(5&gt;$B$3,ISBLANK(Actuals!G15)),"",Actuals!G15)</f>
        <v>0</v>
      </c>
      <c r="T12" s="530">
        <f>IF(OR(5&gt;$B$3,ISBLANK(Actuals!G15)),"",'Reforecast Q1 2026'!G15-Actuals!G15)</f>
        <v>0</v>
      </c>
      <c r="U12" s="530">
        <f>IFERROR(IF(OR(5&gt;$B$3,ISBLANK(Actuals!G15)),"",('Reforecast Q1 2026'!G15-Actuals!G15)/ABS('Reforecast Q1 2026'!G15)),"")</f>
      </c>
      <c r="V12" s="529">
        <f>'Reforecast Q1 2026'!H15</f>
        <v>0</v>
      </c>
      <c r="W12" s="529">
        <f>IF(OR(6&gt;$B$3,ISBLANK(Actuals!H15)),"",Actuals!H15)</f>
        <v>0</v>
      </c>
      <c r="X12" s="530">
        <f>IF(OR(6&gt;$B$3,ISBLANK(Actuals!H15)),"",'Reforecast Q1 2026'!H15-Actuals!H15)</f>
        <v>0</v>
      </c>
      <c r="Y12" s="530">
        <f>IFERROR(IF(OR(6&gt;$B$3,ISBLANK(Actuals!H15)),"",('Reforecast Q1 2026'!H15-Actuals!H15)/ABS('Reforecast Q1 2026'!H15)),"")</f>
      </c>
      <c r="Z12" s="529">
        <f>'Reforecast Q1 2026'!I15</f>
        <v>644526.72</v>
      </c>
      <c r="AA12" s="529">
        <f>IF(OR(7&gt;$B$3,ISBLANK(Actuals!I15)),"",Actuals!I15)</f>
      </c>
      <c r="AB12" s="530">
        <f>IF(OR(7&gt;$B$3,ISBLANK(Actuals!I15)),"",'Reforecast Q1 2026'!I15-Actuals!I15)</f>
      </c>
      <c r="AC12" s="530">
        <f>IFERROR(IF(OR(7&gt;$B$3,ISBLANK(Actuals!I15)),"",('Reforecast Q1 2026'!I15-Actuals!I15)/ABS('Reforecast Q1 2026'!I15)),"")</f>
      </c>
      <c r="AD12" s="529">
        <f>'Reforecast Q1 2026'!J15</f>
        <v>0</v>
      </c>
      <c r="AE12" s="529">
        <f>IF(OR(8&gt;$B$3,ISBLANK(Actuals!J15)),"",Actuals!J15)</f>
      </c>
      <c r="AF12" s="530">
        <f>IF(OR(8&gt;$B$3,ISBLANK(Actuals!J15)),"",'Reforecast Q1 2026'!J15-Actuals!J15)</f>
      </c>
      <c r="AG12" s="530">
        <f>IFERROR(IF(OR(8&gt;$B$3,ISBLANK(Actuals!J15)),"",('Reforecast Q1 2026'!J15-Actuals!J15)/ABS('Reforecast Q1 2026'!J15)),"")</f>
      </c>
      <c r="AH12" s="529">
        <f>'Reforecast Q1 2026'!K15</f>
        <v>0</v>
      </c>
      <c r="AI12" s="529">
        <f>IF(OR(9&gt;$B$3,ISBLANK(Actuals!K15)),"",Actuals!K15)</f>
      </c>
      <c r="AJ12" s="530">
        <f>IF(OR(9&gt;$B$3,ISBLANK(Actuals!K15)),"",'Reforecast Q1 2026'!K15-Actuals!K15)</f>
      </c>
      <c r="AK12" s="530">
        <f>IFERROR(IF(OR(9&gt;$B$3,ISBLANK(Actuals!K15)),"",('Reforecast Q1 2026'!K15-Actuals!K15)/ABS('Reforecast Q1 2026'!K15)),"")</f>
      </c>
      <c r="AL12" s="529">
        <f>'Reforecast Q1 2026'!L15</f>
        <v>442059.825</v>
      </c>
      <c r="AM12" s="529">
        <f>IF(OR(10&gt;$B$3,ISBLANK(Actuals!L15)),"",Actuals!L15)</f>
      </c>
      <c r="AN12" s="530">
        <f>IF(OR(10&gt;$B$3,ISBLANK(Actuals!L15)),"",'Reforecast Q1 2026'!L15-Actuals!L15)</f>
      </c>
      <c r="AO12" s="530">
        <f>IFERROR(IF(OR(10&gt;$B$3,ISBLANK(Actuals!L15)),"",('Reforecast Q1 2026'!L15-Actuals!L15)/ABS('Reforecast Q1 2026'!L15)),"")</f>
      </c>
      <c r="AP12" s="529">
        <f>'Reforecast Q1 2026'!M15</f>
        <v>318951.075</v>
      </c>
      <c r="AQ12" s="529">
        <f>IF(OR(11&gt;$B$3,ISBLANK(Actuals!M15)),"",Actuals!M15)</f>
      </c>
      <c r="AR12" s="530">
        <f>IF(OR(11&gt;$B$3,ISBLANK(Actuals!M15)),"",'Reforecast Q1 2026'!M15-Actuals!M15)</f>
      </c>
      <c r="AS12" s="530">
        <f>IFERROR(IF(OR(11&gt;$B$3,ISBLANK(Actuals!M15)),"",('Reforecast Q1 2026'!M15-Actuals!M15)/ABS('Reforecast Q1 2026'!M15)),"")</f>
      </c>
      <c r="AT12" s="529">
        <f>'Reforecast Q1 2026'!N15</f>
        <v>0</v>
      </c>
      <c r="AU12" s="529">
        <f>IF(OR(12&gt;$B$3,ISBLANK(Actuals!N15)),"",Actuals!N15)</f>
      </c>
      <c r="AV12" s="530">
        <f>IF(OR(12&gt;$B$3,ISBLANK(Actuals!N15)),"",'Reforecast Q1 2026'!N15-Actuals!N15)</f>
      </c>
      <c r="AW12" s="530">
        <f>IFERROR(IF(OR(12&gt;$B$3,ISBLANK(Actuals!N15)),"",('Reforecast Q1 2026'!N15-Actuals!N15)/ABS('Reforecast Q1 2026'!N15)),"")</f>
      </c>
      <c r="AX12" s="531">
        <f>SUMPRODUCT((Actuals!C15:N15&lt;&gt;"")*('Reforecast Q1 2026'!C15:N15))</f>
        <v>0</v>
      </c>
      <c r="AY12" s="531">
        <f>SUM(Actuals!C15:N15)</f>
        <v>0</v>
      </c>
      <c r="AZ12" s="532">
        <f>AX12-AY12</f>
        <v>0</v>
      </c>
    </row>
    <row r="13" ht="15" customFormat="1" customHeight="1" s="381">
      <c r="A13" s="528" t="inlineStr">
        <is>
          <t>Bonding Costs</t>
        </is>
      </c>
      <c r="B13" s="529">
        <f>'Reforecast Q1 2026'!C16</f>
        <v>-1966.5</v>
      </c>
      <c r="C13" s="529">
        <f>IF(OR(1&gt;$B$3,ISBLANK(Actuals!C16)),"",Actuals!C16)</f>
        <v>-1966.5</v>
      </c>
      <c r="D13" s="530">
        <f>IF(OR(1&gt;$B$3,ISBLANK(Actuals!C16)),"",'Reforecast Q1 2026'!C16-Actuals!C16)</f>
        <v>0</v>
      </c>
      <c r="E13" s="530">
        <f>IFERROR(IF(OR(1&gt;$B$3,ISBLANK(Actuals!C16)),"",('Reforecast Q1 2026'!C16-Actuals!C16)/ABS('Reforecast Q1 2026'!C16)),"")</f>
        <v>0</v>
      </c>
      <c r="F13" s="529">
        <f>'Reforecast Q1 2026'!D16</f>
        <v>0</v>
      </c>
      <c r="G13" s="529">
        <f>IF(OR(2&gt;$B$3,ISBLANK(Actuals!D16)),"",Actuals!D16)</f>
        <v>0</v>
      </c>
      <c r="H13" s="530">
        <f>IF(OR(2&gt;$B$3,ISBLANK(Actuals!D16)),"",'Reforecast Q1 2026'!D16-Actuals!D16)</f>
        <v>0</v>
      </c>
      <c r="I13" s="530">
        <f>IFERROR(IF(OR(2&gt;$B$3,ISBLANK(Actuals!D16)),"",('Reforecast Q1 2026'!D16-Actuals!D16)/ABS('Reforecast Q1 2026'!D16)),"")</f>
      </c>
      <c r="J13" s="529">
        <f>'Reforecast Q1 2026'!E16</f>
        <v>0</v>
      </c>
      <c r="K13" s="529">
        <f>IF(OR(3&gt;$B$3,ISBLANK(Actuals!E16)),"",Actuals!E16)</f>
        <v>0</v>
      </c>
      <c r="L13" s="530">
        <f>IF(OR(3&gt;$B$3,ISBLANK(Actuals!E16)),"",'Reforecast Q1 2026'!E16-Actuals!E16)</f>
        <v>0</v>
      </c>
      <c r="M13" s="530">
        <f>IFERROR(IF(OR(3&gt;$B$3,ISBLANK(Actuals!E16)),"",('Reforecast Q1 2026'!E16-Actuals!E16)/ABS('Reforecast Q1 2026'!E16)),"")</f>
      </c>
      <c r="N13" s="529">
        <f>'Reforecast Q1 2026'!F16</f>
        <v>0</v>
      </c>
      <c r="O13" s="529">
        <f>IF(OR(4&gt;$B$3,ISBLANK(Actuals!F16)),"",Actuals!F16)</f>
        <v>0</v>
      </c>
      <c r="P13" s="530">
        <f>IF(OR(4&gt;$B$3,ISBLANK(Actuals!F16)),"",'Reforecast Q1 2026'!F16-Actuals!F16)</f>
        <v>0</v>
      </c>
      <c r="Q13" s="530">
        <f>IFERROR(IF(OR(4&gt;$B$3,ISBLANK(Actuals!F16)),"",('Reforecast Q1 2026'!F16-Actuals!F16)/ABS('Reforecast Q1 2026'!F16)),"")</f>
      </c>
      <c r="R13" s="529">
        <f>'Reforecast Q1 2026'!G16</f>
        <v>0</v>
      </c>
      <c r="S13" s="529">
        <f>IF(OR(5&gt;$B$3,ISBLANK(Actuals!G16)),"",Actuals!G16)</f>
        <v>0</v>
      </c>
      <c r="T13" s="530">
        <f>IF(OR(5&gt;$B$3,ISBLANK(Actuals!G16)),"",'Reforecast Q1 2026'!G16-Actuals!G16)</f>
        <v>0</v>
      </c>
      <c r="U13" s="530">
        <f>IFERROR(IF(OR(5&gt;$B$3,ISBLANK(Actuals!G16)),"",('Reforecast Q1 2026'!G16-Actuals!G16)/ABS('Reforecast Q1 2026'!G16)),"")</f>
      </c>
      <c r="V13" s="529">
        <f>'Reforecast Q1 2026'!H16</f>
        <v>0</v>
      </c>
      <c r="W13" s="529">
        <f>IF(OR(6&gt;$B$3,ISBLANK(Actuals!H16)),"",Actuals!H16)</f>
        <v>0</v>
      </c>
      <c r="X13" s="530">
        <f>IF(OR(6&gt;$B$3,ISBLANK(Actuals!H16)),"",'Reforecast Q1 2026'!H16-Actuals!H16)</f>
        <v>0</v>
      </c>
      <c r="Y13" s="530">
        <f>IFERROR(IF(OR(6&gt;$B$3,ISBLANK(Actuals!H16)),"",('Reforecast Q1 2026'!H16-Actuals!H16)/ABS('Reforecast Q1 2026'!H16)),"")</f>
      </c>
      <c r="Z13" s="529">
        <f>'Reforecast Q1 2026'!I16</f>
        <v>-317966.5152</v>
      </c>
      <c r="AA13" s="529">
        <f>IF(OR(7&gt;$B$3,ISBLANK(Actuals!I16)),"",Actuals!I16)</f>
      </c>
      <c r="AB13" s="530">
        <f>IF(OR(7&gt;$B$3,ISBLANK(Actuals!I16)),"",'Reforecast Q1 2026'!I16-Actuals!I16)</f>
      </c>
      <c r="AC13" s="530">
        <f>IFERROR(IF(OR(7&gt;$B$3,ISBLANK(Actuals!I16)),"",('Reforecast Q1 2026'!I16-Actuals!I16)/ABS('Reforecast Q1 2026'!I16)),"")</f>
      </c>
      <c r="AD13" s="529">
        <f>'Reforecast Q1 2026'!J16</f>
        <v>0</v>
      </c>
      <c r="AE13" s="529">
        <f>IF(OR(8&gt;$B$3,ISBLANK(Actuals!J16)),"",Actuals!J16)</f>
      </c>
      <c r="AF13" s="530">
        <f>IF(OR(8&gt;$B$3,ISBLANK(Actuals!J16)),"",'Reforecast Q1 2026'!J16-Actuals!J16)</f>
      </c>
      <c r="AG13" s="530">
        <f>IFERROR(IF(OR(8&gt;$B$3,ISBLANK(Actuals!J16)),"",('Reforecast Q1 2026'!J16-Actuals!J16)/ABS('Reforecast Q1 2026'!J16)),"")</f>
      </c>
      <c r="AH13" s="529">
        <f>'Reforecast Q1 2026'!K16</f>
        <v>0</v>
      </c>
      <c r="AI13" s="529">
        <f>IF(OR(9&gt;$B$3,ISBLANK(Actuals!K16)),"",Actuals!K16)</f>
      </c>
      <c r="AJ13" s="530">
        <f>IF(OR(9&gt;$B$3,ISBLANK(Actuals!K16)),"",'Reforecast Q1 2026'!K16-Actuals!K16)</f>
      </c>
      <c r="AK13" s="530">
        <f>IFERROR(IF(OR(9&gt;$B$3,ISBLANK(Actuals!K16)),"",('Reforecast Q1 2026'!K16-Actuals!K16)/ABS('Reforecast Q1 2026'!K16)),"")</f>
      </c>
      <c r="AL13" s="529">
        <f>'Reforecast Q1 2026'!L16</f>
        <v>-218082.847</v>
      </c>
      <c r="AM13" s="529">
        <f>IF(OR(10&gt;$B$3,ISBLANK(Actuals!L16)),"",Actuals!L16)</f>
      </c>
      <c r="AN13" s="530">
        <f>IF(OR(10&gt;$B$3,ISBLANK(Actuals!L16)),"",'Reforecast Q1 2026'!L16-Actuals!L16)</f>
      </c>
      <c r="AO13" s="530">
        <f>IFERROR(IF(OR(10&gt;$B$3,ISBLANK(Actuals!L16)),"",('Reforecast Q1 2026'!L16-Actuals!L16)/ABS('Reforecast Q1 2026'!L16)),"")</f>
      </c>
      <c r="AP13" s="529">
        <f>'Reforecast Q1 2026'!M16</f>
        <v>-157349.197</v>
      </c>
      <c r="AQ13" s="529">
        <f>IF(OR(11&gt;$B$3,ISBLANK(Actuals!M16)),"",Actuals!M16)</f>
      </c>
      <c r="AR13" s="530">
        <f>IF(OR(11&gt;$B$3,ISBLANK(Actuals!M16)),"",'Reforecast Q1 2026'!M16-Actuals!M16)</f>
      </c>
      <c r="AS13" s="530">
        <f>IFERROR(IF(OR(11&gt;$B$3,ISBLANK(Actuals!M16)),"",('Reforecast Q1 2026'!M16-Actuals!M16)/ABS('Reforecast Q1 2026'!M16)),"")</f>
      </c>
      <c r="AT13" s="529">
        <f>'Reforecast Q1 2026'!N16</f>
        <v>0</v>
      </c>
      <c r="AU13" s="529">
        <f>IF(OR(12&gt;$B$3,ISBLANK(Actuals!N16)),"",Actuals!N16)</f>
      </c>
      <c r="AV13" s="530">
        <f>IF(OR(12&gt;$B$3,ISBLANK(Actuals!N16)),"",'Reforecast Q1 2026'!N16-Actuals!N16)</f>
      </c>
      <c r="AW13" s="530">
        <f>IFERROR(IF(OR(12&gt;$B$3,ISBLANK(Actuals!N16)),"",('Reforecast Q1 2026'!N16-Actuals!N16)/ABS('Reforecast Q1 2026'!N16)),"")</f>
      </c>
      <c r="AX13" s="531">
        <f>SUMPRODUCT((Actuals!C16:N16&lt;&gt;"")*('Reforecast Q1 2026'!C16:N16))</f>
        <v>-1966.5</v>
      </c>
      <c r="AY13" s="531">
        <f>SUM(Actuals!C16:N16)</f>
        <v>-1966.5</v>
      </c>
      <c r="AZ13" s="532">
        <f>AX13-AY13</f>
        <v>0</v>
      </c>
    </row>
    <row r="14" ht="15" customFormat="1" customHeight="1" s="381">
      <c r="A14" s="528" t="inlineStr">
        <is>
          <t>Gross Profit</t>
        </is>
      </c>
      <c r="B14" s="529">
        <f>'Reforecast Q1 2026'!C17</f>
        <v>218752.81</v>
      </c>
      <c r="C14" s="529">
        <f>IF(OR(1&gt;$B$3,ISBLANK(Actuals!C17)),"",Actuals!C17)</f>
        <v>218756.86</v>
      </c>
      <c r="D14" s="530">
        <f>IF(OR(1&gt;$B$3,ISBLANK(Actuals!C17)),"",'Reforecast Q1 2026'!C17-Actuals!C17)</f>
        <v>-4.05000000004657</v>
      </c>
      <c r="E14" s="530">
        <f>IFERROR(IF(OR(1&gt;$B$3,ISBLANK(Actuals!C17)),"",('Reforecast Q1 2026'!C17-Actuals!C17)/ABS('Reforecast Q1 2026'!C17)),"")</f>
        <v>-1.85140478883291e-05</v>
      </c>
      <c r="F14" s="529">
        <f>'Reforecast Q1 2026'!D17</f>
        <v>-51003.4699999997</v>
      </c>
      <c r="G14" s="529">
        <f>IF(OR(2&gt;$B$3,ISBLANK(Actuals!D17)),"",Actuals!D17)</f>
        <v>-51000.77</v>
      </c>
      <c r="H14" s="530">
        <f>IF(OR(2&gt;$B$3,ISBLANK(Actuals!D17)),"",'Reforecast Q1 2026'!D17-Actuals!D17)</f>
        <v>-2.6999999997206</v>
      </c>
      <c r="I14" s="530">
        <f>IFERROR(IF(OR(2&gt;$B$3,ISBLANK(Actuals!D17)),"",('Reforecast Q1 2026'!D17-Actuals!D17)/ABS('Reforecast Q1 2026'!D17)),"")</f>
        <v>-5.29375746340517e-05</v>
      </c>
      <c r="J14" s="529">
        <f>'Reforecast Q1 2026'!E17</f>
        <v>594184.52</v>
      </c>
      <c r="K14" s="529">
        <f>IF(OR(3&gt;$B$3,ISBLANK(Actuals!E17)),"",Actuals!E17)</f>
        <v>594184.52</v>
      </c>
      <c r="L14" s="530">
        <f>IF(OR(3&gt;$B$3,ISBLANK(Actuals!E17)),"",'Reforecast Q1 2026'!E17-Actuals!E17)</f>
        <v>0</v>
      </c>
      <c r="M14" s="530">
        <f>IFERROR(IF(OR(3&gt;$B$3,ISBLANK(Actuals!E17)),"",('Reforecast Q1 2026'!E17-Actuals!E17)/ABS('Reforecast Q1 2026'!E17)),"")</f>
        <v>0</v>
      </c>
      <c r="N14" s="529">
        <f>'Reforecast Q1 2026'!F17</f>
        <v>468885.062220243</v>
      </c>
      <c r="O14" s="529">
        <f>IF(OR(4&gt;$B$3,ISBLANK(Actuals!F17)),"",Actuals!F17)</f>
        <v>447358.25</v>
      </c>
      <c r="P14" s="530">
        <f>IF(OR(4&gt;$B$3,ISBLANK(Actuals!F17)),"",'Reforecast Q1 2026'!F17-Actuals!F17)</f>
        <v>21526.8122202423</v>
      </c>
      <c r="Q14" s="530">
        <f>IFERROR(IF(OR(4&gt;$B$3,ISBLANK(Actuals!F17)),"",('Reforecast Q1 2026'!F17-Actuals!F17)/ABS('Reforecast Q1 2026'!F17)),"")</f>
        <v>0.045910637712171</v>
      </c>
      <c r="R14" s="529">
        <f>'Reforecast Q1 2026'!G17</f>
        <v>468885.061577853</v>
      </c>
      <c r="S14" s="529">
        <f>IF(OR(5&gt;$B$3,ISBLANK(Actuals!G17)),"",Actuals!G17)</f>
        <v>465536.7</v>
      </c>
      <c r="T14" s="530">
        <f>IF(OR(5&gt;$B$3,ISBLANK(Actuals!G17)),"",'Reforecast Q1 2026'!G17-Actuals!G17)</f>
        <v>3348.36157785356</v>
      </c>
      <c r="U14" s="530">
        <f>IFERROR(IF(OR(5&gt;$B$3,ISBLANK(Actuals!G17)),"",('Reforecast Q1 2026'!G17-Actuals!G17)/ABS('Reforecast Q1 2026'!G17)),"")</f>
        <v>0.0071411137872167</v>
      </c>
      <c r="V14" s="529">
        <f>'Reforecast Q1 2026'!H17</f>
        <v>468885.064460973</v>
      </c>
      <c r="W14" s="529">
        <f>IF(OR(6&gt;$B$3,ISBLANK(Actuals!H17)),"",Actuals!H17)</f>
        <v>641351.130000001</v>
      </c>
      <c r="X14" s="530">
        <f>IF(OR(6&gt;$B$3,ISBLANK(Actuals!H17)),"",'Reforecast Q1 2026'!H17-Actuals!H17)</f>
        <v>-172466.065539028</v>
      </c>
      <c r="Y14" s="530">
        <f>IFERROR(IF(OR(6&gt;$B$3,ISBLANK(Actuals!H17)),"",('Reforecast Q1 2026'!H17-Actuals!H17)/ABS('Reforecast Q1 2026'!H17)),"")</f>
        <v>-0.367821623274124</v>
      </c>
      <c r="Z14" s="529">
        <f>'Reforecast Q1 2026'!I17</f>
        <v>959257.390269293</v>
      </c>
      <c r="AA14" s="529">
        <f>IF(OR(7&gt;$B$3,ISBLANK(Actuals!I17)),"",Actuals!I17)</f>
      </c>
      <c r="AB14" s="530">
        <f>IF(OR(7&gt;$B$3,ISBLANK(Actuals!I17)),"",'Reforecast Q1 2026'!I17-Actuals!I17)</f>
      </c>
      <c r="AC14" s="530">
        <f>IFERROR(IF(OR(7&gt;$B$3,ISBLANK(Actuals!I17)),"",('Reforecast Q1 2026'!I17-Actuals!I17)/ABS('Reforecast Q1 2026'!I17)),"")</f>
      </c>
      <c r="AD14" s="529">
        <f>'Reforecast Q1 2026'!J17</f>
        <v>632697.193414873</v>
      </c>
      <c r="AE14" s="529">
        <f>IF(OR(8&gt;$B$3,ISBLANK(Actuals!J17)),"",Actuals!J17)</f>
      </c>
      <c r="AF14" s="530">
        <f>IF(OR(8&gt;$B$3,ISBLANK(Actuals!J17)),"",'Reforecast Q1 2026'!J17-Actuals!J17)</f>
      </c>
      <c r="AG14" s="530">
        <f>IFERROR(IF(OR(8&gt;$B$3,ISBLANK(Actuals!J17)),"",('Reforecast Q1 2026'!J17-Actuals!J17)/ABS('Reforecast Q1 2026'!J17)),"")</f>
      </c>
      <c r="AH14" s="529">
        <f>'Reforecast Q1 2026'!K17</f>
        <v>632697.191315133</v>
      </c>
      <c r="AI14" s="529">
        <f>IF(OR(9&gt;$B$3,ISBLANK(Actuals!K17)),"",Actuals!K17)</f>
      </c>
      <c r="AJ14" s="530">
        <f>IF(OR(9&gt;$B$3,ISBLANK(Actuals!K17)),"",'Reforecast Q1 2026'!K17-Actuals!K17)</f>
      </c>
      <c r="AK14" s="530">
        <f>IFERROR(IF(OR(9&gt;$B$3,ISBLANK(Actuals!K17)),"",('Reforecast Q1 2026'!K17-Actuals!K17)/ABS('Reforecast Q1 2026'!K17)),"")</f>
      </c>
      <c r="AL14" s="529">
        <f>'Reforecast Q1 2026'!L17</f>
        <v>999101.928826481</v>
      </c>
      <c r="AM14" s="529">
        <f>IF(OR(10&gt;$B$3,ISBLANK(Actuals!L17)),"",Actuals!L17)</f>
      </c>
      <c r="AN14" s="530">
        <f>IF(OR(10&gt;$B$3,ISBLANK(Actuals!L17)),"",'Reforecast Q1 2026'!L17-Actuals!L17)</f>
      </c>
      <c r="AO14" s="530">
        <f>IFERROR(IF(OR(10&gt;$B$3,ISBLANK(Actuals!L17)),"",('Reforecast Q1 2026'!L17-Actuals!L17)/ABS('Reforecast Q1 2026'!L17)),"")</f>
      </c>
      <c r="AP14" s="529">
        <f>'Reforecast Q1 2026'!M17</f>
        <v>1080952.85657232</v>
      </c>
      <c r="AQ14" s="529">
        <f>IF(OR(11&gt;$B$3,ISBLANK(Actuals!M17)),"",Actuals!M17)</f>
      </c>
      <c r="AR14" s="530">
        <f>IF(OR(11&gt;$B$3,ISBLANK(Actuals!M17)),"",'Reforecast Q1 2026'!M17-Actuals!M17)</f>
      </c>
      <c r="AS14" s="530">
        <f>IFERROR(IF(OR(11&gt;$B$3,ISBLANK(Actuals!M17)),"",('Reforecast Q1 2026'!M17-Actuals!M17)/ABS('Reforecast Q1 2026'!M17)),"")</f>
      </c>
      <c r="AT14" s="529">
        <f>'Reforecast Q1 2026'!N17</f>
        <v>774577.772324943</v>
      </c>
      <c r="AU14" s="529">
        <f>IF(OR(12&gt;$B$3,ISBLANK(Actuals!N17)),"",Actuals!N17)</f>
      </c>
      <c r="AV14" s="530">
        <f>IF(OR(12&gt;$B$3,ISBLANK(Actuals!N17)),"",'Reforecast Q1 2026'!N17-Actuals!N17)</f>
      </c>
      <c r="AW14" s="530">
        <f>IFERROR(IF(OR(12&gt;$B$3,ISBLANK(Actuals!N17)),"",('Reforecast Q1 2026'!N17-Actuals!N17)/ABS('Reforecast Q1 2026'!N17)),"")</f>
      </c>
      <c r="AX14" s="531">
        <f>SUMPRODUCT((Actuals!C17:N17&lt;&gt;"")*('Reforecast Q1 2026'!C17:N17))</f>
        <v>7247873.38098211</v>
      </c>
      <c r="AY14" s="531">
        <f>SUM(Actuals!C17:N17)</f>
        <v>2316186.69</v>
      </c>
      <c r="AZ14" s="532">
        <f>AX14-AY14</f>
        <v>4931686.69098211</v>
      </c>
    </row>
    <row r="15" ht="15" customFormat="1" customHeight="1" s="381">
      <c r="A15" s="528" t="inlineStr">
        <is>
          <t>5000-1000 Payroll</t>
        </is>
      </c>
      <c r="B15" s="529">
        <f>'Reforecast Q1 2026'!C21</f>
        <v>-144550.9</v>
      </c>
      <c r="C15" s="529">
        <f>IF(OR(1&gt;$B$3,ISBLANK(Actuals!C21)),"",Actuals!C21)</f>
        <v>-144550.9</v>
      </c>
      <c r="D15" s="530">
        <f>IF(OR(1&gt;$B$3,ISBLANK(Actuals!C21)),"",'Reforecast Q1 2026'!C21-Actuals!C21)</f>
        <v>0</v>
      </c>
      <c r="E15" s="530">
        <f>IFERROR(IF(OR(1&gt;$B$3,ISBLANK(Actuals!C21)),"",('Reforecast Q1 2026'!C21-Actuals!C21)/ABS('Reforecast Q1 2026'!C21)),"")</f>
        <v>0</v>
      </c>
      <c r="F15" s="529">
        <f>'Reforecast Q1 2026'!D21</f>
        <v>-150672.84</v>
      </c>
      <c r="G15" s="529">
        <f>IF(OR(2&gt;$B$3,ISBLANK(Actuals!D21)),"",Actuals!D21)</f>
        <v>-150672.84</v>
      </c>
      <c r="H15" s="530">
        <f>IF(OR(2&gt;$B$3,ISBLANK(Actuals!D21)),"",'Reforecast Q1 2026'!D21-Actuals!D21)</f>
        <v>0</v>
      </c>
      <c r="I15" s="530">
        <f>IFERROR(IF(OR(2&gt;$B$3,ISBLANK(Actuals!D21)),"",('Reforecast Q1 2026'!D21-Actuals!D21)/ABS('Reforecast Q1 2026'!D21)),"")</f>
        <v>0</v>
      </c>
      <c r="J15" s="529">
        <f>'Reforecast Q1 2026'!E21</f>
        <v>-178867.86</v>
      </c>
      <c r="K15" s="529">
        <f>IF(OR(3&gt;$B$3,ISBLANK(Actuals!E21)),"",Actuals!E21)</f>
        <v>-178867.86</v>
      </c>
      <c r="L15" s="530">
        <f>IF(OR(3&gt;$B$3,ISBLANK(Actuals!E21)),"",'Reforecast Q1 2026'!E21-Actuals!E21)</f>
        <v>0</v>
      </c>
      <c r="M15" s="530">
        <f>IFERROR(IF(OR(3&gt;$B$3,ISBLANK(Actuals!E21)),"",('Reforecast Q1 2026'!E21-Actuals!E21)/ABS('Reforecast Q1 2026'!E21)),"")</f>
        <v>0</v>
      </c>
      <c r="N15" s="529">
        <f>'Reforecast Q1 2026'!F21</f>
        <v>-164791.666666667</v>
      </c>
      <c r="O15" s="529">
        <f>IF(OR(4&gt;$B$3,ISBLANK(Actuals!F21)),"",Actuals!F21)</f>
        <v>-187693.63</v>
      </c>
      <c r="P15" s="530">
        <f>IF(OR(4&gt;$B$3,ISBLANK(Actuals!F21)),"",'Reforecast Q1 2026'!F21-Actuals!F21)</f>
        <v>22901.963333333</v>
      </c>
      <c r="Q15" s="530">
        <f>IFERROR(IF(OR(4&gt;$B$3,ISBLANK(Actuals!F21)),"",('Reforecast Q1 2026'!F21-Actuals!F21)/ABS('Reforecast Q1 2026'!F21)),"")</f>
        <v>0.138975251580276</v>
      </c>
      <c r="R15" s="529">
        <f>'Reforecast Q1 2026'!G21</f>
        <v>-189375</v>
      </c>
      <c r="S15" s="529">
        <f>IF(OR(5&gt;$B$3,ISBLANK(Actuals!G21)),"",Actuals!G21)</f>
        <v>-295949.1</v>
      </c>
      <c r="T15" s="530">
        <f>IF(OR(5&gt;$B$3,ISBLANK(Actuals!G21)),"",'Reforecast Q1 2026'!G21-Actuals!G21)</f>
        <v>106574.1</v>
      </c>
      <c r="U15" s="530">
        <f>IFERROR(IF(OR(5&gt;$B$3,ISBLANK(Actuals!G21)),"",('Reforecast Q1 2026'!G21-Actuals!G21)/ABS('Reforecast Q1 2026'!G21)),"")</f>
        <v>0.562767524752475</v>
      </c>
      <c r="V15" s="529">
        <f>'Reforecast Q1 2026'!H21</f>
        <v>-214375</v>
      </c>
      <c r="W15" s="529">
        <f>IF(OR(6&gt;$B$3,ISBLANK(Actuals!H21)),"",Actuals!H21)</f>
        <v>-198645.92</v>
      </c>
      <c r="X15" s="530">
        <f>IF(OR(6&gt;$B$3,ISBLANK(Actuals!H21)),"",'Reforecast Q1 2026'!H21-Actuals!H21)</f>
        <v>-15729.08</v>
      </c>
      <c r="Y15" s="530">
        <f>IFERROR(IF(OR(6&gt;$B$3,ISBLANK(Actuals!H21)),"",('Reforecast Q1 2026'!H21-Actuals!H21)/ABS('Reforecast Q1 2026'!H21)),"")</f>
        <v>-0.0733718017492711</v>
      </c>
      <c r="Z15" s="529">
        <f>'Reforecast Q1 2026'!I21</f>
        <v>-225208.333333333</v>
      </c>
      <c r="AA15" s="529">
        <f>IF(OR(7&gt;$B$3,ISBLANK(Actuals!I21)),"",Actuals!I21)</f>
      </c>
      <c r="AB15" s="530">
        <f>IF(OR(7&gt;$B$3,ISBLANK(Actuals!I21)),"",'Reforecast Q1 2026'!I21-Actuals!I21)</f>
      </c>
      <c r="AC15" s="530">
        <f>IFERROR(IF(OR(7&gt;$B$3,ISBLANK(Actuals!I21)),"",('Reforecast Q1 2026'!I21-Actuals!I21)/ABS('Reforecast Q1 2026'!I21)),"")</f>
      </c>
      <c r="AD15" s="529">
        <f>'Reforecast Q1 2026'!J21</f>
        <v>-225208.333333333</v>
      </c>
      <c r="AE15" s="529">
        <f>IF(OR(8&gt;$B$3,ISBLANK(Actuals!J21)),"",Actuals!J21)</f>
      </c>
      <c r="AF15" s="530">
        <f>IF(OR(8&gt;$B$3,ISBLANK(Actuals!J21)),"",'Reforecast Q1 2026'!J21-Actuals!J21)</f>
      </c>
      <c r="AG15" s="530">
        <f>IFERROR(IF(OR(8&gt;$B$3,ISBLANK(Actuals!J21)),"",('Reforecast Q1 2026'!J21-Actuals!J21)/ABS('Reforecast Q1 2026'!J21)),"")</f>
      </c>
      <c r="AH15" s="529">
        <f>'Reforecast Q1 2026'!K21</f>
        <v>-225208.333333333</v>
      </c>
      <c r="AI15" s="529">
        <f>IF(OR(9&gt;$B$3,ISBLANK(Actuals!K21)),"",Actuals!K21)</f>
      </c>
      <c r="AJ15" s="530">
        <f>IF(OR(9&gt;$B$3,ISBLANK(Actuals!K21)),"",'Reforecast Q1 2026'!K21-Actuals!K21)</f>
      </c>
      <c r="AK15" s="530">
        <f>IFERROR(IF(OR(9&gt;$B$3,ISBLANK(Actuals!K21)),"",('Reforecast Q1 2026'!K21-Actuals!K21)/ABS('Reforecast Q1 2026'!K21)),"")</f>
      </c>
      <c r="AL15" s="529">
        <f>'Reforecast Q1 2026'!L21</f>
        <v>-246041.666666667</v>
      </c>
      <c r="AM15" s="529">
        <f>IF(OR(10&gt;$B$3,ISBLANK(Actuals!L21)),"",Actuals!L21)</f>
      </c>
      <c r="AN15" s="530">
        <f>IF(OR(10&gt;$B$3,ISBLANK(Actuals!L21)),"",'Reforecast Q1 2026'!L21-Actuals!L21)</f>
      </c>
      <c r="AO15" s="530">
        <f>IFERROR(IF(OR(10&gt;$B$3,ISBLANK(Actuals!L21)),"",('Reforecast Q1 2026'!L21-Actuals!L21)/ABS('Reforecast Q1 2026'!L21)),"")</f>
      </c>
      <c r="AP15" s="529">
        <f>'Reforecast Q1 2026'!M21</f>
        <v>-276041.666666667</v>
      </c>
      <c r="AQ15" s="529">
        <f>IF(OR(11&gt;$B$3,ISBLANK(Actuals!M21)),"",Actuals!M21)</f>
      </c>
      <c r="AR15" s="530">
        <f>IF(OR(11&gt;$B$3,ISBLANK(Actuals!M21)),"",'Reforecast Q1 2026'!M21-Actuals!M21)</f>
      </c>
      <c r="AS15" s="530">
        <f>IFERROR(IF(OR(11&gt;$B$3,ISBLANK(Actuals!M21)),"",('Reforecast Q1 2026'!M21-Actuals!M21)/ABS('Reforecast Q1 2026'!M21)),"")</f>
      </c>
      <c r="AT15" s="529">
        <f>'Reforecast Q1 2026'!N21</f>
        <v>-276041.666666667</v>
      </c>
      <c r="AU15" s="529">
        <f>IF(OR(12&gt;$B$3,ISBLANK(Actuals!N21)),"",Actuals!N21)</f>
      </c>
      <c r="AV15" s="530">
        <f>IF(OR(12&gt;$B$3,ISBLANK(Actuals!N21)),"",'Reforecast Q1 2026'!N21-Actuals!N21)</f>
      </c>
      <c r="AW15" s="530">
        <f>IFERROR(IF(OR(12&gt;$B$3,ISBLANK(Actuals!N21)),"",('Reforecast Q1 2026'!N21-Actuals!N21)/ABS('Reforecast Q1 2026'!N21)),"")</f>
      </c>
      <c r="AX15" s="531">
        <f>SUMPRODUCT((Actuals!C21:N21&lt;&gt;"")*('Reforecast Q1 2026'!C21:N21))</f>
        <v>-1042633.26666667</v>
      </c>
      <c r="AY15" s="531">
        <f>SUM(Actuals!C21:N21)</f>
        <v>-1156380.25</v>
      </c>
      <c r="AZ15" s="532">
        <f>AX15-AY15</f>
        <v>113746.983333333</v>
      </c>
    </row>
    <row r="16" ht="15" customFormat="1" customHeight="1" s="381">
      <c r="A16" s="528" t="inlineStr">
        <is>
          <t>5000-1001 Payroll Taxes</t>
        </is>
      </c>
      <c r="B16" s="529">
        <f>'Reforecast Q1 2026'!C22</f>
        <v>-7450.37</v>
      </c>
      <c r="C16" s="529">
        <f>IF(OR(1&gt;$B$3,ISBLANK(Actuals!C22)),"",Actuals!C22)</f>
        <v>-7450.37</v>
      </c>
      <c r="D16" s="530">
        <f>IF(OR(1&gt;$B$3,ISBLANK(Actuals!C22)),"",'Reforecast Q1 2026'!C22-Actuals!C22)</f>
        <v>0</v>
      </c>
      <c r="E16" s="530">
        <f>IFERROR(IF(OR(1&gt;$B$3,ISBLANK(Actuals!C22)),"",('Reforecast Q1 2026'!C22-Actuals!C22)/ABS('Reforecast Q1 2026'!C22)),"")</f>
        <v>0</v>
      </c>
      <c r="F16" s="529">
        <f>'Reforecast Q1 2026'!D22</f>
        <v>-10567.2</v>
      </c>
      <c r="G16" s="529">
        <f>IF(OR(2&gt;$B$3,ISBLANK(Actuals!D22)),"",Actuals!D22)</f>
        <v>-10567.2</v>
      </c>
      <c r="H16" s="530">
        <f>IF(OR(2&gt;$B$3,ISBLANK(Actuals!D22)),"",'Reforecast Q1 2026'!D22-Actuals!D22)</f>
        <v>0</v>
      </c>
      <c r="I16" s="530">
        <f>IFERROR(IF(OR(2&gt;$B$3,ISBLANK(Actuals!D22)),"",('Reforecast Q1 2026'!D22-Actuals!D22)/ABS('Reforecast Q1 2026'!D22)),"")</f>
        <v>0</v>
      </c>
      <c r="J16" s="529">
        <f>'Reforecast Q1 2026'!E22</f>
        <v>-17033.3</v>
      </c>
      <c r="K16" s="529">
        <f>IF(OR(3&gt;$B$3,ISBLANK(Actuals!E22)),"",Actuals!E22)</f>
        <v>-17033.3</v>
      </c>
      <c r="L16" s="530">
        <f>IF(OR(3&gt;$B$3,ISBLANK(Actuals!E22)),"",'Reforecast Q1 2026'!E22-Actuals!E22)</f>
        <v>0</v>
      </c>
      <c r="M16" s="530">
        <f>IFERROR(IF(OR(3&gt;$B$3,ISBLANK(Actuals!E22)),"",('Reforecast Q1 2026'!E22-Actuals!E22)/ABS('Reforecast Q1 2026'!E22)),"")</f>
        <v>0</v>
      </c>
      <c r="N16" s="529">
        <f>'Reforecast Q1 2026'!F22</f>
        <v>-15327.0833333333</v>
      </c>
      <c r="O16" s="529">
        <f>IF(OR(4&gt;$B$3,ISBLANK(Actuals!F22)),"",Actuals!F22)</f>
        <v>-14599.57</v>
      </c>
      <c r="P16" s="530">
        <f>IF(OR(4&gt;$B$3,ISBLANK(Actuals!F22)),"",'Reforecast Q1 2026'!F22-Actuals!F22)</f>
        <v>-727.5133333333</v>
      </c>
      <c r="Q16" s="530">
        <f>IFERROR(IF(OR(4&gt;$B$3,ISBLANK(Actuals!F22)),"",('Reforecast Q1 2026'!F22-Actuals!F22)/ABS('Reforecast Q1 2026'!F22)),"")</f>
        <v>-0.0474658692401773</v>
      </c>
      <c r="R16" s="529">
        <f>'Reforecast Q1 2026'!G22</f>
        <v>-17047.9166666667</v>
      </c>
      <c r="S16" s="529">
        <f>IF(OR(5&gt;$B$3,ISBLANK(Actuals!G22)),"",Actuals!G22)</f>
        <v>-23689.02</v>
      </c>
      <c r="T16" s="530">
        <f>IF(OR(5&gt;$B$3,ISBLANK(Actuals!G22)),"",'Reforecast Q1 2026'!G22-Actuals!G22)</f>
        <v>6641.1033333333</v>
      </c>
      <c r="U16" s="530">
        <f>IFERROR(IF(OR(5&gt;$B$3,ISBLANK(Actuals!G22)),"",('Reforecast Q1 2026'!G22-Actuals!G22)/ABS('Reforecast Q1 2026'!G22)),"")</f>
        <v>0.389555126481728</v>
      </c>
      <c r="V16" s="529">
        <f>'Reforecast Q1 2026'!H22</f>
        <v>-18797.9166666667</v>
      </c>
      <c r="W16" s="529">
        <f>IF(OR(6&gt;$B$3,ISBLANK(Actuals!H22)),"",Actuals!H22)</f>
        <v>-14793.67</v>
      </c>
      <c r="X16" s="530">
        <f>IF(OR(6&gt;$B$3,ISBLANK(Actuals!H22)),"",'Reforecast Q1 2026'!H22-Actuals!H22)</f>
        <v>-4004.2466666667</v>
      </c>
      <c r="Y16" s="530">
        <f>IFERROR(IF(OR(6&gt;$B$3,ISBLANK(Actuals!H22)),"",('Reforecast Q1 2026'!H22-Actuals!H22)/ABS('Reforecast Q1 2026'!H22)),"")</f>
        <v>-0.213015449407072</v>
      </c>
      <c r="Z16" s="529">
        <f>'Reforecast Q1 2026'!I22</f>
        <v>-19556.25</v>
      </c>
      <c r="AA16" s="529">
        <f>IF(OR(7&gt;$B$3,ISBLANK(Actuals!I22)),"",Actuals!I22)</f>
      </c>
      <c r="AB16" s="530">
        <f>IF(OR(7&gt;$B$3,ISBLANK(Actuals!I22)),"",'Reforecast Q1 2026'!I22-Actuals!I22)</f>
      </c>
      <c r="AC16" s="530">
        <f>IFERROR(IF(OR(7&gt;$B$3,ISBLANK(Actuals!I22)),"",('Reforecast Q1 2026'!I22-Actuals!I22)/ABS('Reforecast Q1 2026'!I22)),"")</f>
      </c>
      <c r="AD16" s="529">
        <f>'Reforecast Q1 2026'!J22</f>
        <v>-19556.25</v>
      </c>
      <c r="AE16" s="529">
        <f>IF(OR(8&gt;$B$3,ISBLANK(Actuals!J22)),"",Actuals!J22)</f>
      </c>
      <c r="AF16" s="530">
        <f>IF(OR(8&gt;$B$3,ISBLANK(Actuals!J22)),"",'Reforecast Q1 2026'!J22-Actuals!J22)</f>
      </c>
      <c r="AG16" s="530">
        <f>IFERROR(IF(OR(8&gt;$B$3,ISBLANK(Actuals!J22)),"",('Reforecast Q1 2026'!J22-Actuals!J22)/ABS('Reforecast Q1 2026'!J22)),"")</f>
      </c>
      <c r="AH16" s="529">
        <f>'Reforecast Q1 2026'!K22</f>
        <v>-19556.25</v>
      </c>
      <c r="AI16" s="529">
        <f>IF(OR(9&gt;$B$3,ISBLANK(Actuals!K22)),"",Actuals!K22)</f>
      </c>
      <c r="AJ16" s="530">
        <f>IF(OR(9&gt;$B$3,ISBLANK(Actuals!K22)),"",'Reforecast Q1 2026'!K22-Actuals!K22)</f>
      </c>
      <c r="AK16" s="530">
        <f>IFERROR(IF(OR(9&gt;$B$3,ISBLANK(Actuals!K22)),"",('Reforecast Q1 2026'!K22-Actuals!K22)/ABS('Reforecast Q1 2026'!K22)),"")</f>
      </c>
      <c r="AL16" s="529">
        <f>'Reforecast Q1 2026'!L22</f>
        <v>-21014.5833333333</v>
      </c>
      <c r="AM16" s="529">
        <f>IF(OR(10&gt;$B$3,ISBLANK(Actuals!L22)),"",Actuals!L22)</f>
      </c>
      <c r="AN16" s="530">
        <f>IF(OR(10&gt;$B$3,ISBLANK(Actuals!L22)),"",'Reforecast Q1 2026'!L22-Actuals!L22)</f>
      </c>
      <c r="AO16" s="530">
        <f>IFERROR(IF(OR(10&gt;$B$3,ISBLANK(Actuals!L22)),"",('Reforecast Q1 2026'!L22-Actuals!L22)/ABS('Reforecast Q1 2026'!L22)),"")</f>
      </c>
      <c r="AP16" s="529">
        <f>'Reforecast Q1 2026'!M22</f>
        <v>-23114.5833333333</v>
      </c>
      <c r="AQ16" s="529">
        <f>IF(OR(11&gt;$B$3,ISBLANK(Actuals!M22)),"",Actuals!M22)</f>
      </c>
      <c r="AR16" s="530">
        <f>IF(OR(11&gt;$B$3,ISBLANK(Actuals!M22)),"",'Reforecast Q1 2026'!M22-Actuals!M22)</f>
      </c>
      <c r="AS16" s="530">
        <f>IFERROR(IF(OR(11&gt;$B$3,ISBLANK(Actuals!M22)),"",('Reforecast Q1 2026'!M22-Actuals!M22)/ABS('Reforecast Q1 2026'!M22)),"")</f>
      </c>
      <c r="AT16" s="529">
        <f>'Reforecast Q1 2026'!N22</f>
        <v>-23114.5833333333</v>
      </c>
      <c r="AU16" s="529">
        <f>IF(OR(12&gt;$B$3,ISBLANK(Actuals!N22)),"",Actuals!N22)</f>
      </c>
      <c r="AV16" s="530">
        <f>IF(OR(12&gt;$B$3,ISBLANK(Actuals!N22)),"",'Reforecast Q1 2026'!N22-Actuals!N22)</f>
      </c>
      <c r="AW16" s="530">
        <f>IFERROR(IF(OR(12&gt;$B$3,ISBLANK(Actuals!N22)),"",('Reforecast Q1 2026'!N22-Actuals!N22)/ABS('Reforecast Q1 2026'!N22)),"")</f>
      </c>
      <c r="AX16" s="531">
        <f>SUMPRODUCT((Actuals!C22:N22&lt;&gt;"")*('Reforecast Q1 2026'!C22:N22))</f>
        <v>-86223.7866666667</v>
      </c>
      <c r="AY16" s="531">
        <f>SUM(Actuals!C22:N22)</f>
        <v>-88133.13</v>
      </c>
      <c r="AZ16" s="532">
        <f>AX16-AY16</f>
        <v>1909.34333333331</v>
      </c>
    </row>
    <row r="17" ht="15" customFormat="1" customHeight="1" s="381">
      <c r="A17" s="528" t="inlineStr">
        <is>
          <t>SP Allocated to LV</t>
        </is>
      </c>
      <c r="B17" s="529">
        <f>'Reforecast Q1 2026'!C23</f>
        <v>0</v>
      </c>
      <c r="C17" s="529">
        <f>IF(OR(1&gt;$B$3,ISBLANK(Actuals!C23)),"",Actuals!C23)</f>
      </c>
      <c r="D17" s="530">
        <f>IF(OR(1&gt;$B$3,ISBLANK(Actuals!C23)),"",'Reforecast Q1 2026'!C23-Actuals!C23)</f>
      </c>
      <c r="E17" s="530">
        <f>IFERROR(IF(OR(1&gt;$B$3,ISBLANK(Actuals!C23)),"",('Reforecast Q1 2026'!C23-Actuals!C23)/ABS('Reforecast Q1 2026'!C23)),"")</f>
      </c>
      <c r="F17" s="529">
        <f>'Reforecast Q1 2026'!D23</f>
        <v>0</v>
      </c>
      <c r="G17" s="529">
        <f>IF(OR(2&gt;$B$3,ISBLANK(Actuals!D23)),"",Actuals!D23)</f>
      </c>
      <c r="H17" s="530">
        <f>IF(OR(2&gt;$B$3,ISBLANK(Actuals!D23)),"",'Reforecast Q1 2026'!D23-Actuals!D23)</f>
      </c>
      <c r="I17" s="530">
        <f>IFERROR(IF(OR(2&gt;$B$3,ISBLANK(Actuals!D23)),"",('Reforecast Q1 2026'!D23-Actuals!D23)/ABS('Reforecast Q1 2026'!D23)),"")</f>
      </c>
      <c r="J17" s="529">
        <f>'Reforecast Q1 2026'!E23</f>
        <v>0</v>
      </c>
      <c r="K17" s="529">
        <f>IF(OR(3&gt;$B$3,ISBLANK(Actuals!E23)),"",Actuals!E23)</f>
      </c>
      <c r="L17" s="530">
        <f>IF(OR(3&gt;$B$3,ISBLANK(Actuals!E23)),"",'Reforecast Q1 2026'!E23-Actuals!E23)</f>
      </c>
      <c r="M17" s="530">
        <f>IFERROR(IF(OR(3&gt;$B$3,ISBLANK(Actuals!E23)),"",('Reforecast Q1 2026'!E23-Actuals!E23)/ABS('Reforecast Q1 2026'!E23)),"")</f>
      </c>
      <c r="N17" s="529">
        <f>'Reforecast Q1 2026'!F23</f>
        <v>-103833.333333333</v>
      </c>
      <c r="O17" s="529">
        <f>IF(OR(4&gt;$B$3,ISBLANK(Actuals!F23)),"",Actuals!F23)</f>
        <v>0</v>
      </c>
      <c r="P17" s="530">
        <f>IF(OR(4&gt;$B$3,ISBLANK(Actuals!F23)),"",'Reforecast Q1 2026'!F23-Actuals!F23)</f>
        <v>-103833.333333333</v>
      </c>
      <c r="Q17" s="530">
        <f>IFERROR(IF(OR(4&gt;$B$3,ISBLANK(Actuals!F23)),"",('Reforecast Q1 2026'!F23-Actuals!F23)/ABS('Reforecast Q1 2026'!F23)),"")</f>
        <v>-1</v>
      </c>
      <c r="R17" s="529">
        <f>'Reforecast Q1 2026'!G23</f>
        <v>-103833.333333333</v>
      </c>
      <c r="S17" s="529">
        <f>IF(OR(5&gt;$B$3,ISBLANK(Actuals!G23)),"",Actuals!G23)</f>
        <v>0</v>
      </c>
      <c r="T17" s="530">
        <f>IF(OR(5&gt;$B$3,ISBLANK(Actuals!G23)),"",'Reforecast Q1 2026'!G23-Actuals!G23)</f>
        <v>-103833.333333333</v>
      </c>
      <c r="U17" s="530">
        <f>IFERROR(IF(OR(5&gt;$B$3,ISBLANK(Actuals!G23)),"",('Reforecast Q1 2026'!G23-Actuals!G23)/ABS('Reforecast Q1 2026'!G23)),"")</f>
        <v>-1</v>
      </c>
      <c r="V17" s="529">
        <f>'Reforecast Q1 2026'!H23</f>
        <v>-103833.333333333</v>
      </c>
      <c r="W17" s="529">
        <f>IF(OR(6&gt;$B$3,ISBLANK(Actuals!H23)),"",Actuals!H23)</f>
        <v>0</v>
      </c>
      <c r="X17" s="530">
        <f>IF(OR(6&gt;$B$3,ISBLANK(Actuals!H23)),"",'Reforecast Q1 2026'!H23-Actuals!H23)</f>
        <v>-103833.333333333</v>
      </c>
      <c r="Y17" s="530">
        <f>IFERROR(IF(OR(6&gt;$B$3,ISBLANK(Actuals!H23)),"",('Reforecast Q1 2026'!H23-Actuals!H23)/ABS('Reforecast Q1 2026'!H23)),"")</f>
        <v>-1</v>
      </c>
      <c r="Z17" s="529">
        <f>'Reforecast Q1 2026'!I23</f>
        <v>-103833.333333333</v>
      </c>
      <c r="AA17" s="529">
        <f>IF(OR(7&gt;$B$3,ISBLANK(Actuals!I23)),"",Actuals!I23)</f>
      </c>
      <c r="AB17" s="530">
        <f>IF(OR(7&gt;$B$3,ISBLANK(Actuals!I23)),"",'Reforecast Q1 2026'!I23-Actuals!I23)</f>
      </c>
      <c r="AC17" s="530">
        <f>IFERROR(IF(OR(7&gt;$B$3,ISBLANK(Actuals!I23)),"",('Reforecast Q1 2026'!I23-Actuals!I23)/ABS('Reforecast Q1 2026'!I23)),"")</f>
      </c>
      <c r="AD17" s="529">
        <f>'Reforecast Q1 2026'!J23</f>
        <v>-103833.333333333</v>
      </c>
      <c r="AE17" s="529">
        <f>IF(OR(8&gt;$B$3,ISBLANK(Actuals!J23)),"",Actuals!J23)</f>
      </c>
      <c r="AF17" s="530">
        <f>IF(OR(8&gt;$B$3,ISBLANK(Actuals!J23)),"",'Reforecast Q1 2026'!J23-Actuals!J23)</f>
      </c>
      <c r="AG17" s="530">
        <f>IFERROR(IF(OR(8&gt;$B$3,ISBLANK(Actuals!J23)),"",('Reforecast Q1 2026'!J23-Actuals!J23)/ABS('Reforecast Q1 2026'!J23)),"")</f>
      </c>
      <c r="AH17" s="529">
        <f>'Reforecast Q1 2026'!K23</f>
        <v>-103833.333333333</v>
      </c>
      <c r="AI17" s="529">
        <f>IF(OR(9&gt;$B$3,ISBLANK(Actuals!K23)),"",Actuals!K23)</f>
      </c>
      <c r="AJ17" s="530">
        <f>IF(OR(9&gt;$B$3,ISBLANK(Actuals!K23)),"",'Reforecast Q1 2026'!K23-Actuals!K23)</f>
      </c>
      <c r="AK17" s="530">
        <f>IFERROR(IF(OR(9&gt;$B$3,ISBLANK(Actuals!K23)),"",('Reforecast Q1 2026'!K23-Actuals!K23)/ABS('Reforecast Q1 2026'!K23)),"")</f>
      </c>
      <c r="AL17" s="529">
        <f>'Reforecast Q1 2026'!L23</f>
        <v>-103833.333333333</v>
      </c>
      <c r="AM17" s="529">
        <f>IF(OR(10&gt;$B$3,ISBLANK(Actuals!L23)),"",Actuals!L23)</f>
      </c>
      <c r="AN17" s="530">
        <f>IF(OR(10&gt;$B$3,ISBLANK(Actuals!L23)),"",'Reforecast Q1 2026'!L23-Actuals!L23)</f>
      </c>
      <c r="AO17" s="530">
        <f>IFERROR(IF(OR(10&gt;$B$3,ISBLANK(Actuals!L23)),"",('Reforecast Q1 2026'!L23-Actuals!L23)/ABS('Reforecast Q1 2026'!L23)),"")</f>
      </c>
      <c r="AP17" s="529">
        <f>'Reforecast Q1 2026'!M23</f>
        <v>-103833.333333333</v>
      </c>
      <c r="AQ17" s="529">
        <f>IF(OR(11&gt;$B$3,ISBLANK(Actuals!M23)),"",Actuals!M23)</f>
      </c>
      <c r="AR17" s="530">
        <f>IF(OR(11&gt;$B$3,ISBLANK(Actuals!M23)),"",'Reforecast Q1 2026'!M23-Actuals!M23)</f>
      </c>
      <c r="AS17" s="530">
        <f>IFERROR(IF(OR(11&gt;$B$3,ISBLANK(Actuals!M23)),"",('Reforecast Q1 2026'!M23-Actuals!M23)/ABS('Reforecast Q1 2026'!M23)),"")</f>
      </c>
      <c r="AT17" s="529">
        <f>'Reforecast Q1 2026'!N23</f>
        <v>-103833.333333333</v>
      </c>
      <c r="AU17" s="529">
        <f>IF(OR(12&gt;$B$3,ISBLANK(Actuals!N23)),"",Actuals!N23)</f>
      </c>
      <c r="AV17" s="530">
        <f>IF(OR(12&gt;$B$3,ISBLANK(Actuals!N23)),"",'Reforecast Q1 2026'!N23-Actuals!N23)</f>
      </c>
      <c r="AW17" s="530">
        <f>IFERROR(IF(OR(12&gt;$B$3,ISBLANK(Actuals!N23)),"",('Reforecast Q1 2026'!N23-Actuals!N23)/ABS('Reforecast Q1 2026'!N23)),"")</f>
      </c>
      <c r="AX17" s="531">
        <f>SUMPRODUCT((Actuals!C23:N23&lt;&gt;"")*('Reforecast Q1 2026'!C23:N23))</f>
        <v>-311499.999999999</v>
      </c>
      <c r="AY17" s="531">
        <f>SUM(Actuals!C23:N23)</f>
        <v>0</v>
      </c>
      <c r="AZ17" s="532">
        <f>AX17-AY17</f>
        <v>-311499.999999999</v>
      </c>
    </row>
    <row r="18" ht="15" customFormat="1" customHeight="1" s="381">
      <c r="A18" s="528" t="inlineStr">
        <is>
          <t>5000-1002 Employee Benefits</t>
        </is>
      </c>
      <c r="B18" s="529">
        <f>'Reforecast Q1 2026'!C24</f>
        <v>-9482.97</v>
      </c>
      <c r="C18" s="529">
        <f>IF(OR(1&gt;$B$3,ISBLANK(Actuals!C24)),"",Actuals!C24)</f>
        <v>-9482.97</v>
      </c>
      <c r="D18" s="530">
        <f>IF(OR(1&gt;$B$3,ISBLANK(Actuals!C24)),"",'Reforecast Q1 2026'!C24-Actuals!C24)</f>
        <v>0</v>
      </c>
      <c r="E18" s="530">
        <f>IFERROR(IF(OR(1&gt;$B$3,ISBLANK(Actuals!C24)),"",('Reforecast Q1 2026'!C24-Actuals!C24)/ABS('Reforecast Q1 2026'!C24)),"")</f>
        <v>0</v>
      </c>
      <c r="F18" s="529">
        <f>'Reforecast Q1 2026'!D24</f>
        <v>-10343.29</v>
      </c>
      <c r="G18" s="529">
        <f>IF(OR(2&gt;$B$3,ISBLANK(Actuals!D24)),"",Actuals!D24)</f>
        <v>-10343.29</v>
      </c>
      <c r="H18" s="530">
        <f>IF(OR(2&gt;$B$3,ISBLANK(Actuals!D24)),"",'Reforecast Q1 2026'!D24-Actuals!D24)</f>
        <v>0</v>
      </c>
      <c r="I18" s="530">
        <f>IFERROR(IF(OR(2&gt;$B$3,ISBLANK(Actuals!D24)),"",('Reforecast Q1 2026'!D24-Actuals!D24)/ABS('Reforecast Q1 2026'!D24)),"")</f>
        <v>0</v>
      </c>
      <c r="J18" s="529">
        <f>'Reforecast Q1 2026'!E24</f>
        <v>-3729.48</v>
      </c>
      <c r="K18" s="529">
        <f>IF(OR(3&gt;$B$3,ISBLANK(Actuals!E24)),"",Actuals!E24)</f>
        <v>-3729.48</v>
      </c>
      <c r="L18" s="530">
        <f>IF(OR(3&gt;$B$3,ISBLANK(Actuals!E24)),"",'Reforecast Q1 2026'!E24-Actuals!E24)</f>
        <v>0</v>
      </c>
      <c r="M18" s="530">
        <f>IFERROR(IF(OR(3&gt;$B$3,ISBLANK(Actuals!E24)),"",('Reforecast Q1 2026'!E24-Actuals!E24)/ABS('Reforecast Q1 2026'!E24)),"")</f>
        <v>0</v>
      </c>
      <c r="N18" s="529">
        <f>'Reforecast Q1 2026'!F24</f>
        <v>-10947.9166666667</v>
      </c>
      <c r="O18" s="529">
        <f>IF(OR(4&gt;$B$3,ISBLANK(Actuals!F24)),"",Actuals!F24)</f>
        <v>-3206.79</v>
      </c>
      <c r="P18" s="530">
        <f>IF(OR(4&gt;$B$3,ISBLANK(Actuals!F24)),"",'Reforecast Q1 2026'!F24-Actuals!F24)</f>
        <v>-7741.1266666667</v>
      </c>
      <c r="Q18" s="530">
        <f>IFERROR(IF(OR(4&gt;$B$3,ISBLANK(Actuals!F24)),"",('Reforecast Q1 2026'!F24-Actuals!F24)/ABS('Reforecast Q1 2026'!F24)),"")</f>
        <v>-0.707086736441485</v>
      </c>
      <c r="R18" s="529">
        <f>'Reforecast Q1 2026'!G24</f>
        <v>-12177.0833333333</v>
      </c>
      <c r="S18" s="529">
        <f>IF(OR(5&gt;$B$3,ISBLANK(Actuals!G24)),"",Actuals!G24)</f>
        <v>10942.55</v>
      </c>
      <c r="T18" s="530">
        <f>IF(OR(5&gt;$B$3,ISBLANK(Actuals!G24)),"",'Reforecast Q1 2026'!G24-Actuals!G24)</f>
        <v>-23119.6333333333</v>
      </c>
      <c r="U18" s="530">
        <f>IFERROR(IF(OR(5&gt;$B$3,ISBLANK(Actuals!G24)),"",('Reforecast Q1 2026'!G24-Actuals!G24)/ABS('Reforecast Q1 2026'!G24)),"")</f>
        <v>-1.89861830624466</v>
      </c>
      <c r="V18" s="529">
        <f>'Reforecast Q1 2026'!H24</f>
        <v>-13427.0833333333</v>
      </c>
      <c r="W18" s="529">
        <f>IF(OR(6&gt;$B$3,ISBLANK(Actuals!H24)),"",Actuals!H24)</f>
        <v>-8982.91</v>
      </c>
      <c r="X18" s="530">
        <f>IF(OR(6&gt;$B$3,ISBLANK(Actuals!H24)),"",'Reforecast Q1 2026'!H24-Actuals!H24)</f>
        <v>-4444.1733333333</v>
      </c>
      <c r="Y18" s="530">
        <f>IFERROR(IF(OR(6&gt;$B$3,ISBLANK(Actuals!H24)),"",('Reforecast Q1 2026'!H24-Actuals!H24)/ABS('Reforecast Q1 2026'!H24)),"")</f>
        <v>-0.330985756400309</v>
      </c>
      <c r="Z18" s="529">
        <f>'Reforecast Q1 2026'!I24</f>
        <v>-13968.75</v>
      </c>
      <c r="AA18" s="529">
        <f>IF(OR(7&gt;$B$3,ISBLANK(Actuals!I24)),"",Actuals!I24)</f>
      </c>
      <c r="AB18" s="530">
        <f>IF(OR(7&gt;$B$3,ISBLANK(Actuals!I24)),"",'Reforecast Q1 2026'!I24-Actuals!I24)</f>
      </c>
      <c r="AC18" s="530">
        <f>IFERROR(IF(OR(7&gt;$B$3,ISBLANK(Actuals!I24)),"",('Reforecast Q1 2026'!I24-Actuals!I24)/ABS('Reforecast Q1 2026'!I24)),"")</f>
      </c>
      <c r="AD18" s="529">
        <f>'Reforecast Q1 2026'!J24</f>
        <v>-13968.75</v>
      </c>
      <c r="AE18" s="529">
        <f>IF(OR(8&gt;$B$3,ISBLANK(Actuals!J24)),"",Actuals!J24)</f>
      </c>
      <c r="AF18" s="530">
        <f>IF(OR(8&gt;$B$3,ISBLANK(Actuals!J24)),"",'Reforecast Q1 2026'!J24-Actuals!J24)</f>
      </c>
      <c r="AG18" s="530">
        <f>IFERROR(IF(OR(8&gt;$B$3,ISBLANK(Actuals!J24)),"",('Reforecast Q1 2026'!J24-Actuals!J24)/ABS('Reforecast Q1 2026'!J24)),"")</f>
      </c>
      <c r="AH18" s="529">
        <f>'Reforecast Q1 2026'!K24</f>
        <v>-13968.75</v>
      </c>
      <c r="AI18" s="529">
        <f>IF(OR(9&gt;$B$3,ISBLANK(Actuals!K24)),"",Actuals!K24)</f>
      </c>
      <c r="AJ18" s="530">
        <f>IF(OR(9&gt;$B$3,ISBLANK(Actuals!K24)),"",'Reforecast Q1 2026'!K24-Actuals!K24)</f>
      </c>
      <c r="AK18" s="530">
        <f>IFERROR(IF(OR(9&gt;$B$3,ISBLANK(Actuals!K24)),"",('Reforecast Q1 2026'!K24-Actuals!K24)/ABS('Reforecast Q1 2026'!K24)),"")</f>
      </c>
      <c r="AL18" s="529">
        <f>'Reforecast Q1 2026'!L24</f>
        <v>-15010.4166666667</v>
      </c>
      <c r="AM18" s="529">
        <f>IF(OR(10&gt;$B$3,ISBLANK(Actuals!L24)),"",Actuals!L24)</f>
      </c>
      <c r="AN18" s="530">
        <f>IF(OR(10&gt;$B$3,ISBLANK(Actuals!L24)),"",'Reforecast Q1 2026'!L24-Actuals!L24)</f>
      </c>
      <c r="AO18" s="530">
        <f>IFERROR(IF(OR(10&gt;$B$3,ISBLANK(Actuals!L24)),"",('Reforecast Q1 2026'!L24-Actuals!L24)/ABS('Reforecast Q1 2026'!L24)),"")</f>
      </c>
      <c r="AP18" s="529">
        <f>'Reforecast Q1 2026'!M24</f>
        <v>-16510.4166666667</v>
      </c>
      <c r="AQ18" s="529">
        <f>IF(OR(11&gt;$B$3,ISBLANK(Actuals!M24)),"",Actuals!M24)</f>
      </c>
      <c r="AR18" s="530">
        <f>IF(OR(11&gt;$B$3,ISBLANK(Actuals!M24)),"",'Reforecast Q1 2026'!M24-Actuals!M24)</f>
      </c>
      <c r="AS18" s="530">
        <f>IFERROR(IF(OR(11&gt;$B$3,ISBLANK(Actuals!M24)),"",('Reforecast Q1 2026'!M24-Actuals!M24)/ABS('Reforecast Q1 2026'!M24)),"")</f>
      </c>
      <c r="AT18" s="529">
        <f>'Reforecast Q1 2026'!N24</f>
        <v>-16510.4166666667</v>
      </c>
      <c r="AU18" s="529">
        <f>IF(OR(12&gt;$B$3,ISBLANK(Actuals!N24)),"",Actuals!N24)</f>
      </c>
      <c r="AV18" s="530">
        <f>IF(OR(12&gt;$B$3,ISBLANK(Actuals!N24)),"",'Reforecast Q1 2026'!N24-Actuals!N24)</f>
      </c>
      <c r="AW18" s="530">
        <f>IFERROR(IF(OR(12&gt;$B$3,ISBLANK(Actuals!N24)),"",('Reforecast Q1 2026'!N24-Actuals!N24)/ABS('Reforecast Q1 2026'!N24)),"")</f>
      </c>
      <c r="AX18" s="531">
        <f>SUMPRODUCT((Actuals!C24:N24&lt;&gt;"")*('Reforecast Q1 2026'!C24:N24))</f>
        <v>-60107.8233333333</v>
      </c>
      <c r="AY18" s="531">
        <f>SUM(Actuals!C24:N24)</f>
        <v>-24802.89</v>
      </c>
      <c r="AZ18" s="532">
        <f>AX18-AY18</f>
        <v>-35304.9333333333</v>
      </c>
    </row>
    <row r="19" ht="15" customFormat="1" customHeight="1" s="381">
      <c r="A19" s="528" t="inlineStr">
        <is>
          <t>5000-1003 Workers Comp</t>
        </is>
      </c>
      <c r="B19" s="529">
        <f>'Reforecast Q1 2026'!C25</f>
        <v>-2542.47</v>
      </c>
      <c r="C19" s="529">
        <f>IF(OR(1&gt;$B$3,ISBLANK(Actuals!C25)),"",Actuals!C25)</f>
        <v>-2542.47</v>
      </c>
      <c r="D19" s="530">
        <f>IF(OR(1&gt;$B$3,ISBLANK(Actuals!C25)),"",'Reforecast Q1 2026'!C25-Actuals!C25)</f>
        <v>0</v>
      </c>
      <c r="E19" s="530">
        <f>IFERROR(IF(OR(1&gt;$B$3,ISBLANK(Actuals!C25)),"",('Reforecast Q1 2026'!C25-Actuals!C25)/ABS('Reforecast Q1 2026'!C25)),"")</f>
        <v>0</v>
      </c>
      <c r="F19" s="529">
        <f>'Reforecast Q1 2026'!D25</f>
        <v>-1618.75</v>
      </c>
      <c r="G19" s="529">
        <f>IF(OR(2&gt;$B$3,ISBLANK(Actuals!D25)),"",Actuals!D25)</f>
        <v>-1618.75</v>
      </c>
      <c r="H19" s="530">
        <f>IF(OR(2&gt;$B$3,ISBLANK(Actuals!D25)),"",'Reforecast Q1 2026'!D25-Actuals!D25)</f>
        <v>0</v>
      </c>
      <c r="I19" s="530">
        <f>IFERROR(IF(OR(2&gt;$B$3,ISBLANK(Actuals!D25)),"",('Reforecast Q1 2026'!D25-Actuals!D25)/ABS('Reforecast Q1 2026'!D25)),"")</f>
        <v>0</v>
      </c>
      <c r="J19" s="529">
        <f>'Reforecast Q1 2026'!E25</f>
        <v>3406.77</v>
      </c>
      <c r="K19" s="529">
        <f>IF(OR(3&gt;$B$3,ISBLANK(Actuals!E25)),"",Actuals!E25)</f>
        <v>3406.77</v>
      </c>
      <c r="L19" s="530">
        <f>IF(OR(3&gt;$B$3,ISBLANK(Actuals!E25)),"",'Reforecast Q1 2026'!E25-Actuals!E25)</f>
        <v>0</v>
      </c>
      <c r="M19" s="530">
        <f>IFERROR(IF(OR(3&gt;$B$3,ISBLANK(Actuals!E25)),"",('Reforecast Q1 2026'!E25-Actuals!E25)/ABS('Reforecast Q1 2026'!E25)),"")</f>
        <v>0</v>
      </c>
      <c r="N19" s="529">
        <f>'Reforecast Q1 2026'!F25</f>
        <v>-4379.16666666667</v>
      </c>
      <c r="O19" s="529">
        <f>IF(OR(4&gt;$B$3,ISBLANK(Actuals!F25)),"",Actuals!F25)</f>
        <v>2575.42</v>
      </c>
      <c r="P19" s="530">
        <f>IF(OR(4&gt;$B$3,ISBLANK(Actuals!F25)),"",'Reforecast Q1 2026'!F25-Actuals!F25)</f>
        <v>-6954.58666666667</v>
      </c>
      <c r="Q19" s="530">
        <f>IFERROR(IF(OR(4&gt;$B$3,ISBLANK(Actuals!F25)),"",('Reforecast Q1 2026'!F25-Actuals!F25)/ABS('Reforecast Q1 2026'!F25)),"")</f>
        <v>-1.58810732635585</v>
      </c>
      <c r="R19" s="529">
        <f>'Reforecast Q1 2026'!G25</f>
        <v>-4870.83333333333</v>
      </c>
      <c r="S19" s="529">
        <f>IF(OR(5&gt;$B$3,ISBLANK(Actuals!G25)),"",Actuals!G25)</f>
        <v>-1896.11</v>
      </c>
      <c r="T19" s="530">
        <f>IF(OR(5&gt;$B$3,ISBLANK(Actuals!G25)),"",'Reforecast Q1 2026'!G25-Actuals!G25)</f>
        <v>-2974.72333333333</v>
      </c>
      <c r="U19" s="530">
        <f>IFERROR(IF(OR(5&gt;$B$3,ISBLANK(Actuals!G25)),"",('Reforecast Q1 2026'!G25-Actuals!G25)/ABS('Reforecast Q1 2026'!G25)),"")</f>
        <v>-0.610721642429427</v>
      </c>
      <c r="V19" s="529">
        <f>'Reforecast Q1 2026'!H25</f>
        <v>-5370.83333333333</v>
      </c>
      <c r="W19" s="529">
        <f>IF(OR(6&gt;$B$3,ISBLANK(Actuals!H25)),"",Actuals!H25)</f>
        <v>-2888.37</v>
      </c>
      <c r="X19" s="530">
        <f>IF(OR(6&gt;$B$3,ISBLANK(Actuals!H25)),"",'Reforecast Q1 2026'!H25-Actuals!H25)</f>
        <v>-2482.46333333333</v>
      </c>
      <c r="Y19" s="530">
        <f>IFERROR(IF(OR(6&gt;$B$3,ISBLANK(Actuals!H25)),"",('Reforecast Q1 2026'!H25-Actuals!H25)/ABS('Reforecast Q1 2026'!H25)),"")</f>
        <v>-0.462211947245927</v>
      </c>
      <c r="Z19" s="529">
        <f>'Reforecast Q1 2026'!I25</f>
        <v>-5587.5</v>
      </c>
      <c r="AA19" s="529">
        <f>IF(OR(7&gt;$B$3,ISBLANK(Actuals!I25)),"",Actuals!I25)</f>
      </c>
      <c r="AB19" s="530">
        <f>IF(OR(7&gt;$B$3,ISBLANK(Actuals!I25)),"",'Reforecast Q1 2026'!I25-Actuals!I25)</f>
      </c>
      <c r="AC19" s="530">
        <f>IFERROR(IF(OR(7&gt;$B$3,ISBLANK(Actuals!I25)),"",('Reforecast Q1 2026'!I25-Actuals!I25)/ABS('Reforecast Q1 2026'!I25)),"")</f>
      </c>
      <c r="AD19" s="529">
        <f>'Reforecast Q1 2026'!J25</f>
        <v>-5587.5</v>
      </c>
      <c r="AE19" s="529">
        <f>IF(OR(8&gt;$B$3,ISBLANK(Actuals!J25)),"",Actuals!J25)</f>
      </c>
      <c r="AF19" s="530">
        <f>IF(OR(8&gt;$B$3,ISBLANK(Actuals!J25)),"",'Reforecast Q1 2026'!J25-Actuals!J25)</f>
      </c>
      <c r="AG19" s="530">
        <f>IFERROR(IF(OR(8&gt;$B$3,ISBLANK(Actuals!J25)),"",('Reforecast Q1 2026'!J25-Actuals!J25)/ABS('Reforecast Q1 2026'!J25)),"")</f>
      </c>
      <c r="AH19" s="529">
        <f>'Reforecast Q1 2026'!K25</f>
        <v>-5587.5</v>
      </c>
      <c r="AI19" s="529">
        <f>IF(OR(9&gt;$B$3,ISBLANK(Actuals!K25)),"",Actuals!K25)</f>
      </c>
      <c r="AJ19" s="530">
        <f>IF(OR(9&gt;$B$3,ISBLANK(Actuals!K25)),"",'Reforecast Q1 2026'!K25-Actuals!K25)</f>
      </c>
      <c r="AK19" s="530">
        <f>IFERROR(IF(OR(9&gt;$B$3,ISBLANK(Actuals!K25)),"",('Reforecast Q1 2026'!K25-Actuals!K25)/ABS('Reforecast Q1 2026'!K25)),"")</f>
      </c>
      <c r="AL19" s="529">
        <f>'Reforecast Q1 2026'!L25</f>
        <v>-6004.16666666667</v>
      </c>
      <c r="AM19" s="529">
        <f>IF(OR(10&gt;$B$3,ISBLANK(Actuals!L25)),"",Actuals!L25)</f>
      </c>
      <c r="AN19" s="530">
        <f>IF(OR(10&gt;$B$3,ISBLANK(Actuals!L25)),"",'Reforecast Q1 2026'!L25-Actuals!L25)</f>
      </c>
      <c r="AO19" s="530">
        <f>IFERROR(IF(OR(10&gt;$B$3,ISBLANK(Actuals!L25)),"",('Reforecast Q1 2026'!L25-Actuals!L25)/ABS('Reforecast Q1 2026'!L25)),"")</f>
      </c>
      <c r="AP19" s="529">
        <f>'Reforecast Q1 2026'!M25</f>
        <v>-6604.16666666666</v>
      </c>
      <c r="AQ19" s="529">
        <f>IF(OR(11&gt;$B$3,ISBLANK(Actuals!M25)),"",Actuals!M25)</f>
      </c>
      <c r="AR19" s="530">
        <f>IF(OR(11&gt;$B$3,ISBLANK(Actuals!M25)),"",'Reforecast Q1 2026'!M25-Actuals!M25)</f>
      </c>
      <c r="AS19" s="530">
        <f>IFERROR(IF(OR(11&gt;$B$3,ISBLANK(Actuals!M25)),"",('Reforecast Q1 2026'!M25-Actuals!M25)/ABS('Reforecast Q1 2026'!M25)),"")</f>
      </c>
      <c r="AT19" s="529">
        <f>'Reforecast Q1 2026'!N25</f>
        <v>-6604.16666666666</v>
      </c>
      <c r="AU19" s="529">
        <f>IF(OR(12&gt;$B$3,ISBLANK(Actuals!N25)),"",Actuals!N25)</f>
      </c>
      <c r="AV19" s="530">
        <f>IF(OR(12&gt;$B$3,ISBLANK(Actuals!N25)),"",'Reforecast Q1 2026'!N25-Actuals!N25)</f>
      </c>
      <c r="AW19" s="530">
        <f>IFERROR(IF(OR(12&gt;$B$3,ISBLANK(Actuals!N25)),"",('Reforecast Q1 2026'!N25-Actuals!N25)/ABS('Reforecast Q1 2026'!N25)),"")</f>
      </c>
      <c r="AX19" s="531">
        <f>SUMPRODUCT((Actuals!C25:N25&lt;&gt;"")*('Reforecast Q1 2026'!C25:N25))</f>
        <v>-15375.2833333333</v>
      </c>
      <c r="AY19" s="531">
        <f>SUM(Actuals!C25:N25)</f>
        <v>-2963.51</v>
      </c>
      <c r="AZ19" s="532">
        <f>AX19-AY19</f>
        <v>-12411.7733333333</v>
      </c>
    </row>
    <row r="20" ht="15" customFormat="1" customHeight="1" s="381">
      <c r="A20" s="528" t="inlineStr">
        <is>
          <t>5000-1005 Payroll Servicing Fees</t>
        </is>
      </c>
      <c r="B20" s="529">
        <f>'Reforecast Q1 2026'!C26</f>
        <v>-195</v>
      </c>
      <c r="C20" s="529">
        <f>IF(OR(1&gt;$B$3,ISBLANK(Actuals!C26)),"",Actuals!C26)</f>
        <v>-195</v>
      </c>
      <c r="D20" s="530">
        <f>IF(OR(1&gt;$B$3,ISBLANK(Actuals!C26)),"",'Reforecast Q1 2026'!C26-Actuals!C26)</f>
        <v>0</v>
      </c>
      <c r="E20" s="530">
        <f>IFERROR(IF(OR(1&gt;$B$3,ISBLANK(Actuals!C26)),"",('Reforecast Q1 2026'!C26-Actuals!C26)/ABS('Reforecast Q1 2026'!C26)),"")</f>
        <v>0</v>
      </c>
      <c r="F20" s="529">
        <f>'Reforecast Q1 2026'!D26</f>
        <v>-200</v>
      </c>
      <c r="G20" s="529">
        <f>IF(OR(2&gt;$B$3,ISBLANK(Actuals!D26)),"",Actuals!D26)</f>
        <v>-200</v>
      </c>
      <c r="H20" s="530">
        <f>IF(OR(2&gt;$B$3,ISBLANK(Actuals!D26)),"",'Reforecast Q1 2026'!D26-Actuals!D26)</f>
        <v>0</v>
      </c>
      <c r="I20" s="530">
        <f>IFERROR(IF(OR(2&gt;$B$3,ISBLANK(Actuals!D26)),"",('Reforecast Q1 2026'!D26-Actuals!D26)/ABS('Reforecast Q1 2026'!D26)),"")</f>
        <v>0</v>
      </c>
      <c r="J20" s="529">
        <f>'Reforecast Q1 2026'!E26</f>
        <v>0</v>
      </c>
      <c r="K20" s="529">
        <f>IF(OR(3&gt;$B$3,ISBLANK(Actuals!E26)),"",Actuals!E26)</f>
        <v>0</v>
      </c>
      <c r="L20" s="530">
        <f>IF(OR(3&gt;$B$3,ISBLANK(Actuals!E26)),"",'Reforecast Q1 2026'!E26-Actuals!E26)</f>
        <v>0</v>
      </c>
      <c r="M20" s="530">
        <f>IFERROR(IF(OR(3&gt;$B$3,ISBLANK(Actuals!E26)),"",('Reforecast Q1 2026'!E26-Actuals!E26)/ABS('Reforecast Q1 2026'!E26)),"")</f>
      </c>
      <c r="N20" s="529">
        <f>'Reforecast Q1 2026'!F26</f>
        <v>-1094.79166666667</v>
      </c>
      <c r="O20" s="529">
        <f>IF(OR(4&gt;$B$3,ISBLANK(Actuals!F26)),"",Actuals!F26)</f>
        <v>0</v>
      </c>
      <c r="P20" s="530">
        <f>IF(OR(4&gt;$B$3,ISBLANK(Actuals!F26)),"",'Reforecast Q1 2026'!F26-Actuals!F26)</f>
        <v>-1094.79166666667</v>
      </c>
      <c r="Q20" s="530">
        <f>IFERROR(IF(OR(4&gt;$B$3,ISBLANK(Actuals!F26)),"",('Reforecast Q1 2026'!F26-Actuals!F26)/ABS('Reforecast Q1 2026'!F26)),"")</f>
        <v>-1</v>
      </c>
      <c r="R20" s="529">
        <f>'Reforecast Q1 2026'!G26</f>
        <v>-1217.70833333333</v>
      </c>
      <c r="S20" s="529">
        <f>IF(OR(5&gt;$B$3,ISBLANK(Actuals!G26)),"",Actuals!G26)</f>
        <v>0</v>
      </c>
      <c r="T20" s="530">
        <f>IF(OR(5&gt;$B$3,ISBLANK(Actuals!G26)),"",'Reforecast Q1 2026'!G26-Actuals!G26)</f>
        <v>-1217.70833333333</v>
      </c>
      <c r="U20" s="530">
        <f>IFERROR(IF(OR(5&gt;$B$3,ISBLANK(Actuals!G26)),"",('Reforecast Q1 2026'!G26-Actuals!G26)/ABS('Reforecast Q1 2026'!G26)),"")</f>
        <v>-1</v>
      </c>
      <c r="V20" s="529">
        <f>'Reforecast Q1 2026'!H26</f>
        <v>-1342.70833333333</v>
      </c>
      <c r="W20" s="529">
        <f>IF(OR(6&gt;$B$3,ISBLANK(Actuals!H26)),"",Actuals!H26)</f>
        <v>0</v>
      </c>
      <c r="X20" s="530">
        <f>IF(OR(6&gt;$B$3,ISBLANK(Actuals!H26)),"",'Reforecast Q1 2026'!H26-Actuals!H26)</f>
        <v>-1342.70833333333</v>
      </c>
      <c r="Y20" s="530">
        <f>IFERROR(IF(OR(6&gt;$B$3,ISBLANK(Actuals!H26)),"",('Reforecast Q1 2026'!H26-Actuals!H26)/ABS('Reforecast Q1 2026'!H26)),"")</f>
        <v>-1</v>
      </c>
      <c r="Z20" s="529">
        <f>'Reforecast Q1 2026'!I26</f>
        <v>-1396.875</v>
      </c>
      <c r="AA20" s="529">
        <f>IF(OR(7&gt;$B$3,ISBLANK(Actuals!I26)),"",Actuals!I26)</f>
      </c>
      <c r="AB20" s="530">
        <f>IF(OR(7&gt;$B$3,ISBLANK(Actuals!I26)),"",'Reforecast Q1 2026'!I26-Actuals!I26)</f>
      </c>
      <c r="AC20" s="530">
        <f>IFERROR(IF(OR(7&gt;$B$3,ISBLANK(Actuals!I26)),"",('Reforecast Q1 2026'!I26-Actuals!I26)/ABS('Reforecast Q1 2026'!I26)),"")</f>
      </c>
      <c r="AD20" s="529">
        <f>'Reforecast Q1 2026'!J26</f>
        <v>-1396.875</v>
      </c>
      <c r="AE20" s="529">
        <f>IF(OR(8&gt;$B$3,ISBLANK(Actuals!J26)),"",Actuals!J26)</f>
      </c>
      <c r="AF20" s="530">
        <f>IF(OR(8&gt;$B$3,ISBLANK(Actuals!J26)),"",'Reforecast Q1 2026'!J26-Actuals!J26)</f>
      </c>
      <c r="AG20" s="530">
        <f>IFERROR(IF(OR(8&gt;$B$3,ISBLANK(Actuals!J26)),"",('Reforecast Q1 2026'!J26-Actuals!J26)/ABS('Reforecast Q1 2026'!J26)),"")</f>
      </c>
      <c r="AH20" s="529">
        <f>'Reforecast Q1 2026'!K26</f>
        <v>-1396.875</v>
      </c>
      <c r="AI20" s="529">
        <f>IF(OR(9&gt;$B$3,ISBLANK(Actuals!K26)),"",Actuals!K26)</f>
      </c>
      <c r="AJ20" s="530">
        <f>IF(OR(9&gt;$B$3,ISBLANK(Actuals!K26)),"",'Reforecast Q1 2026'!K26-Actuals!K26)</f>
      </c>
      <c r="AK20" s="530">
        <f>IFERROR(IF(OR(9&gt;$B$3,ISBLANK(Actuals!K26)),"",('Reforecast Q1 2026'!K26-Actuals!K26)/ABS('Reforecast Q1 2026'!K26)),"")</f>
      </c>
      <c r="AL20" s="529">
        <f>'Reforecast Q1 2026'!L26</f>
        <v>-1501.04166666667</v>
      </c>
      <c r="AM20" s="529">
        <f>IF(OR(10&gt;$B$3,ISBLANK(Actuals!L26)),"",Actuals!L26)</f>
      </c>
      <c r="AN20" s="530">
        <f>IF(OR(10&gt;$B$3,ISBLANK(Actuals!L26)),"",'Reforecast Q1 2026'!L26-Actuals!L26)</f>
      </c>
      <c r="AO20" s="530">
        <f>IFERROR(IF(OR(10&gt;$B$3,ISBLANK(Actuals!L26)),"",('Reforecast Q1 2026'!L26-Actuals!L26)/ABS('Reforecast Q1 2026'!L26)),"")</f>
      </c>
      <c r="AP20" s="529">
        <f>'Reforecast Q1 2026'!M26</f>
        <v>-1651.04166666667</v>
      </c>
      <c r="AQ20" s="529">
        <f>IF(OR(11&gt;$B$3,ISBLANK(Actuals!M26)),"",Actuals!M26)</f>
      </c>
      <c r="AR20" s="530">
        <f>IF(OR(11&gt;$B$3,ISBLANK(Actuals!M26)),"",'Reforecast Q1 2026'!M26-Actuals!M26)</f>
      </c>
      <c r="AS20" s="530">
        <f>IFERROR(IF(OR(11&gt;$B$3,ISBLANK(Actuals!M26)),"",('Reforecast Q1 2026'!M26-Actuals!M26)/ABS('Reforecast Q1 2026'!M26)),"")</f>
      </c>
      <c r="AT20" s="529">
        <f>'Reforecast Q1 2026'!N26</f>
        <v>-1651.04166666667</v>
      </c>
      <c r="AU20" s="529">
        <f>IF(OR(12&gt;$B$3,ISBLANK(Actuals!N26)),"",Actuals!N26)</f>
      </c>
      <c r="AV20" s="530">
        <f>IF(OR(12&gt;$B$3,ISBLANK(Actuals!N26)),"",'Reforecast Q1 2026'!N26-Actuals!N26)</f>
      </c>
      <c r="AW20" s="530">
        <f>IFERROR(IF(OR(12&gt;$B$3,ISBLANK(Actuals!N26)),"",('Reforecast Q1 2026'!N26-Actuals!N26)/ABS('Reforecast Q1 2026'!N26)),"")</f>
      </c>
      <c r="AX20" s="531">
        <f>SUMPRODUCT((Actuals!C26:N26&lt;&gt;"")*('Reforecast Q1 2026'!C26:N26))</f>
        <v>-4050.20833333333</v>
      </c>
      <c r="AY20" s="531">
        <f>SUM(Actuals!C26:N26)</f>
        <v>-395</v>
      </c>
      <c r="AZ20" s="532">
        <f>AX20-AY20</f>
        <v>-3655.20833333333</v>
      </c>
    </row>
    <row r="21" ht="15" customFormat="1" customHeight="1" s="381">
      <c r="A21" s="528" t="inlineStr">
        <is>
          <t>5000-1007 Payroll - Consultants</t>
        </is>
      </c>
      <c r="B21" s="529">
        <f>'Reforecast Q1 2026'!C27</f>
        <v>-33002.28</v>
      </c>
      <c r="C21" s="529">
        <f>IF(OR(1&gt;$B$3,ISBLANK(Actuals!C27)),"",Actuals!C27)</f>
        <v>-33002.28</v>
      </c>
      <c r="D21" s="530">
        <f>IF(OR(1&gt;$B$3,ISBLANK(Actuals!C27)),"",'Reforecast Q1 2026'!C27-Actuals!C27)</f>
        <v>0</v>
      </c>
      <c r="E21" s="530">
        <f>IFERROR(IF(OR(1&gt;$B$3,ISBLANK(Actuals!C27)),"",('Reforecast Q1 2026'!C27-Actuals!C27)/ABS('Reforecast Q1 2026'!C27)),"")</f>
        <v>0</v>
      </c>
      <c r="F21" s="529">
        <f>'Reforecast Q1 2026'!D27</f>
        <v>-29166.66</v>
      </c>
      <c r="G21" s="529">
        <f>IF(OR(2&gt;$B$3,ISBLANK(Actuals!D27)),"",Actuals!D27)</f>
        <v>-29166.66</v>
      </c>
      <c r="H21" s="530">
        <f>IF(OR(2&gt;$B$3,ISBLANK(Actuals!D27)),"",'Reforecast Q1 2026'!D27-Actuals!D27)</f>
        <v>0</v>
      </c>
      <c r="I21" s="530">
        <f>IFERROR(IF(OR(2&gt;$B$3,ISBLANK(Actuals!D27)),"",('Reforecast Q1 2026'!D27-Actuals!D27)/ABS('Reforecast Q1 2026'!D27)),"")</f>
        <v>0</v>
      </c>
      <c r="J21" s="529">
        <f>'Reforecast Q1 2026'!E27</f>
        <v>-41666.66</v>
      </c>
      <c r="K21" s="529">
        <f>IF(OR(3&gt;$B$3,ISBLANK(Actuals!E27)),"",Actuals!E27)</f>
        <v>-41666.66</v>
      </c>
      <c r="L21" s="530">
        <f>IF(OR(3&gt;$B$3,ISBLANK(Actuals!E27)),"",'Reforecast Q1 2026'!E27-Actuals!E27)</f>
        <v>0</v>
      </c>
      <c r="M21" s="530">
        <f>IFERROR(IF(OR(3&gt;$B$3,ISBLANK(Actuals!E27)),"",('Reforecast Q1 2026'!E27-Actuals!E27)/ABS('Reforecast Q1 2026'!E27)),"")</f>
        <v>0</v>
      </c>
      <c r="N21" s="529">
        <f>'Reforecast Q1 2026'!F27</f>
        <v>-29166.66</v>
      </c>
      <c r="O21" s="529">
        <f>IF(OR(4&gt;$B$3,ISBLANK(Actuals!F27)),"",Actuals!F27)</f>
        <v>-29166.66</v>
      </c>
      <c r="P21" s="530">
        <f>IF(OR(4&gt;$B$3,ISBLANK(Actuals!F27)),"",'Reforecast Q1 2026'!F27-Actuals!F27)</f>
        <v>0</v>
      </c>
      <c r="Q21" s="530">
        <f>IFERROR(IF(OR(4&gt;$B$3,ISBLANK(Actuals!F27)),"",('Reforecast Q1 2026'!F27-Actuals!F27)/ABS('Reforecast Q1 2026'!F27)),"")</f>
        <v>0</v>
      </c>
      <c r="R21" s="529">
        <f>'Reforecast Q1 2026'!G27</f>
        <v>-29166.66</v>
      </c>
      <c r="S21" s="529">
        <f>IF(OR(5&gt;$B$3,ISBLANK(Actuals!G27)),"",Actuals!G27)</f>
        <v>-29166.66</v>
      </c>
      <c r="T21" s="530">
        <f>IF(OR(5&gt;$B$3,ISBLANK(Actuals!G27)),"",'Reforecast Q1 2026'!G27-Actuals!G27)</f>
        <v>0</v>
      </c>
      <c r="U21" s="530">
        <f>IFERROR(IF(OR(5&gt;$B$3,ISBLANK(Actuals!G27)),"",('Reforecast Q1 2026'!G27-Actuals!G27)/ABS('Reforecast Q1 2026'!G27)),"")</f>
        <v>0</v>
      </c>
      <c r="V21" s="529">
        <f>'Reforecast Q1 2026'!H27</f>
        <v>-29166.66</v>
      </c>
      <c r="W21" s="529">
        <f>IF(OR(6&gt;$B$3,ISBLANK(Actuals!H27)),"",Actuals!H27)</f>
        <v>-29166.66</v>
      </c>
      <c r="X21" s="530">
        <f>IF(OR(6&gt;$B$3,ISBLANK(Actuals!H27)),"",'Reforecast Q1 2026'!H27-Actuals!H27)</f>
        <v>0</v>
      </c>
      <c r="Y21" s="530">
        <f>IFERROR(IF(OR(6&gt;$B$3,ISBLANK(Actuals!H27)),"",('Reforecast Q1 2026'!H27-Actuals!H27)/ABS('Reforecast Q1 2026'!H27)),"")</f>
        <v>0</v>
      </c>
      <c r="Z21" s="529">
        <f>'Reforecast Q1 2026'!I27</f>
        <v>-29166.66</v>
      </c>
      <c r="AA21" s="529">
        <f>IF(OR(7&gt;$B$3,ISBLANK(Actuals!I27)),"",Actuals!I27)</f>
      </c>
      <c r="AB21" s="530">
        <f>IF(OR(7&gt;$B$3,ISBLANK(Actuals!I27)),"",'Reforecast Q1 2026'!I27-Actuals!I27)</f>
      </c>
      <c r="AC21" s="530">
        <f>IFERROR(IF(OR(7&gt;$B$3,ISBLANK(Actuals!I27)),"",('Reforecast Q1 2026'!I27-Actuals!I27)/ABS('Reforecast Q1 2026'!I27)),"")</f>
      </c>
      <c r="AD21" s="529">
        <f>'Reforecast Q1 2026'!J27</f>
        <v>-29166.66</v>
      </c>
      <c r="AE21" s="529">
        <f>IF(OR(8&gt;$B$3,ISBLANK(Actuals!J27)),"",Actuals!J27)</f>
      </c>
      <c r="AF21" s="530">
        <f>IF(OR(8&gt;$B$3,ISBLANK(Actuals!J27)),"",'Reforecast Q1 2026'!J27-Actuals!J27)</f>
      </c>
      <c r="AG21" s="530">
        <f>IFERROR(IF(OR(8&gt;$B$3,ISBLANK(Actuals!J27)),"",('Reforecast Q1 2026'!J27-Actuals!J27)/ABS('Reforecast Q1 2026'!J27)),"")</f>
      </c>
      <c r="AH21" s="529">
        <f>'Reforecast Q1 2026'!K27</f>
        <v>-29166.66</v>
      </c>
      <c r="AI21" s="529">
        <f>IF(OR(9&gt;$B$3,ISBLANK(Actuals!K27)),"",Actuals!K27)</f>
      </c>
      <c r="AJ21" s="530">
        <f>IF(OR(9&gt;$B$3,ISBLANK(Actuals!K27)),"",'Reforecast Q1 2026'!K27-Actuals!K27)</f>
      </c>
      <c r="AK21" s="530">
        <f>IFERROR(IF(OR(9&gt;$B$3,ISBLANK(Actuals!K27)),"",('Reforecast Q1 2026'!K27-Actuals!K27)/ABS('Reforecast Q1 2026'!K27)),"")</f>
      </c>
      <c r="AL21" s="529">
        <f>'Reforecast Q1 2026'!L27</f>
        <v>-29166.66</v>
      </c>
      <c r="AM21" s="529">
        <f>IF(OR(10&gt;$B$3,ISBLANK(Actuals!L27)),"",Actuals!L27)</f>
      </c>
      <c r="AN21" s="530">
        <f>IF(OR(10&gt;$B$3,ISBLANK(Actuals!L27)),"",'Reforecast Q1 2026'!L27-Actuals!L27)</f>
      </c>
      <c r="AO21" s="530">
        <f>IFERROR(IF(OR(10&gt;$B$3,ISBLANK(Actuals!L27)),"",('Reforecast Q1 2026'!L27-Actuals!L27)/ABS('Reforecast Q1 2026'!L27)),"")</f>
      </c>
      <c r="AP21" s="529">
        <f>'Reforecast Q1 2026'!M27</f>
        <v>-29166.66</v>
      </c>
      <c r="AQ21" s="529">
        <f>IF(OR(11&gt;$B$3,ISBLANK(Actuals!M27)),"",Actuals!M27)</f>
      </c>
      <c r="AR21" s="530">
        <f>IF(OR(11&gt;$B$3,ISBLANK(Actuals!M27)),"",'Reforecast Q1 2026'!M27-Actuals!M27)</f>
      </c>
      <c r="AS21" s="530">
        <f>IFERROR(IF(OR(11&gt;$B$3,ISBLANK(Actuals!M27)),"",('Reforecast Q1 2026'!M27-Actuals!M27)/ABS('Reforecast Q1 2026'!M27)),"")</f>
      </c>
      <c r="AT21" s="529">
        <f>'Reforecast Q1 2026'!N27</f>
        <v>-29166.66</v>
      </c>
      <c r="AU21" s="529">
        <f>IF(OR(12&gt;$B$3,ISBLANK(Actuals!N27)),"",Actuals!N27)</f>
      </c>
      <c r="AV21" s="530">
        <f>IF(OR(12&gt;$B$3,ISBLANK(Actuals!N27)),"",'Reforecast Q1 2026'!N27-Actuals!N27)</f>
      </c>
      <c r="AW21" s="530">
        <f>IFERROR(IF(OR(12&gt;$B$3,ISBLANK(Actuals!N27)),"",('Reforecast Q1 2026'!N27-Actuals!N27)/ABS('Reforecast Q1 2026'!N27)),"")</f>
      </c>
      <c r="AX21" s="531">
        <f>SUMPRODUCT((Actuals!C27:N27&lt;&gt;"")*('Reforecast Q1 2026'!C27:N27))</f>
        <v>-191335.58</v>
      </c>
      <c r="AY21" s="531">
        <f>SUM(Actuals!C27:N27)</f>
        <v>-191335.58</v>
      </c>
      <c r="AZ21" s="532">
        <f>AX21-AY21</f>
        <v>0</v>
      </c>
    </row>
    <row r="22" ht="15" customFormat="1" customHeight="1" s="381">
      <c r="A22" s="528" t="inlineStr">
        <is>
          <t>5000-1018 Payroll - Self Performed Trades</t>
        </is>
      </c>
      <c r="B22" s="529">
        <f>'Reforecast Q1 2026'!C28</f>
        <v>0</v>
      </c>
      <c r="C22" s="529">
        <f>IF(OR(1&gt;$B$3,ISBLANK(Actuals!C28)),"",Actuals!C28)</f>
        <v>0</v>
      </c>
      <c r="D22" s="530">
        <f>IF(OR(1&gt;$B$3,ISBLANK(Actuals!C28)),"",'Reforecast Q1 2026'!C28-Actuals!C28)</f>
        <v>0</v>
      </c>
      <c r="E22" s="530">
        <f>IFERROR(IF(OR(1&gt;$B$3,ISBLANK(Actuals!C28)),"",('Reforecast Q1 2026'!C28-Actuals!C28)/ABS('Reforecast Q1 2026'!C28)),"")</f>
      </c>
      <c r="F22" s="529">
        <f>'Reforecast Q1 2026'!D28</f>
        <v>0</v>
      </c>
      <c r="G22" s="529">
        <f>IF(OR(2&gt;$B$3,ISBLANK(Actuals!D28)),"",Actuals!D28)</f>
        <v>0</v>
      </c>
      <c r="H22" s="530">
        <f>IF(OR(2&gt;$B$3,ISBLANK(Actuals!D28)),"",'Reforecast Q1 2026'!D28-Actuals!D28)</f>
        <v>0</v>
      </c>
      <c r="I22" s="530">
        <f>IFERROR(IF(OR(2&gt;$B$3,ISBLANK(Actuals!D28)),"",('Reforecast Q1 2026'!D28-Actuals!D28)/ABS('Reforecast Q1 2026'!D28)),"")</f>
      </c>
      <c r="J22" s="529">
        <f>'Reforecast Q1 2026'!E28</f>
        <v>0</v>
      </c>
      <c r="K22" s="529">
        <f>IF(OR(3&gt;$B$3,ISBLANK(Actuals!E28)),"",Actuals!E28)</f>
        <v>0</v>
      </c>
      <c r="L22" s="530">
        <f>IF(OR(3&gt;$B$3,ISBLANK(Actuals!E28)),"",'Reforecast Q1 2026'!E28-Actuals!E28)</f>
        <v>0</v>
      </c>
      <c r="M22" s="530">
        <f>IFERROR(IF(OR(3&gt;$B$3,ISBLANK(Actuals!E28)),"",('Reforecast Q1 2026'!E28-Actuals!E28)/ABS('Reforecast Q1 2026'!E28)),"")</f>
      </c>
      <c r="N22" s="529">
        <f>'Reforecast Q1 2026'!F28</f>
        <v>0</v>
      </c>
      <c r="O22" s="529">
        <f>IF(OR(4&gt;$B$3,ISBLANK(Actuals!F28)),"",Actuals!F28)</f>
        <v>251304.48</v>
      </c>
      <c r="P22" s="530">
        <f>IF(OR(4&gt;$B$3,ISBLANK(Actuals!F28)),"",'Reforecast Q1 2026'!F28-Actuals!F28)</f>
        <v>-251304.48</v>
      </c>
      <c r="Q22" s="530">
        <f>IFERROR(IF(OR(4&gt;$B$3,ISBLANK(Actuals!F28)),"",('Reforecast Q1 2026'!F28-Actuals!F28)/ABS('Reforecast Q1 2026'!F28)),"")</f>
      </c>
      <c r="R22" s="529">
        <f>'Reforecast Q1 2026'!G28</f>
        <v>0</v>
      </c>
      <c r="S22" s="529">
        <f>IF(OR(5&gt;$B$3,ISBLANK(Actuals!G28)),"",Actuals!G28)</f>
        <v>81510</v>
      </c>
      <c r="T22" s="530">
        <f>IF(OR(5&gt;$B$3,ISBLANK(Actuals!G28)),"",'Reforecast Q1 2026'!G28-Actuals!G28)</f>
        <v>-81510</v>
      </c>
      <c r="U22" s="530">
        <f>IFERROR(IF(OR(5&gt;$B$3,ISBLANK(Actuals!G28)),"",('Reforecast Q1 2026'!G28-Actuals!G28)/ABS('Reforecast Q1 2026'!G28)),"")</f>
      </c>
      <c r="V22" s="529">
        <f>'Reforecast Q1 2026'!H28</f>
        <v>0</v>
      </c>
      <c r="W22" s="529">
        <f>IF(OR(6&gt;$B$3,ISBLANK(Actuals!H28)),"",Actuals!H28)</f>
        <v>0</v>
      </c>
      <c r="X22" s="530">
        <f>IF(OR(6&gt;$B$3,ISBLANK(Actuals!H28)),"",'Reforecast Q1 2026'!H28-Actuals!H28)</f>
        <v>0</v>
      </c>
      <c r="Y22" s="530">
        <f>IFERROR(IF(OR(6&gt;$B$3,ISBLANK(Actuals!H28)),"",('Reforecast Q1 2026'!H28-Actuals!H28)/ABS('Reforecast Q1 2026'!H28)),"")</f>
      </c>
      <c r="Z22" s="529">
        <f>'Reforecast Q1 2026'!I28</f>
        <v>0</v>
      </c>
      <c r="AA22" s="529">
        <f>IF(OR(7&gt;$B$3,ISBLANK(Actuals!I28)),"",Actuals!I28)</f>
      </c>
      <c r="AB22" s="530">
        <f>IF(OR(7&gt;$B$3,ISBLANK(Actuals!I28)),"",'Reforecast Q1 2026'!I28-Actuals!I28)</f>
      </c>
      <c r="AC22" s="530">
        <f>IFERROR(IF(OR(7&gt;$B$3,ISBLANK(Actuals!I28)),"",('Reforecast Q1 2026'!I28-Actuals!I28)/ABS('Reforecast Q1 2026'!I28)),"")</f>
      </c>
      <c r="AD22" s="529">
        <f>'Reforecast Q1 2026'!J28</f>
        <v>0</v>
      </c>
      <c r="AE22" s="529">
        <f>IF(OR(8&gt;$B$3,ISBLANK(Actuals!J28)),"",Actuals!J28)</f>
      </c>
      <c r="AF22" s="530">
        <f>IF(OR(8&gt;$B$3,ISBLANK(Actuals!J28)),"",'Reforecast Q1 2026'!J28-Actuals!J28)</f>
      </c>
      <c r="AG22" s="530">
        <f>IFERROR(IF(OR(8&gt;$B$3,ISBLANK(Actuals!J28)),"",('Reforecast Q1 2026'!J28-Actuals!J28)/ABS('Reforecast Q1 2026'!J28)),"")</f>
      </c>
      <c r="AH22" s="529">
        <f>'Reforecast Q1 2026'!K28</f>
        <v>0</v>
      </c>
      <c r="AI22" s="529">
        <f>IF(OR(9&gt;$B$3,ISBLANK(Actuals!K28)),"",Actuals!K28)</f>
      </c>
      <c r="AJ22" s="530">
        <f>IF(OR(9&gt;$B$3,ISBLANK(Actuals!K28)),"",'Reforecast Q1 2026'!K28-Actuals!K28)</f>
      </c>
      <c r="AK22" s="530">
        <f>IFERROR(IF(OR(9&gt;$B$3,ISBLANK(Actuals!K28)),"",('Reforecast Q1 2026'!K28-Actuals!K28)/ABS('Reforecast Q1 2026'!K28)),"")</f>
      </c>
      <c r="AL22" s="529">
        <f>'Reforecast Q1 2026'!L28</f>
        <v>0</v>
      </c>
      <c r="AM22" s="529">
        <f>IF(OR(10&gt;$B$3,ISBLANK(Actuals!L28)),"",Actuals!L28)</f>
      </c>
      <c r="AN22" s="530">
        <f>IF(OR(10&gt;$B$3,ISBLANK(Actuals!L28)),"",'Reforecast Q1 2026'!L28-Actuals!L28)</f>
      </c>
      <c r="AO22" s="530">
        <f>IFERROR(IF(OR(10&gt;$B$3,ISBLANK(Actuals!L28)),"",('Reforecast Q1 2026'!L28-Actuals!L28)/ABS('Reforecast Q1 2026'!L28)),"")</f>
      </c>
      <c r="AP22" s="529">
        <f>'Reforecast Q1 2026'!M28</f>
        <v>0</v>
      </c>
      <c r="AQ22" s="529">
        <f>IF(OR(11&gt;$B$3,ISBLANK(Actuals!M28)),"",Actuals!M28)</f>
      </c>
      <c r="AR22" s="530">
        <f>IF(OR(11&gt;$B$3,ISBLANK(Actuals!M28)),"",'Reforecast Q1 2026'!M28-Actuals!M28)</f>
      </c>
      <c r="AS22" s="530">
        <f>IFERROR(IF(OR(11&gt;$B$3,ISBLANK(Actuals!M28)),"",('Reforecast Q1 2026'!M28-Actuals!M28)/ABS('Reforecast Q1 2026'!M28)),"")</f>
      </c>
      <c r="AT22" s="529">
        <f>'Reforecast Q1 2026'!N28</f>
        <v>0</v>
      </c>
      <c r="AU22" s="529">
        <f>IF(OR(12&gt;$B$3,ISBLANK(Actuals!N28)),"",Actuals!N28)</f>
      </c>
      <c r="AV22" s="530">
        <f>IF(OR(12&gt;$B$3,ISBLANK(Actuals!N28)),"",'Reforecast Q1 2026'!N28-Actuals!N28)</f>
      </c>
      <c r="AW22" s="530">
        <f>IFERROR(IF(OR(12&gt;$B$3,ISBLANK(Actuals!N28)),"",('Reforecast Q1 2026'!N28-Actuals!N28)/ABS('Reforecast Q1 2026'!N28)),"")</f>
      </c>
      <c r="AX22" s="531">
        <f>SUMPRODUCT((Actuals!C28:N28&lt;&gt;"")*('Reforecast Q1 2026'!C28:N28))</f>
        <v>0</v>
      </c>
      <c r="AY22" s="531">
        <f>SUM(Actuals!C28:N28)</f>
        <v>332814.48</v>
      </c>
      <c r="AZ22" s="532">
        <f>AX22-AY22</f>
        <v>-332814.48</v>
      </c>
    </row>
    <row r="23" ht="15" customFormat="1" customHeight="1" s="381">
      <c r="A23" s="528" t="inlineStr">
        <is>
          <t>5100-1000 Rent Expense</t>
        </is>
      </c>
      <c r="B23" s="529">
        <f>'Reforecast Q1 2026'!C29</f>
        <v>-10400</v>
      </c>
      <c r="C23" s="529">
        <f>IF(OR(1&gt;$B$3,ISBLANK(Actuals!C29)),"",Actuals!C29)</f>
        <v>-10400</v>
      </c>
      <c r="D23" s="530">
        <f>IF(OR(1&gt;$B$3,ISBLANK(Actuals!C29)),"",'Reforecast Q1 2026'!C29-Actuals!C29)</f>
        <v>0</v>
      </c>
      <c r="E23" s="530">
        <f>IFERROR(IF(OR(1&gt;$B$3,ISBLANK(Actuals!C29)),"",('Reforecast Q1 2026'!C29-Actuals!C29)/ABS('Reforecast Q1 2026'!C29)),"")</f>
        <v>0</v>
      </c>
      <c r="F23" s="529">
        <f>'Reforecast Q1 2026'!D29</f>
        <v>-10400</v>
      </c>
      <c r="G23" s="529">
        <f>IF(OR(2&gt;$B$3,ISBLANK(Actuals!D29)),"",Actuals!D29)</f>
        <v>-10400</v>
      </c>
      <c r="H23" s="530">
        <f>IF(OR(2&gt;$B$3,ISBLANK(Actuals!D29)),"",'Reforecast Q1 2026'!D29-Actuals!D29)</f>
        <v>0</v>
      </c>
      <c r="I23" s="530">
        <f>IFERROR(IF(OR(2&gt;$B$3,ISBLANK(Actuals!D29)),"",('Reforecast Q1 2026'!D29-Actuals!D29)/ABS('Reforecast Q1 2026'!D29)),"")</f>
        <v>0</v>
      </c>
      <c r="J23" s="529">
        <f>'Reforecast Q1 2026'!E29</f>
        <v>-400</v>
      </c>
      <c r="K23" s="529">
        <f>IF(OR(3&gt;$B$3,ISBLANK(Actuals!E29)),"",Actuals!E29)</f>
        <v>-400</v>
      </c>
      <c r="L23" s="530">
        <f>IF(OR(3&gt;$B$3,ISBLANK(Actuals!E29)),"",'Reforecast Q1 2026'!E29-Actuals!E29)</f>
        <v>0</v>
      </c>
      <c r="M23" s="530">
        <f>IFERROR(IF(OR(3&gt;$B$3,ISBLANK(Actuals!E29)),"",('Reforecast Q1 2026'!E29-Actuals!E29)/ABS('Reforecast Q1 2026'!E29)),"")</f>
        <v>0</v>
      </c>
      <c r="N23" s="529">
        <f>'Reforecast Q1 2026'!F29</f>
        <v>-10400</v>
      </c>
      <c r="O23" s="529">
        <f>IF(OR(4&gt;$B$3,ISBLANK(Actuals!F29)),"",Actuals!F29)</f>
        <v>-10400</v>
      </c>
      <c r="P23" s="530">
        <f>IF(OR(4&gt;$B$3,ISBLANK(Actuals!F29)),"",'Reforecast Q1 2026'!F29-Actuals!F29)</f>
        <v>0</v>
      </c>
      <c r="Q23" s="530">
        <f>IFERROR(IF(OR(4&gt;$B$3,ISBLANK(Actuals!F29)),"",('Reforecast Q1 2026'!F29-Actuals!F29)/ABS('Reforecast Q1 2026'!F29)),"")</f>
        <v>0</v>
      </c>
      <c r="R23" s="529">
        <f>'Reforecast Q1 2026'!G29</f>
        <v>-10400</v>
      </c>
      <c r="S23" s="529">
        <f>IF(OR(5&gt;$B$3,ISBLANK(Actuals!G29)),"",Actuals!G29)</f>
        <v>-20400</v>
      </c>
      <c r="T23" s="530">
        <f>IF(OR(5&gt;$B$3,ISBLANK(Actuals!G29)),"",'Reforecast Q1 2026'!G29-Actuals!G29)</f>
        <v>10000</v>
      </c>
      <c r="U23" s="530">
        <f>IFERROR(IF(OR(5&gt;$B$3,ISBLANK(Actuals!G29)),"",('Reforecast Q1 2026'!G29-Actuals!G29)/ABS('Reforecast Q1 2026'!G29)),"")</f>
        <v>0.961538461538462</v>
      </c>
      <c r="V23" s="529">
        <f>'Reforecast Q1 2026'!H29</f>
        <v>-10400</v>
      </c>
      <c r="W23" s="529">
        <f>IF(OR(6&gt;$B$3,ISBLANK(Actuals!H29)),"",Actuals!H29)</f>
        <v>-20405</v>
      </c>
      <c r="X23" s="530">
        <f>IF(OR(6&gt;$B$3,ISBLANK(Actuals!H29)),"",'Reforecast Q1 2026'!H29-Actuals!H29)</f>
        <v>10005</v>
      </c>
      <c r="Y23" s="530">
        <f>IFERROR(IF(OR(6&gt;$B$3,ISBLANK(Actuals!H29)),"",('Reforecast Q1 2026'!H29-Actuals!H29)/ABS('Reforecast Q1 2026'!H29)),"")</f>
        <v>0.962019230769231</v>
      </c>
      <c r="Z23" s="529">
        <f>'Reforecast Q1 2026'!I29</f>
        <v>-10400</v>
      </c>
      <c r="AA23" s="529">
        <f>IF(OR(7&gt;$B$3,ISBLANK(Actuals!I29)),"",Actuals!I29)</f>
      </c>
      <c r="AB23" s="530">
        <f>IF(OR(7&gt;$B$3,ISBLANK(Actuals!I29)),"",'Reforecast Q1 2026'!I29-Actuals!I29)</f>
      </c>
      <c r="AC23" s="530">
        <f>IFERROR(IF(OR(7&gt;$B$3,ISBLANK(Actuals!I29)),"",('Reforecast Q1 2026'!I29-Actuals!I29)/ABS('Reforecast Q1 2026'!I29)),"")</f>
      </c>
      <c r="AD23" s="529">
        <f>'Reforecast Q1 2026'!J29</f>
        <v>-10400</v>
      </c>
      <c r="AE23" s="529">
        <f>IF(OR(8&gt;$B$3,ISBLANK(Actuals!J29)),"",Actuals!J29)</f>
      </c>
      <c r="AF23" s="530">
        <f>IF(OR(8&gt;$B$3,ISBLANK(Actuals!J29)),"",'Reforecast Q1 2026'!J29-Actuals!J29)</f>
      </c>
      <c r="AG23" s="530">
        <f>IFERROR(IF(OR(8&gt;$B$3,ISBLANK(Actuals!J29)),"",('Reforecast Q1 2026'!J29-Actuals!J29)/ABS('Reforecast Q1 2026'!J29)),"")</f>
      </c>
      <c r="AH23" s="529">
        <f>'Reforecast Q1 2026'!K29</f>
        <v>-10400</v>
      </c>
      <c r="AI23" s="529">
        <f>IF(OR(9&gt;$B$3,ISBLANK(Actuals!K29)),"",Actuals!K29)</f>
      </c>
      <c r="AJ23" s="530">
        <f>IF(OR(9&gt;$B$3,ISBLANK(Actuals!K29)),"",'Reforecast Q1 2026'!K29-Actuals!K29)</f>
      </c>
      <c r="AK23" s="530">
        <f>IFERROR(IF(OR(9&gt;$B$3,ISBLANK(Actuals!K29)),"",('Reforecast Q1 2026'!K29-Actuals!K29)/ABS('Reforecast Q1 2026'!K29)),"")</f>
      </c>
      <c r="AL23" s="529">
        <f>'Reforecast Q1 2026'!L29</f>
        <v>-10400</v>
      </c>
      <c r="AM23" s="529">
        <f>IF(OR(10&gt;$B$3,ISBLANK(Actuals!L29)),"",Actuals!L29)</f>
      </c>
      <c r="AN23" s="530">
        <f>IF(OR(10&gt;$B$3,ISBLANK(Actuals!L29)),"",'Reforecast Q1 2026'!L29-Actuals!L29)</f>
      </c>
      <c r="AO23" s="530">
        <f>IFERROR(IF(OR(10&gt;$B$3,ISBLANK(Actuals!L29)),"",('Reforecast Q1 2026'!L29-Actuals!L29)/ABS('Reforecast Q1 2026'!L29)),"")</f>
      </c>
      <c r="AP23" s="529">
        <f>'Reforecast Q1 2026'!M29</f>
        <v>-10400</v>
      </c>
      <c r="AQ23" s="529">
        <f>IF(OR(11&gt;$B$3,ISBLANK(Actuals!M29)),"",Actuals!M29)</f>
      </c>
      <c r="AR23" s="530">
        <f>IF(OR(11&gt;$B$3,ISBLANK(Actuals!M29)),"",'Reforecast Q1 2026'!M29-Actuals!M29)</f>
      </c>
      <c r="AS23" s="530">
        <f>IFERROR(IF(OR(11&gt;$B$3,ISBLANK(Actuals!M29)),"",('Reforecast Q1 2026'!M29-Actuals!M29)/ABS('Reforecast Q1 2026'!M29)),"")</f>
      </c>
      <c r="AT23" s="529">
        <f>'Reforecast Q1 2026'!N29</f>
        <v>-10400</v>
      </c>
      <c r="AU23" s="529">
        <f>IF(OR(12&gt;$B$3,ISBLANK(Actuals!N29)),"",Actuals!N29)</f>
      </c>
      <c r="AV23" s="530">
        <f>IF(OR(12&gt;$B$3,ISBLANK(Actuals!N29)),"",'Reforecast Q1 2026'!N29-Actuals!N29)</f>
      </c>
      <c r="AW23" s="530">
        <f>IFERROR(IF(OR(12&gt;$B$3,ISBLANK(Actuals!N29)),"",('Reforecast Q1 2026'!N29-Actuals!N29)/ABS('Reforecast Q1 2026'!N29)),"")</f>
      </c>
      <c r="AX23" s="531">
        <f>SUMPRODUCT((Actuals!C29:N29&lt;&gt;"")*('Reforecast Q1 2026'!C29:N29))</f>
        <v>-52400</v>
      </c>
      <c r="AY23" s="531">
        <f>SUM(Actuals!C29:N29)</f>
        <v>-72405</v>
      </c>
      <c r="AZ23" s="532">
        <f>AX23-AY23</f>
        <v>20005</v>
      </c>
    </row>
    <row r="24" ht="15" customFormat="1" customHeight="1" s="381">
      <c r="A24" s="528" t="inlineStr">
        <is>
          <t>5200-1000 Office Supplies and Expenses</t>
        </is>
      </c>
      <c r="B24" s="529">
        <f>'Reforecast Q1 2026'!C30</f>
        <v>-1988</v>
      </c>
      <c r="C24" s="529">
        <f>IF(OR(1&gt;$B$3,ISBLANK(Actuals!C30)),"",Actuals!C30)</f>
        <v>-1988</v>
      </c>
      <c r="D24" s="530">
        <f>IF(OR(1&gt;$B$3,ISBLANK(Actuals!C30)),"",'Reforecast Q1 2026'!C30-Actuals!C30)</f>
        <v>0</v>
      </c>
      <c r="E24" s="530">
        <f>IFERROR(IF(OR(1&gt;$B$3,ISBLANK(Actuals!C30)),"",('Reforecast Q1 2026'!C30-Actuals!C30)/ABS('Reforecast Q1 2026'!C30)),"")</f>
        <v>0</v>
      </c>
      <c r="F24" s="529">
        <f>'Reforecast Q1 2026'!D30</f>
        <v>-955.32</v>
      </c>
      <c r="G24" s="529">
        <f>IF(OR(2&gt;$B$3,ISBLANK(Actuals!D30)),"",Actuals!D30)</f>
        <v>-955.32</v>
      </c>
      <c r="H24" s="530">
        <f>IF(OR(2&gt;$B$3,ISBLANK(Actuals!D30)),"",'Reforecast Q1 2026'!D30-Actuals!D30)</f>
        <v>0</v>
      </c>
      <c r="I24" s="530">
        <f>IFERROR(IF(OR(2&gt;$B$3,ISBLANK(Actuals!D30)),"",('Reforecast Q1 2026'!D30-Actuals!D30)/ABS('Reforecast Q1 2026'!D30)),"")</f>
        <v>0</v>
      </c>
      <c r="J24" s="529">
        <f>'Reforecast Q1 2026'!E30</f>
        <v>-9130.61</v>
      </c>
      <c r="K24" s="529">
        <f>IF(OR(3&gt;$B$3,ISBLANK(Actuals!E30)),"",Actuals!E30)</f>
        <v>-9130.61</v>
      </c>
      <c r="L24" s="530">
        <f>IF(OR(3&gt;$B$3,ISBLANK(Actuals!E30)),"",'Reforecast Q1 2026'!E30-Actuals!E30)</f>
        <v>0</v>
      </c>
      <c r="M24" s="530">
        <f>IFERROR(IF(OR(3&gt;$B$3,ISBLANK(Actuals!E30)),"",('Reforecast Q1 2026'!E30-Actuals!E30)/ABS('Reforecast Q1 2026'!E30)),"")</f>
        <v>0</v>
      </c>
      <c r="N24" s="529">
        <f>'Reforecast Q1 2026'!F30</f>
        <v>-4024.64</v>
      </c>
      <c r="O24" s="529">
        <f>IF(OR(4&gt;$B$3,ISBLANK(Actuals!F30)),"",Actuals!F30)</f>
        <v>-1028.89</v>
      </c>
      <c r="P24" s="530">
        <f>IF(OR(4&gt;$B$3,ISBLANK(Actuals!F30)),"",'Reforecast Q1 2026'!F30-Actuals!F30)</f>
        <v>-2995.75</v>
      </c>
      <c r="Q24" s="530">
        <f>IFERROR(IF(OR(4&gt;$B$3,ISBLANK(Actuals!F30)),"",('Reforecast Q1 2026'!F30-Actuals!F30)/ABS('Reforecast Q1 2026'!F30)),"")</f>
        <v>-0.744352289894251</v>
      </c>
      <c r="R24" s="529">
        <f>'Reforecast Q1 2026'!G30</f>
        <v>-4024.64</v>
      </c>
      <c r="S24" s="529">
        <f>IF(OR(5&gt;$B$3,ISBLANK(Actuals!G30)),"",Actuals!G30)</f>
        <v>-7005.14</v>
      </c>
      <c r="T24" s="530">
        <f>IF(OR(5&gt;$B$3,ISBLANK(Actuals!G30)),"",'Reforecast Q1 2026'!G30-Actuals!G30)</f>
        <v>2980.5</v>
      </c>
      <c r="U24" s="530">
        <f>IFERROR(IF(OR(5&gt;$B$3,ISBLANK(Actuals!G30)),"",('Reforecast Q1 2026'!G30-Actuals!G30)/ABS('Reforecast Q1 2026'!G30)),"")</f>
        <v>0.740563131112348</v>
      </c>
      <c r="V24" s="529">
        <f>'Reforecast Q1 2026'!H30</f>
        <v>-4024.64</v>
      </c>
      <c r="W24" s="529">
        <f>IF(OR(6&gt;$B$3,ISBLANK(Actuals!H30)),"",Actuals!H30)</f>
        <v>-4121.06</v>
      </c>
      <c r="X24" s="530">
        <f>IF(OR(6&gt;$B$3,ISBLANK(Actuals!H30)),"",'Reforecast Q1 2026'!H30-Actuals!H30)</f>
        <v>96.4200000000005</v>
      </c>
      <c r="Y24" s="530">
        <f>IFERROR(IF(OR(6&gt;$B$3,ISBLANK(Actuals!H30)),"",('Reforecast Q1 2026'!H30-Actuals!H30)/ABS('Reforecast Q1 2026'!H30)),"")</f>
        <v>0.023957422278763</v>
      </c>
      <c r="Z24" s="529">
        <f>'Reforecast Q1 2026'!I30</f>
        <v>-4024.64</v>
      </c>
      <c r="AA24" s="529">
        <f>IF(OR(7&gt;$B$3,ISBLANK(Actuals!I30)),"",Actuals!I30)</f>
      </c>
      <c r="AB24" s="530">
        <f>IF(OR(7&gt;$B$3,ISBLANK(Actuals!I30)),"",'Reforecast Q1 2026'!I30-Actuals!I30)</f>
      </c>
      <c r="AC24" s="530">
        <f>IFERROR(IF(OR(7&gt;$B$3,ISBLANK(Actuals!I30)),"",('Reforecast Q1 2026'!I30-Actuals!I30)/ABS('Reforecast Q1 2026'!I30)),"")</f>
      </c>
      <c r="AD24" s="529">
        <f>'Reforecast Q1 2026'!J30</f>
        <v>-4024.64</v>
      </c>
      <c r="AE24" s="529">
        <f>IF(OR(8&gt;$B$3,ISBLANK(Actuals!J30)),"",Actuals!J30)</f>
      </c>
      <c r="AF24" s="530">
        <f>IF(OR(8&gt;$B$3,ISBLANK(Actuals!J30)),"",'Reforecast Q1 2026'!J30-Actuals!J30)</f>
      </c>
      <c r="AG24" s="530">
        <f>IFERROR(IF(OR(8&gt;$B$3,ISBLANK(Actuals!J30)),"",('Reforecast Q1 2026'!J30-Actuals!J30)/ABS('Reforecast Q1 2026'!J30)),"")</f>
      </c>
      <c r="AH24" s="529">
        <f>'Reforecast Q1 2026'!K30</f>
        <v>-4024.64</v>
      </c>
      <c r="AI24" s="529">
        <f>IF(OR(9&gt;$B$3,ISBLANK(Actuals!K30)),"",Actuals!K30)</f>
      </c>
      <c r="AJ24" s="530">
        <f>IF(OR(9&gt;$B$3,ISBLANK(Actuals!K30)),"",'Reforecast Q1 2026'!K30-Actuals!K30)</f>
      </c>
      <c r="AK24" s="530">
        <f>IFERROR(IF(OR(9&gt;$B$3,ISBLANK(Actuals!K30)),"",('Reforecast Q1 2026'!K30-Actuals!K30)/ABS('Reforecast Q1 2026'!K30)),"")</f>
      </c>
      <c r="AL24" s="529">
        <f>'Reforecast Q1 2026'!L30</f>
        <v>-4024.64</v>
      </c>
      <c r="AM24" s="529">
        <f>IF(OR(10&gt;$B$3,ISBLANK(Actuals!L30)),"",Actuals!L30)</f>
      </c>
      <c r="AN24" s="530">
        <f>IF(OR(10&gt;$B$3,ISBLANK(Actuals!L30)),"",'Reforecast Q1 2026'!L30-Actuals!L30)</f>
      </c>
      <c r="AO24" s="530">
        <f>IFERROR(IF(OR(10&gt;$B$3,ISBLANK(Actuals!L30)),"",('Reforecast Q1 2026'!L30-Actuals!L30)/ABS('Reforecast Q1 2026'!L30)),"")</f>
      </c>
      <c r="AP24" s="529">
        <f>'Reforecast Q1 2026'!M30</f>
        <v>-4024.64</v>
      </c>
      <c r="AQ24" s="529">
        <f>IF(OR(11&gt;$B$3,ISBLANK(Actuals!M30)),"",Actuals!M30)</f>
      </c>
      <c r="AR24" s="530">
        <f>IF(OR(11&gt;$B$3,ISBLANK(Actuals!M30)),"",'Reforecast Q1 2026'!M30-Actuals!M30)</f>
      </c>
      <c r="AS24" s="530">
        <f>IFERROR(IF(OR(11&gt;$B$3,ISBLANK(Actuals!M30)),"",('Reforecast Q1 2026'!M30-Actuals!M30)/ABS('Reforecast Q1 2026'!M30)),"")</f>
      </c>
      <c r="AT24" s="529">
        <f>'Reforecast Q1 2026'!N30</f>
        <v>-4024.64</v>
      </c>
      <c r="AU24" s="529">
        <f>IF(OR(12&gt;$B$3,ISBLANK(Actuals!N30)),"",Actuals!N30)</f>
      </c>
      <c r="AV24" s="530">
        <f>IF(OR(12&gt;$B$3,ISBLANK(Actuals!N30)),"",'Reforecast Q1 2026'!N30-Actuals!N30)</f>
      </c>
      <c r="AW24" s="530">
        <f>IFERROR(IF(OR(12&gt;$B$3,ISBLANK(Actuals!N30)),"",('Reforecast Q1 2026'!N30-Actuals!N30)/ABS('Reforecast Q1 2026'!N30)),"")</f>
      </c>
      <c r="AX24" s="531">
        <f>SUMPRODUCT((Actuals!C30:N30&lt;&gt;"")*('Reforecast Q1 2026'!C30:N30))</f>
        <v>-24147.85</v>
      </c>
      <c r="AY24" s="531">
        <f>SUM(Actuals!C30:N30)</f>
        <v>-24229.02</v>
      </c>
      <c r="AZ24" s="532">
        <f>AX24-AY24</f>
        <v>81.1700000000055</v>
      </c>
    </row>
    <row r="25" ht="15" customFormat="1" customHeight="1" s="381">
      <c r="A25" s="528" t="inlineStr">
        <is>
          <t>5200-1002 Printing and Reproduction</t>
        </is>
      </c>
      <c r="B25" s="529">
        <f>'Reforecast Q1 2026'!C31</f>
        <v>0</v>
      </c>
      <c r="C25" s="529">
        <f>IF(OR(1&gt;$B$3,ISBLANK(Actuals!C31)),"",Actuals!C31)</f>
        <v>0</v>
      </c>
      <c r="D25" s="530">
        <f>IF(OR(1&gt;$B$3,ISBLANK(Actuals!C31)),"",'Reforecast Q1 2026'!C31-Actuals!C31)</f>
        <v>0</v>
      </c>
      <c r="E25" s="530">
        <f>IFERROR(IF(OR(1&gt;$B$3,ISBLANK(Actuals!C31)),"",('Reforecast Q1 2026'!C31-Actuals!C31)/ABS('Reforecast Q1 2026'!C31)),"")</f>
      </c>
      <c r="F25" s="529">
        <f>'Reforecast Q1 2026'!D31</f>
        <v>0</v>
      </c>
      <c r="G25" s="529">
        <f>IF(OR(2&gt;$B$3,ISBLANK(Actuals!D31)),"",Actuals!D31)</f>
        <v>0</v>
      </c>
      <c r="H25" s="530">
        <f>IF(OR(2&gt;$B$3,ISBLANK(Actuals!D31)),"",'Reforecast Q1 2026'!D31-Actuals!D31)</f>
        <v>0</v>
      </c>
      <c r="I25" s="530">
        <f>IFERROR(IF(OR(2&gt;$B$3,ISBLANK(Actuals!D31)),"",('Reforecast Q1 2026'!D31-Actuals!D31)/ABS('Reforecast Q1 2026'!D31)),"")</f>
      </c>
      <c r="J25" s="529">
        <f>'Reforecast Q1 2026'!E31</f>
        <v>-1077.38</v>
      </c>
      <c r="K25" s="529">
        <f>IF(OR(3&gt;$B$3,ISBLANK(Actuals!E31)),"",Actuals!E31)</f>
        <v>-1077.38</v>
      </c>
      <c r="L25" s="530">
        <f>IF(OR(3&gt;$B$3,ISBLANK(Actuals!E31)),"",'Reforecast Q1 2026'!E31-Actuals!E31)</f>
        <v>0</v>
      </c>
      <c r="M25" s="530">
        <f>IFERROR(IF(OR(3&gt;$B$3,ISBLANK(Actuals!E31)),"",('Reforecast Q1 2026'!E31-Actuals!E31)/ABS('Reforecast Q1 2026'!E31)),"")</f>
        <v>0</v>
      </c>
      <c r="N25" s="529">
        <f>'Reforecast Q1 2026'!F31</f>
        <v>-359.13</v>
      </c>
      <c r="O25" s="529">
        <f>IF(OR(4&gt;$B$3,ISBLANK(Actuals!F31)),"",Actuals!F31)</f>
        <v>-211.28</v>
      </c>
      <c r="P25" s="530">
        <f>IF(OR(4&gt;$B$3,ISBLANK(Actuals!F31)),"",'Reforecast Q1 2026'!F31-Actuals!F31)</f>
        <v>-147.85</v>
      </c>
      <c r="Q25" s="530">
        <f>IFERROR(IF(OR(4&gt;$B$3,ISBLANK(Actuals!F31)),"",('Reforecast Q1 2026'!F31-Actuals!F31)/ABS('Reforecast Q1 2026'!F31)),"")</f>
        <v>-0.411689360398741</v>
      </c>
      <c r="R25" s="529">
        <f>'Reforecast Q1 2026'!G31</f>
        <v>-359.13</v>
      </c>
      <c r="S25" s="529">
        <f>IF(OR(5&gt;$B$3,ISBLANK(Actuals!G31)),"",Actuals!G31)</f>
        <v>-1254.17</v>
      </c>
      <c r="T25" s="530">
        <f>IF(OR(5&gt;$B$3,ISBLANK(Actuals!G31)),"",'Reforecast Q1 2026'!G31-Actuals!G31)</f>
        <v>895.04</v>
      </c>
      <c r="U25" s="530">
        <f>IFERROR(IF(OR(5&gt;$B$3,ISBLANK(Actuals!G31)),"",('Reforecast Q1 2026'!G31-Actuals!G31)/ABS('Reforecast Q1 2026'!G31)),"")</f>
        <v>2.49224514799655</v>
      </c>
      <c r="V25" s="529">
        <f>'Reforecast Q1 2026'!H31</f>
        <v>-359.13</v>
      </c>
      <c r="W25" s="529">
        <f>IF(OR(6&gt;$B$3,ISBLANK(Actuals!H31)),"",Actuals!H31)</f>
        <v>0</v>
      </c>
      <c r="X25" s="530">
        <f>IF(OR(6&gt;$B$3,ISBLANK(Actuals!H31)),"",'Reforecast Q1 2026'!H31-Actuals!H31)</f>
        <v>-359.13</v>
      </c>
      <c r="Y25" s="530">
        <f>IFERROR(IF(OR(6&gt;$B$3,ISBLANK(Actuals!H31)),"",('Reforecast Q1 2026'!H31-Actuals!H31)/ABS('Reforecast Q1 2026'!H31)),"")</f>
        <v>-1</v>
      </c>
      <c r="Z25" s="529">
        <f>'Reforecast Q1 2026'!I31</f>
        <v>-359.13</v>
      </c>
      <c r="AA25" s="529">
        <f>IF(OR(7&gt;$B$3,ISBLANK(Actuals!I31)),"",Actuals!I31)</f>
      </c>
      <c r="AB25" s="530">
        <f>IF(OR(7&gt;$B$3,ISBLANK(Actuals!I31)),"",'Reforecast Q1 2026'!I31-Actuals!I31)</f>
      </c>
      <c r="AC25" s="530">
        <f>IFERROR(IF(OR(7&gt;$B$3,ISBLANK(Actuals!I31)),"",('Reforecast Q1 2026'!I31-Actuals!I31)/ABS('Reforecast Q1 2026'!I31)),"")</f>
      </c>
      <c r="AD25" s="529">
        <f>'Reforecast Q1 2026'!J31</f>
        <v>-359.13</v>
      </c>
      <c r="AE25" s="529">
        <f>IF(OR(8&gt;$B$3,ISBLANK(Actuals!J31)),"",Actuals!J31)</f>
      </c>
      <c r="AF25" s="530">
        <f>IF(OR(8&gt;$B$3,ISBLANK(Actuals!J31)),"",'Reforecast Q1 2026'!J31-Actuals!J31)</f>
      </c>
      <c r="AG25" s="530">
        <f>IFERROR(IF(OR(8&gt;$B$3,ISBLANK(Actuals!J31)),"",('Reforecast Q1 2026'!J31-Actuals!J31)/ABS('Reforecast Q1 2026'!J31)),"")</f>
      </c>
      <c r="AH25" s="529">
        <f>'Reforecast Q1 2026'!K31</f>
        <v>-359.13</v>
      </c>
      <c r="AI25" s="529">
        <f>IF(OR(9&gt;$B$3,ISBLANK(Actuals!K31)),"",Actuals!K31)</f>
      </c>
      <c r="AJ25" s="530">
        <f>IF(OR(9&gt;$B$3,ISBLANK(Actuals!K31)),"",'Reforecast Q1 2026'!K31-Actuals!K31)</f>
      </c>
      <c r="AK25" s="530">
        <f>IFERROR(IF(OR(9&gt;$B$3,ISBLANK(Actuals!K31)),"",('Reforecast Q1 2026'!K31-Actuals!K31)/ABS('Reforecast Q1 2026'!K31)),"")</f>
      </c>
      <c r="AL25" s="529">
        <f>'Reforecast Q1 2026'!L31</f>
        <v>-359.13</v>
      </c>
      <c r="AM25" s="529">
        <f>IF(OR(10&gt;$B$3,ISBLANK(Actuals!L31)),"",Actuals!L31)</f>
      </c>
      <c r="AN25" s="530">
        <f>IF(OR(10&gt;$B$3,ISBLANK(Actuals!L31)),"",'Reforecast Q1 2026'!L31-Actuals!L31)</f>
      </c>
      <c r="AO25" s="530">
        <f>IFERROR(IF(OR(10&gt;$B$3,ISBLANK(Actuals!L31)),"",('Reforecast Q1 2026'!L31-Actuals!L31)/ABS('Reforecast Q1 2026'!L31)),"")</f>
      </c>
      <c r="AP25" s="529">
        <f>'Reforecast Q1 2026'!M31</f>
        <v>-359.13</v>
      </c>
      <c r="AQ25" s="529">
        <f>IF(OR(11&gt;$B$3,ISBLANK(Actuals!M31)),"",Actuals!M31)</f>
      </c>
      <c r="AR25" s="530">
        <f>IF(OR(11&gt;$B$3,ISBLANK(Actuals!M31)),"",'Reforecast Q1 2026'!M31-Actuals!M31)</f>
      </c>
      <c r="AS25" s="530">
        <f>IFERROR(IF(OR(11&gt;$B$3,ISBLANK(Actuals!M31)),"",('Reforecast Q1 2026'!M31-Actuals!M31)/ABS('Reforecast Q1 2026'!M31)),"")</f>
      </c>
      <c r="AT25" s="529">
        <f>'Reforecast Q1 2026'!N31</f>
        <v>-359.13</v>
      </c>
      <c r="AU25" s="529">
        <f>IF(OR(12&gt;$B$3,ISBLANK(Actuals!N31)),"",Actuals!N31)</f>
      </c>
      <c r="AV25" s="530">
        <f>IF(OR(12&gt;$B$3,ISBLANK(Actuals!N31)),"",'Reforecast Q1 2026'!N31-Actuals!N31)</f>
      </c>
      <c r="AW25" s="530">
        <f>IFERROR(IF(OR(12&gt;$B$3,ISBLANK(Actuals!N31)),"",('Reforecast Q1 2026'!N31-Actuals!N31)/ABS('Reforecast Q1 2026'!N31)),"")</f>
      </c>
      <c r="AX25" s="531">
        <f>SUMPRODUCT((Actuals!C31:N31&lt;&gt;"")*('Reforecast Q1 2026'!C31:N31))</f>
        <v>-2154.77</v>
      </c>
      <c r="AY25" s="531">
        <f>SUM(Actuals!C31:N31)</f>
        <v>-2542.83</v>
      </c>
      <c r="AZ25" s="532">
        <f>AX25-AY25</f>
        <v>388.06</v>
      </c>
    </row>
    <row r="26" ht="15" customFormat="1" customHeight="1" s="381">
      <c r="A26" s="528" t="inlineStr">
        <is>
          <t>5200-1050 Computer and IT Expenses</t>
        </is>
      </c>
      <c r="B26" s="529">
        <f>'Reforecast Q1 2026'!C32</f>
        <v>-79</v>
      </c>
      <c r="C26" s="529">
        <f>IF(OR(1&gt;$B$3,ISBLANK(Actuals!C32)),"",Actuals!C32)</f>
        <v>-79</v>
      </c>
      <c r="D26" s="530">
        <f>IF(OR(1&gt;$B$3,ISBLANK(Actuals!C32)),"",'Reforecast Q1 2026'!C32-Actuals!C32)</f>
        <v>0</v>
      </c>
      <c r="E26" s="530">
        <f>IFERROR(IF(OR(1&gt;$B$3,ISBLANK(Actuals!C32)),"",('Reforecast Q1 2026'!C32-Actuals!C32)/ABS('Reforecast Q1 2026'!C32)),"")</f>
        <v>0</v>
      </c>
      <c r="F26" s="529">
        <f>'Reforecast Q1 2026'!D32</f>
        <v>0</v>
      </c>
      <c r="G26" s="529">
        <f>IF(OR(2&gt;$B$3,ISBLANK(Actuals!D32)),"",Actuals!D32)</f>
        <v>0</v>
      </c>
      <c r="H26" s="530">
        <f>IF(OR(2&gt;$B$3,ISBLANK(Actuals!D32)),"",'Reforecast Q1 2026'!D32-Actuals!D32)</f>
        <v>0</v>
      </c>
      <c r="I26" s="530">
        <f>IFERROR(IF(OR(2&gt;$B$3,ISBLANK(Actuals!D32)),"",('Reforecast Q1 2026'!D32-Actuals!D32)/ABS('Reforecast Q1 2026'!D32)),"")</f>
      </c>
      <c r="J26" s="529">
        <f>'Reforecast Q1 2026'!E32</f>
        <v>0</v>
      </c>
      <c r="K26" s="529">
        <f>IF(OR(3&gt;$B$3,ISBLANK(Actuals!E32)),"",Actuals!E32)</f>
        <v>0</v>
      </c>
      <c r="L26" s="530">
        <f>IF(OR(3&gt;$B$3,ISBLANK(Actuals!E32)),"",'Reforecast Q1 2026'!E32-Actuals!E32)</f>
        <v>0</v>
      </c>
      <c r="M26" s="530">
        <f>IFERROR(IF(OR(3&gt;$B$3,ISBLANK(Actuals!E32)),"",('Reforecast Q1 2026'!E32-Actuals!E32)/ABS('Reforecast Q1 2026'!E32)),"")</f>
      </c>
      <c r="N26" s="529">
        <f>'Reforecast Q1 2026'!F32</f>
        <v>-26.33</v>
      </c>
      <c r="O26" s="529">
        <f>IF(OR(4&gt;$B$3,ISBLANK(Actuals!F32)),"",Actuals!F32)</f>
        <v>0</v>
      </c>
      <c r="P26" s="530">
        <f>IF(OR(4&gt;$B$3,ISBLANK(Actuals!F32)),"",'Reforecast Q1 2026'!F32-Actuals!F32)</f>
        <v>-26.33</v>
      </c>
      <c r="Q26" s="530">
        <f>IFERROR(IF(OR(4&gt;$B$3,ISBLANK(Actuals!F32)),"",('Reforecast Q1 2026'!F32-Actuals!F32)/ABS('Reforecast Q1 2026'!F32)),"")</f>
        <v>-1</v>
      </c>
      <c r="R26" s="529">
        <f>'Reforecast Q1 2026'!G32</f>
        <v>-26.33</v>
      </c>
      <c r="S26" s="529">
        <f>IF(OR(5&gt;$B$3,ISBLANK(Actuals!G32)),"",Actuals!G32)</f>
        <v>0</v>
      </c>
      <c r="T26" s="530">
        <f>IF(OR(5&gt;$B$3,ISBLANK(Actuals!G32)),"",'Reforecast Q1 2026'!G32-Actuals!G32)</f>
        <v>-26.33</v>
      </c>
      <c r="U26" s="530">
        <f>IFERROR(IF(OR(5&gt;$B$3,ISBLANK(Actuals!G32)),"",('Reforecast Q1 2026'!G32-Actuals!G32)/ABS('Reforecast Q1 2026'!G32)),"")</f>
        <v>-1</v>
      </c>
      <c r="V26" s="529">
        <f>'Reforecast Q1 2026'!H32</f>
        <v>-26.33</v>
      </c>
      <c r="W26" s="529">
        <f>IF(OR(6&gt;$B$3,ISBLANK(Actuals!H32)),"",Actuals!H32)</f>
        <v>0</v>
      </c>
      <c r="X26" s="530">
        <f>IF(OR(6&gt;$B$3,ISBLANK(Actuals!H32)),"",'Reforecast Q1 2026'!H32-Actuals!H32)</f>
        <v>-26.33</v>
      </c>
      <c r="Y26" s="530">
        <f>IFERROR(IF(OR(6&gt;$B$3,ISBLANK(Actuals!H32)),"",('Reforecast Q1 2026'!H32-Actuals!H32)/ABS('Reforecast Q1 2026'!H32)),"")</f>
        <v>-1</v>
      </c>
      <c r="Z26" s="529">
        <f>'Reforecast Q1 2026'!I32</f>
        <v>-26.33</v>
      </c>
      <c r="AA26" s="529">
        <f>IF(OR(7&gt;$B$3,ISBLANK(Actuals!I32)),"",Actuals!I32)</f>
      </c>
      <c r="AB26" s="530">
        <f>IF(OR(7&gt;$B$3,ISBLANK(Actuals!I32)),"",'Reforecast Q1 2026'!I32-Actuals!I32)</f>
      </c>
      <c r="AC26" s="530">
        <f>IFERROR(IF(OR(7&gt;$B$3,ISBLANK(Actuals!I32)),"",('Reforecast Q1 2026'!I32-Actuals!I32)/ABS('Reforecast Q1 2026'!I32)),"")</f>
      </c>
      <c r="AD26" s="529">
        <f>'Reforecast Q1 2026'!J32</f>
        <v>-26.33</v>
      </c>
      <c r="AE26" s="529">
        <f>IF(OR(8&gt;$B$3,ISBLANK(Actuals!J32)),"",Actuals!J32)</f>
      </c>
      <c r="AF26" s="530">
        <f>IF(OR(8&gt;$B$3,ISBLANK(Actuals!J32)),"",'Reforecast Q1 2026'!J32-Actuals!J32)</f>
      </c>
      <c r="AG26" s="530">
        <f>IFERROR(IF(OR(8&gt;$B$3,ISBLANK(Actuals!J32)),"",('Reforecast Q1 2026'!J32-Actuals!J32)/ABS('Reforecast Q1 2026'!J32)),"")</f>
      </c>
      <c r="AH26" s="529">
        <f>'Reforecast Q1 2026'!K32</f>
        <v>-26.33</v>
      </c>
      <c r="AI26" s="529">
        <f>IF(OR(9&gt;$B$3,ISBLANK(Actuals!K32)),"",Actuals!K32)</f>
      </c>
      <c r="AJ26" s="530">
        <f>IF(OR(9&gt;$B$3,ISBLANK(Actuals!K32)),"",'Reforecast Q1 2026'!K32-Actuals!K32)</f>
      </c>
      <c r="AK26" s="530">
        <f>IFERROR(IF(OR(9&gt;$B$3,ISBLANK(Actuals!K32)),"",('Reforecast Q1 2026'!K32-Actuals!K32)/ABS('Reforecast Q1 2026'!K32)),"")</f>
      </c>
      <c r="AL26" s="529">
        <f>'Reforecast Q1 2026'!L32</f>
        <v>-26.33</v>
      </c>
      <c r="AM26" s="529">
        <f>IF(OR(10&gt;$B$3,ISBLANK(Actuals!L32)),"",Actuals!L32)</f>
      </c>
      <c r="AN26" s="530">
        <f>IF(OR(10&gt;$B$3,ISBLANK(Actuals!L32)),"",'Reforecast Q1 2026'!L32-Actuals!L32)</f>
      </c>
      <c r="AO26" s="530">
        <f>IFERROR(IF(OR(10&gt;$B$3,ISBLANK(Actuals!L32)),"",('Reforecast Q1 2026'!L32-Actuals!L32)/ABS('Reforecast Q1 2026'!L32)),"")</f>
      </c>
      <c r="AP26" s="529">
        <f>'Reforecast Q1 2026'!M32</f>
        <v>-26.33</v>
      </c>
      <c r="AQ26" s="529">
        <f>IF(OR(11&gt;$B$3,ISBLANK(Actuals!M32)),"",Actuals!M32)</f>
      </c>
      <c r="AR26" s="530">
        <f>IF(OR(11&gt;$B$3,ISBLANK(Actuals!M32)),"",'Reforecast Q1 2026'!M32-Actuals!M32)</f>
      </c>
      <c r="AS26" s="530">
        <f>IFERROR(IF(OR(11&gt;$B$3,ISBLANK(Actuals!M32)),"",('Reforecast Q1 2026'!M32-Actuals!M32)/ABS('Reforecast Q1 2026'!M32)),"")</f>
      </c>
      <c r="AT26" s="529">
        <f>'Reforecast Q1 2026'!N32</f>
        <v>-26.33</v>
      </c>
      <c r="AU26" s="529">
        <f>IF(OR(12&gt;$B$3,ISBLANK(Actuals!N32)),"",Actuals!N32)</f>
      </c>
      <c r="AV26" s="530">
        <f>IF(OR(12&gt;$B$3,ISBLANK(Actuals!N32)),"",'Reforecast Q1 2026'!N32-Actuals!N32)</f>
      </c>
      <c r="AW26" s="530">
        <f>IFERROR(IF(OR(12&gt;$B$3,ISBLANK(Actuals!N32)),"",('Reforecast Q1 2026'!N32-Actuals!N32)/ABS('Reforecast Q1 2026'!N32)),"")</f>
      </c>
      <c r="AX26" s="531">
        <f>SUMPRODUCT((Actuals!C32:N32&lt;&gt;"")*('Reforecast Q1 2026'!C32:N32))</f>
        <v>-157.99</v>
      </c>
      <c r="AY26" s="531">
        <f>SUM(Actuals!C32:N32)</f>
        <v>-79</v>
      </c>
      <c r="AZ26" s="532">
        <f>AX26-AY26</f>
        <v>-78.99</v>
      </c>
    </row>
    <row r="27" ht="15" customFormat="1" customHeight="1" s="381">
      <c r="A27" s="528" t="inlineStr">
        <is>
          <t>5200-1053 IT Software and Subscriptions</t>
        </is>
      </c>
      <c r="B27" s="529">
        <f>'Reforecast Q1 2026'!C33</f>
        <v>-3405.64</v>
      </c>
      <c r="C27" s="529">
        <f>IF(OR(1&gt;$B$3,ISBLANK(Actuals!C33)),"",Actuals!C33)</f>
        <v>-3405.64</v>
      </c>
      <c r="D27" s="530">
        <f>IF(OR(1&gt;$B$3,ISBLANK(Actuals!C33)),"",'Reforecast Q1 2026'!C33-Actuals!C33)</f>
        <v>0</v>
      </c>
      <c r="E27" s="530">
        <f>IFERROR(IF(OR(1&gt;$B$3,ISBLANK(Actuals!C33)),"",('Reforecast Q1 2026'!C33-Actuals!C33)/ABS('Reforecast Q1 2026'!C33)),"")</f>
        <v>0</v>
      </c>
      <c r="F27" s="529">
        <f>'Reforecast Q1 2026'!D33</f>
        <v>-5015.38</v>
      </c>
      <c r="G27" s="529">
        <f>IF(OR(2&gt;$B$3,ISBLANK(Actuals!D33)),"",Actuals!D33)</f>
        <v>-5015.38</v>
      </c>
      <c r="H27" s="530">
        <f>IF(OR(2&gt;$B$3,ISBLANK(Actuals!D33)),"",'Reforecast Q1 2026'!D33-Actuals!D33)</f>
        <v>0</v>
      </c>
      <c r="I27" s="530">
        <f>IFERROR(IF(OR(2&gt;$B$3,ISBLANK(Actuals!D33)),"",('Reforecast Q1 2026'!D33-Actuals!D33)/ABS('Reforecast Q1 2026'!D33)),"")</f>
        <v>0</v>
      </c>
      <c r="J27" s="529">
        <f>'Reforecast Q1 2026'!E33</f>
        <v>-7481.39</v>
      </c>
      <c r="K27" s="529">
        <f>IF(OR(3&gt;$B$3,ISBLANK(Actuals!E33)),"",Actuals!E33)</f>
        <v>-7481.39</v>
      </c>
      <c r="L27" s="530">
        <f>IF(OR(3&gt;$B$3,ISBLANK(Actuals!E33)),"",'Reforecast Q1 2026'!E33-Actuals!E33)</f>
        <v>0</v>
      </c>
      <c r="M27" s="530">
        <f>IFERROR(IF(OR(3&gt;$B$3,ISBLANK(Actuals!E33)),"",('Reforecast Q1 2026'!E33-Actuals!E33)/ABS('Reforecast Q1 2026'!E33)),"")</f>
        <v>0</v>
      </c>
      <c r="N27" s="529">
        <f>'Reforecast Q1 2026'!F33</f>
        <v>-5300.8</v>
      </c>
      <c r="O27" s="529">
        <f>IF(OR(4&gt;$B$3,ISBLANK(Actuals!F33)),"",Actuals!F33)</f>
        <v>-5111.12</v>
      </c>
      <c r="P27" s="530">
        <f>IF(OR(4&gt;$B$3,ISBLANK(Actuals!F33)),"",'Reforecast Q1 2026'!F33-Actuals!F33)</f>
        <v>-189.68</v>
      </c>
      <c r="Q27" s="530">
        <f>IFERROR(IF(OR(4&gt;$B$3,ISBLANK(Actuals!F33)),"",('Reforecast Q1 2026'!F33-Actuals!F33)/ABS('Reforecast Q1 2026'!F33)),"")</f>
        <v>-0.0357832779957743</v>
      </c>
      <c r="R27" s="529">
        <f>'Reforecast Q1 2026'!G33</f>
        <v>-5300.8</v>
      </c>
      <c r="S27" s="529">
        <f>IF(OR(5&gt;$B$3,ISBLANK(Actuals!G33)),"",Actuals!G33)</f>
        <v>-4038.48</v>
      </c>
      <c r="T27" s="530">
        <f>IF(OR(5&gt;$B$3,ISBLANK(Actuals!G33)),"",'Reforecast Q1 2026'!G33-Actuals!G33)</f>
        <v>-1262.32</v>
      </c>
      <c r="U27" s="530">
        <f>IFERROR(IF(OR(5&gt;$B$3,ISBLANK(Actuals!G33)),"",('Reforecast Q1 2026'!G33-Actuals!G33)/ABS('Reforecast Q1 2026'!G33)),"")</f>
        <v>-0.23813763960157</v>
      </c>
      <c r="V27" s="529">
        <f>'Reforecast Q1 2026'!H33</f>
        <v>-5300.8</v>
      </c>
      <c r="W27" s="529">
        <f>IF(OR(6&gt;$B$3,ISBLANK(Actuals!H33)),"",Actuals!H33)</f>
        <v>-6114.98</v>
      </c>
      <c r="X27" s="530">
        <f>IF(OR(6&gt;$B$3,ISBLANK(Actuals!H33)),"",'Reforecast Q1 2026'!H33-Actuals!H33)</f>
        <v>814.179999999999</v>
      </c>
      <c r="Y27" s="530">
        <f>IFERROR(IF(OR(6&gt;$B$3,ISBLANK(Actuals!H33)),"",('Reforecast Q1 2026'!H33-Actuals!H33)/ABS('Reforecast Q1 2026'!H33)),"")</f>
        <v>0.153595683670389</v>
      </c>
      <c r="Z27" s="529">
        <f>'Reforecast Q1 2026'!I33</f>
        <v>-5300.8</v>
      </c>
      <c r="AA27" s="529">
        <f>IF(OR(7&gt;$B$3,ISBLANK(Actuals!I33)),"",Actuals!I33)</f>
      </c>
      <c r="AB27" s="530">
        <f>IF(OR(7&gt;$B$3,ISBLANK(Actuals!I33)),"",'Reforecast Q1 2026'!I33-Actuals!I33)</f>
      </c>
      <c r="AC27" s="530">
        <f>IFERROR(IF(OR(7&gt;$B$3,ISBLANK(Actuals!I33)),"",('Reforecast Q1 2026'!I33-Actuals!I33)/ABS('Reforecast Q1 2026'!I33)),"")</f>
      </c>
      <c r="AD27" s="529">
        <f>'Reforecast Q1 2026'!J33</f>
        <v>-5300.8</v>
      </c>
      <c r="AE27" s="529">
        <f>IF(OR(8&gt;$B$3,ISBLANK(Actuals!J33)),"",Actuals!J33)</f>
      </c>
      <c r="AF27" s="530">
        <f>IF(OR(8&gt;$B$3,ISBLANK(Actuals!J33)),"",'Reforecast Q1 2026'!J33-Actuals!J33)</f>
      </c>
      <c r="AG27" s="530">
        <f>IFERROR(IF(OR(8&gt;$B$3,ISBLANK(Actuals!J33)),"",('Reforecast Q1 2026'!J33-Actuals!J33)/ABS('Reforecast Q1 2026'!J33)),"")</f>
      </c>
      <c r="AH27" s="529">
        <f>'Reforecast Q1 2026'!K33</f>
        <v>-5300.8</v>
      </c>
      <c r="AI27" s="529">
        <f>IF(OR(9&gt;$B$3,ISBLANK(Actuals!K33)),"",Actuals!K33)</f>
      </c>
      <c r="AJ27" s="530">
        <f>IF(OR(9&gt;$B$3,ISBLANK(Actuals!K33)),"",'Reforecast Q1 2026'!K33-Actuals!K33)</f>
      </c>
      <c r="AK27" s="530">
        <f>IFERROR(IF(OR(9&gt;$B$3,ISBLANK(Actuals!K33)),"",('Reforecast Q1 2026'!K33-Actuals!K33)/ABS('Reforecast Q1 2026'!K33)),"")</f>
      </c>
      <c r="AL27" s="529">
        <f>'Reforecast Q1 2026'!L33</f>
        <v>-5300.8</v>
      </c>
      <c r="AM27" s="529">
        <f>IF(OR(10&gt;$B$3,ISBLANK(Actuals!L33)),"",Actuals!L33)</f>
      </c>
      <c r="AN27" s="530">
        <f>IF(OR(10&gt;$B$3,ISBLANK(Actuals!L33)),"",'Reforecast Q1 2026'!L33-Actuals!L33)</f>
      </c>
      <c r="AO27" s="530">
        <f>IFERROR(IF(OR(10&gt;$B$3,ISBLANK(Actuals!L33)),"",('Reforecast Q1 2026'!L33-Actuals!L33)/ABS('Reforecast Q1 2026'!L33)),"")</f>
      </c>
      <c r="AP27" s="529">
        <f>'Reforecast Q1 2026'!M33</f>
        <v>-5300.8</v>
      </c>
      <c r="AQ27" s="529">
        <f>IF(OR(11&gt;$B$3,ISBLANK(Actuals!M33)),"",Actuals!M33)</f>
      </c>
      <c r="AR27" s="530">
        <f>IF(OR(11&gt;$B$3,ISBLANK(Actuals!M33)),"",'Reforecast Q1 2026'!M33-Actuals!M33)</f>
      </c>
      <c r="AS27" s="530">
        <f>IFERROR(IF(OR(11&gt;$B$3,ISBLANK(Actuals!M33)),"",('Reforecast Q1 2026'!M33-Actuals!M33)/ABS('Reforecast Q1 2026'!M33)),"")</f>
      </c>
      <c r="AT27" s="529">
        <f>'Reforecast Q1 2026'!N33</f>
        <v>-5300.8</v>
      </c>
      <c r="AU27" s="529">
        <f>IF(OR(12&gt;$B$3,ISBLANK(Actuals!N33)),"",Actuals!N33)</f>
      </c>
      <c r="AV27" s="530">
        <f>IF(OR(12&gt;$B$3,ISBLANK(Actuals!N33)),"",'Reforecast Q1 2026'!N33-Actuals!N33)</f>
      </c>
      <c r="AW27" s="530">
        <f>IFERROR(IF(OR(12&gt;$B$3,ISBLANK(Actuals!N33)),"",('Reforecast Q1 2026'!N33-Actuals!N33)/ABS('Reforecast Q1 2026'!N33)),"")</f>
      </c>
      <c r="AX27" s="531">
        <f>SUMPRODUCT((Actuals!C33:N33&lt;&gt;"")*('Reforecast Q1 2026'!C33:N33))</f>
        <v>-31804.81</v>
      </c>
      <c r="AY27" s="531">
        <f>SUM(Actuals!C33:N33)</f>
        <v>-31166.99</v>
      </c>
      <c r="AZ27" s="532">
        <f>AX27-AY27</f>
        <v>-637.82</v>
      </c>
    </row>
    <row r="28" ht="15" customFormat="1" customHeight="1" s="381">
      <c r="A28" s="528" t="inlineStr">
        <is>
          <t>5200-1054 Telephone Expenses</t>
        </is>
      </c>
      <c r="B28" s="529">
        <f>'Reforecast Q1 2026'!C34</f>
        <v>0</v>
      </c>
      <c r="C28" s="529">
        <f>IF(OR(1&gt;$B$3,ISBLANK(Actuals!C34)),"",Actuals!C34)</f>
        <v>0</v>
      </c>
      <c r="D28" s="530">
        <f>IF(OR(1&gt;$B$3,ISBLANK(Actuals!C34)),"",'Reforecast Q1 2026'!C34-Actuals!C34)</f>
        <v>0</v>
      </c>
      <c r="E28" s="530">
        <f>IFERROR(IF(OR(1&gt;$B$3,ISBLANK(Actuals!C34)),"",('Reforecast Q1 2026'!C34-Actuals!C34)/ABS('Reforecast Q1 2026'!C34)),"")</f>
      </c>
      <c r="F28" s="529">
        <f>'Reforecast Q1 2026'!D34</f>
        <v>-1766.48</v>
      </c>
      <c r="G28" s="529">
        <f>IF(OR(2&gt;$B$3,ISBLANK(Actuals!D34)),"",Actuals!D34)</f>
        <v>-1766.48</v>
      </c>
      <c r="H28" s="530">
        <f>IF(OR(2&gt;$B$3,ISBLANK(Actuals!D34)),"",'Reforecast Q1 2026'!D34-Actuals!D34)</f>
        <v>0</v>
      </c>
      <c r="I28" s="530">
        <f>IFERROR(IF(OR(2&gt;$B$3,ISBLANK(Actuals!D34)),"",('Reforecast Q1 2026'!D34-Actuals!D34)/ABS('Reforecast Q1 2026'!D34)),"")</f>
        <v>0</v>
      </c>
      <c r="J28" s="529">
        <f>'Reforecast Q1 2026'!E34</f>
        <v>-441.62</v>
      </c>
      <c r="K28" s="529">
        <f>IF(OR(3&gt;$B$3,ISBLANK(Actuals!E34)),"",Actuals!E34)</f>
        <v>-441.62</v>
      </c>
      <c r="L28" s="530">
        <f>IF(OR(3&gt;$B$3,ISBLANK(Actuals!E34)),"",'Reforecast Q1 2026'!E34-Actuals!E34)</f>
        <v>0</v>
      </c>
      <c r="M28" s="530">
        <f>IFERROR(IF(OR(3&gt;$B$3,ISBLANK(Actuals!E34)),"",('Reforecast Q1 2026'!E34-Actuals!E34)/ABS('Reforecast Q1 2026'!E34)),"")</f>
        <v>0</v>
      </c>
      <c r="N28" s="529">
        <f>'Reforecast Q1 2026'!F34</f>
        <v>-736.03</v>
      </c>
      <c r="O28" s="529">
        <f>IF(OR(4&gt;$B$3,ISBLANK(Actuals!F34)),"",Actuals!F34)</f>
        <v>-441.62</v>
      </c>
      <c r="P28" s="530">
        <f>IF(OR(4&gt;$B$3,ISBLANK(Actuals!F34)),"",'Reforecast Q1 2026'!F34-Actuals!F34)</f>
        <v>-294.41</v>
      </c>
      <c r="Q28" s="530">
        <f>IFERROR(IF(OR(4&gt;$B$3,ISBLANK(Actuals!F34)),"",('Reforecast Q1 2026'!F34-Actuals!F34)/ABS('Reforecast Q1 2026'!F34)),"")</f>
        <v>-0.399997282719454</v>
      </c>
      <c r="R28" s="529">
        <f>'Reforecast Q1 2026'!G34</f>
        <v>-736.03</v>
      </c>
      <c r="S28" s="529">
        <f>IF(OR(5&gt;$B$3,ISBLANK(Actuals!G34)),"",Actuals!G34)</f>
        <v>-578.62</v>
      </c>
      <c r="T28" s="530">
        <f>IF(OR(5&gt;$B$3,ISBLANK(Actuals!G34)),"",'Reforecast Q1 2026'!G34-Actuals!G34)</f>
        <v>-157.41</v>
      </c>
      <c r="U28" s="530">
        <f>IFERROR(IF(OR(5&gt;$B$3,ISBLANK(Actuals!G34)),"",('Reforecast Q1 2026'!G34-Actuals!G34)/ABS('Reforecast Q1 2026'!G34)),"")</f>
        <v>-0.213863565343804</v>
      </c>
      <c r="V28" s="529">
        <f>'Reforecast Q1 2026'!H34</f>
        <v>-736.03</v>
      </c>
      <c r="W28" s="529">
        <f>IF(OR(6&gt;$B$3,ISBLANK(Actuals!H34)),"",Actuals!H34)</f>
        <v>-491.62</v>
      </c>
      <c r="X28" s="530">
        <f>IF(OR(6&gt;$B$3,ISBLANK(Actuals!H34)),"",'Reforecast Q1 2026'!H34-Actuals!H34)</f>
        <v>-244.41</v>
      </c>
      <c r="Y28" s="530">
        <f>IFERROR(IF(OR(6&gt;$B$3,ISBLANK(Actuals!H34)),"",('Reforecast Q1 2026'!H34-Actuals!H34)/ABS('Reforecast Q1 2026'!H34)),"")</f>
        <v>-0.332065269078706</v>
      </c>
      <c r="Z28" s="529">
        <f>'Reforecast Q1 2026'!I34</f>
        <v>-736.03</v>
      </c>
      <c r="AA28" s="529">
        <f>IF(OR(7&gt;$B$3,ISBLANK(Actuals!I34)),"",Actuals!I34)</f>
      </c>
      <c r="AB28" s="530">
        <f>IF(OR(7&gt;$B$3,ISBLANK(Actuals!I34)),"",'Reforecast Q1 2026'!I34-Actuals!I34)</f>
      </c>
      <c r="AC28" s="530">
        <f>IFERROR(IF(OR(7&gt;$B$3,ISBLANK(Actuals!I34)),"",('Reforecast Q1 2026'!I34-Actuals!I34)/ABS('Reforecast Q1 2026'!I34)),"")</f>
      </c>
      <c r="AD28" s="529">
        <f>'Reforecast Q1 2026'!J34</f>
        <v>-736.03</v>
      </c>
      <c r="AE28" s="529">
        <f>IF(OR(8&gt;$B$3,ISBLANK(Actuals!J34)),"",Actuals!J34)</f>
      </c>
      <c r="AF28" s="530">
        <f>IF(OR(8&gt;$B$3,ISBLANK(Actuals!J34)),"",'Reforecast Q1 2026'!J34-Actuals!J34)</f>
      </c>
      <c r="AG28" s="530">
        <f>IFERROR(IF(OR(8&gt;$B$3,ISBLANK(Actuals!J34)),"",('Reforecast Q1 2026'!J34-Actuals!J34)/ABS('Reforecast Q1 2026'!J34)),"")</f>
      </c>
      <c r="AH28" s="529">
        <f>'Reforecast Q1 2026'!K34</f>
        <v>-736.03</v>
      </c>
      <c r="AI28" s="529">
        <f>IF(OR(9&gt;$B$3,ISBLANK(Actuals!K34)),"",Actuals!K34)</f>
      </c>
      <c r="AJ28" s="530">
        <f>IF(OR(9&gt;$B$3,ISBLANK(Actuals!K34)),"",'Reforecast Q1 2026'!K34-Actuals!K34)</f>
      </c>
      <c r="AK28" s="530">
        <f>IFERROR(IF(OR(9&gt;$B$3,ISBLANK(Actuals!K34)),"",('Reforecast Q1 2026'!K34-Actuals!K34)/ABS('Reforecast Q1 2026'!K34)),"")</f>
      </c>
      <c r="AL28" s="529">
        <f>'Reforecast Q1 2026'!L34</f>
        <v>-736.03</v>
      </c>
      <c r="AM28" s="529">
        <f>IF(OR(10&gt;$B$3,ISBLANK(Actuals!L34)),"",Actuals!L34)</f>
      </c>
      <c r="AN28" s="530">
        <f>IF(OR(10&gt;$B$3,ISBLANK(Actuals!L34)),"",'Reforecast Q1 2026'!L34-Actuals!L34)</f>
      </c>
      <c r="AO28" s="530">
        <f>IFERROR(IF(OR(10&gt;$B$3,ISBLANK(Actuals!L34)),"",('Reforecast Q1 2026'!L34-Actuals!L34)/ABS('Reforecast Q1 2026'!L34)),"")</f>
      </c>
      <c r="AP28" s="529">
        <f>'Reforecast Q1 2026'!M34</f>
        <v>-736.03</v>
      </c>
      <c r="AQ28" s="529">
        <f>IF(OR(11&gt;$B$3,ISBLANK(Actuals!M34)),"",Actuals!M34)</f>
      </c>
      <c r="AR28" s="530">
        <f>IF(OR(11&gt;$B$3,ISBLANK(Actuals!M34)),"",'Reforecast Q1 2026'!M34-Actuals!M34)</f>
      </c>
      <c r="AS28" s="530">
        <f>IFERROR(IF(OR(11&gt;$B$3,ISBLANK(Actuals!M34)),"",('Reforecast Q1 2026'!M34-Actuals!M34)/ABS('Reforecast Q1 2026'!M34)),"")</f>
      </c>
      <c r="AT28" s="529">
        <f>'Reforecast Q1 2026'!N34</f>
        <v>-736.03</v>
      </c>
      <c r="AU28" s="529">
        <f>IF(OR(12&gt;$B$3,ISBLANK(Actuals!N34)),"",Actuals!N34)</f>
      </c>
      <c r="AV28" s="530">
        <f>IF(OR(12&gt;$B$3,ISBLANK(Actuals!N34)),"",'Reforecast Q1 2026'!N34-Actuals!N34)</f>
      </c>
      <c r="AW28" s="530">
        <f>IFERROR(IF(OR(12&gt;$B$3,ISBLANK(Actuals!N34)),"",('Reforecast Q1 2026'!N34-Actuals!N34)/ABS('Reforecast Q1 2026'!N34)),"")</f>
      </c>
      <c r="AX28" s="531">
        <f>SUMPRODUCT((Actuals!C34:N34&lt;&gt;"")*('Reforecast Q1 2026'!C34:N34))</f>
        <v>-4416.19</v>
      </c>
      <c r="AY28" s="531">
        <f>SUM(Actuals!C34:N34)</f>
        <v>-3719.96</v>
      </c>
      <c r="AZ28" s="532">
        <f>AX28-AY28</f>
        <v>-696.23</v>
      </c>
    </row>
    <row r="29" ht="15" customFormat="1" customHeight="1" s="381">
      <c r="A29" s="528" t="inlineStr">
        <is>
          <t>5300-1050 Meals and Entertainment</t>
        </is>
      </c>
      <c r="B29" s="529">
        <f>'Reforecast Q1 2026'!C35</f>
        <v>-681.77</v>
      </c>
      <c r="C29" s="529">
        <f>IF(OR(1&gt;$B$3,ISBLANK(Actuals!C35)),"",Actuals!C35)</f>
        <v>-681.77</v>
      </c>
      <c r="D29" s="530">
        <f>IF(OR(1&gt;$B$3,ISBLANK(Actuals!C35)),"",'Reforecast Q1 2026'!C35-Actuals!C35)</f>
        <v>0</v>
      </c>
      <c r="E29" s="530">
        <f>IFERROR(IF(OR(1&gt;$B$3,ISBLANK(Actuals!C35)),"",('Reforecast Q1 2026'!C35-Actuals!C35)/ABS('Reforecast Q1 2026'!C35)),"")</f>
        <v>0</v>
      </c>
      <c r="F29" s="529">
        <f>'Reforecast Q1 2026'!D35</f>
        <v>-600.14</v>
      </c>
      <c r="G29" s="529">
        <f>IF(OR(2&gt;$B$3,ISBLANK(Actuals!D35)),"",Actuals!D35)</f>
        <v>-600.14</v>
      </c>
      <c r="H29" s="530">
        <f>IF(OR(2&gt;$B$3,ISBLANK(Actuals!D35)),"",'Reforecast Q1 2026'!D35-Actuals!D35)</f>
        <v>0</v>
      </c>
      <c r="I29" s="530">
        <f>IFERROR(IF(OR(2&gt;$B$3,ISBLANK(Actuals!D35)),"",('Reforecast Q1 2026'!D35-Actuals!D35)/ABS('Reforecast Q1 2026'!D35)),"")</f>
        <v>0</v>
      </c>
      <c r="J29" s="529">
        <f>'Reforecast Q1 2026'!E35</f>
        <v>-2121.95</v>
      </c>
      <c r="K29" s="529">
        <f>IF(OR(3&gt;$B$3,ISBLANK(Actuals!E35)),"",Actuals!E35)</f>
        <v>-2121.95</v>
      </c>
      <c r="L29" s="530">
        <f>IF(OR(3&gt;$B$3,ISBLANK(Actuals!E35)),"",'Reforecast Q1 2026'!E35-Actuals!E35)</f>
        <v>0</v>
      </c>
      <c r="M29" s="530">
        <f>IFERROR(IF(OR(3&gt;$B$3,ISBLANK(Actuals!E35)),"",('Reforecast Q1 2026'!E35-Actuals!E35)/ABS('Reforecast Q1 2026'!E35)),"")</f>
        <v>0</v>
      </c>
      <c r="N29" s="529">
        <f>'Reforecast Q1 2026'!F35</f>
        <v>-1134.62</v>
      </c>
      <c r="O29" s="529">
        <f>IF(OR(4&gt;$B$3,ISBLANK(Actuals!F35)),"",Actuals!F35)</f>
        <v>-840.49</v>
      </c>
      <c r="P29" s="530">
        <f>IF(OR(4&gt;$B$3,ISBLANK(Actuals!F35)),"",'Reforecast Q1 2026'!F35-Actuals!F35)</f>
        <v>-294.13</v>
      </c>
      <c r="Q29" s="530">
        <f>IFERROR(IF(OR(4&gt;$B$3,ISBLANK(Actuals!F35)),"",('Reforecast Q1 2026'!F35-Actuals!F35)/ABS('Reforecast Q1 2026'!F35)),"")</f>
        <v>-0.259232165835258</v>
      </c>
      <c r="R29" s="529">
        <f>'Reforecast Q1 2026'!G35</f>
        <v>-1134.62</v>
      </c>
      <c r="S29" s="529">
        <f>IF(OR(5&gt;$B$3,ISBLANK(Actuals!G35)),"",Actuals!G35)</f>
        <v>-847.85</v>
      </c>
      <c r="T29" s="530">
        <f>IF(OR(5&gt;$B$3,ISBLANK(Actuals!G35)),"",'Reforecast Q1 2026'!G35-Actuals!G35)</f>
        <v>-286.77</v>
      </c>
      <c r="U29" s="530">
        <f>IFERROR(IF(OR(5&gt;$B$3,ISBLANK(Actuals!G35)),"",('Reforecast Q1 2026'!G35-Actuals!G35)/ABS('Reforecast Q1 2026'!G35)),"")</f>
        <v>-0.252745412561034</v>
      </c>
      <c r="V29" s="529">
        <f>'Reforecast Q1 2026'!H35</f>
        <v>-1134.62</v>
      </c>
      <c r="W29" s="529">
        <f>IF(OR(6&gt;$B$3,ISBLANK(Actuals!H35)),"",Actuals!H35)</f>
        <v>-486.63</v>
      </c>
      <c r="X29" s="530">
        <f>IF(OR(6&gt;$B$3,ISBLANK(Actuals!H35)),"",'Reforecast Q1 2026'!H35-Actuals!H35)</f>
        <v>-647.99</v>
      </c>
      <c r="Y29" s="530">
        <f>IFERROR(IF(OR(6&gt;$B$3,ISBLANK(Actuals!H35)),"",('Reforecast Q1 2026'!H35-Actuals!H35)/ABS('Reforecast Q1 2026'!H35)),"")</f>
        <v>-0.571107507359292</v>
      </c>
      <c r="Z29" s="529">
        <f>'Reforecast Q1 2026'!I35</f>
        <v>-1134.62</v>
      </c>
      <c r="AA29" s="529">
        <f>IF(OR(7&gt;$B$3,ISBLANK(Actuals!I35)),"",Actuals!I35)</f>
      </c>
      <c r="AB29" s="530">
        <f>IF(OR(7&gt;$B$3,ISBLANK(Actuals!I35)),"",'Reforecast Q1 2026'!I35-Actuals!I35)</f>
      </c>
      <c r="AC29" s="530">
        <f>IFERROR(IF(OR(7&gt;$B$3,ISBLANK(Actuals!I35)),"",('Reforecast Q1 2026'!I35-Actuals!I35)/ABS('Reforecast Q1 2026'!I35)),"")</f>
      </c>
      <c r="AD29" s="529">
        <f>'Reforecast Q1 2026'!J35</f>
        <v>-1134.62</v>
      </c>
      <c r="AE29" s="529">
        <f>IF(OR(8&gt;$B$3,ISBLANK(Actuals!J35)),"",Actuals!J35)</f>
      </c>
      <c r="AF29" s="530">
        <f>IF(OR(8&gt;$B$3,ISBLANK(Actuals!J35)),"",'Reforecast Q1 2026'!J35-Actuals!J35)</f>
      </c>
      <c r="AG29" s="530">
        <f>IFERROR(IF(OR(8&gt;$B$3,ISBLANK(Actuals!J35)),"",('Reforecast Q1 2026'!J35-Actuals!J35)/ABS('Reforecast Q1 2026'!J35)),"")</f>
      </c>
      <c r="AH29" s="529">
        <f>'Reforecast Q1 2026'!K35</f>
        <v>-1134.62</v>
      </c>
      <c r="AI29" s="529">
        <f>IF(OR(9&gt;$B$3,ISBLANK(Actuals!K35)),"",Actuals!K35)</f>
      </c>
      <c r="AJ29" s="530">
        <f>IF(OR(9&gt;$B$3,ISBLANK(Actuals!K35)),"",'Reforecast Q1 2026'!K35-Actuals!K35)</f>
      </c>
      <c r="AK29" s="530">
        <f>IFERROR(IF(OR(9&gt;$B$3,ISBLANK(Actuals!K35)),"",('Reforecast Q1 2026'!K35-Actuals!K35)/ABS('Reforecast Q1 2026'!K35)),"")</f>
      </c>
      <c r="AL29" s="529">
        <f>'Reforecast Q1 2026'!L35</f>
        <v>-1134.62</v>
      </c>
      <c r="AM29" s="529">
        <f>IF(OR(10&gt;$B$3,ISBLANK(Actuals!L35)),"",Actuals!L35)</f>
      </c>
      <c r="AN29" s="530">
        <f>IF(OR(10&gt;$B$3,ISBLANK(Actuals!L35)),"",'Reforecast Q1 2026'!L35-Actuals!L35)</f>
      </c>
      <c r="AO29" s="530">
        <f>IFERROR(IF(OR(10&gt;$B$3,ISBLANK(Actuals!L35)),"",('Reforecast Q1 2026'!L35-Actuals!L35)/ABS('Reforecast Q1 2026'!L35)),"")</f>
      </c>
      <c r="AP29" s="529">
        <f>'Reforecast Q1 2026'!M35</f>
        <v>-1134.62</v>
      </c>
      <c r="AQ29" s="529">
        <f>IF(OR(11&gt;$B$3,ISBLANK(Actuals!M35)),"",Actuals!M35)</f>
      </c>
      <c r="AR29" s="530">
        <f>IF(OR(11&gt;$B$3,ISBLANK(Actuals!M35)),"",'Reforecast Q1 2026'!M35-Actuals!M35)</f>
      </c>
      <c r="AS29" s="530">
        <f>IFERROR(IF(OR(11&gt;$B$3,ISBLANK(Actuals!M35)),"",('Reforecast Q1 2026'!M35-Actuals!M35)/ABS('Reforecast Q1 2026'!M35)),"")</f>
      </c>
      <c r="AT29" s="529">
        <f>'Reforecast Q1 2026'!N35</f>
        <v>-1134.62</v>
      </c>
      <c r="AU29" s="529">
        <f>IF(OR(12&gt;$B$3,ISBLANK(Actuals!N35)),"",Actuals!N35)</f>
      </c>
      <c r="AV29" s="530">
        <f>IF(OR(12&gt;$B$3,ISBLANK(Actuals!N35)),"",'Reforecast Q1 2026'!N35-Actuals!N35)</f>
      </c>
      <c r="AW29" s="530">
        <f>IFERROR(IF(OR(12&gt;$B$3,ISBLANK(Actuals!N35)),"",('Reforecast Q1 2026'!N35-Actuals!N35)/ABS('Reforecast Q1 2026'!N35)),"")</f>
      </c>
      <c r="AX29" s="531">
        <f>SUMPRODUCT((Actuals!C35:N35&lt;&gt;"")*('Reforecast Q1 2026'!C35:N35))</f>
        <v>-6807.72</v>
      </c>
      <c r="AY29" s="531">
        <f>SUM(Actuals!C35:N35)</f>
        <v>-5578.83</v>
      </c>
      <c r="AZ29" s="532">
        <f>AX29-AY29</f>
        <v>-1228.89</v>
      </c>
    </row>
    <row r="30" ht="15" customFormat="1" customHeight="1" s="381">
      <c r="A30" s="528" t="inlineStr">
        <is>
          <t>5500-1000 Legal and Professional Fees</t>
        </is>
      </c>
      <c r="B30" s="529">
        <f>'Reforecast Q1 2026'!C36</f>
        <v>-2187.5</v>
      </c>
      <c r="C30" s="529">
        <f>IF(OR(1&gt;$B$3,ISBLANK(Actuals!C36)),"",Actuals!C36)</f>
        <v>-2187.5</v>
      </c>
      <c r="D30" s="530">
        <f>IF(OR(1&gt;$B$3,ISBLANK(Actuals!C36)),"",'Reforecast Q1 2026'!C36-Actuals!C36)</f>
        <v>0</v>
      </c>
      <c r="E30" s="530">
        <f>IFERROR(IF(OR(1&gt;$B$3,ISBLANK(Actuals!C36)),"",('Reforecast Q1 2026'!C36-Actuals!C36)/ABS('Reforecast Q1 2026'!C36)),"")</f>
        <v>0</v>
      </c>
      <c r="F30" s="529">
        <f>'Reforecast Q1 2026'!D36</f>
        <v>0</v>
      </c>
      <c r="G30" s="529">
        <f>IF(OR(2&gt;$B$3,ISBLANK(Actuals!D36)),"",Actuals!D36)</f>
        <v>0</v>
      </c>
      <c r="H30" s="530">
        <f>IF(OR(2&gt;$B$3,ISBLANK(Actuals!D36)),"",'Reforecast Q1 2026'!D36-Actuals!D36)</f>
        <v>0</v>
      </c>
      <c r="I30" s="530">
        <f>IFERROR(IF(OR(2&gt;$B$3,ISBLANK(Actuals!D36)),"",('Reforecast Q1 2026'!D36-Actuals!D36)/ABS('Reforecast Q1 2026'!D36)),"")</f>
      </c>
      <c r="J30" s="529">
        <f>'Reforecast Q1 2026'!E36</f>
        <v>-1625</v>
      </c>
      <c r="K30" s="529">
        <f>IF(OR(3&gt;$B$3,ISBLANK(Actuals!E36)),"",Actuals!E36)</f>
        <v>-1625</v>
      </c>
      <c r="L30" s="530">
        <f>IF(OR(3&gt;$B$3,ISBLANK(Actuals!E36)),"",'Reforecast Q1 2026'!E36-Actuals!E36)</f>
        <v>0</v>
      </c>
      <c r="M30" s="530">
        <f>IFERROR(IF(OR(3&gt;$B$3,ISBLANK(Actuals!E36)),"",('Reforecast Q1 2026'!E36-Actuals!E36)/ABS('Reforecast Q1 2026'!E36)),"")</f>
        <v>0</v>
      </c>
      <c r="N30" s="529">
        <f>'Reforecast Q1 2026'!F36</f>
        <v>-1270.83</v>
      </c>
      <c r="O30" s="529">
        <f>IF(OR(4&gt;$B$3,ISBLANK(Actuals!F36)),"",Actuals!F36)</f>
        <v>0</v>
      </c>
      <c r="P30" s="530">
        <f>IF(OR(4&gt;$B$3,ISBLANK(Actuals!F36)),"",'Reforecast Q1 2026'!F36-Actuals!F36)</f>
        <v>-1270.83</v>
      </c>
      <c r="Q30" s="530">
        <f>IFERROR(IF(OR(4&gt;$B$3,ISBLANK(Actuals!F36)),"",('Reforecast Q1 2026'!F36-Actuals!F36)/ABS('Reforecast Q1 2026'!F36)),"")</f>
        <v>-1</v>
      </c>
      <c r="R30" s="529">
        <f>'Reforecast Q1 2026'!G36</f>
        <v>-1270.83</v>
      </c>
      <c r="S30" s="529">
        <f>IF(OR(5&gt;$B$3,ISBLANK(Actuals!G36)),"",Actuals!G36)</f>
        <v>0</v>
      </c>
      <c r="T30" s="530">
        <f>IF(OR(5&gt;$B$3,ISBLANK(Actuals!G36)),"",'Reforecast Q1 2026'!G36-Actuals!G36)</f>
        <v>-1270.83</v>
      </c>
      <c r="U30" s="530">
        <f>IFERROR(IF(OR(5&gt;$B$3,ISBLANK(Actuals!G36)),"",('Reforecast Q1 2026'!G36-Actuals!G36)/ABS('Reforecast Q1 2026'!G36)),"")</f>
        <v>-1</v>
      </c>
      <c r="V30" s="529">
        <f>'Reforecast Q1 2026'!H36</f>
        <v>-1270.83</v>
      </c>
      <c r="W30" s="529">
        <f>IF(OR(6&gt;$B$3,ISBLANK(Actuals!H36)),"",Actuals!H36)</f>
        <v>0</v>
      </c>
      <c r="X30" s="530">
        <f>IF(OR(6&gt;$B$3,ISBLANK(Actuals!H36)),"",'Reforecast Q1 2026'!H36-Actuals!H36)</f>
        <v>-1270.83</v>
      </c>
      <c r="Y30" s="530">
        <f>IFERROR(IF(OR(6&gt;$B$3,ISBLANK(Actuals!H36)),"",('Reforecast Q1 2026'!H36-Actuals!H36)/ABS('Reforecast Q1 2026'!H36)),"")</f>
        <v>-1</v>
      </c>
      <c r="Z30" s="529">
        <f>'Reforecast Q1 2026'!I36</f>
        <v>-1270.83</v>
      </c>
      <c r="AA30" s="529">
        <f>IF(OR(7&gt;$B$3,ISBLANK(Actuals!I36)),"",Actuals!I36)</f>
      </c>
      <c r="AB30" s="530">
        <f>IF(OR(7&gt;$B$3,ISBLANK(Actuals!I36)),"",'Reforecast Q1 2026'!I36-Actuals!I36)</f>
      </c>
      <c r="AC30" s="530">
        <f>IFERROR(IF(OR(7&gt;$B$3,ISBLANK(Actuals!I36)),"",('Reforecast Q1 2026'!I36-Actuals!I36)/ABS('Reforecast Q1 2026'!I36)),"")</f>
      </c>
      <c r="AD30" s="529">
        <f>'Reforecast Q1 2026'!J36</f>
        <v>-1270.83</v>
      </c>
      <c r="AE30" s="529">
        <f>IF(OR(8&gt;$B$3,ISBLANK(Actuals!J36)),"",Actuals!J36)</f>
      </c>
      <c r="AF30" s="530">
        <f>IF(OR(8&gt;$B$3,ISBLANK(Actuals!J36)),"",'Reforecast Q1 2026'!J36-Actuals!J36)</f>
      </c>
      <c r="AG30" s="530">
        <f>IFERROR(IF(OR(8&gt;$B$3,ISBLANK(Actuals!J36)),"",('Reforecast Q1 2026'!J36-Actuals!J36)/ABS('Reforecast Q1 2026'!J36)),"")</f>
      </c>
      <c r="AH30" s="529">
        <f>'Reforecast Q1 2026'!K36</f>
        <v>-1270.83</v>
      </c>
      <c r="AI30" s="529">
        <f>IF(OR(9&gt;$B$3,ISBLANK(Actuals!K36)),"",Actuals!K36)</f>
      </c>
      <c r="AJ30" s="530">
        <f>IF(OR(9&gt;$B$3,ISBLANK(Actuals!K36)),"",'Reforecast Q1 2026'!K36-Actuals!K36)</f>
      </c>
      <c r="AK30" s="530">
        <f>IFERROR(IF(OR(9&gt;$B$3,ISBLANK(Actuals!K36)),"",('Reforecast Q1 2026'!K36-Actuals!K36)/ABS('Reforecast Q1 2026'!K36)),"")</f>
      </c>
      <c r="AL30" s="529">
        <f>'Reforecast Q1 2026'!L36</f>
        <v>-1270.83</v>
      </c>
      <c r="AM30" s="529">
        <f>IF(OR(10&gt;$B$3,ISBLANK(Actuals!L36)),"",Actuals!L36)</f>
      </c>
      <c r="AN30" s="530">
        <f>IF(OR(10&gt;$B$3,ISBLANK(Actuals!L36)),"",'Reforecast Q1 2026'!L36-Actuals!L36)</f>
      </c>
      <c r="AO30" s="530">
        <f>IFERROR(IF(OR(10&gt;$B$3,ISBLANK(Actuals!L36)),"",('Reforecast Q1 2026'!L36-Actuals!L36)/ABS('Reforecast Q1 2026'!L36)),"")</f>
      </c>
      <c r="AP30" s="529">
        <f>'Reforecast Q1 2026'!M36</f>
        <v>-1270.83</v>
      </c>
      <c r="AQ30" s="529">
        <f>IF(OR(11&gt;$B$3,ISBLANK(Actuals!M36)),"",Actuals!M36)</f>
      </c>
      <c r="AR30" s="530">
        <f>IF(OR(11&gt;$B$3,ISBLANK(Actuals!M36)),"",'Reforecast Q1 2026'!M36-Actuals!M36)</f>
      </c>
      <c r="AS30" s="530">
        <f>IFERROR(IF(OR(11&gt;$B$3,ISBLANK(Actuals!M36)),"",('Reforecast Q1 2026'!M36-Actuals!M36)/ABS('Reforecast Q1 2026'!M36)),"")</f>
      </c>
      <c r="AT30" s="529">
        <f>'Reforecast Q1 2026'!N36</f>
        <v>-1270.83</v>
      </c>
      <c r="AU30" s="529">
        <f>IF(OR(12&gt;$B$3,ISBLANK(Actuals!N36)),"",Actuals!N36)</f>
      </c>
      <c r="AV30" s="530">
        <f>IF(OR(12&gt;$B$3,ISBLANK(Actuals!N36)),"",'Reforecast Q1 2026'!N36-Actuals!N36)</f>
      </c>
      <c r="AW30" s="530">
        <f>IFERROR(IF(OR(12&gt;$B$3,ISBLANK(Actuals!N36)),"",('Reforecast Q1 2026'!N36-Actuals!N36)/ABS('Reforecast Q1 2026'!N36)),"")</f>
      </c>
      <c r="AX30" s="531">
        <f>SUMPRODUCT((Actuals!C36:N36&lt;&gt;"")*('Reforecast Q1 2026'!C36:N36))</f>
        <v>-7624.99</v>
      </c>
      <c r="AY30" s="531">
        <f>SUM(Actuals!C36:N36)</f>
        <v>-3812.5</v>
      </c>
      <c r="AZ30" s="532">
        <f>AX30-AY30</f>
        <v>-3812.49</v>
      </c>
    </row>
    <row r="31" ht="15" customFormat="1" customHeight="1" s="381">
      <c r="A31" s="528" t="inlineStr">
        <is>
          <t>5500-1002 Accounting Consulting and Overhead</t>
        </is>
      </c>
      <c r="B31" s="529">
        <f>'Reforecast Q1 2026'!C37</f>
        <v>0</v>
      </c>
      <c r="C31" s="529">
        <f>IF(OR(1&gt;$B$3,ISBLANK(Actuals!C37)),"",Actuals!C37)</f>
        <v>0</v>
      </c>
      <c r="D31" s="530">
        <f>IF(OR(1&gt;$B$3,ISBLANK(Actuals!C37)),"",'Reforecast Q1 2026'!C37-Actuals!C37)</f>
        <v>0</v>
      </c>
      <c r="E31" s="530">
        <f>IFERROR(IF(OR(1&gt;$B$3,ISBLANK(Actuals!C37)),"",('Reforecast Q1 2026'!C37-Actuals!C37)/ABS('Reforecast Q1 2026'!C37)),"")</f>
      </c>
      <c r="F31" s="529">
        <f>'Reforecast Q1 2026'!D37</f>
        <v>-12349</v>
      </c>
      <c r="G31" s="529">
        <f>IF(OR(2&gt;$B$3,ISBLANK(Actuals!D37)),"",Actuals!D37)</f>
        <v>-12349</v>
      </c>
      <c r="H31" s="530">
        <f>IF(OR(2&gt;$B$3,ISBLANK(Actuals!D37)),"",'Reforecast Q1 2026'!D37-Actuals!D37)</f>
        <v>0</v>
      </c>
      <c r="I31" s="530">
        <f>IFERROR(IF(OR(2&gt;$B$3,ISBLANK(Actuals!D37)),"",('Reforecast Q1 2026'!D37-Actuals!D37)/ABS('Reforecast Q1 2026'!D37)),"")</f>
        <v>0</v>
      </c>
      <c r="J31" s="529">
        <f>'Reforecast Q1 2026'!E37</f>
        <v>-5400</v>
      </c>
      <c r="K31" s="529">
        <f>IF(OR(3&gt;$B$3,ISBLANK(Actuals!E37)),"",Actuals!E37)</f>
        <v>-5400</v>
      </c>
      <c r="L31" s="530">
        <f>IF(OR(3&gt;$B$3,ISBLANK(Actuals!E37)),"",'Reforecast Q1 2026'!E37-Actuals!E37)</f>
        <v>0</v>
      </c>
      <c r="M31" s="530">
        <f>IFERROR(IF(OR(3&gt;$B$3,ISBLANK(Actuals!E37)),"",('Reforecast Q1 2026'!E37-Actuals!E37)/ABS('Reforecast Q1 2026'!E37)),"")</f>
        <v>0</v>
      </c>
      <c r="N31" s="529">
        <f>'Reforecast Q1 2026'!F37</f>
        <v>-5916.33</v>
      </c>
      <c r="O31" s="529">
        <f>IF(OR(4&gt;$B$3,ISBLANK(Actuals!F37)),"",Actuals!F37)</f>
        <v>-4377</v>
      </c>
      <c r="P31" s="530">
        <f>IF(OR(4&gt;$B$3,ISBLANK(Actuals!F37)),"",'Reforecast Q1 2026'!F37-Actuals!F37)</f>
        <v>-1539.33</v>
      </c>
      <c r="Q31" s="530">
        <f>IFERROR(IF(OR(4&gt;$B$3,ISBLANK(Actuals!F37)),"",('Reforecast Q1 2026'!F37-Actuals!F37)/ABS('Reforecast Q1 2026'!F37)),"")</f>
        <v>-0.260183255497919</v>
      </c>
      <c r="R31" s="529">
        <f>'Reforecast Q1 2026'!G37</f>
        <v>-5916.33</v>
      </c>
      <c r="S31" s="529">
        <f>IF(OR(5&gt;$B$3,ISBLANK(Actuals!G37)),"",Actuals!G37)</f>
        <v>-11750</v>
      </c>
      <c r="T31" s="530">
        <f>IF(OR(5&gt;$B$3,ISBLANK(Actuals!G37)),"",'Reforecast Q1 2026'!G37-Actuals!G37)</f>
        <v>5833.67</v>
      </c>
      <c r="U31" s="530">
        <f>IFERROR(IF(OR(5&gt;$B$3,ISBLANK(Actuals!G37)),"",('Reforecast Q1 2026'!G37-Actuals!G37)/ABS('Reforecast Q1 2026'!G37)),"")</f>
        <v>0.986028500776664</v>
      </c>
      <c r="V31" s="529">
        <f>'Reforecast Q1 2026'!H37</f>
        <v>-5916.33</v>
      </c>
      <c r="W31" s="529">
        <f>IF(OR(6&gt;$B$3,ISBLANK(Actuals!H37)),"",Actuals!H37)</f>
        <v>0</v>
      </c>
      <c r="X31" s="530">
        <f>IF(OR(6&gt;$B$3,ISBLANK(Actuals!H37)),"",'Reforecast Q1 2026'!H37-Actuals!H37)</f>
        <v>-5916.33</v>
      </c>
      <c r="Y31" s="530">
        <f>IFERROR(IF(OR(6&gt;$B$3,ISBLANK(Actuals!H37)),"",('Reforecast Q1 2026'!H37-Actuals!H37)/ABS('Reforecast Q1 2026'!H37)),"")</f>
        <v>-1</v>
      </c>
      <c r="Z31" s="529">
        <f>'Reforecast Q1 2026'!I37</f>
        <v>-5916.33</v>
      </c>
      <c r="AA31" s="529">
        <f>IF(OR(7&gt;$B$3,ISBLANK(Actuals!I37)),"",Actuals!I37)</f>
      </c>
      <c r="AB31" s="530">
        <f>IF(OR(7&gt;$B$3,ISBLANK(Actuals!I37)),"",'Reforecast Q1 2026'!I37-Actuals!I37)</f>
      </c>
      <c r="AC31" s="530">
        <f>IFERROR(IF(OR(7&gt;$B$3,ISBLANK(Actuals!I37)),"",('Reforecast Q1 2026'!I37-Actuals!I37)/ABS('Reforecast Q1 2026'!I37)),"")</f>
      </c>
      <c r="AD31" s="529">
        <f>'Reforecast Q1 2026'!J37</f>
        <v>-5916.33</v>
      </c>
      <c r="AE31" s="529">
        <f>IF(OR(8&gt;$B$3,ISBLANK(Actuals!J37)),"",Actuals!J37)</f>
      </c>
      <c r="AF31" s="530">
        <f>IF(OR(8&gt;$B$3,ISBLANK(Actuals!J37)),"",'Reforecast Q1 2026'!J37-Actuals!J37)</f>
      </c>
      <c r="AG31" s="530">
        <f>IFERROR(IF(OR(8&gt;$B$3,ISBLANK(Actuals!J37)),"",('Reforecast Q1 2026'!J37-Actuals!J37)/ABS('Reforecast Q1 2026'!J37)),"")</f>
      </c>
      <c r="AH31" s="529">
        <f>'Reforecast Q1 2026'!K37</f>
        <v>-5916.33</v>
      </c>
      <c r="AI31" s="529">
        <f>IF(OR(9&gt;$B$3,ISBLANK(Actuals!K37)),"",Actuals!K37)</f>
      </c>
      <c r="AJ31" s="530">
        <f>IF(OR(9&gt;$B$3,ISBLANK(Actuals!K37)),"",'Reforecast Q1 2026'!K37-Actuals!K37)</f>
      </c>
      <c r="AK31" s="530">
        <f>IFERROR(IF(OR(9&gt;$B$3,ISBLANK(Actuals!K37)),"",('Reforecast Q1 2026'!K37-Actuals!K37)/ABS('Reforecast Q1 2026'!K37)),"")</f>
      </c>
      <c r="AL31" s="529">
        <f>'Reforecast Q1 2026'!L37</f>
        <v>-5916.33</v>
      </c>
      <c r="AM31" s="529">
        <f>IF(OR(10&gt;$B$3,ISBLANK(Actuals!L37)),"",Actuals!L37)</f>
      </c>
      <c r="AN31" s="530">
        <f>IF(OR(10&gt;$B$3,ISBLANK(Actuals!L37)),"",'Reforecast Q1 2026'!L37-Actuals!L37)</f>
      </c>
      <c r="AO31" s="530">
        <f>IFERROR(IF(OR(10&gt;$B$3,ISBLANK(Actuals!L37)),"",('Reforecast Q1 2026'!L37-Actuals!L37)/ABS('Reforecast Q1 2026'!L37)),"")</f>
      </c>
      <c r="AP31" s="529">
        <f>'Reforecast Q1 2026'!M37</f>
        <v>-5916.33</v>
      </c>
      <c r="AQ31" s="529">
        <f>IF(OR(11&gt;$B$3,ISBLANK(Actuals!M37)),"",Actuals!M37)</f>
      </c>
      <c r="AR31" s="530">
        <f>IF(OR(11&gt;$B$3,ISBLANK(Actuals!M37)),"",'Reforecast Q1 2026'!M37-Actuals!M37)</f>
      </c>
      <c r="AS31" s="530">
        <f>IFERROR(IF(OR(11&gt;$B$3,ISBLANK(Actuals!M37)),"",('Reforecast Q1 2026'!M37-Actuals!M37)/ABS('Reforecast Q1 2026'!M37)),"")</f>
      </c>
      <c r="AT31" s="529">
        <f>'Reforecast Q1 2026'!N37</f>
        <v>-5916.33</v>
      </c>
      <c r="AU31" s="529">
        <f>IF(OR(12&gt;$B$3,ISBLANK(Actuals!N37)),"",Actuals!N37)</f>
      </c>
      <c r="AV31" s="530">
        <f>IF(OR(12&gt;$B$3,ISBLANK(Actuals!N37)),"",'Reforecast Q1 2026'!N37-Actuals!N37)</f>
      </c>
      <c r="AW31" s="530">
        <f>IFERROR(IF(OR(12&gt;$B$3,ISBLANK(Actuals!N37)),"",('Reforecast Q1 2026'!N37-Actuals!N37)/ABS('Reforecast Q1 2026'!N37)),"")</f>
      </c>
      <c r="AX31" s="531">
        <f>SUMPRODUCT((Actuals!C37:N37&lt;&gt;"")*('Reforecast Q1 2026'!C37:N37))</f>
        <v>-35497.99</v>
      </c>
      <c r="AY31" s="531">
        <f>SUM(Actuals!C37:N37)</f>
        <v>-33876</v>
      </c>
      <c r="AZ31" s="532">
        <f>AX31-AY31</f>
        <v>-1621.99</v>
      </c>
    </row>
    <row r="32" ht="15" customFormat="1" customHeight="1" s="381">
      <c r="A32" s="528" t="inlineStr">
        <is>
          <t>5500-1004 Consultants and Other Professional Expenses</t>
        </is>
      </c>
      <c r="B32" s="529">
        <f>'Reforecast Q1 2026'!C38</f>
        <v>0</v>
      </c>
      <c r="C32" s="529">
        <f>IF(OR(1&gt;$B$3,ISBLANK(Actuals!C38)),"",Actuals!C38)</f>
        <v>0</v>
      </c>
      <c r="D32" s="530">
        <f>IF(OR(1&gt;$B$3,ISBLANK(Actuals!C38)),"",'Reforecast Q1 2026'!C38-Actuals!C38)</f>
        <v>0</v>
      </c>
      <c r="E32" s="530">
        <f>IFERROR(IF(OR(1&gt;$B$3,ISBLANK(Actuals!C38)),"",('Reforecast Q1 2026'!C38-Actuals!C38)/ABS('Reforecast Q1 2026'!C38)),"")</f>
      </c>
      <c r="F32" s="529">
        <f>'Reforecast Q1 2026'!D38</f>
        <v>0</v>
      </c>
      <c r="G32" s="529">
        <f>IF(OR(2&gt;$B$3,ISBLANK(Actuals!D38)),"",Actuals!D38)</f>
        <v>0</v>
      </c>
      <c r="H32" s="530">
        <f>IF(OR(2&gt;$B$3,ISBLANK(Actuals!D38)),"",'Reforecast Q1 2026'!D38-Actuals!D38)</f>
        <v>0</v>
      </c>
      <c r="I32" s="530">
        <f>IFERROR(IF(OR(2&gt;$B$3,ISBLANK(Actuals!D38)),"",('Reforecast Q1 2026'!D38-Actuals!D38)/ABS('Reforecast Q1 2026'!D38)),"")</f>
      </c>
      <c r="J32" s="529">
        <f>'Reforecast Q1 2026'!E38</f>
        <v>-750.4</v>
      </c>
      <c r="K32" s="529">
        <f>IF(OR(3&gt;$B$3,ISBLANK(Actuals!E38)),"",Actuals!E38)</f>
        <v>-750.4</v>
      </c>
      <c r="L32" s="530">
        <f>IF(OR(3&gt;$B$3,ISBLANK(Actuals!E38)),"",'Reforecast Q1 2026'!E38-Actuals!E38)</f>
        <v>0</v>
      </c>
      <c r="M32" s="530">
        <f>IFERROR(IF(OR(3&gt;$B$3,ISBLANK(Actuals!E38)),"",('Reforecast Q1 2026'!E38-Actuals!E38)/ABS('Reforecast Q1 2026'!E38)),"")</f>
        <v>0</v>
      </c>
      <c r="N32" s="529">
        <f>'Reforecast Q1 2026'!F38</f>
        <v>-250.13</v>
      </c>
      <c r="O32" s="529">
        <f>IF(OR(4&gt;$B$3,ISBLANK(Actuals!F38)),"",Actuals!F38)</f>
        <v>0</v>
      </c>
      <c r="P32" s="530">
        <f>IF(OR(4&gt;$B$3,ISBLANK(Actuals!F38)),"",'Reforecast Q1 2026'!F38-Actuals!F38)</f>
        <v>-250.13</v>
      </c>
      <c r="Q32" s="530">
        <f>IFERROR(IF(OR(4&gt;$B$3,ISBLANK(Actuals!F38)),"",('Reforecast Q1 2026'!F38-Actuals!F38)/ABS('Reforecast Q1 2026'!F38)),"")</f>
        <v>-1</v>
      </c>
      <c r="R32" s="529">
        <f>'Reforecast Q1 2026'!G38</f>
        <v>-250.13</v>
      </c>
      <c r="S32" s="529">
        <f>IF(OR(5&gt;$B$3,ISBLANK(Actuals!G38)),"",Actuals!G38)</f>
        <v>0</v>
      </c>
      <c r="T32" s="530">
        <f>IF(OR(5&gt;$B$3,ISBLANK(Actuals!G38)),"",'Reforecast Q1 2026'!G38-Actuals!G38)</f>
        <v>-250.13</v>
      </c>
      <c r="U32" s="530">
        <f>IFERROR(IF(OR(5&gt;$B$3,ISBLANK(Actuals!G38)),"",('Reforecast Q1 2026'!G38-Actuals!G38)/ABS('Reforecast Q1 2026'!G38)),"")</f>
        <v>-1</v>
      </c>
      <c r="V32" s="529">
        <f>'Reforecast Q1 2026'!H38</f>
        <v>-250.13</v>
      </c>
      <c r="W32" s="529">
        <f>IF(OR(6&gt;$B$3,ISBLANK(Actuals!H38)),"",Actuals!H38)</f>
        <v>0</v>
      </c>
      <c r="X32" s="530">
        <f>IF(OR(6&gt;$B$3,ISBLANK(Actuals!H38)),"",'Reforecast Q1 2026'!H38-Actuals!H38)</f>
        <v>-250.13</v>
      </c>
      <c r="Y32" s="530">
        <f>IFERROR(IF(OR(6&gt;$B$3,ISBLANK(Actuals!H38)),"",('Reforecast Q1 2026'!H38-Actuals!H38)/ABS('Reforecast Q1 2026'!H38)),"")</f>
        <v>-1</v>
      </c>
      <c r="Z32" s="529">
        <f>'Reforecast Q1 2026'!I38</f>
        <v>-250.13</v>
      </c>
      <c r="AA32" s="529">
        <f>IF(OR(7&gt;$B$3,ISBLANK(Actuals!I38)),"",Actuals!I38)</f>
      </c>
      <c r="AB32" s="530">
        <f>IF(OR(7&gt;$B$3,ISBLANK(Actuals!I38)),"",'Reforecast Q1 2026'!I38-Actuals!I38)</f>
      </c>
      <c r="AC32" s="530">
        <f>IFERROR(IF(OR(7&gt;$B$3,ISBLANK(Actuals!I38)),"",('Reforecast Q1 2026'!I38-Actuals!I38)/ABS('Reforecast Q1 2026'!I38)),"")</f>
      </c>
      <c r="AD32" s="529">
        <f>'Reforecast Q1 2026'!J38</f>
        <v>-250.13</v>
      </c>
      <c r="AE32" s="529">
        <f>IF(OR(8&gt;$B$3,ISBLANK(Actuals!J38)),"",Actuals!J38)</f>
      </c>
      <c r="AF32" s="530">
        <f>IF(OR(8&gt;$B$3,ISBLANK(Actuals!J38)),"",'Reforecast Q1 2026'!J38-Actuals!J38)</f>
      </c>
      <c r="AG32" s="530">
        <f>IFERROR(IF(OR(8&gt;$B$3,ISBLANK(Actuals!J38)),"",('Reforecast Q1 2026'!J38-Actuals!J38)/ABS('Reforecast Q1 2026'!J38)),"")</f>
      </c>
      <c r="AH32" s="529">
        <f>'Reforecast Q1 2026'!K38</f>
        <v>-250.13</v>
      </c>
      <c r="AI32" s="529">
        <f>IF(OR(9&gt;$B$3,ISBLANK(Actuals!K38)),"",Actuals!K38)</f>
      </c>
      <c r="AJ32" s="530">
        <f>IF(OR(9&gt;$B$3,ISBLANK(Actuals!K38)),"",'Reforecast Q1 2026'!K38-Actuals!K38)</f>
      </c>
      <c r="AK32" s="530">
        <f>IFERROR(IF(OR(9&gt;$B$3,ISBLANK(Actuals!K38)),"",('Reforecast Q1 2026'!K38-Actuals!K38)/ABS('Reforecast Q1 2026'!K38)),"")</f>
      </c>
      <c r="AL32" s="529">
        <f>'Reforecast Q1 2026'!L38</f>
        <v>-250.13</v>
      </c>
      <c r="AM32" s="529">
        <f>IF(OR(10&gt;$B$3,ISBLANK(Actuals!L38)),"",Actuals!L38)</f>
      </c>
      <c r="AN32" s="530">
        <f>IF(OR(10&gt;$B$3,ISBLANK(Actuals!L38)),"",'Reforecast Q1 2026'!L38-Actuals!L38)</f>
      </c>
      <c r="AO32" s="530">
        <f>IFERROR(IF(OR(10&gt;$B$3,ISBLANK(Actuals!L38)),"",('Reforecast Q1 2026'!L38-Actuals!L38)/ABS('Reforecast Q1 2026'!L38)),"")</f>
      </c>
      <c r="AP32" s="529">
        <f>'Reforecast Q1 2026'!M38</f>
        <v>-250.13</v>
      </c>
      <c r="AQ32" s="529">
        <f>IF(OR(11&gt;$B$3,ISBLANK(Actuals!M38)),"",Actuals!M38)</f>
      </c>
      <c r="AR32" s="530">
        <f>IF(OR(11&gt;$B$3,ISBLANK(Actuals!M38)),"",'Reforecast Q1 2026'!M38-Actuals!M38)</f>
      </c>
      <c r="AS32" s="530">
        <f>IFERROR(IF(OR(11&gt;$B$3,ISBLANK(Actuals!M38)),"",('Reforecast Q1 2026'!M38-Actuals!M38)/ABS('Reforecast Q1 2026'!M38)),"")</f>
      </c>
      <c r="AT32" s="529">
        <f>'Reforecast Q1 2026'!N38</f>
        <v>-250.13</v>
      </c>
      <c r="AU32" s="529">
        <f>IF(OR(12&gt;$B$3,ISBLANK(Actuals!N38)),"",Actuals!N38)</f>
      </c>
      <c r="AV32" s="530">
        <f>IF(OR(12&gt;$B$3,ISBLANK(Actuals!N38)),"",'Reforecast Q1 2026'!N38-Actuals!N38)</f>
      </c>
      <c r="AW32" s="530">
        <f>IFERROR(IF(OR(12&gt;$B$3,ISBLANK(Actuals!N38)),"",('Reforecast Q1 2026'!N38-Actuals!N38)/ABS('Reforecast Q1 2026'!N38)),"")</f>
      </c>
      <c r="AX32" s="531">
        <f>SUMPRODUCT((Actuals!C38:N38&lt;&gt;"")*('Reforecast Q1 2026'!C38:N38))</f>
        <v>-1500.79</v>
      </c>
      <c r="AY32" s="531">
        <f>SUM(Actuals!C38:N38)</f>
        <v>-750.4</v>
      </c>
      <c r="AZ32" s="532">
        <f>AX32-AY32</f>
        <v>-750.39</v>
      </c>
    </row>
    <row r="33" ht="15" customFormat="1" customHeight="1" s="381">
      <c r="A33" s="528" t="inlineStr">
        <is>
          <t>5500-1050 General Insurance</t>
        </is>
      </c>
      <c r="B33" s="529">
        <f>'Reforecast Q1 2026'!C39</f>
        <v>-1474.63</v>
      </c>
      <c r="C33" s="529">
        <f>IF(OR(1&gt;$B$3,ISBLANK(Actuals!C39)),"",Actuals!C39)</f>
        <v>-1474.63</v>
      </c>
      <c r="D33" s="530">
        <f>IF(OR(1&gt;$B$3,ISBLANK(Actuals!C39)),"",'Reforecast Q1 2026'!C39-Actuals!C39)</f>
        <v>0</v>
      </c>
      <c r="E33" s="530">
        <f>IFERROR(IF(OR(1&gt;$B$3,ISBLANK(Actuals!C39)),"",('Reforecast Q1 2026'!C39-Actuals!C39)/ABS('Reforecast Q1 2026'!C39)),"")</f>
        <v>0</v>
      </c>
      <c r="F33" s="529">
        <f>'Reforecast Q1 2026'!D39</f>
        <v>-1449.33</v>
      </c>
      <c r="G33" s="529">
        <f>IF(OR(2&gt;$B$3,ISBLANK(Actuals!D39)),"",Actuals!D39)</f>
        <v>-1449.33</v>
      </c>
      <c r="H33" s="530">
        <f>IF(OR(2&gt;$B$3,ISBLANK(Actuals!D39)),"",'Reforecast Q1 2026'!D39-Actuals!D39)</f>
        <v>0</v>
      </c>
      <c r="I33" s="530">
        <f>IFERROR(IF(OR(2&gt;$B$3,ISBLANK(Actuals!D39)),"",('Reforecast Q1 2026'!D39-Actuals!D39)/ABS('Reforecast Q1 2026'!D39)),"")</f>
        <v>0</v>
      </c>
      <c r="J33" s="529">
        <f>'Reforecast Q1 2026'!E39</f>
        <v>-2328.76</v>
      </c>
      <c r="K33" s="529">
        <f>IF(OR(3&gt;$B$3,ISBLANK(Actuals!E39)),"",Actuals!E39)</f>
        <v>-2328.76</v>
      </c>
      <c r="L33" s="530">
        <f>IF(OR(3&gt;$B$3,ISBLANK(Actuals!E39)),"",'Reforecast Q1 2026'!E39-Actuals!E39)</f>
        <v>0</v>
      </c>
      <c r="M33" s="530">
        <f>IFERROR(IF(OR(3&gt;$B$3,ISBLANK(Actuals!E39)),"",('Reforecast Q1 2026'!E39-Actuals!E39)/ABS('Reforecast Q1 2026'!E39)),"")</f>
        <v>0</v>
      </c>
      <c r="N33" s="529">
        <f>'Reforecast Q1 2026'!F39</f>
        <v>-1750.91</v>
      </c>
      <c r="O33" s="529">
        <f>IF(OR(4&gt;$B$3,ISBLANK(Actuals!F39)),"",Actuals!F39)</f>
        <v>-2249.56</v>
      </c>
      <c r="P33" s="530">
        <f>IF(OR(4&gt;$B$3,ISBLANK(Actuals!F39)),"",'Reforecast Q1 2026'!F39-Actuals!F39)</f>
        <v>498.65</v>
      </c>
      <c r="Q33" s="530">
        <f>IFERROR(IF(OR(4&gt;$B$3,ISBLANK(Actuals!F39)),"",('Reforecast Q1 2026'!F39-Actuals!F39)/ABS('Reforecast Q1 2026'!F39)),"")</f>
        <v>0.284794763865647</v>
      </c>
      <c r="R33" s="529">
        <f>'Reforecast Q1 2026'!G39</f>
        <v>-1750.91</v>
      </c>
      <c r="S33" s="529">
        <f>IF(OR(5&gt;$B$3,ISBLANK(Actuals!G39)),"",Actuals!G39)</f>
        <v>-2759.48</v>
      </c>
      <c r="T33" s="530">
        <f>IF(OR(5&gt;$B$3,ISBLANK(Actuals!G39)),"",'Reforecast Q1 2026'!G39-Actuals!G39)</f>
        <v>1008.57</v>
      </c>
      <c r="U33" s="530">
        <f>IFERROR(IF(OR(5&gt;$B$3,ISBLANK(Actuals!G39)),"",('Reforecast Q1 2026'!G39-Actuals!G39)/ABS('Reforecast Q1 2026'!G39)),"")</f>
        <v>0.576026180671765</v>
      </c>
      <c r="V33" s="529">
        <f>'Reforecast Q1 2026'!H39</f>
        <v>-1750.91</v>
      </c>
      <c r="W33" s="529">
        <f>IF(OR(6&gt;$B$3,ISBLANK(Actuals!H39)),"",Actuals!H39)</f>
        <v>-2749.12</v>
      </c>
      <c r="X33" s="530">
        <f>IF(OR(6&gt;$B$3,ISBLANK(Actuals!H39)),"",'Reforecast Q1 2026'!H39-Actuals!H39)</f>
        <v>998.21</v>
      </c>
      <c r="Y33" s="530">
        <f>IFERROR(IF(OR(6&gt;$B$3,ISBLANK(Actuals!H39)),"",('Reforecast Q1 2026'!H39-Actuals!H39)/ABS('Reforecast Q1 2026'!H39)),"")</f>
        <v>0.570109257471829</v>
      </c>
      <c r="Z33" s="529">
        <f>'Reforecast Q1 2026'!I39</f>
        <v>-1750.91</v>
      </c>
      <c r="AA33" s="529">
        <f>IF(OR(7&gt;$B$3,ISBLANK(Actuals!I39)),"",Actuals!I39)</f>
      </c>
      <c r="AB33" s="530">
        <f>IF(OR(7&gt;$B$3,ISBLANK(Actuals!I39)),"",'Reforecast Q1 2026'!I39-Actuals!I39)</f>
      </c>
      <c r="AC33" s="530">
        <f>IFERROR(IF(OR(7&gt;$B$3,ISBLANK(Actuals!I39)),"",('Reforecast Q1 2026'!I39-Actuals!I39)/ABS('Reforecast Q1 2026'!I39)),"")</f>
      </c>
      <c r="AD33" s="529">
        <f>'Reforecast Q1 2026'!J39</f>
        <v>-1750.91</v>
      </c>
      <c r="AE33" s="529">
        <f>IF(OR(8&gt;$B$3,ISBLANK(Actuals!J39)),"",Actuals!J39)</f>
      </c>
      <c r="AF33" s="530">
        <f>IF(OR(8&gt;$B$3,ISBLANK(Actuals!J39)),"",'Reforecast Q1 2026'!J39-Actuals!J39)</f>
      </c>
      <c r="AG33" s="530">
        <f>IFERROR(IF(OR(8&gt;$B$3,ISBLANK(Actuals!J39)),"",('Reforecast Q1 2026'!J39-Actuals!J39)/ABS('Reforecast Q1 2026'!J39)),"")</f>
      </c>
      <c r="AH33" s="529">
        <f>'Reforecast Q1 2026'!K39</f>
        <v>-1750.91</v>
      </c>
      <c r="AI33" s="529">
        <f>IF(OR(9&gt;$B$3,ISBLANK(Actuals!K39)),"",Actuals!K39)</f>
      </c>
      <c r="AJ33" s="530">
        <f>IF(OR(9&gt;$B$3,ISBLANK(Actuals!K39)),"",'Reforecast Q1 2026'!K39-Actuals!K39)</f>
      </c>
      <c r="AK33" s="530">
        <f>IFERROR(IF(OR(9&gt;$B$3,ISBLANK(Actuals!K39)),"",('Reforecast Q1 2026'!K39-Actuals!K39)/ABS('Reforecast Q1 2026'!K39)),"")</f>
      </c>
      <c r="AL33" s="529">
        <f>'Reforecast Q1 2026'!L39</f>
        <v>-1750.91</v>
      </c>
      <c r="AM33" s="529">
        <f>IF(OR(10&gt;$B$3,ISBLANK(Actuals!L39)),"",Actuals!L39)</f>
      </c>
      <c r="AN33" s="530">
        <f>IF(OR(10&gt;$B$3,ISBLANK(Actuals!L39)),"",'Reforecast Q1 2026'!L39-Actuals!L39)</f>
      </c>
      <c r="AO33" s="530">
        <f>IFERROR(IF(OR(10&gt;$B$3,ISBLANK(Actuals!L39)),"",('Reforecast Q1 2026'!L39-Actuals!L39)/ABS('Reforecast Q1 2026'!L39)),"")</f>
      </c>
      <c r="AP33" s="529">
        <f>'Reforecast Q1 2026'!M39</f>
        <v>-1750.91</v>
      </c>
      <c r="AQ33" s="529">
        <f>IF(OR(11&gt;$B$3,ISBLANK(Actuals!M39)),"",Actuals!M39)</f>
      </c>
      <c r="AR33" s="530">
        <f>IF(OR(11&gt;$B$3,ISBLANK(Actuals!M39)),"",'Reforecast Q1 2026'!M39-Actuals!M39)</f>
      </c>
      <c r="AS33" s="530">
        <f>IFERROR(IF(OR(11&gt;$B$3,ISBLANK(Actuals!M39)),"",('Reforecast Q1 2026'!M39-Actuals!M39)/ABS('Reforecast Q1 2026'!M39)),"")</f>
      </c>
      <c r="AT33" s="529">
        <f>'Reforecast Q1 2026'!N39</f>
        <v>-1750.91</v>
      </c>
      <c r="AU33" s="529">
        <f>IF(OR(12&gt;$B$3,ISBLANK(Actuals!N39)),"",Actuals!N39)</f>
      </c>
      <c r="AV33" s="530">
        <f>IF(OR(12&gt;$B$3,ISBLANK(Actuals!N39)),"",'Reforecast Q1 2026'!N39-Actuals!N39)</f>
      </c>
      <c r="AW33" s="530">
        <f>IFERROR(IF(OR(12&gt;$B$3,ISBLANK(Actuals!N39)),"",('Reforecast Q1 2026'!N39-Actuals!N39)/ABS('Reforecast Q1 2026'!N39)),"")</f>
      </c>
      <c r="AX33" s="531">
        <f>SUMPRODUCT((Actuals!C39:N39&lt;&gt;"")*('Reforecast Q1 2026'!C39:N39))</f>
        <v>-10505.45</v>
      </c>
      <c r="AY33" s="531">
        <f>SUM(Actuals!C39:N39)</f>
        <v>-13010.88</v>
      </c>
      <c r="AZ33" s="532">
        <f>AX33-AY33</f>
        <v>2505.43</v>
      </c>
    </row>
    <row r="34" ht="15" customFormat="1" customHeight="1" s="381">
      <c r="A34" s="528" t="inlineStr">
        <is>
          <t>5700-1003 Other Utilities</t>
        </is>
      </c>
      <c r="B34" s="529">
        <f>'Reforecast Q1 2026'!C40</f>
        <v>-1417.61</v>
      </c>
      <c r="C34" s="529">
        <f>IF(OR(1&gt;$B$3,ISBLANK(Actuals!C40)),"",Actuals!C40)</f>
        <v>-1417.61</v>
      </c>
      <c r="D34" s="530">
        <f>IF(OR(1&gt;$B$3,ISBLANK(Actuals!C40)),"",'Reforecast Q1 2026'!C40-Actuals!C40)</f>
        <v>0</v>
      </c>
      <c r="E34" s="530">
        <f>IFERROR(IF(OR(1&gt;$B$3,ISBLANK(Actuals!C40)),"",('Reforecast Q1 2026'!C40-Actuals!C40)/ABS('Reforecast Q1 2026'!C40)),"")</f>
        <v>0</v>
      </c>
      <c r="F34" s="529">
        <f>'Reforecast Q1 2026'!D40</f>
        <v>-2730.36</v>
      </c>
      <c r="G34" s="529">
        <f>IF(OR(2&gt;$B$3,ISBLANK(Actuals!D40)),"",Actuals!D40)</f>
        <v>-2730.36</v>
      </c>
      <c r="H34" s="530">
        <f>IF(OR(2&gt;$B$3,ISBLANK(Actuals!D40)),"",'Reforecast Q1 2026'!D40-Actuals!D40)</f>
        <v>0</v>
      </c>
      <c r="I34" s="530">
        <f>IFERROR(IF(OR(2&gt;$B$3,ISBLANK(Actuals!D40)),"",('Reforecast Q1 2026'!D40-Actuals!D40)/ABS('Reforecast Q1 2026'!D40)),"")</f>
        <v>0</v>
      </c>
      <c r="J34" s="529">
        <f>'Reforecast Q1 2026'!E40</f>
        <v>-1818.05</v>
      </c>
      <c r="K34" s="529">
        <f>IF(OR(3&gt;$B$3,ISBLANK(Actuals!E40)),"",Actuals!E40)</f>
        <v>-1818.05</v>
      </c>
      <c r="L34" s="530">
        <f>IF(OR(3&gt;$B$3,ISBLANK(Actuals!E40)),"",'Reforecast Q1 2026'!E40-Actuals!E40)</f>
        <v>0</v>
      </c>
      <c r="M34" s="530">
        <f>IFERROR(IF(OR(3&gt;$B$3,ISBLANK(Actuals!E40)),"",('Reforecast Q1 2026'!E40-Actuals!E40)/ABS('Reforecast Q1 2026'!E40)),"")</f>
        <v>0</v>
      </c>
      <c r="N34" s="529">
        <f>'Reforecast Q1 2026'!F40</f>
        <v>-1988.67</v>
      </c>
      <c r="O34" s="529">
        <f>IF(OR(4&gt;$B$3,ISBLANK(Actuals!F40)),"",Actuals!F40)</f>
        <v>-3307.74</v>
      </c>
      <c r="P34" s="530">
        <f>IF(OR(4&gt;$B$3,ISBLANK(Actuals!F40)),"",'Reforecast Q1 2026'!F40-Actuals!F40)</f>
        <v>1319.07</v>
      </c>
      <c r="Q34" s="530">
        <f>IFERROR(IF(OR(4&gt;$B$3,ISBLANK(Actuals!F40)),"",('Reforecast Q1 2026'!F40-Actuals!F40)/ABS('Reforecast Q1 2026'!F40)),"")</f>
        <v>0.663292552308829</v>
      </c>
      <c r="R34" s="529">
        <f>'Reforecast Q1 2026'!G40</f>
        <v>-1988.67</v>
      </c>
      <c r="S34" s="529">
        <f>IF(OR(5&gt;$B$3,ISBLANK(Actuals!G40)),"",Actuals!G40)</f>
        <v>-1257.74</v>
      </c>
      <c r="T34" s="530">
        <f>IF(OR(5&gt;$B$3,ISBLANK(Actuals!G40)),"",'Reforecast Q1 2026'!G40-Actuals!G40)</f>
        <v>-730.93</v>
      </c>
      <c r="U34" s="530">
        <f>IFERROR(IF(OR(5&gt;$B$3,ISBLANK(Actuals!G40)),"",('Reforecast Q1 2026'!G40-Actuals!G40)/ABS('Reforecast Q1 2026'!G40)),"")</f>
        <v>-0.367547154630985</v>
      </c>
      <c r="V34" s="529">
        <f>'Reforecast Q1 2026'!H40</f>
        <v>-1988.67</v>
      </c>
      <c r="W34" s="529">
        <f>IF(OR(6&gt;$B$3,ISBLANK(Actuals!H40)),"",Actuals!H40)</f>
        <v>-3372.74</v>
      </c>
      <c r="X34" s="530">
        <f>IF(OR(6&gt;$B$3,ISBLANK(Actuals!H40)),"",'Reforecast Q1 2026'!H40-Actuals!H40)</f>
        <v>1384.07</v>
      </c>
      <c r="Y34" s="530">
        <f>IFERROR(IF(OR(6&gt;$B$3,ISBLANK(Actuals!H40)),"",('Reforecast Q1 2026'!H40-Actuals!H40)/ABS('Reforecast Q1 2026'!H40)),"")</f>
        <v>0.695977713748385</v>
      </c>
      <c r="Z34" s="529">
        <f>'Reforecast Q1 2026'!I40</f>
        <v>-1988.67</v>
      </c>
      <c r="AA34" s="529">
        <f>IF(OR(7&gt;$B$3,ISBLANK(Actuals!I40)),"",Actuals!I40)</f>
      </c>
      <c r="AB34" s="530">
        <f>IF(OR(7&gt;$B$3,ISBLANK(Actuals!I40)),"",'Reforecast Q1 2026'!I40-Actuals!I40)</f>
      </c>
      <c r="AC34" s="530">
        <f>IFERROR(IF(OR(7&gt;$B$3,ISBLANK(Actuals!I40)),"",('Reforecast Q1 2026'!I40-Actuals!I40)/ABS('Reforecast Q1 2026'!I40)),"")</f>
      </c>
      <c r="AD34" s="529">
        <f>'Reforecast Q1 2026'!J40</f>
        <v>-1988.67</v>
      </c>
      <c r="AE34" s="529">
        <f>IF(OR(8&gt;$B$3,ISBLANK(Actuals!J40)),"",Actuals!J40)</f>
      </c>
      <c r="AF34" s="530">
        <f>IF(OR(8&gt;$B$3,ISBLANK(Actuals!J40)),"",'Reforecast Q1 2026'!J40-Actuals!J40)</f>
      </c>
      <c r="AG34" s="530">
        <f>IFERROR(IF(OR(8&gt;$B$3,ISBLANK(Actuals!J40)),"",('Reforecast Q1 2026'!J40-Actuals!J40)/ABS('Reforecast Q1 2026'!J40)),"")</f>
      </c>
      <c r="AH34" s="529">
        <f>'Reforecast Q1 2026'!K40</f>
        <v>-1988.67</v>
      </c>
      <c r="AI34" s="529">
        <f>IF(OR(9&gt;$B$3,ISBLANK(Actuals!K40)),"",Actuals!K40)</f>
      </c>
      <c r="AJ34" s="530">
        <f>IF(OR(9&gt;$B$3,ISBLANK(Actuals!K40)),"",'Reforecast Q1 2026'!K40-Actuals!K40)</f>
      </c>
      <c r="AK34" s="530">
        <f>IFERROR(IF(OR(9&gt;$B$3,ISBLANK(Actuals!K40)),"",('Reforecast Q1 2026'!K40-Actuals!K40)/ABS('Reforecast Q1 2026'!K40)),"")</f>
      </c>
      <c r="AL34" s="529">
        <f>'Reforecast Q1 2026'!L40</f>
        <v>-1988.67</v>
      </c>
      <c r="AM34" s="529">
        <f>IF(OR(10&gt;$B$3,ISBLANK(Actuals!L40)),"",Actuals!L40)</f>
      </c>
      <c r="AN34" s="530">
        <f>IF(OR(10&gt;$B$3,ISBLANK(Actuals!L40)),"",'Reforecast Q1 2026'!L40-Actuals!L40)</f>
      </c>
      <c r="AO34" s="530">
        <f>IFERROR(IF(OR(10&gt;$B$3,ISBLANK(Actuals!L40)),"",('Reforecast Q1 2026'!L40-Actuals!L40)/ABS('Reforecast Q1 2026'!L40)),"")</f>
      </c>
      <c r="AP34" s="529">
        <f>'Reforecast Q1 2026'!M40</f>
        <v>-1988.67</v>
      </c>
      <c r="AQ34" s="529">
        <f>IF(OR(11&gt;$B$3,ISBLANK(Actuals!M40)),"",Actuals!M40)</f>
      </c>
      <c r="AR34" s="530">
        <f>IF(OR(11&gt;$B$3,ISBLANK(Actuals!M40)),"",'Reforecast Q1 2026'!M40-Actuals!M40)</f>
      </c>
      <c r="AS34" s="530">
        <f>IFERROR(IF(OR(11&gt;$B$3,ISBLANK(Actuals!M40)),"",('Reforecast Q1 2026'!M40-Actuals!M40)/ABS('Reforecast Q1 2026'!M40)),"")</f>
      </c>
      <c r="AT34" s="529">
        <f>'Reforecast Q1 2026'!N40</f>
        <v>-1988.67</v>
      </c>
      <c r="AU34" s="529">
        <f>IF(OR(12&gt;$B$3,ISBLANK(Actuals!N40)),"",Actuals!N40)</f>
      </c>
      <c r="AV34" s="530">
        <f>IF(OR(12&gt;$B$3,ISBLANK(Actuals!N40)),"",'Reforecast Q1 2026'!N40-Actuals!N40)</f>
      </c>
      <c r="AW34" s="530">
        <f>IFERROR(IF(OR(12&gt;$B$3,ISBLANK(Actuals!N40)),"",('Reforecast Q1 2026'!N40-Actuals!N40)/ABS('Reforecast Q1 2026'!N40)),"")</f>
      </c>
      <c r="AX34" s="531">
        <f>SUMPRODUCT((Actuals!C40:N40&lt;&gt;"")*('Reforecast Q1 2026'!C40:N40))</f>
        <v>-11932.03</v>
      </c>
      <c r="AY34" s="531">
        <f>SUM(Actuals!C40:N40)</f>
        <v>-13904.24</v>
      </c>
      <c r="AZ34" s="532">
        <f>AX34-AY34</f>
        <v>1972.21</v>
      </c>
    </row>
    <row r="35" ht="15" customFormat="1" customHeight="1" s="381">
      <c r="A35" s="528" t="inlineStr">
        <is>
          <t>5800-1003 Consulting Fee</t>
        </is>
      </c>
      <c r="B35" s="529">
        <f>'Reforecast Q1 2026'!C41</f>
        <v>0</v>
      </c>
      <c r="C35" s="529">
        <f>IF(OR(1&gt;$B$3,ISBLANK(Actuals!C41)),"",Actuals!C41)</f>
        <v>0</v>
      </c>
      <c r="D35" s="530">
        <f>IF(OR(1&gt;$B$3,ISBLANK(Actuals!C41)),"",'Reforecast Q1 2026'!C41-Actuals!C41)</f>
        <v>0</v>
      </c>
      <c r="E35" s="530">
        <f>IFERROR(IF(OR(1&gt;$B$3,ISBLANK(Actuals!C41)),"",('Reforecast Q1 2026'!C41-Actuals!C41)/ABS('Reforecast Q1 2026'!C41)),"")</f>
      </c>
      <c r="F35" s="529">
        <f>'Reforecast Q1 2026'!D41</f>
        <v>0</v>
      </c>
      <c r="G35" s="529">
        <f>IF(OR(2&gt;$B$3,ISBLANK(Actuals!D41)),"",Actuals!D41)</f>
        <v>0</v>
      </c>
      <c r="H35" s="530">
        <f>IF(OR(2&gt;$B$3,ISBLANK(Actuals!D41)),"",'Reforecast Q1 2026'!D41-Actuals!D41)</f>
        <v>0</v>
      </c>
      <c r="I35" s="530">
        <f>IFERROR(IF(OR(2&gt;$B$3,ISBLANK(Actuals!D41)),"",('Reforecast Q1 2026'!D41-Actuals!D41)/ABS('Reforecast Q1 2026'!D41)),"")</f>
      </c>
      <c r="J35" s="529">
        <f>'Reforecast Q1 2026'!E41</f>
        <v>-41990</v>
      </c>
      <c r="K35" s="529">
        <f>IF(OR(3&gt;$B$3,ISBLANK(Actuals!E41)),"",Actuals!E41)</f>
        <v>-41990</v>
      </c>
      <c r="L35" s="530">
        <f>IF(OR(3&gt;$B$3,ISBLANK(Actuals!E41)),"",'Reforecast Q1 2026'!E41-Actuals!E41)</f>
        <v>0</v>
      </c>
      <c r="M35" s="530">
        <f>IFERROR(IF(OR(3&gt;$B$3,ISBLANK(Actuals!E41)),"",('Reforecast Q1 2026'!E41-Actuals!E41)/ABS('Reforecast Q1 2026'!E41)),"")</f>
        <v>0</v>
      </c>
      <c r="N35" s="529">
        <f>'Reforecast Q1 2026'!F41</f>
        <v>0</v>
      </c>
      <c r="O35" s="529">
        <f>IF(OR(4&gt;$B$3,ISBLANK(Actuals!F41)),"",Actuals!F41)</f>
        <v>-42500</v>
      </c>
      <c r="P35" s="530">
        <f>IF(OR(4&gt;$B$3,ISBLANK(Actuals!F41)),"",'Reforecast Q1 2026'!F41-Actuals!F41)</f>
        <v>42500</v>
      </c>
      <c r="Q35" s="530">
        <f>IFERROR(IF(OR(4&gt;$B$3,ISBLANK(Actuals!F41)),"",('Reforecast Q1 2026'!F41-Actuals!F41)/ABS('Reforecast Q1 2026'!F41)),"")</f>
      </c>
      <c r="R35" s="529">
        <f>'Reforecast Q1 2026'!G41</f>
        <v>-44250</v>
      </c>
      <c r="S35" s="529">
        <f>IF(OR(5&gt;$B$3,ISBLANK(Actuals!G41)),"",Actuals!G41)</f>
        <v>-21000</v>
      </c>
      <c r="T35" s="530">
        <f>IF(OR(5&gt;$B$3,ISBLANK(Actuals!G41)),"",'Reforecast Q1 2026'!G41-Actuals!G41)</f>
        <v>-23250</v>
      </c>
      <c r="U35" s="530">
        <f>IFERROR(IF(OR(5&gt;$B$3,ISBLANK(Actuals!G41)),"",('Reforecast Q1 2026'!G41-Actuals!G41)/ABS('Reforecast Q1 2026'!G41)),"")</f>
        <v>-0.525423728813559</v>
      </c>
      <c r="V35" s="529">
        <f>'Reforecast Q1 2026'!H41</f>
        <v>-45000</v>
      </c>
      <c r="W35" s="529">
        <f>IF(OR(6&gt;$B$3,ISBLANK(Actuals!H41)),"",Actuals!H41)</f>
        <v>0</v>
      </c>
      <c r="X35" s="530">
        <f>IF(OR(6&gt;$B$3,ISBLANK(Actuals!H41)),"",'Reforecast Q1 2026'!H41-Actuals!H41)</f>
        <v>-45000</v>
      </c>
      <c r="Y35" s="530">
        <f>IFERROR(IF(OR(6&gt;$B$3,ISBLANK(Actuals!H41)),"",('Reforecast Q1 2026'!H41-Actuals!H41)/ABS('Reforecast Q1 2026'!H41)),"")</f>
        <v>-1</v>
      </c>
      <c r="Z35" s="529">
        <f>'Reforecast Q1 2026'!I41</f>
        <v>-19500</v>
      </c>
      <c r="AA35" s="529">
        <f>IF(OR(7&gt;$B$3,ISBLANK(Actuals!I41)),"",Actuals!I41)</f>
      </c>
      <c r="AB35" s="530">
        <f>IF(OR(7&gt;$B$3,ISBLANK(Actuals!I41)),"",'Reforecast Q1 2026'!I41-Actuals!I41)</f>
      </c>
      <c r="AC35" s="530">
        <f>IFERROR(IF(OR(7&gt;$B$3,ISBLANK(Actuals!I41)),"",('Reforecast Q1 2026'!I41-Actuals!I41)/ABS('Reforecast Q1 2026'!I41)),"")</f>
      </c>
      <c r="AD35" s="529">
        <f>'Reforecast Q1 2026'!J41</f>
        <v>0</v>
      </c>
      <c r="AE35" s="529">
        <f>IF(OR(8&gt;$B$3,ISBLANK(Actuals!J41)),"",Actuals!J41)</f>
      </c>
      <c r="AF35" s="530">
        <f>IF(OR(8&gt;$B$3,ISBLANK(Actuals!J41)),"",'Reforecast Q1 2026'!J41-Actuals!J41)</f>
      </c>
      <c r="AG35" s="530">
        <f>IFERROR(IF(OR(8&gt;$B$3,ISBLANK(Actuals!J41)),"",('Reforecast Q1 2026'!J41-Actuals!J41)/ABS('Reforecast Q1 2026'!J41)),"")</f>
      </c>
      <c r="AH35" s="529">
        <f>'Reforecast Q1 2026'!K41</f>
        <v>0</v>
      </c>
      <c r="AI35" s="529">
        <f>IF(OR(9&gt;$B$3,ISBLANK(Actuals!K41)),"",Actuals!K41)</f>
      </c>
      <c r="AJ35" s="530">
        <f>IF(OR(9&gt;$B$3,ISBLANK(Actuals!K41)),"",'Reforecast Q1 2026'!K41-Actuals!K41)</f>
      </c>
      <c r="AK35" s="530">
        <f>IFERROR(IF(OR(9&gt;$B$3,ISBLANK(Actuals!K41)),"",('Reforecast Q1 2026'!K41-Actuals!K41)/ABS('Reforecast Q1 2026'!K41)),"")</f>
      </c>
      <c r="AL35" s="529">
        <f>'Reforecast Q1 2026'!L41</f>
        <v>-37500</v>
      </c>
      <c r="AM35" s="529">
        <f>IF(OR(10&gt;$B$3,ISBLANK(Actuals!L41)),"",Actuals!L41)</f>
      </c>
      <c r="AN35" s="530">
        <f>IF(OR(10&gt;$B$3,ISBLANK(Actuals!L41)),"",'Reforecast Q1 2026'!L41-Actuals!L41)</f>
      </c>
      <c r="AO35" s="530">
        <f>IFERROR(IF(OR(10&gt;$B$3,ISBLANK(Actuals!L41)),"",('Reforecast Q1 2026'!L41-Actuals!L41)/ABS('Reforecast Q1 2026'!L41)),"")</f>
      </c>
      <c r="AP35" s="529">
        <f>'Reforecast Q1 2026'!M41</f>
        <v>-54000</v>
      </c>
      <c r="AQ35" s="529">
        <f>IF(OR(11&gt;$B$3,ISBLANK(Actuals!M41)),"",Actuals!M41)</f>
      </c>
      <c r="AR35" s="530">
        <f>IF(OR(11&gt;$B$3,ISBLANK(Actuals!M41)),"",'Reforecast Q1 2026'!M41-Actuals!M41)</f>
      </c>
      <c r="AS35" s="530">
        <f>IFERROR(IF(OR(11&gt;$B$3,ISBLANK(Actuals!M41)),"",('Reforecast Q1 2026'!M41-Actuals!M41)/ABS('Reforecast Q1 2026'!M41)),"")</f>
      </c>
      <c r="AT35" s="529">
        <f>'Reforecast Q1 2026'!N41</f>
        <v>0</v>
      </c>
      <c r="AU35" s="529">
        <f>IF(OR(12&gt;$B$3,ISBLANK(Actuals!N41)),"",Actuals!N41)</f>
      </c>
      <c r="AV35" s="530">
        <f>IF(OR(12&gt;$B$3,ISBLANK(Actuals!N41)),"",'Reforecast Q1 2026'!N41-Actuals!N41)</f>
      </c>
      <c r="AW35" s="530">
        <f>IFERROR(IF(OR(12&gt;$B$3,ISBLANK(Actuals!N41)),"",('Reforecast Q1 2026'!N41-Actuals!N41)/ABS('Reforecast Q1 2026'!N41)),"")</f>
      </c>
      <c r="AX35" s="531">
        <f>SUMPRODUCT((Actuals!C41:N41&lt;&gt;"")*('Reforecast Q1 2026'!C41:N41))</f>
        <v>-131240</v>
      </c>
      <c r="AY35" s="531">
        <f>SUM(Actuals!C41:N41)</f>
        <v>-105490</v>
      </c>
      <c r="AZ35" s="532">
        <f>AX35-AY35</f>
        <v>-25750</v>
      </c>
    </row>
    <row r="36" ht="15" customFormat="1" customHeight="1" s="381">
      <c r="A36" s="528" t="inlineStr">
        <is>
          <t>5900-1000 Security Monitoring</t>
        </is>
      </c>
      <c r="B36" s="529">
        <f>'Reforecast Q1 2026'!C42</f>
        <v>-165</v>
      </c>
      <c r="C36" s="529">
        <f>IF(OR(1&gt;$B$3,ISBLANK(Actuals!C42)),"",Actuals!C42)</f>
        <v>-165</v>
      </c>
      <c r="D36" s="530">
        <f>IF(OR(1&gt;$B$3,ISBLANK(Actuals!C42)),"",'Reforecast Q1 2026'!C42-Actuals!C42)</f>
        <v>0</v>
      </c>
      <c r="E36" s="530">
        <f>IFERROR(IF(OR(1&gt;$B$3,ISBLANK(Actuals!C42)),"",('Reforecast Q1 2026'!C42-Actuals!C42)/ABS('Reforecast Q1 2026'!C42)),"")</f>
        <v>0</v>
      </c>
      <c r="F36" s="529">
        <f>'Reforecast Q1 2026'!D42</f>
        <v>0</v>
      </c>
      <c r="G36" s="529">
        <f>IF(OR(2&gt;$B$3,ISBLANK(Actuals!D42)),"",Actuals!D42)</f>
        <v>0</v>
      </c>
      <c r="H36" s="530">
        <f>IF(OR(2&gt;$B$3,ISBLANK(Actuals!D42)),"",'Reforecast Q1 2026'!D42-Actuals!D42)</f>
        <v>0</v>
      </c>
      <c r="I36" s="530">
        <f>IFERROR(IF(OR(2&gt;$B$3,ISBLANK(Actuals!D42)),"",('Reforecast Q1 2026'!D42-Actuals!D42)/ABS('Reforecast Q1 2026'!D42)),"")</f>
      </c>
      <c r="J36" s="529">
        <f>'Reforecast Q1 2026'!E42</f>
        <v>0</v>
      </c>
      <c r="K36" s="529">
        <f>IF(OR(3&gt;$B$3,ISBLANK(Actuals!E42)),"",Actuals!E42)</f>
        <v>0</v>
      </c>
      <c r="L36" s="530">
        <f>IF(OR(3&gt;$B$3,ISBLANK(Actuals!E42)),"",'Reforecast Q1 2026'!E42-Actuals!E42)</f>
        <v>0</v>
      </c>
      <c r="M36" s="530">
        <f>IFERROR(IF(OR(3&gt;$B$3,ISBLANK(Actuals!E42)),"",('Reforecast Q1 2026'!E42-Actuals!E42)/ABS('Reforecast Q1 2026'!E42)),"")</f>
      </c>
      <c r="N36" s="529">
        <f>'Reforecast Q1 2026'!F42</f>
        <v>-55</v>
      </c>
      <c r="O36" s="529">
        <f>IF(OR(4&gt;$B$3,ISBLANK(Actuals!F42)),"",Actuals!F42)</f>
        <v>-165</v>
      </c>
      <c r="P36" s="530">
        <f>IF(OR(4&gt;$B$3,ISBLANK(Actuals!F42)),"",'Reforecast Q1 2026'!F42-Actuals!F42)</f>
        <v>110</v>
      </c>
      <c r="Q36" s="530">
        <f>IFERROR(IF(OR(4&gt;$B$3,ISBLANK(Actuals!F42)),"",('Reforecast Q1 2026'!F42-Actuals!F42)/ABS('Reforecast Q1 2026'!F42)),"")</f>
        <v>2</v>
      </c>
      <c r="R36" s="529">
        <f>'Reforecast Q1 2026'!G42</f>
        <v>-55</v>
      </c>
      <c r="S36" s="529">
        <f>IF(OR(5&gt;$B$3,ISBLANK(Actuals!G42)),"",Actuals!G42)</f>
        <v>0</v>
      </c>
      <c r="T36" s="530">
        <f>IF(OR(5&gt;$B$3,ISBLANK(Actuals!G42)),"",'Reforecast Q1 2026'!G42-Actuals!G42)</f>
        <v>-55</v>
      </c>
      <c r="U36" s="530">
        <f>IFERROR(IF(OR(5&gt;$B$3,ISBLANK(Actuals!G42)),"",('Reforecast Q1 2026'!G42-Actuals!G42)/ABS('Reforecast Q1 2026'!G42)),"")</f>
        <v>-1</v>
      </c>
      <c r="V36" s="529">
        <f>'Reforecast Q1 2026'!H42</f>
        <v>-55</v>
      </c>
      <c r="W36" s="529">
        <f>IF(OR(6&gt;$B$3,ISBLANK(Actuals!H42)),"",Actuals!H42)</f>
        <v>-165</v>
      </c>
      <c r="X36" s="530">
        <f>IF(OR(6&gt;$B$3,ISBLANK(Actuals!H42)),"",'Reforecast Q1 2026'!H42-Actuals!H42)</f>
        <v>110</v>
      </c>
      <c r="Y36" s="530">
        <f>IFERROR(IF(OR(6&gt;$B$3,ISBLANK(Actuals!H42)),"",('Reforecast Q1 2026'!H42-Actuals!H42)/ABS('Reforecast Q1 2026'!H42)),"")</f>
        <v>2</v>
      </c>
      <c r="Z36" s="529">
        <f>'Reforecast Q1 2026'!I42</f>
        <v>-55</v>
      </c>
      <c r="AA36" s="529">
        <f>IF(OR(7&gt;$B$3,ISBLANK(Actuals!I42)),"",Actuals!I42)</f>
      </c>
      <c r="AB36" s="530">
        <f>IF(OR(7&gt;$B$3,ISBLANK(Actuals!I42)),"",'Reforecast Q1 2026'!I42-Actuals!I42)</f>
      </c>
      <c r="AC36" s="530">
        <f>IFERROR(IF(OR(7&gt;$B$3,ISBLANK(Actuals!I42)),"",('Reforecast Q1 2026'!I42-Actuals!I42)/ABS('Reforecast Q1 2026'!I42)),"")</f>
      </c>
      <c r="AD36" s="529">
        <f>'Reforecast Q1 2026'!J42</f>
        <v>-55</v>
      </c>
      <c r="AE36" s="529">
        <f>IF(OR(8&gt;$B$3,ISBLANK(Actuals!J42)),"",Actuals!J42)</f>
      </c>
      <c r="AF36" s="530">
        <f>IF(OR(8&gt;$B$3,ISBLANK(Actuals!J42)),"",'Reforecast Q1 2026'!J42-Actuals!J42)</f>
      </c>
      <c r="AG36" s="530">
        <f>IFERROR(IF(OR(8&gt;$B$3,ISBLANK(Actuals!J42)),"",('Reforecast Q1 2026'!J42-Actuals!J42)/ABS('Reforecast Q1 2026'!J42)),"")</f>
      </c>
      <c r="AH36" s="529">
        <f>'Reforecast Q1 2026'!K42</f>
        <v>-55</v>
      </c>
      <c r="AI36" s="529">
        <f>IF(OR(9&gt;$B$3,ISBLANK(Actuals!K42)),"",Actuals!K42)</f>
      </c>
      <c r="AJ36" s="530">
        <f>IF(OR(9&gt;$B$3,ISBLANK(Actuals!K42)),"",'Reforecast Q1 2026'!K42-Actuals!K42)</f>
      </c>
      <c r="AK36" s="530">
        <f>IFERROR(IF(OR(9&gt;$B$3,ISBLANK(Actuals!K42)),"",('Reforecast Q1 2026'!K42-Actuals!K42)/ABS('Reforecast Q1 2026'!K42)),"")</f>
      </c>
      <c r="AL36" s="529">
        <f>'Reforecast Q1 2026'!L42</f>
        <v>-55</v>
      </c>
      <c r="AM36" s="529">
        <f>IF(OR(10&gt;$B$3,ISBLANK(Actuals!L42)),"",Actuals!L42)</f>
      </c>
      <c r="AN36" s="530">
        <f>IF(OR(10&gt;$B$3,ISBLANK(Actuals!L42)),"",'Reforecast Q1 2026'!L42-Actuals!L42)</f>
      </c>
      <c r="AO36" s="530">
        <f>IFERROR(IF(OR(10&gt;$B$3,ISBLANK(Actuals!L42)),"",('Reforecast Q1 2026'!L42-Actuals!L42)/ABS('Reforecast Q1 2026'!L42)),"")</f>
      </c>
      <c r="AP36" s="529">
        <f>'Reforecast Q1 2026'!M42</f>
        <v>-55</v>
      </c>
      <c r="AQ36" s="529">
        <f>IF(OR(11&gt;$B$3,ISBLANK(Actuals!M42)),"",Actuals!M42)</f>
      </c>
      <c r="AR36" s="530">
        <f>IF(OR(11&gt;$B$3,ISBLANK(Actuals!M42)),"",'Reforecast Q1 2026'!M42-Actuals!M42)</f>
      </c>
      <c r="AS36" s="530">
        <f>IFERROR(IF(OR(11&gt;$B$3,ISBLANK(Actuals!M42)),"",('Reforecast Q1 2026'!M42-Actuals!M42)/ABS('Reforecast Q1 2026'!M42)),"")</f>
      </c>
      <c r="AT36" s="529">
        <f>'Reforecast Q1 2026'!N42</f>
        <v>-55</v>
      </c>
      <c r="AU36" s="529">
        <f>IF(OR(12&gt;$B$3,ISBLANK(Actuals!N42)),"",Actuals!N42)</f>
      </c>
      <c r="AV36" s="530">
        <f>IF(OR(12&gt;$B$3,ISBLANK(Actuals!N42)),"",'Reforecast Q1 2026'!N42-Actuals!N42)</f>
      </c>
      <c r="AW36" s="530">
        <f>IFERROR(IF(OR(12&gt;$B$3,ISBLANK(Actuals!N42)),"",('Reforecast Q1 2026'!N42-Actuals!N42)/ABS('Reforecast Q1 2026'!N42)),"")</f>
      </c>
      <c r="AX36" s="531">
        <f>SUMPRODUCT((Actuals!C42:N42&lt;&gt;"")*('Reforecast Q1 2026'!C42:N42))</f>
        <v>-330</v>
      </c>
      <c r="AY36" s="531">
        <f>SUM(Actuals!C42:N42)</f>
        <v>-495</v>
      </c>
      <c r="AZ36" s="532">
        <f>AX36-AY36</f>
        <v>165</v>
      </c>
    </row>
    <row r="37" ht="15" customFormat="1" customHeight="1" s="381">
      <c r="A37" s="528" t="inlineStr">
        <is>
          <t>5900-1002 Repairs and Maintenance</t>
        </is>
      </c>
      <c r="B37" s="529">
        <f>'Reforecast Q1 2026'!C43</f>
        <v>0</v>
      </c>
      <c r="C37" s="529">
        <f>IF(OR(1&gt;$B$3,ISBLANK(Actuals!C43)),"",Actuals!C43)</f>
        <v>0</v>
      </c>
      <c r="D37" s="530">
        <f>IF(OR(1&gt;$B$3,ISBLANK(Actuals!C43)),"",'Reforecast Q1 2026'!C43-Actuals!C43)</f>
        <v>0</v>
      </c>
      <c r="E37" s="530">
        <f>IFERROR(IF(OR(1&gt;$B$3,ISBLANK(Actuals!C43)),"",('Reforecast Q1 2026'!C43-Actuals!C43)/ABS('Reforecast Q1 2026'!C43)),"")</f>
      </c>
      <c r="F37" s="529">
        <f>'Reforecast Q1 2026'!D43</f>
        <v>0</v>
      </c>
      <c r="G37" s="529">
        <f>IF(OR(2&gt;$B$3,ISBLANK(Actuals!D43)),"",Actuals!D43)</f>
        <v>0</v>
      </c>
      <c r="H37" s="530">
        <f>IF(OR(2&gt;$B$3,ISBLANK(Actuals!D43)),"",'Reforecast Q1 2026'!D43-Actuals!D43)</f>
        <v>0</v>
      </c>
      <c r="I37" s="530">
        <f>IFERROR(IF(OR(2&gt;$B$3,ISBLANK(Actuals!D43)),"",('Reforecast Q1 2026'!D43-Actuals!D43)/ABS('Reforecast Q1 2026'!D43)),"")</f>
      </c>
      <c r="J37" s="529">
        <f>'Reforecast Q1 2026'!E43</f>
        <v>0</v>
      </c>
      <c r="K37" s="529">
        <f>IF(OR(3&gt;$B$3,ISBLANK(Actuals!E43)),"",Actuals!E43)</f>
        <v>0</v>
      </c>
      <c r="L37" s="530">
        <f>IF(OR(3&gt;$B$3,ISBLANK(Actuals!E43)),"",'Reforecast Q1 2026'!E43-Actuals!E43)</f>
        <v>0</v>
      </c>
      <c r="M37" s="530">
        <f>IFERROR(IF(OR(3&gt;$B$3,ISBLANK(Actuals!E43)),"",('Reforecast Q1 2026'!E43-Actuals!E43)/ABS('Reforecast Q1 2026'!E43)),"")</f>
      </c>
      <c r="N37" s="529">
        <f>'Reforecast Q1 2026'!F43</f>
        <v>0</v>
      </c>
      <c r="O37" s="529">
        <f>IF(OR(4&gt;$B$3,ISBLANK(Actuals!F43)),"",Actuals!F43)</f>
        <v>-1036.49</v>
      </c>
      <c r="P37" s="530">
        <f>IF(OR(4&gt;$B$3,ISBLANK(Actuals!F43)),"",'Reforecast Q1 2026'!F43-Actuals!F43)</f>
        <v>1036.49</v>
      </c>
      <c r="Q37" s="530">
        <f>IFERROR(IF(OR(4&gt;$B$3,ISBLANK(Actuals!F43)),"",('Reforecast Q1 2026'!F43-Actuals!F43)/ABS('Reforecast Q1 2026'!F43)),"")</f>
      </c>
      <c r="R37" s="529">
        <f>'Reforecast Q1 2026'!G43</f>
        <v>0</v>
      </c>
      <c r="S37" s="529">
        <f>IF(OR(5&gt;$B$3,ISBLANK(Actuals!G43)),"",Actuals!G43)</f>
        <v>0</v>
      </c>
      <c r="T37" s="530">
        <f>IF(OR(5&gt;$B$3,ISBLANK(Actuals!G43)),"",'Reforecast Q1 2026'!G43-Actuals!G43)</f>
        <v>0</v>
      </c>
      <c r="U37" s="530">
        <f>IFERROR(IF(OR(5&gt;$B$3,ISBLANK(Actuals!G43)),"",('Reforecast Q1 2026'!G43-Actuals!G43)/ABS('Reforecast Q1 2026'!G43)),"")</f>
      </c>
      <c r="V37" s="529">
        <f>'Reforecast Q1 2026'!H43</f>
        <v>0</v>
      </c>
      <c r="W37" s="529">
        <f>IF(OR(6&gt;$B$3,ISBLANK(Actuals!H43)),"",Actuals!H43)</f>
        <v>-4308.58</v>
      </c>
      <c r="X37" s="530">
        <f>IF(OR(6&gt;$B$3,ISBLANK(Actuals!H43)),"",'Reforecast Q1 2026'!H43-Actuals!H43)</f>
        <v>4308.58</v>
      </c>
      <c r="Y37" s="530">
        <f>IFERROR(IF(OR(6&gt;$B$3,ISBLANK(Actuals!H43)),"",('Reforecast Q1 2026'!H43-Actuals!H43)/ABS('Reforecast Q1 2026'!H43)),"")</f>
      </c>
      <c r="Z37" s="529">
        <f>'Reforecast Q1 2026'!I43</f>
        <v>0</v>
      </c>
      <c r="AA37" s="529">
        <f>IF(OR(7&gt;$B$3,ISBLANK(Actuals!I43)),"",Actuals!I43)</f>
      </c>
      <c r="AB37" s="530">
        <f>IF(OR(7&gt;$B$3,ISBLANK(Actuals!I43)),"",'Reforecast Q1 2026'!I43-Actuals!I43)</f>
      </c>
      <c r="AC37" s="530">
        <f>IFERROR(IF(OR(7&gt;$B$3,ISBLANK(Actuals!I43)),"",('Reforecast Q1 2026'!I43-Actuals!I43)/ABS('Reforecast Q1 2026'!I43)),"")</f>
      </c>
      <c r="AD37" s="529">
        <f>'Reforecast Q1 2026'!J43</f>
        <v>0</v>
      </c>
      <c r="AE37" s="529">
        <f>IF(OR(8&gt;$B$3,ISBLANK(Actuals!J43)),"",Actuals!J43)</f>
      </c>
      <c r="AF37" s="530">
        <f>IF(OR(8&gt;$B$3,ISBLANK(Actuals!J43)),"",'Reforecast Q1 2026'!J43-Actuals!J43)</f>
      </c>
      <c r="AG37" s="530">
        <f>IFERROR(IF(OR(8&gt;$B$3,ISBLANK(Actuals!J43)),"",('Reforecast Q1 2026'!J43-Actuals!J43)/ABS('Reforecast Q1 2026'!J43)),"")</f>
      </c>
      <c r="AH37" s="529">
        <f>'Reforecast Q1 2026'!K43</f>
        <v>0</v>
      </c>
      <c r="AI37" s="529">
        <f>IF(OR(9&gt;$B$3,ISBLANK(Actuals!K43)),"",Actuals!K43)</f>
      </c>
      <c r="AJ37" s="530">
        <f>IF(OR(9&gt;$B$3,ISBLANK(Actuals!K43)),"",'Reforecast Q1 2026'!K43-Actuals!K43)</f>
      </c>
      <c r="AK37" s="530">
        <f>IFERROR(IF(OR(9&gt;$B$3,ISBLANK(Actuals!K43)),"",('Reforecast Q1 2026'!K43-Actuals!K43)/ABS('Reforecast Q1 2026'!K43)),"")</f>
      </c>
      <c r="AL37" s="529">
        <f>'Reforecast Q1 2026'!L43</f>
        <v>0</v>
      </c>
      <c r="AM37" s="529">
        <f>IF(OR(10&gt;$B$3,ISBLANK(Actuals!L43)),"",Actuals!L43)</f>
      </c>
      <c r="AN37" s="530">
        <f>IF(OR(10&gt;$B$3,ISBLANK(Actuals!L43)),"",'Reforecast Q1 2026'!L43-Actuals!L43)</f>
      </c>
      <c r="AO37" s="530">
        <f>IFERROR(IF(OR(10&gt;$B$3,ISBLANK(Actuals!L43)),"",('Reforecast Q1 2026'!L43-Actuals!L43)/ABS('Reforecast Q1 2026'!L43)),"")</f>
      </c>
      <c r="AP37" s="529">
        <f>'Reforecast Q1 2026'!M43</f>
        <v>0</v>
      </c>
      <c r="AQ37" s="529">
        <f>IF(OR(11&gt;$B$3,ISBLANK(Actuals!M43)),"",Actuals!M43)</f>
      </c>
      <c r="AR37" s="530">
        <f>IF(OR(11&gt;$B$3,ISBLANK(Actuals!M43)),"",'Reforecast Q1 2026'!M43-Actuals!M43)</f>
      </c>
      <c r="AS37" s="530">
        <f>IFERROR(IF(OR(11&gt;$B$3,ISBLANK(Actuals!M43)),"",('Reforecast Q1 2026'!M43-Actuals!M43)/ABS('Reforecast Q1 2026'!M43)),"")</f>
      </c>
      <c r="AT37" s="529">
        <f>'Reforecast Q1 2026'!N43</f>
        <v>0</v>
      </c>
      <c r="AU37" s="529">
        <f>IF(OR(12&gt;$B$3,ISBLANK(Actuals!N43)),"",Actuals!N43)</f>
      </c>
      <c r="AV37" s="530">
        <f>IF(OR(12&gt;$B$3,ISBLANK(Actuals!N43)),"",'Reforecast Q1 2026'!N43-Actuals!N43)</f>
      </c>
      <c r="AW37" s="530">
        <f>IFERROR(IF(OR(12&gt;$B$3,ISBLANK(Actuals!N43)),"",('Reforecast Q1 2026'!N43-Actuals!N43)/ABS('Reforecast Q1 2026'!N43)),"")</f>
      </c>
      <c r="AX37" s="531">
        <f>SUMPRODUCT((Actuals!C43:N43&lt;&gt;"")*('Reforecast Q1 2026'!C43:N43))</f>
        <v>0</v>
      </c>
      <c r="AY37" s="531">
        <f>SUM(Actuals!C43:N43)</f>
        <v>-5345.07</v>
      </c>
      <c r="AZ37" s="532">
        <f>AX37-AY37</f>
        <v>5345.07</v>
      </c>
    </row>
    <row r="38" ht="15" customFormat="1" customHeight="1" s="381">
      <c r="A38" s="528" t="inlineStr">
        <is>
          <t>5900-1003 Janitorial and Cleaning Expenses</t>
        </is>
      </c>
      <c r="B38" s="529">
        <f>'Reforecast Q1 2026'!C44</f>
        <v>-550</v>
      </c>
      <c r="C38" s="529">
        <f>IF(OR(1&gt;$B$3,ISBLANK(Actuals!C44)),"",Actuals!C44)</f>
        <v>-550</v>
      </c>
      <c r="D38" s="530">
        <f>IF(OR(1&gt;$B$3,ISBLANK(Actuals!C44)),"",'Reforecast Q1 2026'!C44-Actuals!C44)</f>
        <v>0</v>
      </c>
      <c r="E38" s="530">
        <f>IFERROR(IF(OR(1&gt;$B$3,ISBLANK(Actuals!C44)),"",('Reforecast Q1 2026'!C44-Actuals!C44)/ABS('Reforecast Q1 2026'!C44)),"")</f>
        <v>0</v>
      </c>
      <c r="F38" s="529">
        <f>'Reforecast Q1 2026'!D44</f>
        <v>-550</v>
      </c>
      <c r="G38" s="529">
        <f>IF(OR(2&gt;$B$3,ISBLANK(Actuals!D44)),"",Actuals!D44)</f>
        <v>-550</v>
      </c>
      <c r="H38" s="530">
        <f>IF(OR(2&gt;$B$3,ISBLANK(Actuals!D44)),"",'Reforecast Q1 2026'!D44-Actuals!D44)</f>
        <v>0</v>
      </c>
      <c r="I38" s="530">
        <f>IFERROR(IF(OR(2&gt;$B$3,ISBLANK(Actuals!D44)),"",('Reforecast Q1 2026'!D44-Actuals!D44)/ABS('Reforecast Q1 2026'!D44)),"")</f>
        <v>0</v>
      </c>
      <c r="J38" s="529">
        <f>'Reforecast Q1 2026'!E44</f>
        <v>-550</v>
      </c>
      <c r="K38" s="529">
        <f>IF(OR(3&gt;$B$3,ISBLANK(Actuals!E44)),"",Actuals!E44)</f>
        <v>-550</v>
      </c>
      <c r="L38" s="530">
        <f>IF(OR(3&gt;$B$3,ISBLANK(Actuals!E44)),"",'Reforecast Q1 2026'!E44-Actuals!E44)</f>
        <v>0</v>
      </c>
      <c r="M38" s="530">
        <f>IFERROR(IF(OR(3&gt;$B$3,ISBLANK(Actuals!E44)),"",('Reforecast Q1 2026'!E44-Actuals!E44)/ABS('Reforecast Q1 2026'!E44)),"")</f>
        <v>0</v>
      </c>
      <c r="N38" s="529">
        <f>'Reforecast Q1 2026'!F44</f>
        <v>-550</v>
      </c>
      <c r="O38" s="529">
        <f>IF(OR(4&gt;$B$3,ISBLANK(Actuals!F44)),"",Actuals!F44)</f>
        <v>-600</v>
      </c>
      <c r="P38" s="530">
        <f>IF(OR(4&gt;$B$3,ISBLANK(Actuals!F44)),"",'Reforecast Q1 2026'!F44-Actuals!F44)</f>
        <v>50</v>
      </c>
      <c r="Q38" s="530">
        <f>IFERROR(IF(OR(4&gt;$B$3,ISBLANK(Actuals!F44)),"",('Reforecast Q1 2026'!F44-Actuals!F44)/ABS('Reforecast Q1 2026'!F44)),"")</f>
        <v>0.0909090909090909</v>
      </c>
      <c r="R38" s="529">
        <f>'Reforecast Q1 2026'!G44</f>
        <v>-550</v>
      </c>
      <c r="S38" s="529">
        <f>IF(OR(5&gt;$B$3,ISBLANK(Actuals!G44)),"",Actuals!G44)</f>
        <v>-650</v>
      </c>
      <c r="T38" s="530">
        <f>IF(OR(5&gt;$B$3,ISBLANK(Actuals!G44)),"",'Reforecast Q1 2026'!G44-Actuals!G44)</f>
        <v>100</v>
      </c>
      <c r="U38" s="530">
        <f>IFERROR(IF(OR(5&gt;$B$3,ISBLANK(Actuals!G44)),"",('Reforecast Q1 2026'!G44-Actuals!G44)/ABS('Reforecast Q1 2026'!G44)),"")</f>
        <v>0.181818181818182</v>
      </c>
      <c r="V38" s="529">
        <f>'Reforecast Q1 2026'!H44</f>
        <v>-550</v>
      </c>
      <c r="W38" s="529">
        <f>IF(OR(6&gt;$B$3,ISBLANK(Actuals!H44)),"",Actuals!H44)</f>
        <v>-575</v>
      </c>
      <c r="X38" s="530">
        <f>IF(OR(6&gt;$B$3,ISBLANK(Actuals!H44)),"",'Reforecast Q1 2026'!H44-Actuals!H44)</f>
        <v>25</v>
      </c>
      <c r="Y38" s="530">
        <f>IFERROR(IF(OR(6&gt;$B$3,ISBLANK(Actuals!H44)),"",('Reforecast Q1 2026'!H44-Actuals!H44)/ABS('Reforecast Q1 2026'!H44)),"")</f>
        <v>0.0454545454545455</v>
      </c>
      <c r="Z38" s="529">
        <f>'Reforecast Q1 2026'!I44</f>
        <v>-550</v>
      </c>
      <c r="AA38" s="529">
        <f>IF(OR(7&gt;$B$3,ISBLANK(Actuals!I44)),"",Actuals!I44)</f>
      </c>
      <c r="AB38" s="530">
        <f>IF(OR(7&gt;$B$3,ISBLANK(Actuals!I44)),"",'Reforecast Q1 2026'!I44-Actuals!I44)</f>
      </c>
      <c r="AC38" s="530">
        <f>IFERROR(IF(OR(7&gt;$B$3,ISBLANK(Actuals!I44)),"",('Reforecast Q1 2026'!I44-Actuals!I44)/ABS('Reforecast Q1 2026'!I44)),"")</f>
      </c>
      <c r="AD38" s="529">
        <f>'Reforecast Q1 2026'!J44</f>
        <v>-550</v>
      </c>
      <c r="AE38" s="529">
        <f>IF(OR(8&gt;$B$3,ISBLANK(Actuals!J44)),"",Actuals!J44)</f>
      </c>
      <c r="AF38" s="530">
        <f>IF(OR(8&gt;$B$3,ISBLANK(Actuals!J44)),"",'Reforecast Q1 2026'!J44-Actuals!J44)</f>
      </c>
      <c r="AG38" s="530">
        <f>IFERROR(IF(OR(8&gt;$B$3,ISBLANK(Actuals!J44)),"",('Reforecast Q1 2026'!J44-Actuals!J44)/ABS('Reforecast Q1 2026'!J44)),"")</f>
      </c>
      <c r="AH38" s="529">
        <f>'Reforecast Q1 2026'!K44</f>
        <v>-550</v>
      </c>
      <c r="AI38" s="529">
        <f>IF(OR(9&gt;$B$3,ISBLANK(Actuals!K44)),"",Actuals!K44)</f>
      </c>
      <c r="AJ38" s="530">
        <f>IF(OR(9&gt;$B$3,ISBLANK(Actuals!K44)),"",'Reforecast Q1 2026'!K44-Actuals!K44)</f>
      </c>
      <c r="AK38" s="530">
        <f>IFERROR(IF(OR(9&gt;$B$3,ISBLANK(Actuals!K44)),"",('Reforecast Q1 2026'!K44-Actuals!K44)/ABS('Reforecast Q1 2026'!K44)),"")</f>
      </c>
      <c r="AL38" s="529">
        <f>'Reforecast Q1 2026'!L44</f>
        <v>-550</v>
      </c>
      <c r="AM38" s="529">
        <f>IF(OR(10&gt;$B$3,ISBLANK(Actuals!L44)),"",Actuals!L44)</f>
      </c>
      <c r="AN38" s="530">
        <f>IF(OR(10&gt;$B$3,ISBLANK(Actuals!L44)),"",'Reforecast Q1 2026'!L44-Actuals!L44)</f>
      </c>
      <c r="AO38" s="530">
        <f>IFERROR(IF(OR(10&gt;$B$3,ISBLANK(Actuals!L44)),"",('Reforecast Q1 2026'!L44-Actuals!L44)/ABS('Reforecast Q1 2026'!L44)),"")</f>
      </c>
      <c r="AP38" s="529">
        <f>'Reforecast Q1 2026'!M44</f>
        <v>-550</v>
      </c>
      <c r="AQ38" s="529">
        <f>IF(OR(11&gt;$B$3,ISBLANK(Actuals!M44)),"",Actuals!M44)</f>
      </c>
      <c r="AR38" s="530">
        <f>IF(OR(11&gt;$B$3,ISBLANK(Actuals!M44)),"",'Reforecast Q1 2026'!M44-Actuals!M44)</f>
      </c>
      <c r="AS38" s="530">
        <f>IFERROR(IF(OR(11&gt;$B$3,ISBLANK(Actuals!M44)),"",('Reforecast Q1 2026'!M44-Actuals!M44)/ABS('Reforecast Q1 2026'!M44)),"")</f>
      </c>
      <c r="AT38" s="529">
        <f>'Reforecast Q1 2026'!N44</f>
        <v>-550</v>
      </c>
      <c r="AU38" s="529">
        <f>IF(OR(12&gt;$B$3,ISBLANK(Actuals!N44)),"",Actuals!N44)</f>
      </c>
      <c r="AV38" s="530">
        <f>IF(OR(12&gt;$B$3,ISBLANK(Actuals!N44)),"",'Reforecast Q1 2026'!N44-Actuals!N44)</f>
      </c>
      <c r="AW38" s="530">
        <f>IFERROR(IF(OR(12&gt;$B$3,ISBLANK(Actuals!N44)),"",('Reforecast Q1 2026'!N44-Actuals!N44)/ABS('Reforecast Q1 2026'!N44)),"")</f>
      </c>
      <c r="AX38" s="531">
        <f>SUMPRODUCT((Actuals!C44:N44&lt;&gt;"")*('Reforecast Q1 2026'!C44:N44))</f>
        <v>-3300</v>
      </c>
      <c r="AY38" s="531">
        <f>SUM(Actuals!C44:N44)</f>
        <v>-3475</v>
      </c>
      <c r="AZ38" s="532">
        <f>AX38-AY38</f>
        <v>175</v>
      </c>
    </row>
    <row r="39" ht="15" customFormat="1" customHeight="1" s="381">
      <c r="A39" s="528" t="inlineStr">
        <is>
          <t>5900-1005 Supplies and Other Job Site Overhead</t>
        </is>
      </c>
      <c r="B39" s="529">
        <f>'Reforecast Q1 2026'!C45</f>
        <v>-19223.75</v>
      </c>
      <c r="C39" s="529">
        <f>IF(OR(1&gt;$B$3,ISBLANK(Actuals!C45)),"",Actuals!C45)</f>
        <v>-19223.75</v>
      </c>
      <c r="D39" s="530">
        <f>IF(OR(1&gt;$B$3,ISBLANK(Actuals!C45)),"",'Reforecast Q1 2026'!C45-Actuals!C45)</f>
        <v>0</v>
      </c>
      <c r="E39" s="530">
        <f>IFERROR(IF(OR(1&gt;$B$3,ISBLANK(Actuals!C45)),"",('Reforecast Q1 2026'!C45-Actuals!C45)/ABS('Reforecast Q1 2026'!C45)),"")</f>
        <v>0</v>
      </c>
      <c r="F39" s="529">
        <f>'Reforecast Q1 2026'!D45</f>
        <v>-13381.97</v>
      </c>
      <c r="G39" s="529">
        <f>IF(OR(2&gt;$B$3,ISBLANK(Actuals!D45)),"",Actuals!D45)</f>
        <v>-13381.97</v>
      </c>
      <c r="H39" s="530">
        <f>IF(OR(2&gt;$B$3,ISBLANK(Actuals!D45)),"",'Reforecast Q1 2026'!D45-Actuals!D45)</f>
        <v>0</v>
      </c>
      <c r="I39" s="530">
        <f>IFERROR(IF(OR(2&gt;$B$3,ISBLANK(Actuals!D45)),"",('Reforecast Q1 2026'!D45-Actuals!D45)/ABS('Reforecast Q1 2026'!D45)),"")</f>
        <v>0</v>
      </c>
      <c r="J39" s="529">
        <f>'Reforecast Q1 2026'!E45</f>
        <v>-20308.69</v>
      </c>
      <c r="K39" s="529">
        <f>IF(OR(3&gt;$B$3,ISBLANK(Actuals!E45)),"",Actuals!E45)</f>
        <v>-20308.69</v>
      </c>
      <c r="L39" s="530">
        <f>IF(OR(3&gt;$B$3,ISBLANK(Actuals!E45)),"",'Reforecast Q1 2026'!E45-Actuals!E45)</f>
        <v>0</v>
      </c>
      <c r="M39" s="530">
        <f>IFERROR(IF(OR(3&gt;$B$3,ISBLANK(Actuals!E45)),"",('Reforecast Q1 2026'!E45-Actuals!E45)/ABS('Reforecast Q1 2026'!E45)),"")</f>
        <v>0</v>
      </c>
      <c r="N39" s="529">
        <f>'Reforecast Q1 2026'!F45</f>
        <v>-17638.14</v>
      </c>
      <c r="O39" s="529">
        <f>IF(OR(4&gt;$B$3,ISBLANK(Actuals!F45)),"",Actuals!F45)</f>
        <v>-16948.76</v>
      </c>
      <c r="P39" s="530">
        <f>IF(OR(4&gt;$B$3,ISBLANK(Actuals!F45)),"",'Reforecast Q1 2026'!F45-Actuals!F45)</f>
        <v>-689.380000000001</v>
      </c>
      <c r="Q39" s="530">
        <f>IFERROR(IF(OR(4&gt;$B$3,ISBLANK(Actuals!F45)),"",('Reforecast Q1 2026'!F45-Actuals!F45)/ABS('Reforecast Q1 2026'!F45)),"")</f>
        <v>-0.0390846200336317</v>
      </c>
      <c r="R39" s="529">
        <f>'Reforecast Q1 2026'!G45</f>
        <v>-17638.14</v>
      </c>
      <c r="S39" s="529">
        <f>IF(OR(5&gt;$B$3,ISBLANK(Actuals!G45)),"",Actuals!G45)</f>
        <v>-29716.98</v>
      </c>
      <c r="T39" s="530">
        <f>IF(OR(5&gt;$B$3,ISBLANK(Actuals!G45)),"",'Reforecast Q1 2026'!G45-Actuals!G45)</f>
        <v>12078.84</v>
      </c>
      <c r="U39" s="530">
        <f>IFERROR(IF(OR(5&gt;$B$3,ISBLANK(Actuals!G45)),"",('Reforecast Q1 2026'!G45-Actuals!G45)/ABS('Reforecast Q1 2026'!G45)),"")</f>
        <v>0.684813704846429</v>
      </c>
      <c r="V39" s="529">
        <f>'Reforecast Q1 2026'!H45</f>
        <v>-17638.14</v>
      </c>
      <c r="W39" s="529">
        <f>IF(OR(6&gt;$B$3,ISBLANK(Actuals!H45)),"",Actuals!H45)</f>
        <v>-11335.64</v>
      </c>
      <c r="X39" s="530">
        <f>IF(OR(6&gt;$B$3,ISBLANK(Actuals!H45)),"",'Reforecast Q1 2026'!H45-Actuals!H45)</f>
        <v>-6302.5</v>
      </c>
      <c r="Y39" s="530">
        <f>IFERROR(IF(OR(6&gt;$B$3,ISBLANK(Actuals!H45)),"",('Reforecast Q1 2026'!H45-Actuals!H45)/ABS('Reforecast Q1 2026'!H45)),"")</f>
        <v>-0.357322257335524</v>
      </c>
      <c r="Z39" s="529">
        <f>'Reforecast Q1 2026'!I45</f>
        <v>-17638.14</v>
      </c>
      <c r="AA39" s="529">
        <f>IF(OR(7&gt;$B$3,ISBLANK(Actuals!I45)),"",Actuals!I45)</f>
      </c>
      <c r="AB39" s="530">
        <f>IF(OR(7&gt;$B$3,ISBLANK(Actuals!I45)),"",'Reforecast Q1 2026'!I45-Actuals!I45)</f>
      </c>
      <c r="AC39" s="530">
        <f>IFERROR(IF(OR(7&gt;$B$3,ISBLANK(Actuals!I45)),"",('Reforecast Q1 2026'!I45-Actuals!I45)/ABS('Reforecast Q1 2026'!I45)),"")</f>
      </c>
      <c r="AD39" s="529">
        <f>'Reforecast Q1 2026'!J45</f>
        <v>-17638.14</v>
      </c>
      <c r="AE39" s="529">
        <f>IF(OR(8&gt;$B$3,ISBLANK(Actuals!J45)),"",Actuals!J45)</f>
      </c>
      <c r="AF39" s="530">
        <f>IF(OR(8&gt;$B$3,ISBLANK(Actuals!J45)),"",'Reforecast Q1 2026'!J45-Actuals!J45)</f>
      </c>
      <c r="AG39" s="530">
        <f>IFERROR(IF(OR(8&gt;$B$3,ISBLANK(Actuals!J45)),"",('Reforecast Q1 2026'!J45-Actuals!J45)/ABS('Reforecast Q1 2026'!J45)),"")</f>
      </c>
      <c r="AH39" s="529">
        <f>'Reforecast Q1 2026'!K45</f>
        <v>-17638.14</v>
      </c>
      <c r="AI39" s="529">
        <f>IF(OR(9&gt;$B$3,ISBLANK(Actuals!K45)),"",Actuals!K45)</f>
      </c>
      <c r="AJ39" s="530">
        <f>IF(OR(9&gt;$B$3,ISBLANK(Actuals!K45)),"",'Reforecast Q1 2026'!K45-Actuals!K45)</f>
      </c>
      <c r="AK39" s="530">
        <f>IFERROR(IF(OR(9&gt;$B$3,ISBLANK(Actuals!K45)),"",('Reforecast Q1 2026'!K45-Actuals!K45)/ABS('Reforecast Q1 2026'!K45)),"")</f>
      </c>
      <c r="AL39" s="529">
        <f>'Reforecast Q1 2026'!L45</f>
        <v>-17638.14</v>
      </c>
      <c r="AM39" s="529">
        <f>IF(OR(10&gt;$B$3,ISBLANK(Actuals!L45)),"",Actuals!L45)</f>
      </c>
      <c r="AN39" s="530">
        <f>IF(OR(10&gt;$B$3,ISBLANK(Actuals!L45)),"",'Reforecast Q1 2026'!L45-Actuals!L45)</f>
      </c>
      <c r="AO39" s="530">
        <f>IFERROR(IF(OR(10&gt;$B$3,ISBLANK(Actuals!L45)),"",('Reforecast Q1 2026'!L45-Actuals!L45)/ABS('Reforecast Q1 2026'!L45)),"")</f>
      </c>
      <c r="AP39" s="529">
        <f>'Reforecast Q1 2026'!M45</f>
        <v>-17638.14</v>
      </c>
      <c r="AQ39" s="529">
        <f>IF(OR(11&gt;$B$3,ISBLANK(Actuals!M45)),"",Actuals!M45)</f>
      </c>
      <c r="AR39" s="530">
        <f>IF(OR(11&gt;$B$3,ISBLANK(Actuals!M45)),"",'Reforecast Q1 2026'!M45-Actuals!M45)</f>
      </c>
      <c r="AS39" s="530">
        <f>IFERROR(IF(OR(11&gt;$B$3,ISBLANK(Actuals!M45)),"",('Reforecast Q1 2026'!M45-Actuals!M45)/ABS('Reforecast Q1 2026'!M45)),"")</f>
      </c>
      <c r="AT39" s="529">
        <f>'Reforecast Q1 2026'!N45</f>
        <v>-17638.14</v>
      </c>
      <c r="AU39" s="529">
        <f>IF(OR(12&gt;$B$3,ISBLANK(Actuals!N45)),"",Actuals!N45)</f>
      </c>
      <c r="AV39" s="530">
        <f>IF(OR(12&gt;$B$3,ISBLANK(Actuals!N45)),"",'Reforecast Q1 2026'!N45-Actuals!N45)</f>
      </c>
      <c r="AW39" s="530">
        <f>IFERROR(IF(OR(12&gt;$B$3,ISBLANK(Actuals!N45)),"",('Reforecast Q1 2026'!N45-Actuals!N45)/ABS('Reforecast Q1 2026'!N45)),"")</f>
      </c>
      <c r="AX39" s="531">
        <f>SUMPRODUCT((Actuals!C45:N45&lt;&gt;"")*('Reforecast Q1 2026'!C45:N45))</f>
        <v>-105828.83</v>
      </c>
      <c r="AY39" s="531">
        <f>SUM(Actuals!C45:N45)</f>
        <v>-110915.79</v>
      </c>
      <c r="AZ39" s="532">
        <f>AX39-AY39</f>
        <v>5086.95999999999</v>
      </c>
    </row>
    <row r="40" ht="15" customFormat="1" customHeight="1" s="381">
      <c r="A40" s="528" t="inlineStr">
        <is>
          <t>5900-1006 Auto and Truck Expense</t>
        </is>
      </c>
      <c r="B40" s="529">
        <f>'Reforecast Q1 2026'!C46</f>
        <v>-1909.98</v>
      </c>
      <c r="C40" s="529">
        <f>IF(OR(1&gt;$B$3,ISBLANK(Actuals!C46)),"",Actuals!C46)</f>
        <v>-1909.98</v>
      </c>
      <c r="D40" s="530">
        <f>IF(OR(1&gt;$B$3,ISBLANK(Actuals!C46)),"",'Reforecast Q1 2026'!C46-Actuals!C46)</f>
        <v>0</v>
      </c>
      <c r="E40" s="530">
        <f>IFERROR(IF(OR(1&gt;$B$3,ISBLANK(Actuals!C46)),"",('Reforecast Q1 2026'!C46-Actuals!C46)/ABS('Reforecast Q1 2026'!C46)),"")</f>
        <v>0</v>
      </c>
      <c r="F40" s="529">
        <f>'Reforecast Q1 2026'!D46</f>
        <v>-190.1</v>
      </c>
      <c r="G40" s="529">
        <f>IF(OR(2&gt;$B$3,ISBLANK(Actuals!D46)),"",Actuals!D46)</f>
        <v>-190.1</v>
      </c>
      <c r="H40" s="530">
        <f>IF(OR(2&gt;$B$3,ISBLANK(Actuals!D46)),"",'Reforecast Q1 2026'!D46-Actuals!D46)</f>
        <v>0</v>
      </c>
      <c r="I40" s="530">
        <f>IFERROR(IF(OR(2&gt;$B$3,ISBLANK(Actuals!D46)),"",('Reforecast Q1 2026'!D46-Actuals!D46)/ABS('Reforecast Q1 2026'!D46)),"")</f>
        <v>0</v>
      </c>
      <c r="J40" s="529">
        <f>'Reforecast Q1 2026'!E46</f>
        <v>-2166.92</v>
      </c>
      <c r="K40" s="529">
        <f>IF(OR(3&gt;$B$3,ISBLANK(Actuals!E46)),"",Actuals!E46)</f>
        <v>-2166.92</v>
      </c>
      <c r="L40" s="530">
        <f>IF(OR(3&gt;$B$3,ISBLANK(Actuals!E46)),"",'Reforecast Q1 2026'!E46-Actuals!E46)</f>
        <v>0</v>
      </c>
      <c r="M40" s="530">
        <f>IFERROR(IF(OR(3&gt;$B$3,ISBLANK(Actuals!E46)),"",('Reforecast Q1 2026'!E46-Actuals!E46)/ABS('Reforecast Q1 2026'!E46)),"")</f>
        <v>0</v>
      </c>
      <c r="N40" s="529">
        <f>'Reforecast Q1 2026'!F46</f>
        <v>-1422.33</v>
      </c>
      <c r="O40" s="529">
        <f>IF(OR(4&gt;$B$3,ISBLANK(Actuals!F46)),"",Actuals!F46)</f>
        <v>-1816.95</v>
      </c>
      <c r="P40" s="530">
        <f>IF(OR(4&gt;$B$3,ISBLANK(Actuals!F46)),"",'Reforecast Q1 2026'!F46-Actuals!F46)</f>
        <v>394.62</v>
      </c>
      <c r="Q40" s="530">
        <f>IFERROR(IF(OR(4&gt;$B$3,ISBLANK(Actuals!F46)),"",('Reforecast Q1 2026'!F46-Actuals!F46)/ABS('Reforecast Q1 2026'!F46)),"")</f>
        <v>0.277446162283015</v>
      </c>
      <c r="R40" s="529">
        <f>'Reforecast Q1 2026'!G46</f>
        <v>-1422.33</v>
      </c>
      <c r="S40" s="529">
        <f>IF(OR(5&gt;$B$3,ISBLANK(Actuals!G46)),"",Actuals!G46)</f>
        <v>-1452.9</v>
      </c>
      <c r="T40" s="530">
        <f>IF(OR(5&gt;$B$3,ISBLANK(Actuals!G46)),"",'Reforecast Q1 2026'!G46-Actuals!G46)</f>
        <v>30.5700000000002</v>
      </c>
      <c r="U40" s="530">
        <f>IFERROR(IF(OR(5&gt;$B$3,ISBLANK(Actuals!G46)),"",('Reforecast Q1 2026'!G46-Actuals!G46)/ABS('Reforecast Q1 2026'!G46)),"")</f>
        <v>0.0214929024909832</v>
      </c>
      <c r="V40" s="529">
        <f>'Reforecast Q1 2026'!H46</f>
        <v>-1422.33</v>
      </c>
      <c r="W40" s="529">
        <f>IF(OR(6&gt;$B$3,ISBLANK(Actuals!H46)),"",Actuals!H46)</f>
        <v>-13918.31</v>
      </c>
      <c r="X40" s="530">
        <f>IF(OR(6&gt;$B$3,ISBLANK(Actuals!H46)),"",'Reforecast Q1 2026'!H46-Actuals!H46)</f>
        <v>12495.98</v>
      </c>
      <c r="Y40" s="530">
        <f>IFERROR(IF(OR(6&gt;$B$3,ISBLANK(Actuals!H46)),"",('Reforecast Q1 2026'!H46-Actuals!H46)/ABS('Reforecast Q1 2026'!H46)),"")</f>
        <v>8.78557015601161</v>
      </c>
      <c r="Z40" s="529">
        <f>'Reforecast Q1 2026'!I46</f>
        <v>-1422.33</v>
      </c>
      <c r="AA40" s="529">
        <f>IF(OR(7&gt;$B$3,ISBLANK(Actuals!I46)),"",Actuals!I46)</f>
      </c>
      <c r="AB40" s="530">
        <f>IF(OR(7&gt;$B$3,ISBLANK(Actuals!I46)),"",'Reforecast Q1 2026'!I46-Actuals!I46)</f>
      </c>
      <c r="AC40" s="530">
        <f>IFERROR(IF(OR(7&gt;$B$3,ISBLANK(Actuals!I46)),"",('Reforecast Q1 2026'!I46-Actuals!I46)/ABS('Reforecast Q1 2026'!I46)),"")</f>
      </c>
      <c r="AD40" s="529">
        <f>'Reforecast Q1 2026'!J46</f>
        <v>-1422.33</v>
      </c>
      <c r="AE40" s="529">
        <f>IF(OR(8&gt;$B$3,ISBLANK(Actuals!J46)),"",Actuals!J46)</f>
      </c>
      <c r="AF40" s="530">
        <f>IF(OR(8&gt;$B$3,ISBLANK(Actuals!J46)),"",'Reforecast Q1 2026'!J46-Actuals!J46)</f>
      </c>
      <c r="AG40" s="530">
        <f>IFERROR(IF(OR(8&gt;$B$3,ISBLANK(Actuals!J46)),"",('Reforecast Q1 2026'!J46-Actuals!J46)/ABS('Reforecast Q1 2026'!J46)),"")</f>
      </c>
      <c r="AH40" s="529">
        <f>'Reforecast Q1 2026'!K46</f>
        <v>-1422.33</v>
      </c>
      <c r="AI40" s="529">
        <f>IF(OR(9&gt;$B$3,ISBLANK(Actuals!K46)),"",Actuals!K46)</f>
      </c>
      <c r="AJ40" s="530">
        <f>IF(OR(9&gt;$B$3,ISBLANK(Actuals!K46)),"",'Reforecast Q1 2026'!K46-Actuals!K46)</f>
      </c>
      <c r="AK40" s="530">
        <f>IFERROR(IF(OR(9&gt;$B$3,ISBLANK(Actuals!K46)),"",('Reforecast Q1 2026'!K46-Actuals!K46)/ABS('Reforecast Q1 2026'!K46)),"")</f>
      </c>
      <c r="AL40" s="529">
        <f>'Reforecast Q1 2026'!L46</f>
        <v>-1422.33</v>
      </c>
      <c r="AM40" s="529">
        <f>IF(OR(10&gt;$B$3,ISBLANK(Actuals!L46)),"",Actuals!L46)</f>
      </c>
      <c r="AN40" s="530">
        <f>IF(OR(10&gt;$B$3,ISBLANK(Actuals!L46)),"",'Reforecast Q1 2026'!L46-Actuals!L46)</f>
      </c>
      <c r="AO40" s="530">
        <f>IFERROR(IF(OR(10&gt;$B$3,ISBLANK(Actuals!L46)),"",('Reforecast Q1 2026'!L46-Actuals!L46)/ABS('Reforecast Q1 2026'!L46)),"")</f>
      </c>
      <c r="AP40" s="529">
        <f>'Reforecast Q1 2026'!M46</f>
        <v>-1422.33</v>
      </c>
      <c r="AQ40" s="529">
        <f>IF(OR(11&gt;$B$3,ISBLANK(Actuals!M46)),"",Actuals!M46)</f>
      </c>
      <c r="AR40" s="530">
        <f>IF(OR(11&gt;$B$3,ISBLANK(Actuals!M46)),"",'Reforecast Q1 2026'!M46-Actuals!M46)</f>
      </c>
      <c r="AS40" s="530">
        <f>IFERROR(IF(OR(11&gt;$B$3,ISBLANK(Actuals!M46)),"",('Reforecast Q1 2026'!M46-Actuals!M46)/ABS('Reforecast Q1 2026'!M46)),"")</f>
      </c>
      <c r="AT40" s="529">
        <f>'Reforecast Q1 2026'!N46</f>
        <v>-1422.33</v>
      </c>
      <c r="AU40" s="529">
        <f>IF(OR(12&gt;$B$3,ISBLANK(Actuals!N46)),"",Actuals!N46)</f>
      </c>
      <c r="AV40" s="530">
        <f>IF(OR(12&gt;$B$3,ISBLANK(Actuals!N46)),"",'Reforecast Q1 2026'!N46-Actuals!N46)</f>
      </c>
      <c r="AW40" s="530">
        <f>IFERROR(IF(OR(12&gt;$B$3,ISBLANK(Actuals!N46)),"",('Reforecast Q1 2026'!N46-Actuals!N46)/ABS('Reforecast Q1 2026'!N46)),"")</f>
      </c>
      <c r="AX40" s="531">
        <f>SUMPRODUCT((Actuals!C46:N46&lt;&gt;"")*('Reforecast Q1 2026'!C46:N46))</f>
        <v>-8533.99</v>
      </c>
      <c r="AY40" s="531">
        <f>SUM(Actuals!C46:N46)</f>
        <v>-21455.16</v>
      </c>
      <c r="AZ40" s="532">
        <f>AX40-AY40</f>
        <v>12921.17</v>
      </c>
    </row>
    <row r="41" ht="15" customFormat="1" customHeight="1" s="381">
      <c r="A41" s="528" t="inlineStr">
        <is>
          <t>5900-1007 Landscaping</t>
        </is>
      </c>
      <c r="B41" s="529">
        <f>'Reforecast Q1 2026'!C47</f>
        <v>-320</v>
      </c>
      <c r="C41" s="529">
        <f>IF(OR(1&gt;$B$3,ISBLANK(Actuals!C47)),"",Actuals!C47)</f>
        <v>-320</v>
      </c>
      <c r="D41" s="530">
        <f>IF(OR(1&gt;$B$3,ISBLANK(Actuals!C47)),"",'Reforecast Q1 2026'!C47-Actuals!C47)</f>
        <v>0</v>
      </c>
      <c r="E41" s="530">
        <f>IFERROR(IF(OR(1&gt;$B$3,ISBLANK(Actuals!C47)),"",('Reforecast Q1 2026'!C47-Actuals!C47)/ABS('Reforecast Q1 2026'!C47)),"")</f>
        <v>0</v>
      </c>
      <c r="F41" s="529">
        <f>'Reforecast Q1 2026'!D47</f>
        <v>-160</v>
      </c>
      <c r="G41" s="529">
        <f>IF(OR(2&gt;$B$3,ISBLANK(Actuals!D47)),"",Actuals!D47)</f>
        <v>-160</v>
      </c>
      <c r="H41" s="530">
        <f>IF(OR(2&gt;$B$3,ISBLANK(Actuals!D47)),"",'Reforecast Q1 2026'!D47-Actuals!D47)</f>
        <v>0</v>
      </c>
      <c r="I41" s="530">
        <f>IFERROR(IF(OR(2&gt;$B$3,ISBLANK(Actuals!D47)),"",('Reforecast Q1 2026'!D47-Actuals!D47)/ABS('Reforecast Q1 2026'!D47)),"")</f>
        <v>0</v>
      </c>
      <c r="J41" s="529">
        <f>'Reforecast Q1 2026'!E47</f>
        <v>0</v>
      </c>
      <c r="K41" s="529">
        <f>IF(OR(3&gt;$B$3,ISBLANK(Actuals!E47)),"",Actuals!E47)</f>
        <v>0</v>
      </c>
      <c r="L41" s="530">
        <f>IF(OR(3&gt;$B$3,ISBLANK(Actuals!E47)),"",'Reforecast Q1 2026'!E47-Actuals!E47)</f>
        <v>0</v>
      </c>
      <c r="M41" s="530">
        <f>IFERROR(IF(OR(3&gt;$B$3,ISBLANK(Actuals!E47)),"",('Reforecast Q1 2026'!E47-Actuals!E47)/ABS('Reforecast Q1 2026'!E47)),"")</f>
      </c>
      <c r="N41" s="529">
        <f>'Reforecast Q1 2026'!F47</f>
        <v>-160</v>
      </c>
      <c r="O41" s="529">
        <f>IF(OR(4&gt;$B$3,ISBLANK(Actuals!F47)),"",Actuals!F47)</f>
        <v>0</v>
      </c>
      <c r="P41" s="530">
        <f>IF(OR(4&gt;$B$3,ISBLANK(Actuals!F47)),"",'Reforecast Q1 2026'!F47-Actuals!F47)</f>
        <v>-160</v>
      </c>
      <c r="Q41" s="530">
        <f>IFERROR(IF(OR(4&gt;$B$3,ISBLANK(Actuals!F47)),"",('Reforecast Q1 2026'!F47-Actuals!F47)/ABS('Reforecast Q1 2026'!F47)),"")</f>
        <v>-1</v>
      </c>
      <c r="R41" s="529">
        <f>'Reforecast Q1 2026'!G47</f>
        <v>-160</v>
      </c>
      <c r="S41" s="529">
        <f>IF(OR(5&gt;$B$3,ISBLANK(Actuals!G47)),"",Actuals!G47)</f>
        <v>-320</v>
      </c>
      <c r="T41" s="530">
        <f>IF(OR(5&gt;$B$3,ISBLANK(Actuals!G47)),"",'Reforecast Q1 2026'!G47-Actuals!G47)</f>
        <v>160</v>
      </c>
      <c r="U41" s="530">
        <f>IFERROR(IF(OR(5&gt;$B$3,ISBLANK(Actuals!G47)),"",('Reforecast Q1 2026'!G47-Actuals!G47)/ABS('Reforecast Q1 2026'!G47)),"")</f>
        <v>1</v>
      </c>
      <c r="V41" s="529">
        <f>'Reforecast Q1 2026'!H47</f>
        <v>-160</v>
      </c>
      <c r="W41" s="529">
        <f>IF(OR(6&gt;$B$3,ISBLANK(Actuals!H47)),"",Actuals!H47)</f>
        <v>-320</v>
      </c>
      <c r="X41" s="530">
        <f>IF(OR(6&gt;$B$3,ISBLANK(Actuals!H47)),"",'Reforecast Q1 2026'!H47-Actuals!H47)</f>
        <v>160</v>
      </c>
      <c r="Y41" s="530">
        <f>IFERROR(IF(OR(6&gt;$B$3,ISBLANK(Actuals!H47)),"",('Reforecast Q1 2026'!H47-Actuals!H47)/ABS('Reforecast Q1 2026'!H47)),"")</f>
        <v>1</v>
      </c>
      <c r="Z41" s="529">
        <f>'Reforecast Q1 2026'!I47</f>
        <v>-160</v>
      </c>
      <c r="AA41" s="529">
        <f>IF(OR(7&gt;$B$3,ISBLANK(Actuals!I47)),"",Actuals!I47)</f>
      </c>
      <c r="AB41" s="530">
        <f>IF(OR(7&gt;$B$3,ISBLANK(Actuals!I47)),"",'Reforecast Q1 2026'!I47-Actuals!I47)</f>
      </c>
      <c r="AC41" s="530">
        <f>IFERROR(IF(OR(7&gt;$B$3,ISBLANK(Actuals!I47)),"",('Reforecast Q1 2026'!I47-Actuals!I47)/ABS('Reforecast Q1 2026'!I47)),"")</f>
      </c>
      <c r="AD41" s="529">
        <f>'Reforecast Q1 2026'!J47</f>
        <v>-160</v>
      </c>
      <c r="AE41" s="529">
        <f>IF(OR(8&gt;$B$3,ISBLANK(Actuals!J47)),"",Actuals!J47)</f>
      </c>
      <c r="AF41" s="530">
        <f>IF(OR(8&gt;$B$3,ISBLANK(Actuals!J47)),"",'Reforecast Q1 2026'!J47-Actuals!J47)</f>
      </c>
      <c r="AG41" s="530">
        <f>IFERROR(IF(OR(8&gt;$B$3,ISBLANK(Actuals!J47)),"",('Reforecast Q1 2026'!J47-Actuals!J47)/ABS('Reforecast Q1 2026'!J47)),"")</f>
      </c>
      <c r="AH41" s="529">
        <f>'Reforecast Q1 2026'!K47</f>
        <v>-160</v>
      </c>
      <c r="AI41" s="529">
        <f>IF(OR(9&gt;$B$3,ISBLANK(Actuals!K47)),"",Actuals!K47)</f>
      </c>
      <c r="AJ41" s="530">
        <f>IF(OR(9&gt;$B$3,ISBLANK(Actuals!K47)),"",'Reforecast Q1 2026'!K47-Actuals!K47)</f>
      </c>
      <c r="AK41" s="530">
        <f>IFERROR(IF(OR(9&gt;$B$3,ISBLANK(Actuals!K47)),"",('Reforecast Q1 2026'!K47-Actuals!K47)/ABS('Reforecast Q1 2026'!K47)),"")</f>
      </c>
      <c r="AL41" s="529">
        <f>'Reforecast Q1 2026'!L47</f>
        <v>-160</v>
      </c>
      <c r="AM41" s="529">
        <f>IF(OR(10&gt;$B$3,ISBLANK(Actuals!L47)),"",Actuals!L47)</f>
      </c>
      <c r="AN41" s="530">
        <f>IF(OR(10&gt;$B$3,ISBLANK(Actuals!L47)),"",'Reforecast Q1 2026'!L47-Actuals!L47)</f>
      </c>
      <c r="AO41" s="530">
        <f>IFERROR(IF(OR(10&gt;$B$3,ISBLANK(Actuals!L47)),"",('Reforecast Q1 2026'!L47-Actuals!L47)/ABS('Reforecast Q1 2026'!L47)),"")</f>
      </c>
      <c r="AP41" s="529">
        <f>'Reforecast Q1 2026'!M47</f>
        <v>-160</v>
      </c>
      <c r="AQ41" s="529">
        <f>IF(OR(11&gt;$B$3,ISBLANK(Actuals!M47)),"",Actuals!M47)</f>
      </c>
      <c r="AR41" s="530">
        <f>IF(OR(11&gt;$B$3,ISBLANK(Actuals!M47)),"",'Reforecast Q1 2026'!M47-Actuals!M47)</f>
      </c>
      <c r="AS41" s="530">
        <f>IFERROR(IF(OR(11&gt;$B$3,ISBLANK(Actuals!M47)),"",('Reforecast Q1 2026'!M47-Actuals!M47)/ABS('Reforecast Q1 2026'!M47)),"")</f>
      </c>
      <c r="AT41" s="529">
        <f>'Reforecast Q1 2026'!N47</f>
        <v>-160</v>
      </c>
      <c r="AU41" s="529">
        <f>IF(OR(12&gt;$B$3,ISBLANK(Actuals!N47)),"",Actuals!N47)</f>
      </c>
      <c r="AV41" s="530">
        <f>IF(OR(12&gt;$B$3,ISBLANK(Actuals!N47)),"",'Reforecast Q1 2026'!N47-Actuals!N47)</f>
      </c>
      <c r="AW41" s="530">
        <f>IFERROR(IF(OR(12&gt;$B$3,ISBLANK(Actuals!N47)),"",('Reforecast Q1 2026'!N47-Actuals!N47)/ABS('Reforecast Q1 2026'!N47)),"")</f>
      </c>
      <c r="AX41" s="531">
        <f>SUMPRODUCT((Actuals!C47:N47&lt;&gt;"")*('Reforecast Q1 2026'!C47:N47))</f>
        <v>-960</v>
      </c>
      <c r="AY41" s="531">
        <f>SUM(Actuals!C47:N47)</f>
        <v>-1120</v>
      </c>
      <c r="AZ41" s="532">
        <f>AX41-AY41</f>
        <v>160</v>
      </c>
    </row>
    <row r="42" ht="15" customFormat="1" customHeight="1" s="381">
      <c r="A42" s="528" t="inlineStr">
        <is>
          <t>5900-1040 Warranty and Other Job Adjustments</t>
        </is>
      </c>
      <c r="B42" s="529">
        <f>'Reforecast Q1 2026'!C48</f>
        <v>-17660.72</v>
      </c>
      <c r="C42" s="529">
        <f>IF(OR(1&gt;$B$3,ISBLANK(Actuals!C48)),"",Actuals!C48)</f>
        <v>-17660.72</v>
      </c>
      <c r="D42" s="530">
        <f>IF(OR(1&gt;$B$3,ISBLANK(Actuals!C48)),"",'Reforecast Q1 2026'!C48-Actuals!C48)</f>
        <v>0</v>
      </c>
      <c r="E42" s="530">
        <f>IFERROR(IF(OR(1&gt;$B$3,ISBLANK(Actuals!C48)),"",('Reforecast Q1 2026'!C48-Actuals!C48)/ABS('Reforecast Q1 2026'!C48)),"")</f>
        <v>0</v>
      </c>
      <c r="F42" s="529">
        <f>'Reforecast Q1 2026'!D48</f>
        <v>-5799</v>
      </c>
      <c r="G42" s="529">
        <f>IF(OR(2&gt;$B$3,ISBLANK(Actuals!D48)),"",Actuals!D48)</f>
        <v>-5799</v>
      </c>
      <c r="H42" s="530">
        <f>IF(OR(2&gt;$B$3,ISBLANK(Actuals!D48)),"",'Reforecast Q1 2026'!D48-Actuals!D48)</f>
        <v>0</v>
      </c>
      <c r="I42" s="530">
        <f>IFERROR(IF(OR(2&gt;$B$3,ISBLANK(Actuals!D48)),"",('Reforecast Q1 2026'!D48-Actuals!D48)/ABS('Reforecast Q1 2026'!D48)),"")</f>
        <v>0</v>
      </c>
      <c r="J42" s="529">
        <f>'Reforecast Q1 2026'!E48</f>
        <v>-3432.18</v>
      </c>
      <c r="K42" s="529">
        <f>IF(OR(3&gt;$B$3,ISBLANK(Actuals!E48)),"",Actuals!E48)</f>
        <v>-3432.18</v>
      </c>
      <c r="L42" s="530">
        <f>IF(OR(3&gt;$B$3,ISBLANK(Actuals!E48)),"",'Reforecast Q1 2026'!E48-Actuals!E48)</f>
        <v>0</v>
      </c>
      <c r="M42" s="530">
        <f>IFERROR(IF(OR(3&gt;$B$3,ISBLANK(Actuals!E48)),"",('Reforecast Q1 2026'!E48-Actuals!E48)/ABS('Reforecast Q1 2026'!E48)),"")</f>
        <v>0</v>
      </c>
      <c r="N42" s="529">
        <f>'Reforecast Q1 2026'!F48</f>
        <v>-5000</v>
      </c>
      <c r="O42" s="529">
        <f>IF(OR(4&gt;$B$3,ISBLANK(Actuals!F48)),"",Actuals!F48)</f>
        <v>0</v>
      </c>
      <c r="P42" s="530">
        <f>IF(OR(4&gt;$B$3,ISBLANK(Actuals!F48)),"",'Reforecast Q1 2026'!F48-Actuals!F48)</f>
        <v>-5000</v>
      </c>
      <c r="Q42" s="530">
        <f>IFERROR(IF(OR(4&gt;$B$3,ISBLANK(Actuals!F48)),"",('Reforecast Q1 2026'!F48-Actuals!F48)/ABS('Reforecast Q1 2026'!F48)),"")</f>
        <v>-1</v>
      </c>
      <c r="R42" s="529">
        <f>'Reforecast Q1 2026'!G48</f>
        <v>-5000</v>
      </c>
      <c r="S42" s="529">
        <f>IF(OR(5&gt;$B$3,ISBLANK(Actuals!G48)),"",Actuals!G48)</f>
        <v>-73874.29</v>
      </c>
      <c r="T42" s="530">
        <f>IF(OR(5&gt;$B$3,ISBLANK(Actuals!G48)),"",'Reforecast Q1 2026'!G48-Actuals!G48)</f>
        <v>68874.29</v>
      </c>
      <c r="U42" s="530">
        <f>IFERROR(IF(OR(5&gt;$B$3,ISBLANK(Actuals!G48)),"",('Reforecast Q1 2026'!G48-Actuals!G48)/ABS('Reforecast Q1 2026'!G48)),"")</f>
        <v>13.774858</v>
      </c>
      <c r="V42" s="529">
        <f>'Reforecast Q1 2026'!H48</f>
        <v>-5000</v>
      </c>
      <c r="W42" s="529">
        <f>IF(OR(6&gt;$B$3,ISBLANK(Actuals!H48)),"",Actuals!H48)</f>
        <v>0</v>
      </c>
      <c r="X42" s="530">
        <f>IF(OR(6&gt;$B$3,ISBLANK(Actuals!H48)),"",'Reforecast Q1 2026'!H48-Actuals!H48)</f>
        <v>-5000</v>
      </c>
      <c r="Y42" s="530">
        <f>IFERROR(IF(OR(6&gt;$B$3,ISBLANK(Actuals!H48)),"",('Reforecast Q1 2026'!H48-Actuals!H48)/ABS('Reforecast Q1 2026'!H48)),"")</f>
        <v>-1</v>
      </c>
      <c r="Z42" s="529">
        <f>'Reforecast Q1 2026'!I48</f>
        <v>-5000</v>
      </c>
      <c r="AA42" s="529">
        <f>IF(OR(7&gt;$B$3,ISBLANK(Actuals!I48)),"",Actuals!I48)</f>
      </c>
      <c r="AB42" s="530">
        <f>IF(OR(7&gt;$B$3,ISBLANK(Actuals!I48)),"",'Reforecast Q1 2026'!I48-Actuals!I48)</f>
      </c>
      <c r="AC42" s="530">
        <f>IFERROR(IF(OR(7&gt;$B$3,ISBLANK(Actuals!I48)),"",('Reforecast Q1 2026'!I48-Actuals!I48)/ABS('Reforecast Q1 2026'!I48)),"")</f>
      </c>
      <c r="AD42" s="529">
        <f>'Reforecast Q1 2026'!J48</f>
        <v>-5000</v>
      </c>
      <c r="AE42" s="529">
        <f>IF(OR(8&gt;$B$3,ISBLANK(Actuals!J48)),"",Actuals!J48)</f>
      </c>
      <c r="AF42" s="530">
        <f>IF(OR(8&gt;$B$3,ISBLANK(Actuals!J48)),"",'Reforecast Q1 2026'!J48-Actuals!J48)</f>
      </c>
      <c r="AG42" s="530">
        <f>IFERROR(IF(OR(8&gt;$B$3,ISBLANK(Actuals!J48)),"",('Reforecast Q1 2026'!J48-Actuals!J48)/ABS('Reforecast Q1 2026'!J48)),"")</f>
      </c>
      <c r="AH42" s="529">
        <f>'Reforecast Q1 2026'!K48</f>
        <v>-5000</v>
      </c>
      <c r="AI42" s="529">
        <f>IF(OR(9&gt;$B$3,ISBLANK(Actuals!K48)),"",Actuals!K48)</f>
      </c>
      <c r="AJ42" s="530">
        <f>IF(OR(9&gt;$B$3,ISBLANK(Actuals!K48)),"",'Reforecast Q1 2026'!K48-Actuals!K48)</f>
      </c>
      <c r="AK42" s="530">
        <f>IFERROR(IF(OR(9&gt;$B$3,ISBLANK(Actuals!K48)),"",('Reforecast Q1 2026'!K48-Actuals!K48)/ABS('Reforecast Q1 2026'!K48)),"")</f>
      </c>
      <c r="AL42" s="529">
        <f>'Reforecast Q1 2026'!L48</f>
        <v>-5000</v>
      </c>
      <c r="AM42" s="529">
        <f>IF(OR(10&gt;$B$3,ISBLANK(Actuals!L48)),"",Actuals!L48)</f>
      </c>
      <c r="AN42" s="530">
        <f>IF(OR(10&gt;$B$3,ISBLANK(Actuals!L48)),"",'Reforecast Q1 2026'!L48-Actuals!L48)</f>
      </c>
      <c r="AO42" s="530">
        <f>IFERROR(IF(OR(10&gt;$B$3,ISBLANK(Actuals!L48)),"",('Reforecast Q1 2026'!L48-Actuals!L48)/ABS('Reforecast Q1 2026'!L48)),"")</f>
      </c>
      <c r="AP42" s="529">
        <f>'Reforecast Q1 2026'!M48</f>
        <v>-5000</v>
      </c>
      <c r="AQ42" s="529">
        <f>IF(OR(11&gt;$B$3,ISBLANK(Actuals!M48)),"",Actuals!M48)</f>
      </c>
      <c r="AR42" s="530">
        <f>IF(OR(11&gt;$B$3,ISBLANK(Actuals!M48)),"",'Reforecast Q1 2026'!M48-Actuals!M48)</f>
      </c>
      <c r="AS42" s="530">
        <f>IFERROR(IF(OR(11&gt;$B$3,ISBLANK(Actuals!M48)),"",('Reforecast Q1 2026'!M48-Actuals!M48)/ABS('Reforecast Q1 2026'!M48)),"")</f>
      </c>
      <c r="AT42" s="529">
        <f>'Reforecast Q1 2026'!N48</f>
        <v>-5000</v>
      </c>
      <c r="AU42" s="529">
        <f>IF(OR(12&gt;$B$3,ISBLANK(Actuals!N48)),"",Actuals!N48)</f>
      </c>
      <c r="AV42" s="530">
        <f>IF(OR(12&gt;$B$3,ISBLANK(Actuals!N48)),"",'Reforecast Q1 2026'!N48-Actuals!N48)</f>
      </c>
      <c r="AW42" s="530">
        <f>IFERROR(IF(OR(12&gt;$B$3,ISBLANK(Actuals!N48)),"",('Reforecast Q1 2026'!N48-Actuals!N48)/ABS('Reforecast Q1 2026'!N48)),"")</f>
      </c>
      <c r="AX42" s="531">
        <f>SUMPRODUCT((Actuals!C48:N48&lt;&gt;"")*('Reforecast Q1 2026'!C48:N48))</f>
        <v>-41891.9</v>
      </c>
      <c r="AY42" s="531">
        <f>SUM(Actuals!C48:N48)</f>
        <v>-100766.19</v>
      </c>
      <c r="AZ42" s="532">
        <f>AX42-AY42</f>
        <v>58874.29</v>
      </c>
    </row>
    <row r="43" ht="15" customFormat="1" customHeight="1" s="381">
      <c r="A43" s="528" t="inlineStr">
        <is>
          <t>5900-1075 Miscellaneous Expense</t>
        </is>
      </c>
      <c r="B43" s="529">
        <f>'Reforecast Q1 2026'!C49</f>
        <v>-304</v>
      </c>
      <c r="C43" s="529">
        <f>IF(OR(1&gt;$B$3,ISBLANK(Actuals!C49)),"",Actuals!C49)</f>
        <v>-1913.91</v>
      </c>
      <c r="D43" s="530">
        <f>IF(OR(1&gt;$B$3,ISBLANK(Actuals!C49)),"",'Reforecast Q1 2026'!C49-Actuals!C49)</f>
        <v>1609.91</v>
      </c>
      <c r="E43" s="530">
        <f>IFERROR(IF(OR(1&gt;$B$3,ISBLANK(Actuals!C49)),"",('Reforecast Q1 2026'!C49-Actuals!C49)/ABS('Reforecast Q1 2026'!C49)),"")</f>
        <v>5.29575657894737</v>
      </c>
      <c r="F43" s="529">
        <f>'Reforecast Q1 2026'!D49</f>
        <v>-644.81</v>
      </c>
      <c r="G43" s="529">
        <f>IF(OR(2&gt;$B$3,ISBLANK(Actuals!D49)),"",Actuals!D49)</f>
        <v>-2254.72</v>
      </c>
      <c r="H43" s="530">
        <f>IF(OR(2&gt;$B$3,ISBLANK(Actuals!D49)),"",'Reforecast Q1 2026'!D49-Actuals!D49)</f>
        <v>1609.91</v>
      </c>
      <c r="I43" s="530">
        <f>IFERROR(IF(OR(2&gt;$B$3,ISBLANK(Actuals!D49)),"",('Reforecast Q1 2026'!D49-Actuals!D49)/ABS('Reforecast Q1 2026'!D49)),"")</f>
        <v>2.49671996402041</v>
      </c>
      <c r="J43" s="529">
        <f>'Reforecast Q1 2026'!E49</f>
        <v>-304</v>
      </c>
      <c r="K43" s="529">
        <f>IF(OR(3&gt;$B$3,ISBLANK(Actuals!E49)),"",Actuals!E49)</f>
        <v>-1913.91</v>
      </c>
      <c r="L43" s="530">
        <f>IF(OR(3&gt;$B$3,ISBLANK(Actuals!E49)),"",'Reforecast Q1 2026'!E49-Actuals!E49)</f>
        <v>1609.91</v>
      </c>
      <c r="M43" s="530">
        <f>IFERROR(IF(OR(3&gt;$B$3,ISBLANK(Actuals!E49)),"",('Reforecast Q1 2026'!E49-Actuals!E49)/ABS('Reforecast Q1 2026'!E49)),"")</f>
        <v>5.29575657894737</v>
      </c>
      <c r="N43" s="529">
        <f>'Reforecast Q1 2026'!F49</f>
        <v>-417.6</v>
      </c>
      <c r="O43" s="529">
        <f>IF(OR(4&gt;$B$3,ISBLANK(Actuals!F49)),"",Actuals!F49)</f>
        <v>-1609.91</v>
      </c>
      <c r="P43" s="530">
        <f>IF(OR(4&gt;$B$3,ISBLANK(Actuals!F49)),"",'Reforecast Q1 2026'!F49-Actuals!F49)</f>
        <v>1192.31</v>
      </c>
      <c r="Q43" s="530">
        <f>IFERROR(IF(OR(4&gt;$B$3,ISBLANK(Actuals!F49)),"",('Reforecast Q1 2026'!F49-Actuals!F49)/ABS('Reforecast Q1 2026'!F49)),"")</f>
        <v>2.85514846743295</v>
      </c>
      <c r="R43" s="529">
        <f>'Reforecast Q1 2026'!G49</f>
        <v>-417.6</v>
      </c>
      <c r="S43" s="529">
        <f>IF(OR(5&gt;$B$3,ISBLANK(Actuals!G49)),"",Actuals!G49)</f>
        <v>-2760.86</v>
      </c>
      <c r="T43" s="530">
        <f>IF(OR(5&gt;$B$3,ISBLANK(Actuals!G49)),"",'Reforecast Q1 2026'!G49-Actuals!G49)</f>
        <v>2343.26</v>
      </c>
      <c r="U43" s="530">
        <f>IFERROR(IF(OR(5&gt;$B$3,ISBLANK(Actuals!G49)),"",('Reforecast Q1 2026'!G49-Actuals!G49)/ABS('Reforecast Q1 2026'!G49)),"")</f>
        <v>5.61125478927203</v>
      </c>
      <c r="V43" s="529">
        <f>'Reforecast Q1 2026'!H49</f>
        <v>-417.6</v>
      </c>
      <c r="W43" s="529">
        <f>IF(OR(6&gt;$B$3,ISBLANK(Actuals!H49)),"",Actuals!H49)</f>
        <v>0</v>
      </c>
      <c r="X43" s="530">
        <f>IF(OR(6&gt;$B$3,ISBLANK(Actuals!H49)),"",'Reforecast Q1 2026'!H49-Actuals!H49)</f>
        <v>-417.6</v>
      </c>
      <c r="Y43" s="530">
        <f>IFERROR(IF(OR(6&gt;$B$3,ISBLANK(Actuals!H49)),"",('Reforecast Q1 2026'!H49-Actuals!H49)/ABS('Reforecast Q1 2026'!H49)),"")</f>
        <v>-1</v>
      </c>
      <c r="Z43" s="529">
        <f>'Reforecast Q1 2026'!I49</f>
        <v>-417.6</v>
      </c>
      <c r="AA43" s="529">
        <f>IF(OR(7&gt;$B$3,ISBLANK(Actuals!I49)),"",Actuals!I49)</f>
      </c>
      <c r="AB43" s="530">
        <f>IF(OR(7&gt;$B$3,ISBLANK(Actuals!I49)),"",'Reforecast Q1 2026'!I49-Actuals!I49)</f>
      </c>
      <c r="AC43" s="530">
        <f>IFERROR(IF(OR(7&gt;$B$3,ISBLANK(Actuals!I49)),"",('Reforecast Q1 2026'!I49-Actuals!I49)/ABS('Reforecast Q1 2026'!I49)),"")</f>
      </c>
      <c r="AD43" s="529">
        <f>'Reforecast Q1 2026'!J49</f>
        <v>-417.6</v>
      </c>
      <c r="AE43" s="529">
        <f>IF(OR(8&gt;$B$3,ISBLANK(Actuals!J49)),"",Actuals!J49)</f>
      </c>
      <c r="AF43" s="530">
        <f>IF(OR(8&gt;$B$3,ISBLANK(Actuals!J49)),"",'Reforecast Q1 2026'!J49-Actuals!J49)</f>
      </c>
      <c r="AG43" s="530">
        <f>IFERROR(IF(OR(8&gt;$B$3,ISBLANK(Actuals!J49)),"",('Reforecast Q1 2026'!J49-Actuals!J49)/ABS('Reforecast Q1 2026'!J49)),"")</f>
      </c>
      <c r="AH43" s="529">
        <f>'Reforecast Q1 2026'!K49</f>
        <v>-417.6</v>
      </c>
      <c r="AI43" s="529">
        <f>IF(OR(9&gt;$B$3,ISBLANK(Actuals!K49)),"",Actuals!K49)</f>
      </c>
      <c r="AJ43" s="530">
        <f>IF(OR(9&gt;$B$3,ISBLANK(Actuals!K49)),"",'Reforecast Q1 2026'!K49-Actuals!K49)</f>
      </c>
      <c r="AK43" s="530">
        <f>IFERROR(IF(OR(9&gt;$B$3,ISBLANK(Actuals!K49)),"",('Reforecast Q1 2026'!K49-Actuals!K49)/ABS('Reforecast Q1 2026'!K49)),"")</f>
      </c>
      <c r="AL43" s="529">
        <f>'Reforecast Q1 2026'!L49</f>
        <v>-417.6</v>
      </c>
      <c r="AM43" s="529">
        <f>IF(OR(10&gt;$B$3,ISBLANK(Actuals!L49)),"",Actuals!L49)</f>
      </c>
      <c r="AN43" s="530">
        <f>IF(OR(10&gt;$B$3,ISBLANK(Actuals!L49)),"",'Reforecast Q1 2026'!L49-Actuals!L49)</f>
      </c>
      <c r="AO43" s="530">
        <f>IFERROR(IF(OR(10&gt;$B$3,ISBLANK(Actuals!L49)),"",('Reforecast Q1 2026'!L49-Actuals!L49)/ABS('Reforecast Q1 2026'!L49)),"")</f>
      </c>
      <c r="AP43" s="529">
        <f>'Reforecast Q1 2026'!M49</f>
        <v>-417.6</v>
      </c>
      <c r="AQ43" s="529">
        <f>IF(OR(11&gt;$B$3,ISBLANK(Actuals!M49)),"",Actuals!M49)</f>
      </c>
      <c r="AR43" s="530">
        <f>IF(OR(11&gt;$B$3,ISBLANK(Actuals!M49)),"",'Reforecast Q1 2026'!M49-Actuals!M49)</f>
      </c>
      <c r="AS43" s="530">
        <f>IFERROR(IF(OR(11&gt;$B$3,ISBLANK(Actuals!M49)),"",('Reforecast Q1 2026'!M49-Actuals!M49)/ABS('Reforecast Q1 2026'!M49)),"")</f>
      </c>
      <c r="AT43" s="529">
        <f>'Reforecast Q1 2026'!N49</f>
        <v>-417.6</v>
      </c>
      <c r="AU43" s="529">
        <f>IF(OR(12&gt;$B$3,ISBLANK(Actuals!N49)),"",Actuals!N49)</f>
      </c>
      <c r="AV43" s="530">
        <f>IF(OR(12&gt;$B$3,ISBLANK(Actuals!N49)),"",'Reforecast Q1 2026'!N49-Actuals!N49)</f>
      </c>
      <c r="AW43" s="530">
        <f>IFERROR(IF(OR(12&gt;$B$3,ISBLANK(Actuals!N49)),"",('Reforecast Q1 2026'!N49-Actuals!N49)/ABS('Reforecast Q1 2026'!N49)),"")</f>
      </c>
      <c r="AX43" s="531">
        <f>SUMPRODUCT((Actuals!C49:N49&lt;&gt;"")*('Reforecast Q1 2026'!C49:N49))</f>
        <v>-2505.61</v>
      </c>
      <c r="AY43" s="531">
        <f>SUM(Actuals!C49:N49)</f>
        <v>-10453.31</v>
      </c>
      <c r="AZ43" s="532">
        <f>AX43-AY43</f>
        <v>7947.7</v>
      </c>
    </row>
    <row r="44" ht="15" customFormat="1" customHeight="1" s="381">
      <c r="A44" s="528" t="inlineStr">
        <is>
          <t>5900-1080 Bank Service Charges</t>
        </is>
      </c>
      <c r="B44" s="529">
        <f>'Reforecast Q1 2026'!C50</f>
        <v>0</v>
      </c>
      <c r="C44" s="529">
        <f>IF(OR(1&gt;$B$3,ISBLANK(Actuals!C50)),"",Actuals!C50)</f>
        <v>0</v>
      </c>
      <c r="D44" s="530">
        <f>IF(OR(1&gt;$B$3,ISBLANK(Actuals!C50)),"",'Reforecast Q1 2026'!C50-Actuals!C50)</f>
        <v>0</v>
      </c>
      <c r="E44" s="530">
        <f>IFERROR(IF(OR(1&gt;$B$3,ISBLANK(Actuals!C50)),"",('Reforecast Q1 2026'!C50-Actuals!C50)/ABS('Reforecast Q1 2026'!C50)),"")</f>
      </c>
      <c r="F44" s="529">
        <f>'Reforecast Q1 2026'!D50</f>
        <v>-75</v>
      </c>
      <c r="G44" s="529">
        <f>IF(OR(2&gt;$B$3,ISBLANK(Actuals!D50)),"",Actuals!D50)</f>
        <v>-75</v>
      </c>
      <c r="H44" s="530">
        <f>IF(OR(2&gt;$B$3,ISBLANK(Actuals!D50)),"",'Reforecast Q1 2026'!D50-Actuals!D50)</f>
        <v>0</v>
      </c>
      <c r="I44" s="530">
        <f>IFERROR(IF(OR(2&gt;$B$3,ISBLANK(Actuals!D50)),"",('Reforecast Q1 2026'!D50-Actuals!D50)/ABS('Reforecast Q1 2026'!D50)),"")</f>
        <v>0</v>
      </c>
      <c r="J44" s="529">
        <f>'Reforecast Q1 2026'!E50</f>
        <v>-5</v>
      </c>
      <c r="K44" s="529">
        <f>IF(OR(3&gt;$B$3,ISBLANK(Actuals!E50)),"",Actuals!E50)</f>
        <v>-5</v>
      </c>
      <c r="L44" s="530">
        <f>IF(OR(3&gt;$B$3,ISBLANK(Actuals!E50)),"",'Reforecast Q1 2026'!E50-Actuals!E50)</f>
        <v>0</v>
      </c>
      <c r="M44" s="530">
        <f>IFERROR(IF(OR(3&gt;$B$3,ISBLANK(Actuals!E50)),"",('Reforecast Q1 2026'!E50-Actuals!E50)/ABS('Reforecast Q1 2026'!E50)),"")</f>
        <v>0</v>
      </c>
      <c r="N44" s="529">
        <f>'Reforecast Q1 2026'!F50</f>
        <v>-26.67</v>
      </c>
      <c r="O44" s="529">
        <f>IF(OR(4&gt;$B$3,ISBLANK(Actuals!F50)),"",Actuals!F50)</f>
        <v>0</v>
      </c>
      <c r="P44" s="530">
        <f>IF(OR(4&gt;$B$3,ISBLANK(Actuals!F50)),"",'Reforecast Q1 2026'!F50-Actuals!F50)</f>
        <v>-26.67</v>
      </c>
      <c r="Q44" s="530">
        <f>IFERROR(IF(OR(4&gt;$B$3,ISBLANK(Actuals!F50)),"",('Reforecast Q1 2026'!F50-Actuals!F50)/ABS('Reforecast Q1 2026'!F50)),"")</f>
        <v>-1</v>
      </c>
      <c r="R44" s="529">
        <f>'Reforecast Q1 2026'!G50</f>
        <v>-26.67</v>
      </c>
      <c r="S44" s="529">
        <f>IF(OR(5&gt;$B$3,ISBLANK(Actuals!G50)),"",Actuals!G50)</f>
        <v>0</v>
      </c>
      <c r="T44" s="530">
        <f>IF(OR(5&gt;$B$3,ISBLANK(Actuals!G50)),"",'Reforecast Q1 2026'!G50-Actuals!G50)</f>
        <v>-26.67</v>
      </c>
      <c r="U44" s="530">
        <f>IFERROR(IF(OR(5&gt;$B$3,ISBLANK(Actuals!G50)),"",('Reforecast Q1 2026'!G50-Actuals!G50)/ABS('Reforecast Q1 2026'!G50)),"")</f>
        <v>-1</v>
      </c>
      <c r="V44" s="529">
        <f>'Reforecast Q1 2026'!H50</f>
        <v>-26.67</v>
      </c>
      <c r="W44" s="529">
        <f>IF(OR(6&gt;$B$3,ISBLANK(Actuals!H50)),"",Actuals!H50)</f>
        <v>0</v>
      </c>
      <c r="X44" s="530">
        <f>IF(OR(6&gt;$B$3,ISBLANK(Actuals!H50)),"",'Reforecast Q1 2026'!H50-Actuals!H50)</f>
        <v>-26.67</v>
      </c>
      <c r="Y44" s="530">
        <f>IFERROR(IF(OR(6&gt;$B$3,ISBLANK(Actuals!H50)),"",('Reforecast Q1 2026'!H50-Actuals!H50)/ABS('Reforecast Q1 2026'!H50)),"")</f>
        <v>-1</v>
      </c>
      <c r="Z44" s="529">
        <f>'Reforecast Q1 2026'!I50</f>
        <v>-26.67</v>
      </c>
      <c r="AA44" s="529">
        <f>IF(OR(7&gt;$B$3,ISBLANK(Actuals!I50)),"",Actuals!I50)</f>
      </c>
      <c r="AB44" s="530">
        <f>IF(OR(7&gt;$B$3,ISBLANK(Actuals!I50)),"",'Reforecast Q1 2026'!I50-Actuals!I50)</f>
      </c>
      <c r="AC44" s="530">
        <f>IFERROR(IF(OR(7&gt;$B$3,ISBLANK(Actuals!I50)),"",('Reforecast Q1 2026'!I50-Actuals!I50)/ABS('Reforecast Q1 2026'!I50)),"")</f>
      </c>
      <c r="AD44" s="529">
        <f>'Reforecast Q1 2026'!J50</f>
        <v>-26.67</v>
      </c>
      <c r="AE44" s="529">
        <f>IF(OR(8&gt;$B$3,ISBLANK(Actuals!J50)),"",Actuals!J50)</f>
      </c>
      <c r="AF44" s="530">
        <f>IF(OR(8&gt;$B$3,ISBLANK(Actuals!J50)),"",'Reforecast Q1 2026'!J50-Actuals!J50)</f>
      </c>
      <c r="AG44" s="530">
        <f>IFERROR(IF(OR(8&gt;$B$3,ISBLANK(Actuals!J50)),"",('Reforecast Q1 2026'!J50-Actuals!J50)/ABS('Reforecast Q1 2026'!J50)),"")</f>
      </c>
      <c r="AH44" s="529">
        <f>'Reforecast Q1 2026'!K50</f>
        <v>-26.67</v>
      </c>
      <c r="AI44" s="529">
        <f>IF(OR(9&gt;$B$3,ISBLANK(Actuals!K50)),"",Actuals!K50)</f>
      </c>
      <c r="AJ44" s="530">
        <f>IF(OR(9&gt;$B$3,ISBLANK(Actuals!K50)),"",'Reforecast Q1 2026'!K50-Actuals!K50)</f>
      </c>
      <c r="AK44" s="530">
        <f>IFERROR(IF(OR(9&gt;$B$3,ISBLANK(Actuals!K50)),"",('Reforecast Q1 2026'!K50-Actuals!K50)/ABS('Reforecast Q1 2026'!K50)),"")</f>
      </c>
      <c r="AL44" s="529">
        <f>'Reforecast Q1 2026'!L50</f>
        <v>-26.67</v>
      </c>
      <c r="AM44" s="529">
        <f>IF(OR(10&gt;$B$3,ISBLANK(Actuals!L50)),"",Actuals!L50)</f>
      </c>
      <c r="AN44" s="530">
        <f>IF(OR(10&gt;$B$3,ISBLANK(Actuals!L50)),"",'Reforecast Q1 2026'!L50-Actuals!L50)</f>
      </c>
      <c r="AO44" s="530">
        <f>IFERROR(IF(OR(10&gt;$B$3,ISBLANK(Actuals!L50)),"",('Reforecast Q1 2026'!L50-Actuals!L50)/ABS('Reforecast Q1 2026'!L50)),"")</f>
      </c>
      <c r="AP44" s="529">
        <f>'Reforecast Q1 2026'!M50</f>
        <v>-26.67</v>
      </c>
      <c r="AQ44" s="529">
        <f>IF(OR(11&gt;$B$3,ISBLANK(Actuals!M50)),"",Actuals!M50)</f>
      </c>
      <c r="AR44" s="530">
        <f>IF(OR(11&gt;$B$3,ISBLANK(Actuals!M50)),"",'Reforecast Q1 2026'!M50-Actuals!M50)</f>
      </c>
      <c r="AS44" s="530">
        <f>IFERROR(IF(OR(11&gt;$B$3,ISBLANK(Actuals!M50)),"",('Reforecast Q1 2026'!M50-Actuals!M50)/ABS('Reforecast Q1 2026'!M50)),"")</f>
      </c>
      <c r="AT44" s="529">
        <f>'Reforecast Q1 2026'!N50</f>
        <v>-26.67</v>
      </c>
      <c r="AU44" s="529">
        <f>IF(OR(12&gt;$B$3,ISBLANK(Actuals!N50)),"",Actuals!N50)</f>
      </c>
      <c r="AV44" s="530">
        <f>IF(OR(12&gt;$B$3,ISBLANK(Actuals!N50)),"",'Reforecast Q1 2026'!N50-Actuals!N50)</f>
      </c>
      <c r="AW44" s="530">
        <f>IFERROR(IF(OR(12&gt;$B$3,ISBLANK(Actuals!N50)),"",('Reforecast Q1 2026'!N50-Actuals!N50)/ABS('Reforecast Q1 2026'!N50)),"")</f>
      </c>
      <c r="AX44" s="531">
        <f>SUMPRODUCT((Actuals!C50:N50&lt;&gt;"")*('Reforecast Q1 2026'!C50:N50))</f>
        <v>-160.01</v>
      </c>
      <c r="AY44" s="531">
        <f>SUM(Actuals!C50:N50)</f>
        <v>-80</v>
      </c>
      <c r="AZ44" s="532">
        <f>AX44-AY44</f>
        <v>-80.01</v>
      </c>
    </row>
    <row r="45" ht="15" customFormat="1" customHeight="1" s="381">
      <c r="A45" s="528" t="inlineStr">
        <is>
          <t>5900-3000 Charitable Contribution</t>
        </is>
      </c>
      <c r="B45" s="529">
        <f>'Reforecast Q1 2026'!C51</f>
        <v>0</v>
      </c>
      <c r="C45" s="529">
        <f>IF(OR(1&gt;$B$3,ISBLANK(Actuals!C51)),"",Actuals!C51)</f>
        <v>0</v>
      </c>
      <c r="D45" s="530">
        <f>IF(OR(1&gt;$B$3,ISBLANK(Actuals!C51)),"",'Reforecast Q1 2026'!C51-Actuals!C51)</f>
        <v>0</v>
      </c>
      <c r="E45" s="530">
        <f>IFERROR(IF(OR(1&gt;$B$3,ISBLANK(Actuals!C51)),"",('Reforecast Q1 2026'!C51-Actuals!C51)/ABS('Reforecast Q1 2026'!C51)),"")</f>
      </c>
      <c r="F45" s="529">
        <f>'Reforecast Q1 2026'!D51</f>
        <v>-63</v>
      </c>
      <c r="G45" s="529">
        <f>IF(OR(2&gt;$B$3,ISBLANK(Actuals!D51)),"",Actuals!D51)</f>
        <v>-63</v>
      </c>
      <c r="H45" s="530">
        <f>IF(OR(2&gt;$B$3,ISBLANK(Actuals!D51)),"",'Reforecast Q1 2026'!D51-Actuals!D51)</f>
        <v>0</v>
      </c>
      <c r="I45" s="530">
        <f>IFERROR(IF(OR(2&gt;$B$3,ISBLANK(Actuals!D51)),"",('Reforecast Q1 2026'!D51-Actuals!D51)/ABS('Reforecast Q1 2026'!D51)),"")</f>
        <v>0</v>
      </c>
      <c r="J45" s="529">
        <f>'Reforecast Q1 2026'!E51</f>
        <v>0</v>
      </c>
      <c r="K45" s="529">
        <f>IF(OR(3&gt;$B$3,ISBLANK(Actuals!E51)),"",Actuals!E51)</f>
        <v>0</v>
      </c>
      <c r="L45" s="530">
        <f>IF(OR(3&gt;$B$3,ISBLANK(Actuals!E51)),"",'Reforecast Q1 2026'!E51-Actuals!E51)</f>
        <v>0</v>
      </c>
      <c r="M45" s="530">
        <f>IFERROR(IF(OR(3&gt;$B$3,ISBLANK(Actuals!E51)),"",('Reforecast Q1 2026'!E51-Actuals!E51)/ABS('Reforecast Q1 2026'!E51)),"")</f>
      </c>
      <c r="N45" s="529">
        <f>'Reforecast Q1 2026'!F51</f>
        <v>-21</v>
      </c>
      <c r="O45" s="529">
        <f>IF(OR(4&gt;$B$3,ISBLANK(Actuals!F51)),"",Actuals!F51)</f>
        <v>0</v>
      </c>
      <c r="P45" s="530">
        <f>IF(OR(4&gt;$B$3,ISBLANK(Actuals!F51)),"",'Reforecast Q1 2026'!F51-Actuals!F51)</f>
        <v>-21</v>
      </c>
      <c r="Q45" s="530">
        <f>IFERROR(IF(OR(4&gt;$B$3,ISBLANK(Actuals!F51)),"",('Reforecast Q1 2026'!F51-Actuals!F51)/ABS('Reforecast Q1 2026'!F51)),"")</f>
        <v>-1</v>
      </c>
      <c r="R45" s="529">
        <f>'Reforecast Q1 2026'!G51</f>
        <v>-21</v>
      </c>
      <c r="S45" s="529">
        <f>IF(OR(5&gt;$B$3,ISBLANK(Actuals!G51)),"",Actuals!G51)</f>
        <v>0</v>
      </c>
      <c r="T45" s="530">
        <f>IF(OR(5&gt;$B$3,ISBLANK(Actuals!G51)),"",'Reforecast Q1 2026'!G51-Actuals!G51)</f>
        <v>-21</v>
      </c>
      <c r="U45" s="530">
        <f>IFERROR(IF(OR(5&gt;$B$3,ISBLANK(Actuals!G51)),"",('Reforecast Q1 2026'!G51-Actuals!G51)/ABS('Reforecast Q1 2026'!G51)),"")</f>
        <v>-1</v>
      </c>
      <c r="V45" s="529">
        <f>'Reforecast Q1 2026'!H51</f>
        <v>-21</v>
      </c>
      <c r="W45" s="529">
        <f>IF(OR(6&gt;$B$3,ISBLANK(Actuals!H51)),"",Actuals!H51)</f>
        <v>0</v>
      </c>
      <c r="X45" s="530">
        <f>IF(OR(6&gt;$B$3,ISBLANK(Actuals!H51)),"",'Reforecast Q1 2026'!H51-Actuals!H51)</f>
        <v>-21</v>
      </c>
      <c r="Y45" s="530">
        <f>IFERROR(IF(OR(6&gt;$B$3,ISBLANK(Actuals!H51)),"",('Reforecast Q1 2026'!H51-Actuals!H51)/ABS('Reforecast Q1 2026'!H51)),"")</f>
        <v>-1</v>
      </c>
      <c r="Z45" s="529">
        <f>'Reforecast Q1 2026'!I51</f>
        <v>-21</v>
      </c>
      <c r="AA45" s="529">
        <f>IF(OR(7&gt;$B$3,ISBLANK(Actuals!I51)),"",Actuals!I51)</f>
      </c>
      <c r="AB45" s="530">
        <f>IF(OR(7&gt;$B$3,ISBLANK(Actuals!I51)),"",'Reforecast Q1 2026'!I51-Actuals!I51)</f>
      </c>
      <c r="AC45" s="530">
        <f>IFERROR(IF(OR(7&gt;$B$3,ISBLANK(Actuals!I51)),"",('Reforecast Q1 2026'!I51-Actuals!I51)/ABS('Reforecast Q1 2026'!I51)),"")</f>
      </c>
      <c r="AD45" s="529">
        <f>'Reforecast Q1 2026'!J51</f>
        <v>-21</v>
      </c>
      <c r="AE45" s="529">
        <f>IF(OR(8&gt;$B$3,ISBLANK(Actuals!J51)),"",Actuals!J51)</f>
      </c>
      <c r="AF45" s="530">
        <f>IF(OR(8&gt;$B$3,ISBLANK(Actuals!J51)),"",'Reforecast Q1 2026'!J51-Actuals!J51)</f>
      </c>
      <c r="AG45" s="530">
        <f>IFERROR(IF(OR(8&gt;$B$3,ISBLANK(Actuals!J51)),"",('Reforecast Q1 2026'!J51-Actuals!J51)/ABS('Reforecast Q1 2026'!J51)),"")</f>
      </c>
      <c r="AH45" s="529">
        <f>'Reforecast Q1 2026'!K51</f>
        <v>-21</v>
      </c>
      <c r="AI45" s="529">
        <f>IF(OR(9&gt;$B$3,ISBLANK(Actuals!K51)),"",Actuals!K51)</f>
      </c>
      <c r="AJ45" s="530">
        <f>IF(OR(9&gt;$B$3,ISBLANK(Actuals!K51)),"",'Reforecast Q1 2026'!K51-Actuals!K51)</f>
      </c>
      <c r="AK45" s="530">
        <f>IFERROR(IF(OR(9&gt;$B$3,ISBLANK(Actuals!K51)),"",('Reforecast Q1 2026'!K51-Actuals!K51)/ABS('Reforecast Q1 2026'!K51)),"")</f>
      </c>
      <c r="AL45" s="529">
        <f>'Reforecast Q1 2026'!L51</f>
        <v>-21</v>
      </c>
      <c r="AM45" s="529">
        <f>IF(OR(10&gt;$B$3,ISBLANK(Actuals!L51)),"",Actuals!L51)</f>
      </c>
      <c r="AN45" s="530">
        <f>IF(OR(10&gt;$B$3,ISBLANK(Actuals!L51)),"",'Reforecast Q1 2026'!L51-Actuals!L51)</f>
      </c>
      <c r="AO45" s="530">
        <f>IFERROR(IF(OR(10&gt;$B$3,ISBLANK(Actuals!L51)),"",('Reforecast Q1 2026'!L51-Actuals!L51)/ABS('Reforecast Q1 2026'!L51)),"")</f>
      </c>
      <c r="AP45" s="529">
        <f>'Reforecast Q1 2026'!M51</f>
        <v>-21</v>
      </c>
      <c r="AQ45" s="529">
        <f>IF(OR(11&gt;$B$3,ISBLANK(Actuals!M51)),"",Actuals!M51)</f>
      </c>
      <c r="AR45" s="530">
        <f>IF(OR(11&gt;$B$3,ISBLANK(Actuals!M51)),"",'Reforecast Q1 2026'!M51-Actuals!M51)</f>
      </c>
      <c r="AS45" s="530">
        <f>IFERROR(IF(OR(11&gt;$B$3,ISBLANK(Actuals!M51)),"",('Reforecast Q1 2026'!M51-Actuals!M51)/ABS('Reforecast Q1 2026'!M51)),"")</f>
      </c>
      <c r="AT45" s="529">
        <f>'Reforecast Q1 2026'!N51</f>
        <v>-21</v>
      </c>
      <c r="AU45" s="529">
        <f>IF(OR(12&gt;$B$3,ISBLANK(Actuals!N51)),"",Actuals!N51)</f>
      </c>
      <c r="AV45" s="530">
        <f>IF(OR(12&gt;$B$3,ISBLANK(Actuals!N51)),"",'Reforecast Q1 2026'!N51-Actuals!N51)</f>
      </c>
      <c r="AW45" s="530">
        <f>IFERROR(IF(OR(12&gt;$B$3,ISBLANK(Actuals!N51)),"",('Reforecast Q1 2026'!N51-Actuals!N51)/ABS('Reforecast Q1 2026'!N51)),"")</f>
      </c>
      <c r="AX45" s="531">
        <f>SUMPRODUCT((Actuals!C51:N51&lt;&gt;"")*('Reforecast Q1 2026'!C51:N51))</f>
        <v>-126</v>
      </c>
      <c r="AY45" s="531">
        <f>SUM(Actuals!C51:N51)</f>
        <v>-63</v>
      </c>
      <c r="AZ45" s="532">
        <f>AX45-AY45</f>
        <v>-63</v>
      </c>
    </row>
    <row r="46" ht="15" customFormat="1" customHeight="1" s="381">
      <c r="A46" s="528" t="inlineStr">
        <is>
          <t>GC Placeholder — Future Cost A</t>
        </is>
      </c>
      <c r="B46" s="529">
        <f>'Reforecast Q1 2026'!C52</f>
        <v>0</v>
      </c>
      <c r="C46" s="529">
        <f>IF(OR(1&gt;$B$3,ISBLANK(Actuals!C52)),"",Actuals!C52)</f>
      </c>
      <c r="D46" s="530">
        <f>IF(OR(1&gt;$B$3,ISBLANK(Actuals!C52)),"",'Reforecast Q1 2026'!C52-Actuals!C52)</f>
      </c>
      <c r="E46" s="530">
        <f>IFERROR(IF(OR(1&gt;$B$3,ISBLANK(Actuals!C52)),"",('Reforecast Q1 2026'!C52-Actuals!C52)/ABS('Reforecast Q1 2026'!C52)),"")</f>
      </c>
      <c r="F46" s="529">
        <f>'Reforecast Q1 2026'!D52</f>
        <v>0</v>
      </c>
      <c r="G46" s="529">
        <f>IF(OR(2&gt;$B$3,ISBLANK(Actuals!D52)),"",Actuals!D52)</f>
      </c>
      <c r="H46" s="530">
        <f>IF(OR(2&gt;$B$3,ISBLANK(Actuals!D52)),"",'Reforecast Q1 2026'!D52-Actuals!D52)</f>
      </c>
      <c r="I46" s="530">
        <f>IFERROR(IF(OR(2&gt;$B$3,ISBLANK(Actuals!D52)),"",('Reforecast Q1 2026'!D52-Actuals!D52)/ABS('Reforecast Q1 2026'!D52)),"")</f>
      </c>
      <c r="J46" s="529">
        <f>'Reforecast Q1 2026'!E52</f>
        <v>0</v>
      </c>
      <c r="K46" s="529">
        <f>IF(OR(3&gt;$B$3,ISBLANK(Actuals!E52)),"",Actuals!E52)</f>
      </c>
      <c r="L46" s="530">
        <f>IF(OR(3&gt;$B$3,ISBLANK(Actuals!E52)),"",'Reforecast Q1 2026'!E52-Actuals!E52)</f>
      </c>
      <c r="M46" s="530">
        <f>IFERROR(IF(OR(3&gt;$B$3,ISBLANK(Actuals!E52)),"",('Reforecast Q1 2026'!E52-Actuals!E52)/ABS('Reforecast Q1 2026'!E52)),"")</f>
      </c>
      <c r="N46" s="529">
        <f>'Reforecast Q1 2026'!F52</f>
        <v>0</v>
      </c>
      <c r="O46" s="529">
        <f>IF(OR(4&gt;$B$3,ISBLANK(Actuals!F52)),"",Actuals!F52)</f>
      </c>
      <c r="P46" s="530">
        <f>IF(OR(4&gt;$B$3,ISBLANK(Actuals!F52)),"",'Reforecast Q1 2026'!F52-Actuals!F52)</f>
      </c>
      <c r="Q46" s="530">
        <f>IFERROR(IF(OR(4&gt;$B$3,ISBLANK(Actuals!F52)),"",('Reforecast Q1 2026'!F52-Actuals!F52)/ABS('Reforecast Q1 2026'!F52)),"")</f>
      </c>
      <c r="R46" s="529">
        <f>'Reforecast Q1 2026'!G52</f>
        <v>0</v>
      </c>
      <c r="S46" s="529">
        <f>IF(OR(5&gt;$B$3,ISBLANK(Actuals!G52)),"",Actuals!G52)</f>
      </c>
      <c r="T46" s="530">
        <f>IF(OR(5&gt;$B$3,ISBLANK(Actuals!G52)),"",'Reforecast Q1 2026'!G52-Actuals!G52)</f>
      </c>
      <c r="U46" s="530">
        <f>IFERROR(IF(OR(5&gt;$B$3,ISBLANK(Actuals!G52)),"",('Reforecast Q1 2026'!G52-Actuals!G52)/ABS('Reforecast Q1 2026'!G52)),"")</f>
      </c>
      <c r="V46" s="529">
        <f>'Reforecast Q1 2026'!H52</f>
        <v>0</v>
      </c>
      <c r="W46" s="529">
        <f>IF(OR(6&gt;$B$3,ISBLANK(Actuals!H52)),"",Actuals!H52)</f>
      </c>
      <c r="X46" s="530">
        <f>IF(OR(6&gt;$B$3,ISBLANK(Actuals!H52)),"",'Reforecast Q1 2026'!H52-Actuals!H52)</f>
      </c>
      <c r="Y46" s="530">
        <f>IFERROR(IF(OR(6&gt;$B$3,ISBLANK(Actuals!H52)),"",('Reforecast Q1 2026'!H52-Actuals!H52)/ABS('Reforecast Q1 2026'!H52)),"")</f>
      </c>
      <c r="Z46" s="529">
        <f>'Reforecast Q1 2026'!I52</f>
        <v>0</v>
      </c>
      <c r="AA46" s="529">
        <f>IF(OR(7&gt;$B$3,ISBLANK(Actuals!I52)),"",Actuals!I52)</f>
      </c>
      <c r="AB46" s="530">
        <f>IF(OR(7&gt;$B$3,ISBLANK(Actuals!I52)),"",'Reforecast Q1 2026'!I52-Actuals!I52)</f>
      </c>
      <c r="AC46" s="530">
        <f>IFERROR(IF(OR(7&gt;$B$3,ISBLANK(Actuals!I52)),"",('Reforecast Q1 2026'!I52-Actuals!I52)/ABS('Reforecast Q1 2026'!I52)),"")</f>
      </c>
      <c r="AD46" s="529">
        <f>'Reforecast Q1 2026'!J52</f>
        <v>0</v>
      </c>
      <c r="AE46" s="529">
        <f>IF(OR(8&gt;$B$3,ISBLANK(Actuals!J52)),"",Actuals!J52)</f>
      </c>
      <c r="AF46" s="530">
        <f>IF(OR(8&gt;$B$3,ISBLANK(Actuals!J52)),"",'Reforecast Q1 2026'!J52-Actuals!J52)</f>
      </c>
      <c r="AG46" s="530">
        <f>IFERROR(IF(OR(8&gt;$B$3,ISBLANK(Actuals!J52)),"",('Reforecast Q1 2026'!J52-Actuals!J52)/ABS('Reforecast Q1 2026'!J52)),"")</f>
      </c>
      <c r="AH46" s="529">
        <f>'Reforecast Q1 2026'!K52</f>
        <v>0</v>
      </c>
      <c r="AI46" s="529">
        <f>IF(OR(9&gt;$B$3,ISBLANK(Actuals!K52)),"",Actuals!K52)</f>
      </c>
      <c r="AJ46" s="530">
        <f>IF(OR(9&gt;$B$3,ISBLANK(Actuals!K52)),"",'Reforecast Q1 2026'!K52-Actuals!K52)</f>
      </c>
      <c r="AK46" s="530">
        <f>IFERROR(IF(OR(9&gt;$B$3,ISBLANK(Actuals!K52)),"",('Reforecast Q1 2026'!K52-Actuals!K52)/ABS('Reforecast Q1 2026'!K52)),"")</f>
      </c>
      <c r="AL46" s="529">
        <f>'Reforecast Q1 2026'!L52</f>
        <v>0</v>
      </c>
      <c r="AM46" s="529">
        <f>IF(OR(10&gt;$B$3,ISBLANK(Actuals!L52)),"",Actuals!L52)</f>
      </c>
      <c r="AN46" s="530">
        <f>IF(OR(10&gt;$B$3,ISBLANK(Actuals!L52)),"",'Reforecast Q1 2026'!L52-Actuals!L52)</f>
      </c>
      <c r="AO46" s="530">
        <f>IFERROR(IF(OR(10&gt;$B$3,ISBLANK(Actuals!L52)),"",('Reforecast Q1 2026'!L52-Actuals!L52)/ABS('Reforecast Q1 2026'!L52)),"")</f>
      </c>
      <c r="AP46" s="529">
        <f>'Reforecast Q1 2026'!M52</f>
        <v>0</v>
      </c>
      <c r="AQ46" s="529">
        <f>IF(OR(11&gt;$B$3,ISBLANK(Actuals!M52)),"",Actuals!M52)</f>
      </c>
      <c r="AR46" s="530">
        <f>IF(OR(11&gt;$B$3,ISBLANK(Actuals!M52)),"",'Reforecast Q1 2026'!M52-Actuals!M52)</f>
      </c>
      <c r="AS46" s="530">
        <f>IFERROR(IF(OR(11&gt;$B$3,ISBLANK(Actuals!M52)),"",('Reforecast Q1 2026'!M52-Actuals!M52)/ABS('Reforecast Q1 2026'!M52)),"")</f>
      </c>
      <c r="AT46" s="529">
        <f>'Reforecast Q1 2026'!N52</f>
        <v>0</v>
      </c>
      <c r="AU46" s="529">
        <f>IF(OR(12&gt;$B$3,ISBLANK(Actuals!N52)),"",Actuals!N52)</f>
      </c>
      <c r="AV46" s="530">
        <f>IF(OR(12&gt;$B$3,ISBLANK(Actuals!N52)),"",'Reforecast Q1 2026'!N52-Actuals!N52)</f>
      </c>
      <c r="AW46" s="530">
        <f>IFERROR(IF(OR(12&gt;$B$3,ISBLANK(Actuals!N52)),"",('Reforecast Q1 2026'!N52-Actuals!N52)/ABS('Reforecast Q1 2026'!N52)),"")</f>
      </c>
      <c r="AX46" s="531">
        <f>SUMPRODUCT((Actuals!C52:N52&lt;&gt;"")*('Reforecast Q1 2026'!C52:N52))</f>
        <v>0</v>
      </c>
      <c r="AY46" s="531">
        <f>SUM(Actuals!C52:N52)</f>
        <v>0</v>
      </c>
      <c r="AZ46" s="532">
        <f>AX46-AY46</f>
        <v>0</v>
      </c>
    </row>
    <row r="47" ht="15" customFormat="1" customHeight="1" s="381">
      <c r="A47" s="528" t="inlineStr">
        <is>
          <t>8200-2000 State Tax and Fees</t>
        </is>
      </c>
      <c r="B47" s="529">
        <f>'Reforecast Q1 2026'!C53</f>
        <v>0</v>
      </c>
      <c r="C47" s="529">
        <f>IF(OR(1&gt;$B$3,ISBLANK(Actuals!C53)),"",Actuals!C53)</f>
        <v>0</v>
      </c>
      <c r="D47" s="530">
        <f>IF(OR(1&gt;$B$3,ISBLANK(Actuals!C53)),"",'Reforecast Q1 2026'!C53-Actuals!C53)</f>
        <v>0</v>
      </c>
      <c r="E47" s="530">
        <f>IFERROR(IF(OR(1&gt;$B$3,ISBLANK(Actuals!C53)),"",('Reforecast Q1 2026'!C53-Actuals!C53)/ABS('Reforecast Q1 2026'!C53)),"")</f>
      </c>
      <c r="F47" s="529">
        <f>'Reforecast Q1 2026'!D53</f>
        <v>0</v>
      </c>
      <c r="G47" s="529">
        <f>IF(OR(2&gt;$B$3,ISBLANK(Actuals!D53)),"",Actuals!D53)</f>
        <v>0</v>
      </c>
      <c r="H47" s="530">
        <f>IF(OR(2&gt;$B$3,ISBLANK(Actuals!D53)),"",'Reforecast Q1 2026'!D53-Actuals!D53)</f>
        <v>0</v>
      </c>
      <c r="I47" s="530">
        <f>IFERROR(IF(OR(2&gt;$B$3,ISBLANK(Actuals!D53)),"",('Reforecast Q1 2026'!D53-Actuals!D53)/ABS('Reforecast Q1 2026'!D53)),"")</f>
      </c>
      <c r="J47" s="529">
        <f>'Reforecast Q1 2026'!E53</f>
        <v>-11105.35</v>
      </c>
      <c r="K47" s="529">
        <f>IF(OR(3&gt;$B$3,ISBLANK(Actuals!E53)),"",Actuals!E53)</f>
        <v>-11105.35</v>
      </c>
      <c r="L47" s="530">
        <f>IF(OR(3&gt;$B$3,ISBLANK(Actuals!E53)),"",'Reforecast Q1 2026'!E53-Actuals!E53)</f>
        <v>0</v>
      </c>
      <c r="M47" s="530">
        <f>IFERROR(IF(OR(3&gt;$B$3,ISBLANK(Actuals!E53)),"",('Reforecast Q1 2026'!E53-Actuals!E53)/ABS('Reforecast Q1 2026'!E53)),"")</f>
        <v>0</v>
      </c>
      <c r="N47" s="529">
        <f>'Reforecast Q1 2026'!F53</f>
        <v>-3701.78</v>
      </c>
      <c r="O47" s="529">
        <f>IF(OR(4&gt;$B$3,ISBLANK(Actuals!F53)),"",Actuals!F53)</f>
        <v>0</v>
      </c>
      <c r="P47" s="530">
        <f>IF(OR(4&gt;$B$3,ISBLANK(Actuals!F53)),"",'Reforecast Q1 2026'!F53-Actuals!F53)</f>
        <v>-3701.78</v>
      </c>
      <c r="Q47" s="530">
        <f>IFERROR(IF(OR(4&gt;$B$3,ISBLANK(Actuals!F53)),"",('Reforecast Q1 2026'!F53-Actuals!F53)/ABS('Reforecast Q1 2026'!F53)),"")</f>
        <v>-1</v>
      </c>
      <c r="R47" s="529">
        <f>'Reforecast Q1 2026'!G53</f>
        <v>-3701.78</v>
      </c>
      <c r="S47" s="529">
        <f>IF(OR(5&gt;$B$3,ISBLANK(Actuals!G53)),"",Actuals!G53)</f>
        <v>0</v>
      </c>
      <c r="T47" s="530">
        <f>IF(OR(5&gt;$B$3,ISBLANK(Actuals!G53)),"",'Reforecast Q1 2026'!G53-Actuals!G53)</f>
        <v>-3701.78</v>
      </c>
      <c r="U47" s="530">
        <f>IFERROR(IF(OR(5&gt;$B$3,ISBLANK(Actuals!G53)),"",('Reforecast Q1 2026'!G53-Actuals!G53)/ABS('Reforecast Q1 2026'!G53)),"")</f>
        <v>-1</v>
      </c>
      <c r="V47" s="529">
        <f>'Reforecast Q1 2026'!H53</f>
        <v>-3701.78</v>
      </c>
      <c r="W47" s="529">
        <f>IF(OR(6&gt;$B$3,ISBLANK(Actuals!H53)),"",Actuals!H53)</f>
        <v>0</v>
      </c>
      <c r="X47" s="530">
        <f>IF(OR(6&gt;$B$3,ISBLANK(Actuals!H53)),"",'Reforecast Q1 2026'!H53-Actuals!H53)</f>
        <v>-3701.78</v>
      </c>
      <c r="Y47" s="530">
        <f>IFERROR(IF(OR(6&gt;$B$3,ISBLANK(Actuals!H53)),"",('Reforecast Q1 2026'!H53-Actuals!H53)/ABS('Reforecast Q1 2026'!H53)),"")</f>
        <v>-1</v>
      </c>
      <c r="Z47" s="529">
        <f>'Reforecast Q1 2026'!I53</f>
        <v>-3701.78</v>
      </c>
      <c r="AA47" s="529">
        <f>IF(OR(7&gt;$B$3,ISBLANK(Actuals!I53)),"",Actuals!I53)</f>
      </c>
      <c r="AB47" s="530">
        <f>IF(OR(7&gt;$B$3,ISBLANK(Actuals!I53)),"",'Reforecast Q1 2026'!I53-Actuals!I53)</f>
      </c>
      <c r="AC47" s="530">
        <f>IFERROR(IF(OR(7&gt;$B$3,ISBLANK(Actuals!I53)),"",('Reforecast Q1 2026'!I53-Actuals!I53)/ABS('Reforecast Q1 2026'!I53)),"")</f>
      </c>
      <c r="AD47" s="529">
        <f>'Reforecast Q1 2026'!J53</f>
        <v>-3701.78</v>
      </c>
      <c r="AE47" s="529">
        <f>IF(OR(8&gt;$B$3,ISBLANK(Actuals!J53)),"",Actuals!J53)</f>
      </c>
      <c r="AF47" s="530">
        <f>IF(OR(8&gt;$B$3,ISBLANK(Actuals!J53)),"",'Reforecast Q1 2026'!J53-Actuals!J53)</f>
      </c>
      <c r="AG47" s="530">
        <f>IFERROR(IF(OR(8&gt;$B$3,ISBLANK(Actuals!J53)),"",('Reforecast Q1 2026'!J53-Actuals!J53)/ABS('Reforecast Q1 2026'!J53)),"")</f>
      </c>
      <c r="AH47" s="529">
        <f>'Reforecast Q1 2026'!K53</f>
        <v>-3701.78</v>
      </c>
      <c r="AI47" s="529">
        <f>IF(OR(9&gt;$B$3,ISBLANK(Actuals!K53)),"",Actuals!K53)</f>
      </c>
      <c r="AJ47" s="530">
        <f>IF(OR(9&gt;$B$3,ISBLANK(Actuals!K53)),"",'Reforecast Q1 2026'!K53-Actuals!K53)</f>
      </c>
      <c r="AK47" s="530">
        <f>IFERROR(IF(OR(9&gt;$B$3,ISBLANK(Actuals!K53)),"",('Reforecast Q1 2026'!K53-Actuals!K53)/ABS('Reforecast Q1 2026'!K53)),"")</f>
      </c>
      <c r="AL47" s="529">
        <f>'Reforecast Q1 2026'!L53</f>
        <v>-3701.78</v>
      </c>
      <c r="AM47" s="529">
        <f>IF(OR(10&gt;$B$3,ISBLANK(Actuals!L53)),"",Actuals!L53)</f>
      </c>
      <c r="AN47" s="530">
        <f>IF(OR(10&gt;$B$3,ISBLANK(Actuals!L53)),"",'Reforecast Q1 2026'!L53-Actuals!L53)</f>
      </c>
      <c r="AO47" s="530">
        <f>IFERROR(IF(OR(10&gt;$B$3,ISBLANK(Actuals!L53)),"",('Reforecast Q1 2026'!L53-Actuals!L53)/ABS('Reforecast Q1 2026'!L53)),"")</f>
      </c>
      <c r="AP47" s="529">
        <f>'Reforecast Q1 2026'!M53</f>
        <v>-3701.78</v>
      </c>
      <c r="AQ47" s="529">
        <f>IF(OR(11&gt;$B$3,ISBLANK(Actuals!M53)),"",Actuals!M53)</f>
      </c>
      <c r="AR47" s="530">
        <f>IF(OR(11&gt;$B$3,ISBLANK(Actuals!M53)),"",'Reforecast Q1 2026'!M53-Actuals!M53)</f>
      </c>
      <c r="AS47" s="530">
        <f>IFERROR(IF(OR(11&gt;$B$3,ISBLANK(Actuals!M53)),"",('Reforecast Q1 2026'!M53-Actuals!M53)/ABS('Reforecast Q1 2026'!M53)),"")</f>
      </c>
      <c r="AT47" s="529">
        <f>'Reforecast Q1 2026'!N53</f>
        <v>-3701.78</v>
      </c>
      <c r="AU47" s="529">
        <f>IF(OR(12&gt;$B$3,ISBLANK(Actuals!N53)),"",Actuals!N53)</f>
      </c>
      <c r="AV47" s="530">
        <f>IF(OR(12&gt;$B$3,ISBLANK(Actuals!N53)),"",'Reforecast Q1 2026'!N53-Actuals!N53)</f>
      </c>
      <c r="AW47" s="530">
        <f>IFERROR(IF(OR(12&gt;$B$3,ISBLANK(Actuals!N53)),"",('Reforecast Q1 2026'!N53-Actuals!N53)/ABS('Reforecast Q1 2026'!N53)),"")</f>
      </c>
      <c r="AX47" s="531">
        <f>SUMPRODUCT((Actuals!C53:N53&lt;&gt;"")*('Reforecast Q1 2026'!C53:N53))</f>
        <v>-22210.69</v>
      </c>
      <c r="AY47" s="531">
        <f>SUM(Actuals!C53:N53)</f>
        <v>-11105.35</v>
      </c>
      <c r="AZ47" s="532">
        <f>AX47-AY47</f>
        <v>-11105.34</v>
      </c>
    </row>
    <row r="48" ht="15" customFormat="1" customHeight="1" s="381">
      <c r="A48" s="528" t="inlineStr">
        <is>
          <t>GC Placeholder — Future Cost C</t>
        </is>
      </c>
      <c r="B48" s="529">
        <f>'Reforecast Q1 2026'!C54</f>
        <v>0</v>
      </c>
      <c r="C48" s="529">
        <f>IF(OR(1&gt;$B$3,ISBLANK(Actuals!C54)),"",Actuals!C54)</f>
      </c>
      <c r="D48" s="530">
        <f>IF(OR(1&gt;$B$3,ISBLANK(Actuals!C54)),"",'Reforecast Q1 2026'!C54-Actuals!C54)</f>
      </c>
      <c r="E48" s="530">
        <f>IFERROR(IF(OR(1&gt;$B$3,ISBLANK(Actuals!C54)),"",('Reforecast Q1 2026'!C54-Actuals!C54)/ABS('Reforecast Q1 2026'!C54)),"")</f>
      </c>
      <c r="F48" s="529">
        <f>'Reforecast Q1 2026'!D54</f>
        <v>0</v>
      </c>
      <c r="G48" s="529">
        <f>IF(OR(2&gt;$B$3,ISBLANK(Actuals!D54)),"",Actuals!D54)</f>
      </c>
      <c r="H48" s="530">
        <f>IF(OR(2&gt;$B$3,ISBLANK(Actuals!D54)),"",'Reforecast Q1 2026'!D54-Actuals!D54)</f>
      </c>
      <c r="I48" s="530">
        <f>IFERROR(IF(OR(2&gt;$B$3,ISBLANK(Actuals!D54)),"",('Reforecast Q1 2026'!D54-Actuals!D54)/ABS('Reforecast Q1 2026'!D54)),"")</f>
      </c>
      <c r="J48" s="529">
        <f>'Reforecast Q1 2026'!E54</f>
        <v>0</v>
      </c>
      <c r="K48" s="529">
        <f>IF(OR(3&gt;$B$3,ISBLANK(Actuals!E54)),"",Actuals!E54)</f>
      </c>
      <c r="L48" s="530">
        <f>IF(OR(3&gt;$B$3,ISBLANK(Actuals!E54)),"",'Reforecast Q1 2026'!E54-Actuals!E54)</f>
      </c>
      <c r="M48" s="530">
        <f>IFERROR(IF(OR(3&gt;$B$3,ISBLANK(Actuals!E54)),"",('Reforecast Q1 2026'!E54-Actuals!E54)/ABS('Reforecast Q1 2026'!E54)),"")</f>
      </c>
      <c r="N48" s="529">
        <f>'Reforecast Q1 2026'!F54</f>
        <v>0</v>
      </c>
      <c r="O48" s="529">
        <f>IF(OR(4&gt;$B$3,ISBLANK(Actuals!F54)),"",Actuals!F54)</f>
      </c>
      <c r="P48" s="530">
        <f>IF(OR(4&gt;$B$3,ISBLANK(Actuals!F54)),"",'Reforecast Q1 2026'!F54-Actuals!F54)</f>
      </c>
      <c r="Q48" s="530">
        <f>IFERROR(IF(OR(4&gt;$B$3,ISBLANK(Actuals!F54)),"",('Reforecast Q1 2026'!F54-Actuals!F54)/ABS('Reforecast Q1 2026'!F54)),"")</f>
      </c>
      <c r="R48" s="529">
        <f>'Reforecast Q1 2026'!G54</f>
        <v>0</v>
      </c>
      <c r="S48" s="529">
        <f>IF(OR(5&gt;$B$3,ISBLANK(Actuals!G54)),"",Actuals!G54)</f>
      </c>
      <c r="T48" s="530">
        <f>IF(OR(5&gt;$B$3,ISBLANK(Actuals!G54)),"",'Reforecast Q1 2026'!G54-Actuals!G54)</f>
      </c>
      <c r="U48" s="530">
        <f>IFERROR(IF(OR(5&gt;$B$3,ISBLANK(Actuals!G54)),"",('Reforecast Q1 2026'!G54-Actuals!G54)/ABS('Reforecast Q1 2026'!G54)),"")</f>
      </c>
      <c r="V48" s="529">
        <f>'Reforecast Q1 2026'!H54</f>
        <v>0</v>
      </c>
      <c r="W48" s="529">
        <f>IF(OR(6&gt;$B$3,ISBLANK(Actuals!H54)),"",Actuals!H54)</f>
        <v>-612.68</v>
      </c>
      <c r="X48" s="530">
        <f>IF(OR(6&gt;$B$3,ISBLANK(Actuals!H54)),"",'Reforecast Q1 2026'!H54-Actuals!H54)</f>
        <v>612.68</v>
      </c>
      <c r="Y48" s="530">
        <f>IFERROR(IF(OR(6&gt;$B$3,ISBLANK(Actuals!H54)),"",('Reforecast Q1 2026'!H54-Actuals!H54)/ABS('Reforecast Q1 2026'!H54)),"")</f>
      </c>
      <c r="Z48" s="529">
        <f>'Reforecast Q1 2026'!I54</f>
        <v>0</v>
      </c>
      <c r="AA48" s="529">
        <f>IF(OR(7&gt;$B$3,ISBLANK(Actuals!I54)),"",Actuals!I54)</f>
      </c>
      <c r="AB48" s="530">
        <f>IF(OR(7&gt;$B$3,ISBLANK(Actuals!I54)),"",'Reforecast Q1 2026'!I54-Actuals!I54)</f>
      </c>
      <c r="AC48" s="530">
        <f>IFERROR(IF(OR(7&gt;$B$3,ISBLANK(Actuals!I54)),"",('Reforecast Q1 2026'!I54-Actuals!I54)/ABS('Reforecast Q1 2026'!I54)),"")</f>
      </c>
      <c r="AD48" s="529">
        <f>'Reforecast Q1 2026'!J54</f>
        <v>0</v>
      </c>
      <c r="AE48" s="529">
        <f>IF(OR(8&gt;$B$3,ISBLANK(Actuals!J54)),"",Actuals!J54)</f>
      </c>
      <c r="AF48" s="530">
        <f>IF(OR(8&gt;$B$3,ISBLANK(Actuals!J54)),"",'Reforecast Q1 2026'!J54-Actuals!J54)</f>
      </c>
      <c r="AG48" s="530">
        <f>IFERROR(IF(OR(8&gt;$B$3,ISBLANK(Actuals!J54)),"",('Reforecast Q1 2026'!J54-Actuals!J54)/ABS('Reforecast Q1 2026'!J54)),"")</f>
      </c>
      <c r="AH48" s="529">
        <f>'Reforecast Q1 2026'!K54</f>
        <v>0</v>
      </c>
      <c r="AI48" s="529">
        <f>IF(OR(9&gt;$B$3,ISBLANK(Actuals!K54)),"",Actuals!K54)</f>
      </c>
      <c r="AJ48" s="530">
        <f>IF(OR(9&gt;$B$3,ISBLANK(Actuals!K54)),"",'Reforecast Q1 2026'!K54-Actuals!K54)</f>
      </c>
      <c r="AK48" s="530">
        <f>IFERROR(IF(OR(9&gt;$B$3,ISBLANK(Actuals!K54)),"",('Reforecast Q1 2026'!K54-Actuals!K54)/ABS('Reforecast Q1 2026'!K54)),"")</f>
      </c>
      <c r="AL48" s="529">
        <f>'Reforecast Q1 2026'!L54</f>
        <v>0</v>
      </c>
      <c r="AM48" s="529">
        <f>IF(OR(10&gt;$B$3,ISBLANK(Actuals!L54)),"",Actuals!L54)</f>
      </c>
      <c r="AN48" s="530">
        <f>IF(OR(10&gt;$B$3,ISBLANK(Actuals!L54)),"",'Reforecast Q1 2026'!L54-Actuals!L54)</f>
      </c>
      <c r="AO48" s="530">
        <f>IFERROR(IF(OR(10&gt;$B$3,ISBLANK(Actuals!L54)),"",('Reforecast Q1 2026'!L54-Actuals!L54)/ABS('Reforecast Q1 2026'!L54)),"")</f>
      </c>
      <c r="AP48" s="529">
        <f>'Reforecast Q1 2026'!M54</f>
        <v>0</v>
      </c>
      <c r="AQ48" s="529">
        <f>IF(OR(11&gt;$B$3,ISBLANK(Actuals!M54)),"",Actuals!M54)</f>
      </c>
      <c r="AR48" s="530">
        <f>IF(OR(11&gt;$B$3,ISBLANK(Actuals!M54)),"",'Reforecast Q1 2026'!M54-Actuals!M54)</f>
      </c>
      <c r="AS48" s="530">
        <f>IFERROR(IF(OR(11&gt;$B$3,ISBLANK(Actuals!M54)),"",('Reforecast Q1 2026'!M54-Actuals!M54)/ABS('Reforecast Q1 2026'!M54)),"")</f>
      </c>
      <c r="AT48" s="529">
        <f>'Reforecast Q1 2026'!N54</f>
        <v>0</v>
      </c>
      <c r="AU48" s="529">
        <f>IF(OR(12&gt;$B$3,ISBLANK(Actuals!N54)),"",Actuals!N54)</f>
      </c>
      <c r="AV48" s="530">
        <f>IF(OR(12&gt;$B$3,ISBLANK(Actuals!N54)),"",'Reforecast Q1 2026'!N54-Actuals!N54)</f>
      </c>
      <c r="AW48" s="530">
        <f>IFERROR(IF(OR(12&gt;$B$3,ISBLANK(Actuals!N54)),"",('Reforecast Q1 2026'!N54-Actuals!N54)/ABS('Reforecast Q1 2026'!N54)),"")</f>
      </c>
      <c r="AX48" s="531">
        <f>SUMPRODUCT((Actuals!C54:N54&lt;&gt;"")*('Reforecast Q1 2026'!C54:N54))</f>
        <v>0</v>
      </c>
      <c r="AY48" s="531">
        <f>SUM(Actuals!C54:N54)</f>
        <v>-612.68</v>
      </c>
      <c r="AZ48" s="532">
        <f>AX48-AY48</f>
        <v>612.68</v>
      </c>
    </row>
    <row r="49" ht="15" customFormat="1" customHeight="1" s="381">
      <c r="A49" s="528" t="inlineStr">
        <is>
          <t>Edgemont Management Fee</t>
        </is>
      </c>
      <c r="B49" s="529">
        <f>'Reforecast Q1 2026'!C64</f>
        <v>833.33</v>
      </c>
      <c r="C49" s="529">
        <f>IF(OR(1&gt;$B$3,ISBLANK(Actuals!C64)),"",Actuals!C64)</f>
        <v>833.33</v>
      </c>
      <c r="D49" s="530">
        <f>IF(OR(1&gt;$B$3,ISBLANK(Actuals!C64)),"",'Reforecast Q1 2026'!C64-Actuals!C64)</f>
        <v>0</v>
      </c>
      <c r="E49" s="530">
        <f>IFERROR(IF(OR(1&gt;$B$3,ISBLANK(Actuals!C64)),"",('Reforecast Q1 2026'!C64-Actuals!C64)/ABS('Reforecast Q1 2026'!C64)),"")</f>
        <v>0</v>
      </c>
      <c r="F49" s="529">
        <f>'Reforecast Q1 2026'!D64</f>
        <v>833.33</v>
      </c>
      <c r="G49" s="529">
        <f>IF(OR(2&gt;$B$3,ISBLANK(Actuals!D64)),"",Actuals!D64)</f>
        <v>833.33</v>
      </c>
      <c r="H49" s="530">
        <f>IF(OR(2&gt;$B$3,ISBLANK(Actuals!D64)),"",'Reforecast Q1 2026'!D64-Actuals!D64)</f>
        <v>0</v>
      </c>
      <c r="I49" s="530">
        <f>IFERROR(IF(OR(2&gt;$B$3,ISBLANK(Actuals!D64)),"",('Reforecast Q1 2026'!D64-Actuals!D64)/ABS('Reforecast Q1 2026'!D64)),"")</f>
        <v>0</v>
      </c>
      <c r="J49" s="529">
        <f>'Reforecast Q1 2026'!E64</f>
        <v>833.33</v>
      </c>
      <c r="K49" s="529">
        <f>IF(OR(3&gt;$B$3,ISBLANK(Actuals!E64)),"",Actuals!E64)</f>
        <v>833.33</v>
      </c>
      <c r="L49" s="530">
        <f>IF(OR(3&gt;$B$3,ISBLANK(Actuals!E64)),"",'Reforecast Q1 2026'!E64-Actuals!E64)</f>
        <v>0</v>
      </c>
      <c r="M49" s="530">
        <f>IFERROR(IF(OR(3&gt;$B$3,ISBLANK(Actuals!E64)),"",('Reforecast Q1 2026'!E64-Actuals!E64)/ABS('Reforecast Q1 2026'!E64)),"")</f>
        <v>0</v>
      </c>
      <c r="N49" s="529">
        <f>'Reforecast Q1 2026'!F64</f>
        <v>833.33</v>
      </c>
      <c r="O49" s="529">
        <f>IF(OR(4&gt;$B$3,ISBLANK(Actuals!F64)),"",Actuals!F64)</f>
        <v>833.33</v>
      </c>
      <c r="P49" s="530">
        <f>IF(OR(4&gt;$B$3,ISBLANK(Actuals!F64)),"",'Reforecast Q1 2026'!F64-Actuals!F64)</f>
        <v>0</v>
      </c>
      <c r="Q49" s="530">
        <f>IFERROR(IF(OR(4&gt;$B$3,ISBLANK(Actuals!F64)),"",('Reforecast Q1 2026'!F64-Actuals!F64)/ABS('Reforecast Q1 2026'!F64)),"")</f>
        <v>0</v>
      </c>
      <c r="R49" s="529">
        <f>'Reforecast Q1 2026'!G64</f>
        <v>833.33</v>
      </c>
      <c r="S49" s="529">
        <f>IF(OR(5&gt;$B$3,ISBLANK(Actuals!G64)),"",Actuals!G64)</f>
        <v>833.33</v>
      </c>
      <c r="T49" s="530">
        <f>IF(OR(5&gt;$B$3,ISBLANK(Actuals!G64)),"",'Reforecast Q1 2026'!G64-Actuals!G64)</f>
        <v>0</v>
      </c>
      <c r="U49" s="530">
        <f>IFERROR(IF(OR(5&gt;$B$3,ISBLANK(Actuals!G64)),"",('Reforecast Q1 2026'!G64-Actuals!G64)/ABS('Reforecast Q1 2026'!G64)),"")</f>
        <v>0</v>
      </c>
      <c r="V49" s="529">
        <f>'Reforecast Q1 2026'!H64</f>
        <v>833.33</v>
      </c>
      <c r="W49" s="529">
        <f>IF(OR(6&gt;$B$3,ISBLANK(Actuals!H64)),"",Actuals!H64)</f>
        <v>833.33</v>
      </c>
      <c r="X49" s="530">
        <f>IF(OR(6&gt;$B$3,ISBLANK(Actuals!H64)),"",'Reforecast Q1 2026'!H64-Actuals!H64)</f>
        <v>0</v>
      </c>
      <c r="Y49" s="530">
        <f>IFERROR(IF(OR(6&gt;$B$3,ISBLANK(Actuals!H64)),"",('Reforecast Q1 2026'!H64-Actuals!H64)/ABS('Reforecast Q1 2026'!H64)),"")</f>
        <v>0</v>
      </c>
      <c r="Z49" s="529">
        <f>'Reforecast Q1 2026'!I64</f>
        <v>833.33</v>
      </c>
      <c r="AA49" s="529">
        <f>IF(OR(7&gt;$B$3,ISBLANK(Actuals!I64)),"",Actuals!I64)</f>
      </c>
      <c r="AB49" s="530">
        <f>IF(OR(7&gt;$B$3,ISBLANK(Actuals!I64)),"",'Reforecast Q1 2026'!I64-Actuals!I64)</f>
      </c>
      <c r="AC49" s="530">
        <f>IFERROR(IF(OR(7&gt;$B$3,ISBLANK(Actuals!I64)),"",('Reforecast Q1 2026'!I64-Actuals!I64)/ABS('Reforecast Q1 2026'!I64)),"")</f>
      </c>
      <c r="AD49" s="529">
        <f>'Reforecast Q1 2026'!J64</f>
        <v>833.33</v>
      </c>
      <c r="AE49" s="529">
        <f>IF(OR(8&gt;$B$3,ISBLANK(Actuals!J64)),"",Actuals!J64)</f>
      </c>
      <c r="AF49" s="530">
        <f>IF(OR(8&gt;$B$3,ISBLANK(Actuals!J64)),"",'Reforecast Q1 2026'!J64-Actuals!J64)</f>
      </c>
      <c r="AG49" s="530">
        <f>IFERROR(IF(OR(8&gt;$B$3,ISBLANK(Actuals!J64)),"",('Reforecast Q1 2026'!J64-Actuals!J64)/ABS('Reforecast Q1 2026'!J64)),"")</f>
      </c>
      <c r="AH49" s="529">
        <f>'Reforecast Q1 2026'!K64</f>
        <v>0</v>
      </c>
      <c r="AI49" s="529">
        <f>IF(OR(9&gt;$B$3,ISBLANK(Actuals!K64)),"",Actuals!K64)</f>
      </c>
      <c r="AJ49" s="530">
        <f>IF(OR(9&gt;$B$3,ISBLANK(Actuals!K64)),"",'Reforecast Q1 2026'!K64-Actuals!K64)</f>
      </c>
      <c r="AK49" s="530">
        <f>IFERROR(IF(OR(9&gt;$B$3,ISBLANK(Actuals!K64)),"",('Reforecast Q1 2026'!K64-Actuals!K64)/ABS('Reforecast Q1 2026'!K64)),"")</f>
      </c>
      <c r="AL49" s="529">
        <f>'Reforecast Q1 2026'!L64</f>
        <v>0</v>
      </c>
      <c r="AM49" s="529">
        <f>IF(OR(10&gt;$B$3,ISBLANK(Actuals!L64)),"",Actuals!L64)</f>
      </c>
      <c r="AN49" s="530">
        <f>IF(OR(10&gt;$B$3,ISBLANK(Actuals!L64)),"",'Reforecast Q1 2026'!L64-Actuals!L64)</f>
      </c>
      <c r="AO49" s="530">
        <f>IFERROR(IF(OR(10&gt;$B$3,ISBLANK(Actuals!L64)),"",('Reforecast Q1 2026'!L64-Actuals!L64)/ABS('Reforecast Q1 2026'!L64)),"")</f>
      </c>
      <c r="AP49" s="529">
        <f>'Reforecast Q1 2026'!M64</f>
        <v>0</v>
      </c>
      <c r="AQ49" s="529">
        <f>IF(OR(11&gt;$B$3,ISBLANK(Actuals!M64)),"",Actuals!M64)</f>
      </c>
      <c r="AR49" s="530">
        <f>IF(OR(11&gt;$B$3,ISBLANK(Actuals!M64)),"",'Reforecast Q1 2026'!M64-Actuals!M64)</f>
      </c>
      <c r="AS49" s="530">
        <f>IFERROR(IF(OR(11&gt;$B$3,ISBLANK(Actuals!M64)),"",('Reforecast Q1 2026'!M64-Actuals!M64)/ABS('Reforecast Q1 2026'!M64)),"")</f>
      </c>
      <c r="AT49" s="529">
        <f>'Reforecast Q1 2026'!N64</f>
        <v>0</v>
      </c>
      <c r="AU49" s="529">
        <f>IF(OR(12&gt;$B$3,ISBLANK(Actuals!N64)),"",Actuals!N64)</f>
      </c>
      <c r="AV49" s="530">
        <f>IF(OR(12&gt;$B$3,ISBLANK(Actuals!N64)),"",'Reforecast Q1 2026'!N64-Actuals!N64)</f>
      </c>
      <c r="AW49" s="530">
        <f>IFERROR(IF(OR(12&gt;$B$3,ISBLANK(Actuals!N64)),"",('Reforecast Q1 2026'!N64-Actuals!N64)/ABS('Reforecast Q1 2026'!N64)),"")</f>
      </c>
      <c r="AX49" s="531">
        <f>SUMPRODUCT((Actuals!C64:N64&lt;&gt;"")*('Reforecast Q1 2026'!C64:N64))</f>
        <v>4999.98</v>
      </c>
      <c r="AY49" s="531">
        <f>SUM(Actuals!C64:N64)</f>
        <v>4999.98</v>
      </c>
      <c r="AZ49" s="532">
        <f>AX49-AY49</f>
        <v>0</v>
      </c>
    </row>
    <row r="50" ht="15" customFormat="1" customHeight="1" s="381">
      <c r="A50" s="528" t="inlineStr">
        <is>
          <t>Ramsgate Dev Fee - Construction</t>
        </is>
      </c>
      <c r="B50" s="529">
        <f>'Reforecast Q1 2026'!C65</f>
        <v>23906.25</v>
      </c>
      <c r="C50" s="529">
        <f>IF(OR(1&gt;$B$3,ISBLANK(Actuals!C65)),"",Actuals!C65)</f>
        <v>23906.25</v>
      </c>
      <c r="D50" s="530">
        <f>IF(OR(1&gt;$B$3,ISBLANK(Actuals!C65)),"",'Reforecast Q1 2026'!C65-Actuals!C65)</f>
        <v>0</v>
      </c>
      <c r="E50" s="530">
        <f>IFERROR(IF(OR(1&gt;$B$3,ISBLANK(Actuals!C65)),"",('Reforecast Q1 2026'!C65-Actuals!C65)/ABS('Reforecast Q1 2026'!C65)),"")</f>
        <v>0</v>
      </c>
      <c r="F50" s="529">
        <f>'Reforecast Q1 2026'!D65</f>
        <v>23906.25</v>
      </c>
      <c r="G50" s="529">
        <f>IF(OR(2&gt;$B$3,ISBLANK(Actuals!D65)),"",Actuals!D65)</f>
        <v>23906.25</v>
      </c>
      <c r="H50" s="530">
        <f>IF(OR(2&gt;$B$3,ISBLANK(Actuals!D65)),"",'Reforecast Q1 2026'!D65-Actuals!D65)</f>
        <v>0</v>
      </c>
      <c r="I50" s="530">
        <f>IFERROR(IF(OR(2&gt;$B$3,ISBLANK(Actuals!D65)),"",('Reforecast Q1 2026'!D65-Actuals!D65)/ABS('Reforecast Q1 2026'!D65)),"")</f>
        <v>0</v>
      </c>
      <c r="J50" s="529">
        <f>'Reforecast Q1 2026'!E65</f>
        <v>23906.25</v>
      </c>
      <c r="K50" s="529">
        <f>IF(OR(3&gt;$B$3,ISBLANK(Actuals!E65)),"",Actuals!E65)</f>
        <v>23906.25</v>
      </c>
      <c r="L50" s="530">
        <f>IF(OR(3&gt;$B$3,ISBLANK(Actuals!E65)),"",'Reforecast Q1 2026'!E65-Actuals!E65)</f>
        <v>0</v>
      </c>
      <c r="M50" s="530">
        <f>IFERROR(IF(OR(3&gt;$B$3,ISBLANK(Actuals!E65)),"",('Reforecast Q1 2026'!E65-Actuals!E65)/ABS('Reforecast Q1 2026'!E65)),"")</f>
        <v>0</v>
      </c>
      <c r="N50" s="529">
        <f>'Reforecast Q1 2026'!F65</f>
        <v>23906.25</v>
      </c>
      <c r="O50" s="529">
        <f>IF(OR(4&gt;$B$3,ISBLANK(Actuals!F65)),"",Actuals!F65)</f>
        <v>23906.25</v>
      </c>
      <c r="P50" s="530">
        <f>IF(OR(4&gt;$B$3,ISBLANK(Actuals!F65)),"",'Reforecast Q1 2026'!F65-Actuals!F65)</f>
        <v>0</v>
      </c>
      <c r="Q50" s="530">
        <f>IFERROR(IF(OR(4&gt;$B$3,ISBLANK(Actuals!F65)),"",('Reforecast Q1 2026'!F65-Actuals!F65)/ABS('Reforecast Q1 2026'!F65)),"")</f>
        <v>0</v>
      </c>
      <c r="R50" s="529">
        <f>'Reforecast Q1 2026'!G65</f>
        <v>23906.25</v>
      </c>
      <c r="S50" s="529">
        <f>IF(OR(5&gt;$B$3,ISBLANK(Actuals!G65)),"",Actuals!G65)</f>
        <v>23906.25</v>
      </c>
      <c r="T50" s="530">
        <f>IF(OR(5&gt;$B$3,ISBLANK(Actuals!G65)),"",'Reforecast Q1 2026'!G65-Actuals!G65)</f>
        <v>0</v>
      </c>
      <c r="U50" s="530">
        <f>IFERROR(IF(OR(5&gt;$B$3,ISBLANK(Actuals!G65)),"",('Reforecast Q1 2026'!G65-Actuals!G65)/ABS('Reforecast Q1 2026'!G65)),"")</f>
        <v>0</v>
      </c>
      <c r="V50" s="529">
        <f>'Reforecast Q1 2026'!H65</f>
        <v>23906.25</v>
      </c>
      <c r="W50" s="529">
        <f>IF(OR(6&gt;$B$3,ISBLANK(Actuals!H65)),"",Actuals!H65)</f>
        <v>23906.25</v>
      </c>
      <c r="X50" s="530">
        <f>IF(OR(6&gt;$B$3,ISBLANK(Actuals!H65)),"",'Reforecast Q1 2026'!H65-Actuals!H65)</f>
        <v>0</v>
      </c>
      <c r="Y50" s="530">
        <f>IFERROR(IF(OR(6&gt;$B$3,ISBLANK(Actuals!H65)),"",('Reforecast Q1 2026'!H65-Actuals!H65)/ABS('Reforecast Q1 2026'!H65)),"")</f>
        <v>0</v>
      </c>
      <c r="Z50" s="529">
        <f>'Reforecast Q1 2026'!I65</f>
        <v>23906.25</v>
      </c>
      <c r="AA50" s="529">
        <f>IF(OR(7&gt;$B$3,ISBLANK(Actuals!I65)),"",Actuals!I65)</f>
      </c>
      <c r="AB50" s="530">
        <f>IF(OR(7&gt;$B$3,ISBLANK(Actuals!I65)),"",'Reforecast Q1 2026'!I65-Actuals!I65)</f>
      </c>
      <c r="AC50" s="530">
        <f>IFERROR(IF(OR(7&gt;$B$3,ISBLANK(Actuals!I65)),"",('Reforecast Q1 2026'!I65-Actuals!I65)/ABS('Reforecast Q1 2026'!I65)),"")</f>
      </c>
      <c r="AD50" s="529">
        <f>'Reforecast Q1 2026'!J65</f>
        <v>23906.25</v>
      </c>
      <c r="AE50" s="529">
        <f>IF(OR(8&gt;$B$3,ISBLANK(Actuals!J65)),"",Actuals!J65)</f>
      </c>
      <c r="AF50" s="530">
        <f>IF(OR(8&gt;$B$3,ISBLANK(Actuals!J65)),"",'Reforecast Q1 2026'!J65-Actuals!J65)</f>
      </c>
      <c r="AG50" s="530">
        <f>IFERROR(IF(OR(8&gt;$B$3,ISBLANK(Actuals!J65)),"",('Reforecast Q1 2026'!J65-Actuals!J65)/ABS('Reforecast Q1 2026'!J65)),"")</f>
      </c>
      <c r="AH50" s="529">
        <f>'Reforecast Q1 2026'!K65</f>
        <v>23906.25</v>
      </c>
      <c r="AI50" s="529">
        <f>IF(OR(9&gt;$B$3,ISBLANK(Actuals!K65)),"",Actuals!K65)</f>
      </c>
      <c r="AJ50" s="530">
        <f>IF(OR(9&gt;$B$3,ISBLANK(Actuals!K65)),"",'Reforecast Q1 2026'!K65-Actuals!K65)</f>
      </c>
      <c r="AK50" s="530">
        <f>IFERROR(IF(OR(9&gt;$B$3,ISBLANK(Actuals!K65)),"",('Reforecast Q1 2026'!K65-Actuals!K65)/ABS('Reforecast Q1 2026'!K65)),"")</f>
      </c>
      <c r="AL50" s="529">
        <f>'Reforecast Q1 2026'!L65</f>
        <v>23906.25</v>
      </c>
      <c r="AM50" s="529">
        <f>IF(OR(10&gt;$B$3,ISBLANK(Actuals!L65)),"",Actuals!L65)</f>
      </c>
      <c r="AN50" s="530">
        <f>IF(OR(10&gt;$B$3,ISBLANK(Actuals!L65)),"",'Reforecast Q1 2026'!L65-Actuals!L65)</f>
      </c>
      <c r="AO50" s="530">
        <f>IFERROR(IF(OR(10&gt;$B$3,ISBLANK(Actuals!L65)),"",('Reforecast Q1 2026'!L65-Actuals!L65)/ABS('Reforecast Q1 2026'!L65)),"")</f>
      </c>
      <c r="AP50" s="529">
        <f>'Reforecast Q1 2026'!M65</f>
        <v>23906.25</v>
      </c>
      <c r="AQ50" s="529">
        <f>IF(OR(11&gt;$B$3,ISBLANK(Actuals!M65)),"",Actuals!M65)</f>
      </c>
      <c r="AR50" s="530">
        <f>IF(OR(11&gt;$B$3,ISBLANK(Actuals!M65)),"",'Reforecast Q1 2026'!M65-Actuals!M65)</f>
      </c>
      <c r="AS50" s="530">
        <f>IFERROR(IF(OR(11&gt;$B$3,ISBLANK(Actuals!M65)),"",('Reforecast Q1 2026'!M65-Actuals!M65)/ABS('Reforecast Q1 2026'!M65)),"")</f>
      </c>
      <c r="AT50" s="529">
        <f>'Reforecast Q1 2026'!N65</f>
        <v>23906.25</v>
      </c>
      <c r="AU50" s="529">
        <f>IF(OR(12&gt;$B$3,ISBLANK(Actuals!N65)),"",Actuals!N65)</f>
      </c>
      <c r="AV50" s="530">
        <f>IF(OR(12&gt;$B$3,ISBLANK(Actuals!N65)),"",'Reforecast Q1 2026'!N65-Actuals!N65)</f>
      </c>
      <c r="AW50" s="530">
        <f>IFERROR(IF(OR(12&gt;$B$3,ISBLANK(Actuals!N65)),"",('Reforecast Q1 2026'!N65-Actuals!N65)/ABS('Reforecast Q1 2026'!N65)),"")</f>
      </c>
      <c r="AX50" s="531">
        <f>SUMPRODUCT((Actuals!C65:N65&lt;&gt;"")*('Reforecast Q1 2026'!C65:N65))</f>
        <v>143437.5</v>
      </c>
      <c r="AY50" s="531">
        <f>SUM(Actuals!C65:N65)</f>
        <v>143437.5</v>
      </c>
      <c r="AZ50" s="532">
        <f>AX50-AY50</f>
        <v>0</v>
      </c>
    </row>
    <row r="51" ht="15" customFormat="1" customHeight="1" s="381">
      <c r="A51" s="528" t="inlineStr">
        <is>
          <t>Ramsgate Dev Fee - 20% Occ</t>
        </is>
      </c>
      <c r="B51" s="529">
        <f>'Reforecast Q1 2026'!C66</f>
        <v>0</v>
      </c>
      <c r="C51" s="529">
        <f>IF(OR(1&gt;$B$3,ISBLANK(Actuals!C66)),"",Actuals!C66)</f>
      </c>
      <c r="D51" s="530">
        <f>IF(OR(1&gt;$B$3,ISBLANK(Actuals!C66)),"",'Reforecast Q1 2026'!C66-Actuals!C66)</f>
      </c>
      <c r="E51" s="530">
        <f>IFERROR(IF(OR(1&gt;$B$3,ISBLANK(Actuals!C66)),"",('Reforecast Q1 2026'!C66-Actuals!C66)/ABS('Reforecast Q1 2026'!C66)),"")</f>
      </c>
      <c r="F51" s="529">
        <f>'Reforecast Q1 2026'!D66</f>
        <v>0</v>
      </c>
      <c r="G51" s="529">
        <f>IF(OR(2&gt;$B$3,ISBLANK(Actuals!D66)),"",Actuals!D66)</f>
      </c>
      <c r="H51" s="530">
        <f>IF(OR(2&gt;$B$3,ISBLANK(Actuals!D66)),"",'Reforecast Q1 2026'!D66-Actuals!D66)</f>
      </c>
      <c r="I51" s="530">
        <f>IFERROR(IF(OR(2&gt;$B$3,ISBLANK(Actuals!D66)),"",('Reforecast Q1 2026'!D66-Actuals!D66)/ABS('Reforecast Q1 2026'!D66)),"")</f>
      </c>
      <c r="J51" s="529">
        <f>'Reforecast Q1 2026'!E66</f>
        <v>0</v>
      </c>
      <c r="K51" s="529">
        <f>IF(OR(3&gt;$B$3,ISBLANK(Actuals!E66)),"",Actuals!E66)</f>
      </c>
      <c r="L51" s="530">
        <f>IF(OR(3&gt;$B$3,ISBLANK(Actuals!E66)),"",'Reforecast Q1 2026'!E66-Actuals!E66)</f>
      </c>
      <c r="M51" s="530">
        <f>IFERROR(IF(OR(3&gt;$B$3,ISBLANK(Actuals!E66)),"",('Reforecast Q1 2026'!E66-Actuals!E66)/ABS('Reforecast Q1 2026'!E66)),"")</f>
      </c>
      <c r="N51" s="529">
        <f>'Reforecast Q1 2026'!F66</f>
        <v>0</v>
      </c>
      <c r="O51" s="529">
        <f>IF(OR(4&gt;$B$3,ISBLANK(Actuals!F66)),"",Actuals!F66)</f>
      </c>
      <c r="P51" s="530">
        <f>IF(OR(4&gt;$B$3,ISBLANK(Actuals!F66)),"",'Reforecast Q1 2026'!F66-Actuals!F66)</f>
      </c>
      <c r="Q51" s="530">
        <f>IFERROR(IF(OR(4&gt;$B$3,ISBLANK(Actuals!F66)),"",('Reforecast Q1 2026'!F66-Actuals!F66)/ABS('Reforecast Q1 2026'!F66)),"")</f>
      </c>
      <c r="R51" s="529">
        <f>'Reforecast Q1 2026'!G66</f>
        <v>0</v>
      </c>
      <c r="S51" s="529">
        <f>IF(OR(5&gt;$B$3,ISBLANK(Actuals!G66)),"",Actuals!G66)</f>
      </c>
      <c r="T51" s="530">
        <f>IF(OR(5&gt;$B$3,ISBLANK(Actuals!G66)),"",'Reforecast Q1 2026'!G66-Actuals!G66)</f>
      </c>
      <c r="U51" s="530">
        <f>IFERROR(IF(OR(5&gt;$B$3,ISBLANK(Actuals!G66)),"",('Reforecast Q1 2026'!G66-Actuals!G66)/ABS('Reforecast Q1 2026'!G66)),"")</f>
      </c>
      <c r="V51" s="529">
        <f>'Reforecast Q1 2026'!H66</f>
        <v>0</v>
      </c>
      <c r="W51" s="529">
        <f>IF(OR(6&gt;$B$3,ISBLANK(Actuals!H66)),"",Actuals!H66)</f>
      </c>
      <c r="X51" s="530">
        <f>IF(OR(6&gt;$B$3,ISBLANK(Actuals!H66)),"",'Reforecast Q1 2026'!H66-Actuals!H66)</f>
      </c>
      <c r="Y51" s="530">
        <f>IFERROR(IF(OR(6&gt;$B$3,ISBLANK(Actuals!H66)),"",('Reforecast Q1 2026'!H66-Actuals!H66)/ABS('Reforecast Q1 2026'!H66)),"")</f>
      </c>
      <c r="Z51" s="529">
        <f>'Reforecast Q1 2026'!I66</f>
        <v>0</v>
      </c>
      <c r="AA51" s="529">
        <f>IF(OR(7&gt;$B$3,ISBLANK(Actuals!I66)),"",Actuals!I66)</f>
      </c>
      <c r="AB51" s="530">
        <f>IF(OR(7&gt;$B$3,ISBLANK(Actuals!I66)),"",'Reforecast Q1 2026'!I66-Actuals!I66)</f>
      </c>
      <c r="AC51" s="530">
        <f>IFERROR(IF(OR(7&gt;$B$3,ISBLANK(Actuals!I66)),"",('Reforecast Q1 2026'!I66-Actuals!I66)/ABS('Reforecast Q1 2026'!I66)),"")</f>
      </c>
      <c r="AD51" s="529">
        <f>'Reforecast Q1 2026'!J66</f>
        <v>0</v>
      </c>
      <c r="AE51" s="529">
        <f>IF(OR(8&gt;$B$3,ISBLANK(Actuals!J66)),"",Actuals!J66)</f>
      </c>
      <c r="AF51" s="530">
        <f>IF(OR(8&gt;$B$3,ISBLANK(Actuals!J66)),"",'Reforecast Q1 2026'!J66-Actuals!J66)</f>
      </c>
      <c r="AG51" s="530">
        <f>IFERROR(IF(OR(8&gt;$B$3,ISBLANK(Actuals!J66)),"",('Reforecast Q1 2026'!J66-Actuals!J66)/ABS('Reforecast Q1 2026'!J66)),"")</f>
      </c>
      <c r="AH51" s="529">
        <f>'Reforecast Q1 2026'!K66</f>
        <v>0</v>
      </c>
      <c r="AI51" s="529">
        <f>IF(OR(9&gt;$B$3,ISBLANK(Actuals!K66)),"",Actuals!K66)</f>
      </c>
      <c r="AJ51" s="530">
        <f>IF(OR(9&gt;$B$3,ISBLANK(Actuals!K66)),"",'Reforecast Q1 2026'!K66-Actuals!K66)</f>
      </c>
      <c r="AK51" s="530">
        <f>IFERROR(IF(OR(9&gt;$B$3,ISBLANK(Actuals!K66)),"",('Reforecast Q1 2026'!K66-Actuals!K66)/ABS('Reforecast Q1 2026'!K66)),"")</f>
      </c>
      <c r="AL51" s="529">
        <f>'Reforecast Q1 2026'!L66</f>
        <v>0</v>
      </c>
      <c r="AM51" s="529">
        <f>IF(OR(10&gt;$B$3,ISBLANK(Actuals!L66)),"",Actuals!L66)</f>
      </c>
      <c r="AN51" s="530">
        <f>IF(OR(10&gt;$B$3,ISBLANK(Actuals!L66)),"",'Reforecast Q1 2026'!L66-Actuals!L66)</f>
      </c>
      <c r="AO51" s="530">
        <f>IFERROR(IF(OR(10&gt;$B$3,ISBLANK(Actuals!L66)),"",('Reforecast Q1 2026'!L66-Actuals!L66)/ABS('Reforecast Q1 2026'!L66)),"")</f>
      </c>
      <c r="AP51" s="529">
        <f>'Reforecast Q1 2026'!M66</f>
        <v>0</v>
      </c>
      <c r="AQ51" s="529">
        <f>IF(OR(11&gt;$B$3,ISBLANK(Actuals!M66)),"",Actuals!M66)</f>
      </c>
      <c r="AR51" s="530">
        <f>IF(OR(11&gt;$B$3,ISBLANK(Actuals!M66)),"",'Reforecast Q1 2026'!M66-Actuals!M66)</f>
      </c>
      <c r="AS51" s="530">
        <f>IFERROR(IF(OR(11&gt;$B$3,ISBLANK(Actuals!M66)),"",('Reforecast Q1 2026'!M66-Actuals!M66)/ABS('Reforecast Q1 2026'!M66)),"")</f>
      </c>
      <c r="AT51" s="529">
        <f>'Reforecast Q1 2026'!N66</f>
        <v>0</v>
      </c>
      <c r="AU51" s="529">
        <f>IF(OR(12&gt;$B$3,ISBLANK(Actuals!N66)),"",Actuals!N66)</f>
      </c>
      <c r="AV51" s="530">
        <f>IF(OR(12&gt;$B$3,ISBLANK(Actuals!N66)),"",'Reforecast Q1 2026'!N66-Actuals!N66)</f>
      </c>
      <c r="AW51" s="530">
        <f>IFERROR(IF(OR(12&gt;$B$3,ISBLANK(Actuals!N66)),"",('Reforecast Q1 2026'!N66-Actuals!N66)/ABS('Reforecast Q1 2026'!N66)),"")</f>
      </c>
      <c r="AX51" s="531">
        <f>SUMPRODUCT((Actuals!C66:N66&lt;&gt;"")*('Reforecast Q1 2026'!C66:N66))</f>
        <v>0</v>
      </c>
      <c r="AY51" s="531">
        <f>SUM(Actuals!C66:N66)</f>
        <v>0</v>
      </c>
      <c r="AZ51" s="532">
        <f>AX51-AY51</f>
        <v>0</v>
      </c>
    </row>
    <row r="52" ht="15" customFormat="1" customHeight="1" s="381">
      <c r="A52" s="528" t="inlineStr">
        <is>
          <t>Ramsgate Dev Fee - 50% Occ</t>
        </is>
      </c>
      <c r="B52" s="529">
        <f>'Reforecast Q1 2026'!C67</f>
        <v>0</v>
      </c>
      <c r="C52" s="529">
        <f>IF(OR(1&gt;$B$3,ISBLANK(Actuals!C67)),"",Actuals!C67)</f>
      </c>
      <c r="D52" s="530">
        <f>IF(OR(1&gt;$B$3,ISBLANK(Actuals!C67)),"",'Reforecast Q1 2026'!C67-Actuals!C67)</f>
      </c>
      <c r="E52" s="530">
        <f>IFERROR(IF(OR(1&gt;$B$3,ISBLANK(Actuals!C67)),"",('Reforecast Q1 2026'!C67-Actuals!C67)/ABS('Reforecast Q1 2026'!C67)),"")</f>
      </c>
      <c r="F52" s="529">
        <f>'Reforecast Q1 2026'!D67</f>
        <v>0</v>
      </c>
      <c r="G52" s="529">
        <f>IF(OR(2&gt;$B$3,ISBLANK(Actuals!D67)),"",Actuals!D67)</f>
      </c>
      <c r="H52" s="530">
        <f>IF(OR(2&gt;$B$3,ISBLANK(Actuals!D67)),"",'Reforecast Q1 2026'!D67-Actuals!D67)</f>
      </c>
      <c r="I52" s="530">
        <f>IFERROR(IF(OR(2&gt;$B$3,ISBLANK(Actuals!D67)),"",('Reforecast Q1 2026'!D67-Actuals!D67)/ABS('Reforecast Q1 2026'!D67)),"")</f>
      </c>
      <c r="J52" s="529">
        <f>'Reforecast Q1 2026'!E67</f>
        <v>0</v>
      </c>
      <c r="K52" s="529">
        <f>IF(OR(3&gt;$B$3,ISBLANK(Actuals!E67)),"",Actuals!E67)</f>
      </c>
      <c r="L52" s="530">
        <f>IF(OR(3&gt;$B$3,ISBLANK(Actuals!E67)),"",'Reforecast Q1 2026'!E67-Actuals!E67)</f>
      </c>
      <c r="M52" s="530">
        <f>IFERROR(IF(OR(3&gt;$B$3,ISBLANK(Actuals!E67)),"",('Reforecast Q1 2026'!E67-Actuals!E67)/ABS('Reforecast Q1 2026'!E67)),"")</f>
      </c>
      <c r="N52" s="529">
        <f>'Reforecast Q1 2026'!F67</f>
        <v>0</v>
      </c>
      <c r="O52" s="529">
        <f>IF(OR(4&gt;$B$3,ISBLANK(Actuals!F67)),"",Actuals!F67)</f>
      </c>
      <c r="P52" s="530">
        <f>IF(OR(4&gt;$B$3,ISBLANK(Actuals!F67)),"",'Reforecast Q1 2026'!F67-Actuals!F67)</f>
      </c>
      <c r="Q52" s="530">
        <f>IFERROR(IF(OR(4&gt;$B$3,ISBLANK(Actuals!F67)),"",('Reforecast Q1 2026'!F67-Actuals!F67)/ABS('Reforecast Q1 2026'!F67)),"")</f>
      </c>
      <c r="R52" s="529">
        <f>'Reforecast Q1 2026'!G67</f>
        <v>0</v>
      </c>
      <c r="S52" s="529">
        <f>IF(OR(5&gt;$B$3,ISBLANK(Actuals!G67)),"",Actuals!G67)</f>
      </c>
      <c r="T52" s="530">
        <f>IF(OR(5&gt;$B$3,ISBLANK(Actuals!G67)),"",'Reforecast Q1 2026'!G67-Actuals!G67)</f>
      </c>
      <c r="U52" s="530">
        <f>IFERROR(IF(OR(5&gt;$B$3,ISBLANK(Actuals!G67)),"",('Reforecast Q1 2026'!G67-Actuals!G67)/ABS('Reforecast Q1 2026'!G67)),"")</f>
      </c>
      <c r="V52" s="529">
        <f>'Reforecast Q1 2026'!H67</f>
        <v>0</v>
      </c>
      <c r="W52" s="529">
        <f>IF(OR(6&gt;$B$3,ISBLANK(Actuals!H67)),"",Actuals!H67)</f>
      </c>
      <c r="X52" s="530">
        <f>IF(OR(6&gt;$B$3,ISBLANK(Actuals!H67)),"",'Reforecast Q1 2026'!H67-Actuals!H67)</f>
      </c>
      <c r="Y52" s="530">
        <f>IFERROR(IF(OR(6&gt;$B$3,ISBLANK(Actuals!H67)),"",('Reforecast Q1 2026'!H67-Actuals!H67)/ABS('Reforecast Q1 2026'!H67)),"")</f>
      </c>
      <c r="Z52" s="529">
        <f>'Reforecast Q1 2026'!I67</f>
        <v>0</v>
      </c>
      <c r="AA52" s="529">
        <f>IF(OR(7&gt;$B$3,ISBLANK(Actuals!I67)),"",Actuals!I67)</f>
      </c>
      <c r="AB52" s="530">
        <f>IF(OR(7&gt;$B$3,ISBLANK(Actuals!I67)),"",'Reforecast Q1 2026'!I67-Actuals!I67)</f>
      </c>
      <c r="AC52" s="530">
        <f>IFERROR(IF(OR(7&gt;$B$3,ISBLANK(Actuals!I67)),"",('Reforecast Q1 2026'!I67-Actuals!I67)/ABS('Reforecast Q1 2026'!I67)),"")</f>
      </c>
      <c r="AD52" s="529">
        <f>'Reforecast Q1 2026'!J67</f>
        <v>0</v>
      </c>
      <c r="AE52" s="529">
        <f>IF(OR(8&gt;$B$3,ISBLANK(Actuals!J67)),"",Actuals!J67)</f>
      </c>
      <c r="AF52" s="530">
        <f>IF(OR(8&gt;$B$3,ISBLANK(Actuals!J67)),"",'Reforecast Q1 2026'!J67-Actuals!J67)</f>
      </c>
      <c r="AG52" s="530">
        <f>IFERROR(IF(OR(8&gt;$B$3,ISBLANK(Actuals!J67)),"",('Reforecast Q1 2026'!J67-Actuals!J67)/ABS('Reforecast Q1 2026'!J67)),"")</f>
      </c>
      <c r="AH52" s="529">
        <f>'Reforecast Q1 2026'!K67</f>
        <v>0</v>
      </c>
      <c r="AI52" s="529">
        <f>IF(OR(9&gt;$B$3,ISBLANK(Actuals!K67)),"",Actuals!K67)</f>
      </c>
      <c r="AJ52" s="530">
        <f>IF(OR(9&gt;$B$3,ISBLANK(Actuals!K67)),"",'Reforecast Q1 2026'!K67-Actuals!K67)</f>
      </c>
      <c r="AK52" s="530">
        <f>IFERROR(IF(OR(9&gt;$B$3,ISBLANK(Actuals!K67)),"",('Reforecast Q1 2026'!K67-Actuals!K67)/ABS('Reforecast Q1 2026'!K67)),"")</f>
      </c>
      <c r="AL52" s="529">
        <f>'Reforecast Q1 2026'!L67</f>
        <v>0</v>
      </c>
      <c r="AM52" s="529">
        <f>IF(OR(10&gt;$B$3,ISBLANK(Actuals!L67)),"",Actuals!L67)</f>
      </c>
      <c r="AN52" s="530">
        <f>IF(OR(10&gt;$B$3,ISBLANK(Actuals!L67)),"",'Reforecast Q1 2026'!L67-Actuals!L67)</f>
      </c>
      <c r="AO52" s="530">
        <f>IFERROR(IF(OR(10&gt;$B$3,ISBLANK(Actuals!L67)),"",('Reforecast Q1 2026'!L67-Actuals!L67)/ABS('Reforecast Q1 2026'!L67)),"")</f>
      </c>
      <c r="AP52" s="529">
        <f>'Reforecast Q1 2026'!M67</f>
        <v>0</v>
      </c>
      <c r="AQ52" s="529">
        <f>IF(OR(11&gt;$B$3,ISBLANK(Actuals!M67)),"",Actuals!M67)</f>
      </c>
      <c r="AR52" s="530">
        <f>IF(OR(11&gt;$B$3,ISBLANK(Actuals!M67)),"",'Reforecast Q1 2026'!M67-Actuals!M67)</f>
      </c>
      <c r="AS52" s="530">
        <f>IFERROR(IF(OR(11&gt;$B$3,ISBLANK(Actuals!M67)),"",('Reforecast Q1 2026'!M67-Actuals!M67)/ABS('Reforecast Q1 2026'!M67)),"")</f>
      </c>
      <c r="AT52" s="529">
        <f>'Reforecast Q1 2026'!N67</f>
        <v>0</v>
      </c>
      <c r="AU52" s="529">
        <f>IF(OR(12&gt;$B$3,ISBLANK(Actuals!N67)),"",Actuals!N67)</f>
      </c>
      <c r="AV52" s="530">
        <f>IF(OR(12&gt;$B$3,ISBLANK(Actuals!N67)),"",'Reforecast Q1 2026'!N67-Actuals!N67)</f>
      </c>
      <c r="AW52" s="530">
        <f>IFERROR(IF(OR(12&gt;$B$3,ISBLANK(Actuals!N67)),"",('Reforecast Q1 2026'!N67-Actuals!N67)/ABS('Reforecast Q1 2026'!N67)),"")</f>
      </c>
      <c r="AX52" s="531">
        <f>SUMPRODUCT((Actuals!C67:N67&lt;&gt;"")*('Reforecast Q1 2026'!C67:N67))</f>
        <v>0</v>
      </c>
      <c r="AY52" s="531">
        <f>SUM(Actuals!C67:N67)</f>
        <v>0</v>
      </c>
      <c r="AZ52" s="532">
        <f>AX52-AY52</f>
        <v>0</v>
      </c>
    </row>
    <row r="53" ht="15" customFormat="1" customHeight="1" s="381">
      <c r="A53" s="528" t="inlineStr">
        <is>
          <t>Ramsgate Dev Fee - 90% Occ</t>
        </is>
      </c>
      <c r="B53" s="529">
        <f>'Reforecast Q1 2026'!C68</f>
        <v>0</v>
      </c>
      <c r="C53" s="529">
        <f>IF(OR(1&gt;$B$3,ISBLANK(Actuals!C68)),"",Actuals!C68)</f>
      </c>
      <c r="D53" s="530">
        <f>IF(OR(1&gt;$B$3,ISBLANK(Actuals!C68)),"",'Reforecast Q1 2026'!C68-Actuals!C68)</f>
      </c>
      <c r="E53" s="530">
        <f>IFERROR(IF(OR(1&gt;$B$3,ISBLANK(Actuals!C68)),"",('Reforecast Q1 2026'!C68-Actuals!C68)/ABS('Reforecast Q1 2026'!C68)),"")</f>
      </c>
      <c r="F53" s="529">
        <f>'Reforecast Q1 2026'!D68</f>
        <v>0</v>
      </c>
      <c r="G53" s="529">
        <f>IF(OR(2&gt;$B$3,ISBLANK(Actuals!D68)),"",Actuals!D68)</f>
      </c>
      <c r="H53" s="530">
        <f>IF(OR(2&gt;$B$3,ISBLANK(Actuals!D68)),"",'Reforecast Q1 2026'!D68-Actuals!D68)</f>
      </c>
      <c r="I53" s="530">
        <f>IFERROR(IF(OR(2&gt;$B$3,ISBLANK(Actuals!D68)),"",('Reforecast Q1 2026'!D68-Actuals!D68)/ABS('Reforecast Q1 2026'!D68)),"")</f>
      </c>
      <c r="J53" s="529">
        <f>'Reforecast Q1 2026'!E68</f>
        <v>0</v>
      </c>
      <c r="K53" s="529">
        <f>IF(OR(3&gt;$B$3,ISBLANK(Actuals!E68)),"",Actuals!E68)</f>
      </c>
      <c r="L53" s="530">
        <f>IF(OR(3&gt;$B$3,ISBLANK(Actuals!E68)),"",'Reforecast Q1 2026'!E68-Actuals!E68)</f>
      </c>
      <c r="M53" s="530">
        <f>IFERROR(IF(OR(3&gt;$B$3,ISBLANK(Actuals!E68)),"",('Reforecast Q1 2026'!E68-Actuals!E68)/ABS('Reforecast Q1 2026'!E68)),"")</f>
      </c>
      <c r="N53" s="529">
        <f>'Reforecast Q1 2026'!F68</f>
        <v>0</v>
      </c>
      <c r="O53" s="529">
        <f>IF(OR(4&gt;$B$3,ISBLANK(Actuals!F68)),"",Actuals!F68)</f>
      </c>
      <c r="P53" s="530">
        <f>IF(OR(4&gt;$B$3,ISBLANK(Actuals!F68)),"",'Reforecast Q1 2026'!F68-Actuals!F68)</f>
      </c>
      <c r="Q53" s="530">
        <f>IFERROR(IF(OR(4&gt;$B$3,ISBLANK(Actuals!F68)),"",('Reforecast Q1 2026'!F68-Actuals!F68)/ABS('Reforecast Q1 2026'!F68)),"")</f>
      </c>
      <c r="R53" s="529">
        <f>'Reforecast Q1 2026'!G68</f>
        <v>0</v>
      </c>
      <c r="S53" s="529">
        <f>IF(OR(5&gt;$B$3,ISBLANK(Actuals!G68)),"",Actuals!G68)</f>
      </c>
      <c r="T53" s="530">
        <f>IF(OR(5&gt;$B$3,ISBLANK(Actuals!G68)),"",'Reforecast Q1 2026'!G68-Actuals!G68)</f>
      </c>
      <c r="U53" s="530">
        <f>IFERROR(IF(OR(5&gt;$B$3,ISBLANK(Actuals!G68)),"",('Reforecast Q1 2026'!G68-Actuals!G68)/ABS('Reforecast Q1 2026'!G68)),"")</f>
      </c>
      <c r="V53" s="529">
        <f>'Reforecast Q1 2026'!H68</f>
        <v>0</v>
      </c>
      <c r="W53" s="529">
        <f>IF(OR(6&gt;$B$3,ISBLANK(Actuals!H68)),"",Actuals!H68)</f>
      </c>
      <c r="X53" s="530">
        <f>IF(OR(6&gt;$B$3,ISBLANK(Actuals!H68)),"",'Reforecast Q1 2026'!H68-Actuals!H68)</f>
      </c>
      <c r="Y53" s="530">
        <f>IFERROR(IF(OR(6&gt;$B$3,ISBLANK(Actuals!H68)),"",('Reforecast Q1 2026'!H68-Actuals!H68)/ABS('Reforecast Q1 2026'!H68)),"")</f>
      </c>
      <c r="Z53" s="529">
        <f>'Reforecast Q1 2026'!I68</f>
        <v>0</v>
      </c>
      <c r="AA53" s="529">
        <f>IF(OR(7&gt;$B$3,ISBLANK(Actuals!I68)),"",Actuals!I68)</f>
      </c>
      <c r="AB53" s="530">
        <f>IF(OR(7&gt;$B$3,ISBLANK(Actuals!I68)),"",'Reforecast Q1 2026'!I68-Actuals!I68)</f>
      </c>
      <c r="AC53" s="530">
        <f>IFERROR(IF(OR(7&gt;$B$3,ISBLANK(Actuals!I68)),"",('Reforecast Q1 2026'!I68-Actuals!I68)/ABS('Reforecast Q1 2026'!I68)),"")</f>
      </c>
      <c r="AD53" s="529">
        <f>'Reforecast Q1 2026'!J68</f>
        <v>0</v>
      </c>
      <c r="AE53" s="529">
        <f>IF(OR(8&gt;$B$3,ISBLANK(Actuals!J68)),"",Actuals!J68)</f>
      </c>
      <c r="AF53" s="530">
        <f>IF(OR(8&gt;$B$3,ISBLANK(Actuals!J68)),"",'Reforecast Q1 2026'!J68-Actuals!J68)</f>
      </c>
      <c r="AG53" s="530">
        <f>IFERROR(IF(OR(8&gt;$B$3,ISBLANK(Actuals!J68)),"",('Reforecast Q1 2026'!J68-Actuals!J68)/ABS('Reforecast Q1 2026'!J68)),"")</f>
      </c>
      <c r="AH53" s="529">
        <f>'Reforecast Q1 2026'!K68</f>
        <v>0</v>
      </c>
      <c r="AI53" s="529">
        <f>IF(OR(9&gt;$B$3,ISBLANK(Actuals!K68)),"",Actuals!K68)</f>
      </c>
      <c r="AJ53" s="530">
        <f>IF(OR(9&gt;$B$3,ISBLANK(Actuals!K68)),"",'Reforecast Q1 2026'!K68-Actuals!K68)</f>
      </c>
      <c r="AK53" s="530">
        <f>IFERROR(IF(OR(9&gt;$B$3,ISBLANK(Actuals!K68)),"",('Reforecast Q1 2026'!K68-Actuals!K68)/ABS('Reforecast Q1 2026'!K68)),"")</f>
      </c>
      <c r="AL53" s="529">
        <f>'Reforecast Q1 2026'!L68</f>
        <v>0</v>
      </c>
      <c r="AM53" s="529">
        <f>IF(OR(10&gt;$B$3,ISBLANK(Actuals!L68)),"",Actuals!L68)</f>
      </c>
      <c r="AN53" s="530">
        <f>IF(OR(10&gt;$B$3,ISBLANK(Actuals!L68)),"",'Reforecast Q1 2026'!L68-Actuals!L68)</f>
      </c>
      <c r="AO53" s="530">
        <f>IFERROR(IF(OR(10&gt;$B$3,ISBLANK(Actuals!L68)),"",('Reforecast Q1 2026'!L68-Actuals!L68)/ABS('Reforecast Q1 2026'!L68)),"")</f>
      </c>
      <c r="AP53" s="529">
        <f>'Reforecast Q1 2026'!M68</f>
        <v>0</v>
      </c>
      <c r="AQ53" s="529">
        <f>IF(OR(11&gt;$B$3,ISBLANK(Actuals!M68)),"",Actuals!M68)</f>
      </c>
      <c r="AR53" s="530">
        <f>IF(OR(11&gt;$B$3,ISBLANK(Actuals!M68)),"",'Reforecast Q1 2026'!M68-Actuals!M68)</f>
      </c>
      <c r="AS53" s="530">
        <f>IFERROR(IF(OR(11&gt;$B$3,ISBLANK(Actuals!M68)),"",('Reforecast Q1 2026'!M68-Actuals!M68)/ABS('Reforecast Q1 2026'!M68)),"")</f>
      </c>
      <c r="AT53" s="529">
        <f>'Reforecast Q1 2026'!N68</f>
        <v>0</v>
      </c>
      <c r="AU53" s="529">
        <f>IF(OR(12&gt;$B$3,ISBLANK(Actuals!N68)),"",Actuals!N68)</f>
      </c>
      <c r="AV53" s="530">
        <f>IF(OR(12&gt;$B$3,ISBLANK(Actuals!N68)),"",'Reforecast Q1 2026'!N68-Actuals!N68)</f>
      </c>
      <c r="AW53" s="530">
        <f>IFERROR(IF(OR(12&gt;$B$3,ISBLANK(Actuals!N68)),"",('Reforecast Q1 2026'!N68-Actuals!N68)/ABS('Reforecast Q1 2026'!N68)),"")</f>
      </c>
      <c r="AX53" s="531">
        <f>SUMPRODUCT((Actuals!C68:N68&lt;&gt;"")*('Reforecast Q1 2026'!C68:N68))</f>
        <v>0</v>
      </c>
      <c r="AY53" s="531">
        <f>SUM(Actuals!C68:N68)</f>
        <v>0</v>
      </c>
      <c r="AZ53" s="532">
        <f>AX53-AY53</f>
        <v>0</v>
      </c>
    </row>
    <row r="54" ht="15" customFormat="1" customHeight="1" s="381">
      <c r="A54" s="528" t="inlineStr">
        <is>
          <t>Crenshaw Development Fee</t>
        </is>
      </c>
      <c r="B54" s="529">
        <f>'Reforecast Q1 2026'!C69</f>
        <v>9375</v>
      </c>
      <c r="C54" s="529">
        <f>IF(OR(1&gt;$B$3,ISBLANK(Actuals!C69)),"",Actuals!C69)</f>
        <v>9375</v>
      </c>
      <c r="D54" s="530">
        <f>IF(OR(1&gt;$B$3,ISBLANK(Actuals!C69)),"",'Reforecast Q1 2026'!C69-Actuals!C69)</f>
        <v>0</v>
      </c>
      <c r="E54" s="530">
        <f>IFERROR(IF(OR(1&gt;$B$3,ISBLANK(Actuals!C69)),"",('Reforecast Q1 2026'!C69-Actuals!C69)/ABS('Reforecast Q1 2026'!C69)),"")</f>
        <v>0</v>
      </c>
      <c r="F54" s="529">
        <f>'Reforecast Q1 2026'!D69</f>
        <v>9375</v>
      </c>
      <c r="G54" s="529">
        <f>IF(OR(2&gt;$B$3,ISBLANK(Actuals!D69)),"",Actuals!D69)</f>
        <v>9375</v>
      </c>
      <c r="H54" s="530">
        <f>IF(OR(2&gt;$B$3,ISBLANK(Actuals!D69)),"",'Reforecast Q1 2026'!D69-Actuals!D69)</f>
        <v>0</v>
      </c>
      <c r="I54" s="530">
        <f>IFERROR(IF(OR(2&gt;$B$3,ISBLANK(Actuals!D69)),"",('Reforecast Q1 2026'!D69-Actuals!D69)/ABS('Reforecast Q1 2026'!D69)),"")</f>
        <v>0</v>
      </c>
      <c r="J54" s="529">
        <f>'Reforecast Q1 2026'!E69</f>
        <v>9375</v>
      </c>
      <c r="K54" s="529">
        <f>IF(OR(3&gt;$B$3,ISBLANK(Actuals!E69)),"",Actuals!E69)</f>
        <v>9375</v>
      </c>
      <c r="L54" s="530">
        <f>IF(OR(3&gt;$B$3,ISBLANK(Actuals!E69)),"",'Reforecast Q1 2026'!E69-Actuals!E69)</f>
        <v>0</v>
      </c>
      <c r="M54" s="530">
        <f>IFERROR(IF(OR(3&gt;$B$3,ISBLANK(Actuals!E69)),"",('Reforecast Q1 2026'!E69-Actuals!E69)/ABS('Reforecast Q1 2026'!E69)),"")</f>
        <v>0</v>
      </c>
      <c r="N54" s="529">
        <f>'Reforecast Q1 2026'!F69</f>
        <v>9375</v>
      </c>
      <c r="O54" s="529">
        <f>IF(OR(4&gt;$B$3,ISBLANK(Actuals!F69)),"",Actuals!F69)</f>
        <v>9375</v>
      </c>
      <c r="P54" s="530">
        <f>IF(OR(4&gt;$B$3,ISBLANK(Actuals!F69)),"",'Reforecast Q1 2026'!F69-Actuals!F69)</f>
        <v>0</v>
      </c>
      <c r="Q54" s="530">
        <f>IFERROR(IF(OR(4&gt;$B$3,ISBLANK(Actuals!F69)),"",('Reforecast Q1 2026'!F69-Actuals!F69)/ABS('Reforecast Q1 2026'!F69)),"")</f>
        <v>0</v>
      </c>
      <c r="R54" s="529">
        <f>'Reforecast Q1 2026'!G69</f>
        <v>9375</v>
      </c>
      <c r="S54" s="529">
        <f>IF(OR(5&gt;$B$3,ISBLANK(Actuals!G69)),"",Actuals!G69)</f>
        <v>9375</v>
      </c>
      <c r="T54" s="530">
        <f>IF(OR(5&gt;$B$3,ISBLANK(Actuals!G69)),"",'Reforecast Q1 2026'!G69-Actuals!G69)</f>
        <v>0</v>
      </c>
      <c r="U54" s="530">
        <f>IFERROR(IF(OR(5&gt;$B$3,ISBLANK(Actuals!G69)),"",('Reforecast Q1 2026'!G69-Actuals!G69)/ABS('Reforecast Q1 2026'!G69)),"")</f>
        <v>0</v>
      </c>
      <c r="V54" s="529">
        <f>'Reforecast Q1 2026'!H69</f>
        <v>9375</v>
      </c>
      <c r="W54" s="529">
        <f>IF(OR(6&gt;$B$3,ISBLANK(Actuals!H69)),"",Actuals!H69)</f>
        <v>9375</v>
      </c>
      <c r="X54" s="530">
        <f>IF(OR(6&gt;$B$3,ISBLANK(Actuals!H69)),"",'Reforecast Q1 2026'!H69-Actuals!H69)</f>
        <v>0</v>
      </c>
      <c r="Y54" s="530">
        <f>IFERROR(IF(OR(6&gt;$B$3,ISBLANK(Actuals!H69)),"",('Reforecast Q1 2026'!H69-Actuals!H69)/ABS('Reforecast Q1 2026'!H69)),"")</f>
        <v>0</v>
      </c>
      <c r="Z54" s="529">
        <f>'Reforecast Q1 2026'!I69</f>
        <v>9375</v>
      </c>
      <c r="AA54" s="529">
        <f>IF(OR(7&gt;$B$3,ISBLANK(Actuals!I69)),"",Actuals!I69)</f>
      </c>
      <c r="AB54" s="530">
        <f>IF(OR(7&gt;$B$3,ISBLANK(Actuals!I69)),"",'Reforecast Q1 2026'!I69-Actuals!I69)</f>
      </c>
      <c r="AC54" s="530">
        <f>IFERROR(IF(OR(7&gt;$B$3,ISBLANK(Actuals!I69)),"",('Reforecast Q1 2026'!I69-Actuals!I69)/ABS('Reforecast Q1 2026'!I69)),"")</f>
      </c>
      <c r="AD54" s="529">
        <f>'Reforecast Q1 2026'!J69</f>
        <v>9375</v>
      </c>
      <c r="AE54" s="529">
        <f>IF(OR(8&gt;$B$3,ISBLANK(Actuals!J69)),"",Actuals!J69)</f>
      </c>
      <c r="AF54" s="530">
        <f>IF(OR(8&gt;$B$3,ISBLANK(Actuals!J69)),"",'Reforecast Q1 2026'!J69-Actuals!J69)</f>
      </c>
      <c r="AG54" s="530">
        <f>IFERROR(IF(OR(8&gt;$B$3,ISBLANK(Actuals!J69)),"",('Reforecast Q1 2026'!J69-Actuals!J69)/ABS('Reforecast Q1 2026'!J69)),"")</f>
      </c>
      <c r="AH54" s="529">
        <f>'Reforecast Q1 2026'!K69</f>
        <v>9375</v>
      </c>
      <c r="AI54" s="529">
        <f>IF(OR(9&gt;$B$3,ISBLANK(Actuals!K69)),"",Actuals!K69)</f>
      </c>
      <c r="AJ54" s="530">
        <f>IF(OR(9&gt;$B$3,ISBLANK(Actuals!K69)),"",'Reforecast Q1 2026'!K69-Actuals!K69)</f>
      </c>
      <c r="AK54" s="530">
        <f>IFERROR(IF(OR(9&gt;$B$3,ISBLANK(Actuals!K69)),"",('Reforecast Q1 2026'!K69-Actuals!K69)/ABS('Reforecast Q1 2026'!K69)),"")</f>
      </c>
      <c r="AL54" s="529">
        <f>'Reforecast Q1 2026'!L69</f>
        <v>9375</v>
      </c>
      <c r="AM54" s="529">
        <f>IF(OR(10&gt;$B$3,ISBLANK(Actuals!L69)),"",Actuals!L69)</f>
      </c>
      <c r="AN54" s="530">
        <f>IF(OR(10&gt;$B$3,ISBLANK(Actuals!L69)),"",'Reforecast Q1 2026'!L69-Actuals!L69)</f>
      </c>
      <c r="AO54" s="530">
        <f>IFERROR(IF(OR(10&gt;$B$3,ISBLANK(Actuals!L69)),"",('Reforecast Q1 2026'!L69-Actuals!L69)/ABS('Reforecast Q1 2026'!L69)),"")</f>
      </c>
      <c r="AP54" s="529">
        <f>'Reforecast Q1 2026'!M69</f>
        <v>0</v>
      </c>
      <c r="AQ54" s="529">
        <f>IF(OR(11&gt;$B$3,ISBLANK(Actuals!M69)),"",Actuals!M69)</f>
      </c>
      <c r="AR54" s="530">
        <f>IF(OR(11&gt;$B$3,ISBLANK(Actuals!M69)),"",'Reforecast Q1 2026'!M69-Actuals!M69)</f>
      </c>
      <c r="AS54" s="530">
        <f>IFERROR(IF(OR(11&gt;$B$3,ISBLANK(Actuals!M69)),"",('Reforecast Q1 2026'!M69-Actuals!M69)/ABS('Reforecast Q1 2026'!M69)),"")</f>
      </c>
      <c r="AT54" s="529">
        <f>'Reforecast Q1 2026'!N69</f>
        <v>0</v>
      </c>
      <c r="AU54" s="529">
        <f>IF(OR(12&gt;$B$3,ISBLANK(Actuals!N69)),"",Actuals!N69)</f>
      </c>
      <c r="AV54" s="530">
        <f>IF(OR(12&gt;$B$3,ISBLANK(Actuals!N69)),"",'Reforecast Q1 2026'!N69-Actuals!N69)</f>
      </c>
      <c r="AW54" s="530">
        <f>IFERROR(IF(OR(12&gt;$B$3,ISBLANK(Actuals!N69)),"",('Reforecast Q1 2026'!N69-Actuals!N69)/ABS('Reforecast Q1 2026'!N69)),"")</f>
      </c>
      <c r="AX54" s="531">
        <f>SUMPRODUCT((Actuals!C69:N69&lt;&gt;"")*('Reforecast Q1 2026'!C69:N69))</f>
        <v>56250</v>
      </c>
      <c r="AY54" s="531">
        <f>SUM(Actuals!C69:N69)</f>
        <v>56250</v>
      </c>
      <c r="AZ54" s="532">
        <f>AX54-AY54</f>
        <v>0</v>
      </c>
    </row>
    <row r="55" ht="15" customFormat="1" customHeight="1" s="381">
      <c r="A55" s="528" t="inlineStr">
        <is>
          <t>12th &amp; Fir Developer Fee</t>
        </is>
      </c>
      <c r="B55" s="529">
        <f>'Reforecast Q1 2026'!C70</f>
        <v>0</v>
      </c>
      <c r="C55" s="529">
        <f>IF(OR(1&gt;$B$3,ISBLANK(Actuals!C70)),"",Actuals!C70)</f>
      </c>
      <c r="D55" s="530">
        <f>IF(OR(1&gt;$B$3,ISBLANK(Actuals!C70)),"",'Reforecast Q1 2026'!C70-Actuals!C70)</f>
      </c>
      <c r="E55" s="530">
        <f>IFERROR(IF(OR(1&gt;$B$3,ISBLANK(Actuals!C70)),"",('Reforecast Q1 2026'!C70-Actuals!C70)/ABS('Reforecast Q1 2026'!C70)),"")</f>
      </c>
      <c r="F55" s="529">
        <f>'Reforecast Q1 2026'!D70</f>
        <v>0</v>
      </c>
      <c r="G55" s="529">
        <f>IF(OR(2&gt;$B$3,ISBLANK(Actuals!D70)),"",Actuals!D70)</f>
      </c>
      <c r="H55" s="530">
        <f>IF(OR(2&gt;$B$3,ISBLANK(Actuals!D70)),"",'Reforecast Q1 2026'!D70-Actuals!D70)</f>
      </c>
      <c r="I55" s="530">
        <f>IFERROR(IF(OR(2&gt;$B$3,ISBLANK(Actuals!D70)),"",('Reforecast Q1 2026'!D70-Actuals!D70)/ABS('Reforecast Q1 2026'!D70)),"")</f>
      </c>
      <c r="J55" s="529">
        <f>'Reforecast Q1 2026'!E70</f>
        <v>0</v>
      </c>
      <c r="K55" s="529">
        <f>IF(OR(3&gt;$B$3,ISBLANK(Actuals!E70)),"",Actuals!E70)</f>
      </c>
      <c r="L55" s="530">
        <f>IF(OR(3&gt;$B$3,ISBLANK(Actuals!E70)),"",'Reforecast Q1 2026'!E70-Actuals!E70)</f>
      </c>
      <c r="M55" s="530">
        <f>IFERROR(IF(OR(3&gt;$B$3,ISBLANK(Actuals!E70)),"",('Reforecast Q1 2026'!E70-Actuals!E70)/ABS('Reforecast Q1 2026'!E70)),"")</f>
      </c>
      <c r="N55" s="529">
        <f>'Reforecast Q1 2026'!F70</f>
        <v>9500</v>
      </c>
      <c r="O55" s="529">
        <f>IF(OR(4&gt;$B$3,ISBLANK(Actuals!F70)),"",Actuals!F70)</f>
      </c>
      <c r="P55" s="530">
        <f>IF(OR(4&gt;$B$3,ISBLANK(Actuals!F70)),"",'Reforecast Q1 2026'!F70-Actuals!F70)</f>
      </c>
      <c r="Q55" s="530">
        <f>IFERROR(IF(OR(4&gt;$B$3,ISBLANK(Actuals!F70)),"",('Reforecast Q1 2026'!F70-Actuals!F70)/ABS('Reforecast Q1 2026'!F70)),"")</f>
      </c>
      <c r="R55" s="529">
        <f>'Reforecast Q1 2026'!G70</f>
        <v>9500</v>
      </c>
      <c r="S55" s="529">
        <f>IF(OR(5&gt;$B$3,ISBLANK(Actuals!G70)),"",Actuals!G70)</f>
      </c>
      <c r="T55" s="530">
        <f>IF(OR(5&gt;$B$3,ISBLANK(Actuals!G70)),"",'Reforecast Q1 2026'!G70-Actuals!G70)</f>
      </c>
      <c r="U55" s="530">
        <f>IFERROR(IF(OR(5&gt;$B$3,ISBLANK(Actuals!G70)),"",('Reforecast Q1 2026'!G70-Actuals!G70)/ABS('Reforecast Q1 2026'!G70)),"")</f>
      </c>
      <c r="V55" s="529">
        <f>'Reforecast Q1 2026'!H70</f>
        <v>9500</v>
      </c>
      <c r="W55" s="529">
        <f>IF(OR(6&gt;$B$3,ISBLANK(Actuals!H70)),"",Actuals!H70)</f>
      </c>
      <c r="X55" s="530">
        <f>IF(OR(6&gt;$B$3,ISBLANK(Actuals!H70)),"",'Reforecast Q1 2026'!H70-Actuals!H70)</f>
      </c>
      <c r="Y55" s="530">
        <f>IFERROR(IF(OR(6&gt;$B$3,ISBLANK(Actuals!H70)),"",('Reforecast Q1 2026'!H70-Actuals!H70)/ABS('Reforecast Q1 2026'!H70)),"")</f>
      </c>
      <c r="Z55" s="529">
        <f>'Reforecast Q1 2026'!I70</f>
        <v>9500</v>
      </c>
      <c r="AA55" s="529">
        <f>IF(OR(7&gt;$B$3,ISBLANK(Actuals!I70)),"",Actuals!I70)</f>
      </c>
      <c r="AB55" s="530">
        <f>IF(OR(7&gt;$B$3,ISBLANK(Actuals!I70)),"",'Reforecast Q1 2026'!I70-Actuals!I70)</f>
      </c>
      <c r="AC55" s="530">
        <f>IFERROR(IF(OR(7&gt;$B$3,ISBLANK(Actuals!I70)),"",('Reforecast Q1 2026'!I70-Actuals!I70)/ABS('Reforecast Q1 2026'!I70)),"")</f>
      </c>
      <c r="AD55" s="529">
        <f>'Reforecast Q1 2026'!J70</f>
        <v>9500</v>
      </c>
      <c r="AE55" s="529">
        <f>IF(OR(8&gt;$B$3,ISBLANK(Actuals!J70)),"",Actuals!J70)</f>
      </c>
      <c r="AF55" s="530">
        <f>IF(OR(8&gt;$B$3,ISBLANK(Actuals!J70)),"",'Reforecast Q1 2026'!J70-Actuals!J70)</f>
      </c>
      <c r="AG55" s="530">
        <f>IFERROR(IF(OR(8&gt;$B$3,ISBLANK(Actuals!J70)),"",('Reforecast Q1 2026'!J70-Actuals!J70)/ABS('Reforecast Q1 2026'!J70)),"")</f>
      </c>
      <c r="AH55" s="529">
        <f>'Reforecast Q1 2026'!K70</f>
        <v>9500</v>
      </c>
      <c r="AI55" s="529">
        <f>IF(OR(9&gt;$B$3,ISBLANK(Actuals!K70)),"",Actuals!K70)</f>
      </c>
      <c r="AJ55" s="530">
        <f>IF(OR(9&gt;$B$3,ISBLANK(Actuals!K70)),"",'Reforecast Q1 2026'!K70-Actuals!K70)</f>
      </c>
      <c r="AK55" s="530">
        <f>IFERROR(IF(OR(9&gt;$B$3,ISBLANK(Actuals!K70)),"",('Reforecast Q1 2026'!K70-Actuals!K70)/ABS('Reforecast Q1 2026'!K70)),"")</f>
      </c>
      <c r="AL55" s="529">
        <f>'Reforecast Q1 2026'!L70</f>
        <v>9500</v>
      </c>
      <c r="AM55" s="529">
        <f>IF(OR(10&gt;$B$3,ISBLANK(Actuals!L70)),"",Actuals!L70)</f>
      </c>
      <c r="AN55" s="530">
        <f>IF(OR(10&gt;$B$3,ISBLANK(Actuals!L70)),"",'Reforecast Q1 2026'!L70-Actuals!L70)</f>
      </c>
      <c r="AO55" s="530">
        <f>IFERROR(IF(OR(10&gt;$B$3,ISBLANK(Actuals!L70)),"",('Reforecast Q1 2026'!L70-Actuals!L70)/ABS('Reforecast Q1 2026'!L70)),"")</f>
      </c>
      <c r="AP55" s="529">
        <f>'Reforecast Q1 2026'!M70</f>
        <v>9500</v>
      </c>
      <c r="AQ55" s="529">
        <f>IF(OR(11&gt;$B$3,ISBLANK(Actuals!M70)),"",Actuals!M70)</f>
      </c>
      <c r="AR55" s="530">
        <f>IF(OR(11&gt;$B$3,ISBLANK(Actuals!M70)),"",'Reforecast Q1 2026'!M70-Actuals!M70)</f>
      </c>
      <c r="AS55" s="530">
        <f>IFERROR(IF(OR(11&gt;$B$3,ISBLANK(Actuals!M70)),"",('Reforecast Q1 2026'!M70-Actuals!M70)/ABS('Reforecast Q1 2026'!M70)),"")</f>
      </c>
      <c r="AT55" s="529">
        <f>'Reforecast Q1 2026'!N70</f>
        <v>9500</v>
      </c>
      <c r="AU55" s="529">
        <f>IF(OR(12&gt;$B$3,ISBLANK(Actuals!N70)),"",Actuals!N70)</f>
      </c>
      <c r="AV55" s="530">
        <f>IF(OR(12&gt;$B$3,ISBLANK(Actuals!N70)),"",'Reforecast Q1 2026'!N70-Actuals!N70)</f>
      </c>
      <c r="AW55" s="530">
        <f>IFERROR(IF(OR(12&gt;$B$3,ISBLANK(Actuals!N70)),"",('Reforecast Q1 2026'!N70-Actuals!N70)/ABS('Reforecast Q1 2026'!N70)),"")</f>
      </c>
      <c r="AX55" s="531">
        <f>SUMPRODUCT((Actuals!C70:N70&lt;&gt;"")*('Reforecast Q1 2026'!C70:N70))</f>
        <v>0</v>
      </c>
      <c r="AY55" s="531">
        <f>SUM(Actuals!C70:N70)</f>
        <v>0</v>
      </c>
      <c r="AZ55" s="532">
        <f>AX55-AY55</f>
        <v>0</v>
      </c>
    </row>
    <row r="56" ht="15" customFormat="1" customHeight="1" s="381">
      <c r="A56" s="528" t="inlineStr">
        <is>
          <t>Klump Accounting Fee</t>
        </is>
      </c>
      <c r="B56" s="529">
        <f>'Reforecast Q1 2026'!C71</f>
        <v>0</v>
      </c>
      <c r="C56" s="529">
        <f>IF(OR(1&gt;$B$3,ISBLANK(Actuals!C71)),"",Actuals!C71)</f>
      </c>
      <c r="D56" s="530">
        <f>IF(OR(1&gt;$B$3,ISBLANK(Actuals!C71)),"",'Reforecast Q1 2026'!C71-Actuals!C71)</f>
      </c>
      <c r="E56" s="530">
        <f>IFERROR(IF(OR(1&gt;$B$3,ISBLANK(Actuals!C71)),"",('Reforecast Q1 2026'!C71-Actuals!C71)/ABS('Reforecast Q1 2026'!C71)),"")</f>
      </c>
      <c r="F56" s="529">
        <f>'Reforecast Q1 2026'!D71</f>
        <v>0</v>
      </c>
      <c r="G56" s="529">
        <f>IF(OR(2&gt;$B$3,ISBLANK(Actuals!D71)),"",Actuals!D71)</f>
      </c>
      <c r="H56" s="530">
        <f>IF(OR(2&gt;$B$3,ISBLANK(Actuals!D71)),"",'Reforecast Q1 2026'!D71-Actuals!D71)</f>
      </c>
      <c r="I56" s="530">
        <f>IFERROR(IF(OR(2&gt;$B$3,ISBLANK(Actuals!D71)),"",('Reforecast Q1 2026'!D71-Actuals!D71)/ABS('Reforecast Q1 2026'!D71)),"")</f>
      </c>
      <c r="J56" s="529">
        <f>'Reforecast Q1 2026'!E71</f>
        <v>0</v>
      </c>
      <c r="K56" s="529">
        <f>IF(OR(3&gt;$B$3,ISBLANK(Actuals!E71)),"",Actuals!E71)</f>
      </c>
      <c r="L56" s="530">
        <f>IF(OR(3&gt;$B$3,ISBLANK(Actuals!E71)),"",'Reforecast Q1 2026'!E71-Actuals!E71)</f>
      </c>
      <c r="M56" s="530">
        <f>IFERROR(IF(OR(3&gt;$B$3,ISBLANK(Actuals!E71)),"",('Reforecast Q1 2026'!E71-Actuals!E71)/ABS('Reforecast Q1 2026'!E71)),"")</f>
      </c>
      <c r="N56" s="529">
        <f>'Reforecast Q1 2026'!F71</f>
        <v>0</v>
      </c>
      <c r="O56" s="529">
        <f>IF(OR(4&gt;$B$3,ISBLANK(Actuals!F71)),"",Actuals!F71)</f>
      </c>
      <c r="P56" s="530">
        <f>IF(OR(4&gt;$B$3,ISBLANK(Actuals!F71)),"",'Reforecast Q1 2026'!F71-Actuals!F71)</f>
      </c>
      <c r="Q56" s="530">
        <f>IFERROR(IF(OR(4&gt;$B$3,ISBLANK(Actuals!F71)),"",('Reforecast Q1 2026'!F71-Actuals!F71)/ABS('Reforecast Q1 2026'!F71)),"")</f>
      </c>
      <c r="R56" s="529">
        <f>'Reforecast Q1 2026'!G71</f>
        <v>0</v>
      </c>
      <c r="S56" s="529">
        <f>IF(OR(5&gt;$B$3,ISBLANK(Actuals!G71)),"",Actuals!G71)</f>
      </c>
      <c r="T56" s="530">
        <f>IF(OR(5&gt;$B$3,ISBLANK(Actuals!G71)),"",'Reforecast Q1 2026'!G71-Actuals!G71)</f>
      </c>
      <c r="U56" s="530">
        <f>IFERROR(IF(OR(5&gt;$B$3,ISBLANK(Actuals!G71)),"",('Reforecast Q1 2026'!G71-Actuals!G71)/ABS('Reforecast Q1 2026'!G71)),"")</f>
      </c>
      <c r="V56" s="529">
        <f>'Reforecast Q1 2026'!H71</f>
        <v>0</v>
      </c>
      <c r="W56" s="529">
        <f>IF(OR(6&gt;$B$3,ISBLANK(Actuals!H71)),"",Actuals!H71)</f>
      </c>
      <c r="X56" s="530">
        <f>IF(OR(6&gt;$B$3,ISBLANK(Actuals!H71)),"",'Reforecast Q1 2026'!H71-Actuals!H71)</f>
      </c>
      <c r="Y56" s="530">
        <f>IFERROR(IF(OR(6&gt;$B$3,ISBLANK(Actuals!H71)),"",('Reforecast Q1 2026'!H71-Actuals!H71)/ABS('Reforecast Q1 2026'!H71)),"")</f>
      </c>
      <c r="Z56" s="529">
        <f>'Reforecast Q1 2026'!I71</f>
        <v>0</v>
      </c>
      <c r="AA56" s="529">
        <f>IF(OR(7&gt;$B$3,ISBLANK(Actuals!I71)),"",Actuals!I71)</f>
      </c>
      <c r="AB56" s="530">
        <f>IF(OR(7&gt;$B$3,ISBLANK(Actuals!I71)),"",'Reforecast Q1 2026'!I71-Actuals!I71)</f>
      </c>
      <c r="AC56" s="530">
        <f>IFERROR(IF(OR(7&gt;$B$3,ISBLANK(Actuals!I71)),"",('Reforecast Q1 2026'!I71-Actuals!I71)/ABS('Reforecast Q1 2026'!I71)),"")</f>
      </c>
      <c r="AD56" s="529">
        <f>'Reforecast Q1 2026'!J71</f>
        <v>0</v>
      </c>
      <c r="AE56" s="529">
        <f>IF(OR(8&gt;$B$3,ISBLANK(Actuals!J71)),"",Actuals!J71)</f>
      </c>
      <c r="AF56" s="530">
        <f>IF(OR(8&gt;$B$3,ISBLANK(Actuals!J71)),"",'Reforecast Q1 2026'!J71-Actuals!J71)</f>
      </c>
      <c r="AG56" s="530">
        <f>IFERROR(IF(OR(8&gt;$B$3,ISBLANK(Actuals!J71)),"",('Reforecast Q1 2026'!J71-Actuals!J71)/ABS('Reforecast Q1 2026'!J71)),"")</f>
      </c>
      <c r="AH56" s="529">
        <f>'Reforecast Q1 2026'!K71</f>
        <v>0</v>
      </c>
      <c r="AI56" s="529">
        <f>IF(OR(9&gt;$B$3,ISBLANK(Actuals!K71)),"",Actuals!K71)</f>
      </c>
      <c r="AJ56" s="530">
        <f>IF(OR(9&gt;$B$3,ISBLANK(Actuals!K71)),"",'Reforecast Q1 2026'!K71-Actuals!K71)</f>
      </c>
      <c r="AK56" s="530">
        <f>IFERROR(IF(OR(9&gt;$B$3,ISBLANK(Actuals!K71)),"",('Reforecast Q1 2026'!K71-Actuals!K71)/ABS('Reforecast Q1 2026'!K71)),"")</f>
      </c>
      <c r="AL56" s="529">
        <f>'Reforecast Q1 2026'!L71</f>
        <v>0</v>
      </c>
      <c r="AM56" s="529">
        <f>IF(OR(10&gt;$B$3,ISBLANK(Actuals!L71)),"",Actuals!L71)</f>
      </c>
      <c r="AN56" s="530">
        <f>IF(OR(10&gt;$B$3,ISBLANK(Actuals!L71)),"",'Reforecast Q1 2026'!L71-Actuals!L71)</f>
      </c>
      <c r="AO56" s="530">
        <f>IFERROR(IF(OR(10&gt;$B$3,ISBLANK(Actuals!L71)),"",('Reforecast Q1 2026'!L71-Actuals!L71)/ABS('Reforecast Q1 2026'!L71)),"")</f>
      </c>
      <c r="AP56" s="529">
        <f>'Reforecast Q1 2026'!M71</f>
        <v>0</v>
      </c>
      <c r="AQ56" s="529">
        <f>IF(OR(11&gt;$B$3,ISBLANK(Actuals!M71)),"",Actuals!M71)</f>
      </c>
      <c r="AR56" s="530">
        <f>IF(OR(11&gt;$B$3,ISBLANK(Actuals!M71)),"",'Reforecast Q1 2026'!M71-Actuals!M71)</f>
      </c>
      <c r="AS56" s="530">
        <f>IFERROR(IF(OR(11&gt;$B$3,ISBLANK(Actuals!M71)),"",('Reforecast Q1 2026'!M71-Actuals!M71)/ABS('Reforecast Q1 2026'!M71)),"")</f>
      </c>
      <c r="AT56" s="529">
        <f>'Reforecast Q1 2026'!N71</f>
        <v>0</v>
      </c>
      <c r="AU56" s="529">
        <f>IF(OR(12&gt;$B$3,ISBLANK(Actuals!N71)),"",Actuals!N71)</f>
      </c>
      <c r="AV56" s="530">
        <f>IF(OR(12&gt;$B$3,ISBLANK(Actuals!N71)),"",'Reforecast Q1 2026'!N71-Actuals!N71)</f>
      </c>
      <c r="AW56" s="530">
        <f>IFERROR(IF(OR(12&gt;$B$3,ISBLANK(Actuals!N71)),"",('Reforecast Q1 2026'!N71-Actuals!N71)/ABS('Reforecast Q1 2026'!N71)),"")</f>
      </c>
      <c r="AX56" s="531">
        <f>SUMPRODUCT((Actuals!C71:N71&lt;&gt;"")*('Reforecast Q1 2026'!C71:N71))</f>
        <v>0</v>
      </c>
      <c r="AY56" s="531">
        <f>SUM(Actuals!C71:N71)</f>
        <v>0</v>
      </c>
      <c r="AZ56" s="532">
        <f>AX56-AY56</f>
        <v>0</v>
      </c>
    </row>
    <row r="57" ht="15" customFormat="1" customHeight="1" s="381">
      <c r="A57" s="528" t="inlineStr">
        <is>
          <t>Klump Developer Fee</t>
        </is>
      </c>
      <c r="B57" s="529">
        <f>'Reforecast Q1 2026'!C72</f>
        <v>0</v>
      </c>
      <c r="C57" s="529">
        <f>IF(OR(1&gt;$B$3,ISBLANK(Actuals!C72)),"",Actuals!C72)</f>
      </c>
      <c r="D57" s="530">
        <f>IF(OR(1&gt;$B$3,ISBLANK(Actuals!C72)),"",'Reforecast Q1 2026'!C72-Actuals!C72)</f>
      </c>
      <c r="E57" s="530">
        <f>IFERROR(IF(OR(1&gt;$B$3,ISBLANK(Actuals!C72)),"",('Reforecast Q1 2026'!C72-Actuals!C72)/ABS('Reforecast Q1 2026'!C72)),"")</f>
      </c>
      <c r="F57" s="529">
        <f>'Reforecast Q1 2026'!D72</f>
        <v>0</v>
      </c>
      <c r="G57" s="529">
        <f>IF(OR(2&gt;$B$3,ISBLANK(Actuals!D72)),"",Actuals!D72)</f>
      </c>
      <c r="H57" s="530">
        <f>IF(OR(2&gt;$B$3,ISBLANK(Actuals!D72)),"",'Reforecast Q1 2026'!D72-Actuals!D72)</f>
      </c>
      <c r="I57" s="530">
        <f>IFERROR(IF(OR(2&gt;$B$3,ISBLANK(Actuals!D72)),"",('Reforecast Q1 2026'!D72-Actuals!D72)/ABS('Reforecast Q1 2026'!D72)),"")</f>
      </c>
      <c r="J57" s="529">
        <f>'Reforecast Q1 2026'!E72</f>
        <v>0</v>
      </c>
      <c r="K57" s="529">
        <f>IF(OR(3&gt;$B$3,ISBLANK(Actuals!E72)),"",Actuals!E72)</f>
      </c>
      <c r="L57" s="530">
        <f>IF(OR(3&gt;$B$3,ISBLANK(Actuals!E72)),"",'Reforecast Q1 2026'!E72-Actuals!E72)</f>
      </c>
      <c r="M57" s="530">
        <f>IFERROR(IF(OR(3&gt;$B$3,ISBLANK(Actuals!E72)),"",('Reforecast Q1 2026'!E72-Actuals!E72)/ABS('Reforecast Q1 2026'!E72)),"")</f>
      </c>
      <c r="N57" s="529">
        <f>'Reforecast Q1 2026'!F72</f>
        <v>0</v>
      </c>
      <c r="O57" s="529">
        <f>IF(OR(4&gt;$B$3,ISBLANK(Actuals!F72)),"",Actuals!F72)</f>
      </c>
      <c r="P57" s="530">
        <f>IF(OR(4&gt;$B$3,ISBLANK(Actuals!F72)),"",'Reforecast Q1 2026'!F72-Actuals!F72)</f>
      </c>
      <c r="Q57" s="530">
        <f>IFERROR(IF(OR(4&gt;$B$3,ISBLANK(Actuals!F72)),"",('Reforecast Q1 2026'!F72-Actuals!F72)/ABS('Reforecast Q1 2026'!F72)),"")</f>
      </c>
      <c r="R57" s="529">
        <f>'Reforecast Q1 2026'!G72</f>
        <v>0</v>
      </c>
      <c r="S57" s="529">
        <f>IF(OR(5&gt;$B$3,ISBLANK(Actuals!G72)),"",Actuals!G72)</f>
      </c>
      <c r="T57" s="530">
        <f>IF(OR(5&gt;$B$3,ISBLANK(Actuals!G72)),"",'Reforecast Q1 2026'!G72-Actuals!G72)</f>
      </c>
      <c r="U57" s="530">
        <f>IFERROR(IF(OR(5&gt;$B$3,ISBLANK(Actuals!G72)),"",('Reforecast Q1 2026'!G72-Actuals!G72)/ABS('Reforecast Q1 2026'!G72)),"")</f>
      </c>
      <c r="V57" s="529">
        <f>'Reforecast Q1 2026'!H72</f>
        <v>0</v>
      </c>
      <c r="W57" s="529">
        <f>IF(OR(6&gt;$B$3,ISBLANK(Actuals!H72)),"",Actuals!H72)</f>
      </c>
      <c r="X57" s="530">
        <f>IF(OR(6&gt;$B$3,ISBLANK(Actuals!H72)),"",'Reforecast Q1 2026'!H72-Actuals!H72)</f>
      </c>
      <c r="Y57" s="530">
        <f>IFERROR(IF(OR(6&gt;$B$3,ISBLANK(Actuals!H72)),"",('Reforecast Q1 2026'!H72-Actuals!H72)/ABS('Reforecast Q1 2026'!H72)),"")</f>
      </c>
      <c r="Z57" s="529">
        <f>'Reforecast Q1 2026'!I72</f>
        <v>0</v>
      </c>
      <c r="AA57" s="529">
        <f>IF(OR(7&gt;$B$3,ISBLANK(Actuals!I72)),"",Actuals!I72)</f>
      </c>
      <c r="AB57" s="530">
        <f>IF(OR(7&gt;$B$3,ISBLANK(Actuals!I72)),"",'Reforecast Q1 2026'!I72-Actuals!I72)</f>
      </c>
      <c r="AC57" s="530">
        <f>IFERROR(IF(OR(7&gt;$B$3,ISBLANK(Actuals!I72)),"",('Reforecast Q1 2026'!I72-Actuals!I72)/ABS('Reforecast Q1 2026'!I72)),"")</f>
      </c>
      <c r="AD57" s="529">
        <f>'Reforecast Q1 2026'!J72</f>
        <v>0</v>
      </c>
      <c r="AE57" s="529">
        <f>IF(OR(8&gt;$B$3,ISBLANK(Actuals!J72)),"",Actuals!J72)</f>
      </c>
      <c r="AF57" s="530">
        <f>IF(OR(8&gt;$B$3,ISBLANK(Actuals!J72)),"",'Reforecast Q1 2026'!J72-Actuals!J72)</f>
      </c>
      <c r="AG57" s="530">
        <f>IFERROR(IF(OR(8&gt;$B$3,ISBLANK(Actuals!J72)),"",('Reforecast Q1 2026'!J72-Actuals!J72)/ABS('Reforecast Q1 2026'!J72)),"")</f>
      </c>
      <c r="AH57" s="529">
        <f>'Reforecast Q1 2026'!K72</f>
        <v>0</v>
      </c>
      <c r="AI57" s="529">
        <f>IF(OR(9&gt;$B$3,ISBLANK(Actuals!K72)),"",Actuals!K72)</f>
      </c>
      <c r="AJ57" s="530">
        <f>IF(OR(9&gt;$B$3,ISBLANK(Actuals!K72)),"",'Reforecast Q1 2026'!K72-Actuals!K72)</f>
      </c>
      <c r="AK57" s="530">
        <f>IFERROR(IF(OR(9&gt;$B$3,ISBLANK(Actuals!K72)),"",('Reforecast Q1 2026'!K72-Actuals!K72)/ABS('Reforecast Q1 2026'!K72)),"")</f>
      </c>
      <c r="AL57" s="529">
        <f>'Reforecast Q1 2026'!L72</f>
        <v>0</v>
      </c>
      <c r="AM57" s="529">
        <f>IF(OR(10&gt;$B$3,ISBLANK(Actuals!L72)),"",Actuals!L72)</f>
      </c>
      <c r="AN57" s="530">
        <f>IF(OR(10&gt;$B$3,ISBLANK(Actuals!L72)),"",'Reforecast Q1 2026'!L72-Actuals!L72)</f>
      </c>
      <c r="AO57" s="530">
        <f>IFERROR(IF(OR(10&gt;$B$3,ISBLANK(Actuals!L72)),"",('Reforecast Q1 2026'!L72-Actuals!L72)/ABS('Reforecast Q1 2026'!L72)),"")</f>
      </c>
      <c r="AP57" s="529">
        <f>'Reforecast Q1 2026'!M72</f>
        <v>0</v>
      </c>
      <c r="AQ57" s="529">
        <f>IF(OR(11&gt;$B$3,ISBLANK(Actuals!M72)),"",Actuals!M72)</f>
      </c>
      <c r="AR57" s="530">
        <f>IF(OR(11&gt;$B$3,ISBLANK(Actuals!M72)),"",'Reforecast Q1 2026'!M72-Actuals!M72)</f>
      </c>
      <c r="AS57" s="530">
        <f>IFERROR(IF(OR(11&gt;$B$3,ISBLANK(Actuals!M72)),"",('Reforecast Q1 2026'!M72-Actuals!M72)/ABS('Reforecast Q1 2026'!M72)),"")</f>
      </c>
      <c r="AT57" s="529">
        <f>'Reforecast Q1 2026'!N72</f>
        <v>0</v>
      </c>
      <c r="AU57" s="529">
        <f>IF(OR(12&gt;$B$3,ISBLANK(Actuals!N72)),"",Actuals!N72)</f>
      </c>
      <c r="AV57" s="530">
        <f>IF(OR(12&gt;$B$3,ISBLANK(Actuals!N72)),"",'Reforecast Q1 2026'!N72-Actuals!N72)</f>
      </c>
      <c r="AW57" s="530">
        <f>IFERROR(IF(OR(12&gt;$B$3,ISBLANK(Actuals!N72)),"",('Reforecast Q1 2026'!N72-Actuals!N72)/ABS('Reforecast Q1 2026'!N72)),"")</f>
      </c>
      <c r="AX57" s="531">
        <f>SUMPRODUCT((Actuals!C72:N72&lt;&gt;"")*('Reforecast Q1 2026'!C72:N72))</f>
        <v>0</v>
      </c>
      <c r="AY57" s="531">
        <f>SUM(Actuals!C72:N72)</f>
        <v>0</v>
      </c>
      <c r="AZ57" s="532">
        <f>AX57-AY57</f>
        <v>0</v>
      </c>
    </row>
    <row r="58" ht="15" customFormat="1" customHeight="1" s="381">
      <c r="A58" s="528" t="inlineStr">
        <is>
          <t>Klump Guarantee Fee</t>
        </is>
      </c>
      <c r="B58" s="529">
        <f>'Reforecast Q1 2026'!C73</f>
        <v>0</v>
      </c>
      <c r="C58" s="529">
        <f>IF(OR(1&gt;$B$3,ISBLANK(Actuals!C73)),"",Actuals!C73)</f>
      </c>
      <c r="D58" s="530">
        <f>IF(OR(1&gt;$B$3,ISBLANK(Actuals!C73)),"",'Reforecast Q1 2026'!C73-Actuals!C73)</f>
      </c>
      <c r="E58" s="530">
        <f>IFERROR(IF(OR(1&gt;$B$3,ISBLANK(Actuals!C73)),"",('Reforecast Q1 2026'!C73-Actuals!C73)/ABS('Reforecast Q1 2026'!C73)),"")</f>
      </c>
      <c r="F58" s="529">
        <f>'Reforecast Q1 2026'!D73</f>
        <v>0</v>
      </c>
      <c r="G58" s="529">
        <f>IF(OR(2&gt;$B$3,ISBLANK(Actuals!D73)),"",Actuals!D73)</f>
      </c>
      <c r="H58" s="530">
        <f>IF(OR(2&gt;$B$3,ISBLANK(Actuals!D73)),"",'Reforecast Q1 2026'!D73-Actuals!D73)</f>
      </c>
      <c r="I58" s="530">
        <f>IFERROR(IF(OR(2&gt;$B$3,ISBLANK(Actuals!D73)),"",('Reforecast Q1 2026'!D73-Actuals!D73)/ABS('Reforecast Q1 2026'!D73)),"")</f>
      </c>
      <c r="J58" s="529">
        <f>'Reforecast Q1 2026'!E73</f>
        <v>0</v>
      </c>
      <c r="K58" s="529">
        <f>IF(OR(3&gt;$B$3,ISBLANK(Actuals!E73)),"",Actuals!E73)</f>
      </c>
      <c r="L58" s="530">
        <f>IF(OR(3&gt;$B$3,ISBLANK(Actuals!E73)),"",'Reforecast Q1 2026'!E73-Actuals!E73)</f>
      </c>
      <c r="M58" s="530">
        <f>IFERROR(IF(OR(3&gt;$B$3,ISBLANK(Actuals!E73)),"",('Reforecast Q1 2026'!E73-Actuals!E73)/ABS('Reforecast Q1 2026'!E73)),"")</f>
      </c>
      <c r="N58" s="529">
        <f>'Reforecast Q1 2026'!F73</f>
        <v>0</v>
      </c>
      <c r="O58" s="529">
        <f>IF(OR(4&gt;$B$3,ISBLANK(Actuals!F73)),"",Actuals!F73)</f>
      </c>
      <c r="P58" s="530">
        <f>IF(OR(4&gt;$B$3,ISBLANK(Actuals!F73)),"",'Reforecast Q1 2026'!F73-Actuals!F73)</f>
      </c>
      <c r="Q58" s="530">
        <f>IFERROR(IF(OR(4&gt;$B$3,ISBLANK(Actuals!F73)),"",('Reforecast Q1 2026'!F73-Actuals!F73)/ABS('Reforecast Q1 2026'!F73)),"")</f>
      </c>
      <c r="R58" s="529">
        <f>'Reforecast Q1 2026'!G73</f>
        <v>0</v>
      </c>
      <c r="S58" s="529">
        <f>IF(OR(5&gt;$B$3,ISBLANK(Actuals!G73)),"",Actuals!G73)</f>
      </c>
      <c r="T58" s="530">
        <f>IF(OR(5&gt;$B$3,ISBLANK(Actuals!G73)),"",'Reforecast Q1 2026'!G73-Actuals!G73)</f>
      </c>
      <c r="U58" s="530">
        <f>IFERROR(IF(OR(5&gt;$B$3,ISBLANK(Actuals!G73)),"",('Reforecast Q1 2026'!G73-Actuals!G73)/ABS('Reforecast Q1 2026'!G73)),"")</f>
      </c>
      <c r="V58" s="529">
        <f>'Reforecast Q1 2026'!H73</f>
        <v>0</v>
      </c>
      <c r="W58" s="529">
        <f>IF(OR(6&gt;$B$3,ISBLANK(Actuals!H73)),"",Actuals!H73)</f>
      </c>
      <c r="X58" s="530">
        <f>IF(OR(6&gt;$B$3,ISBLANK(Actuals!H73)),"",'Reforecast Q1 2026'!H73-Actuals!H73)</f>
      </c>
      <c r="Y58" s="530">
        <f>IFERROR(IF(OR(6&gt;$B$3,ISBLANK(Actuals!H73)),"",('Reforecast Q1 2026'!H73-Actuals!H73)/ABS('Reforecast Q1 2026'!H73)),"")</f>
      </c>
      <c r="Z58" s="529">
        <f>'Reforecast Q1 2026'!I73</f>
        <v>0</v>
      </c>
      <c r="AA58" s="529">
        <f>IF(OR(7&gt;$B$3,ISBLANK(Actuals!I73)),"",Actuals!I73)</f>
      </c>
      <c r="AB58" s="530">
        <f>IF(OR(7&gt;$B$3,ISBLANK(Actuals!I73)),"",'Reforecast Q1 2026'!I73-Actuals!I73)</f>
      </c>
      <c r="AC58" s="530">
        <f>IFERROR(IF(OR(7&gt;$B$3,ISBLANK(Actuals!I73)),"",('Reforecast Q1 2026'!I73-Actuals!I73)/ABS('Reforecast Q1 2026'!I73)),"")</f>
      </c>
      <c r="AD58" s="529">
        <f>'Reforecast Q1 2026'!J73</f>
        <v>0</v>
      </c>
      <c r="AE58" s="529">
        <f>IF(OR(8&gt;$B$3,ISBLANK(Actuals!J73)),"",Actuals!J73)</f>
      </c>
      <c r="AF58" s="530">
        <f>IF(OR(8&gt;$B$3,ISBLANK(Actuals!J73)),"",'Reforecast Q1 2026'!J73-Actuals!J73)</f>
      </c>
      <c r="AG58" s="530">
        <f>IFERROR(IF(OR(8&gt;$B$3,ISBLANK(Actuals!J73)),"",('Reforecast Q1 2026'!J73-Actuals!J73)/ABS('Reforecast Q1 2026'!J73)),"")</f>
      </c>
      <c r="AH58" s="529">
        <f>'Reforecast Q1 2026'!K73</f>
        <v>0</v>
      </c>
      <c r="AI58" s="529">
        <f>IF(OR(9&gt;$B$3,ISBLANK(Actuals!K73)),"",Actuals!K73)</f>
      </c>
      <c r="AJ58" s="530">
        <f>IF(OR(9&gt;$B$3,ISBLANK(Actuals!K73)),"",'Reforecast Q1 2026'!K73-Actuals!K73)</f>
      </c>
      <c r="AK58" s="530">
        <f>IFERROR(IF(OR(9&gt;$B$3,ISBLANK(Actuals!K73)),"",('Reforecast Q1 2026'!K73-Actuals!K73)/ABS('Reforecast Q1 2026'!K73)),"")</f>
      </c>
      <c r="AL58" s="529">
        <f>'Reforecast Q1 2026'!L73</f>
        <v>0</v>
      </c>
      <c r="AM58" s="529">
        <f>IF(OR(10&gt;$B$3,ISBLANK(Actuals!L73)),"",Actuals!L73)</f>
      </c>
      <c r="AN58" s="530">
        <f>IF(OR(10&gt;$B$3,ISBLANK(Actuals!L73)),"",'Reforecast Q1 2026'!L73-Actuals!L73)</f>
      </c>
      <c r="AO58" s="530">
        <f>IFERROR(IF(OR(10&gt;$B$3,ISBLANK(Actuals!L73)),"",('Reforecast Q1 2026'!L73-Actuals!L73)/ABS('Reforecast Q1 2026'!L73)),"")</f>
      </c>
      <c r="AP58" s="529">
        <f>'Reforecast Q1 2026'!M73</f>
        <v>0</v>
      </c>
      <c r="AQ58" s="529">
        <f>IF(OR(11&gt;$B$3,ISBLANK(Actuals!M73)),"",Actuals!M73)</f>
      </c>
      <c r="AR58" s="530">
        <f>IF(OR(11&gt;$B$3,ISBLANK(Actuals!M73)),"",'Reforecast Q1 2026'!M73-Actuals!M73)</f>
      </c>
      <c r="AS58" s="530">
        <f>IFERROR(IF(OR(11&gt;$B$3,ISBLANK(Actuals!M73)),"",('Reforecast Q1 2026'!M73-Actuals!M73)/ABS('Reforecast Q1 2026'!M73)),"")</f>
      </c>
      <c r="AT58" s="529">
        <f>'Reforecast Q1 2026'!N73</f>
        <v>0</v>
      </c>
      <c r="AU58" s="529">
        <f>IF(OR(12&gt;$B$3,ISBLANK(Actuals!N73)),"",Actuals!N73)</f>
      </c>
      <c r="AV58" s="530">
        <f>IF(OR(12&gt;$B$3,ISBLANK(Actuals!N73)),"",'Reforecast Q1 2026'!N73-Actuals!N73)</f>
      </c>
      <c r="AW58" s="530">
        <f>IFERROR(IF(OR(12&gt;$B$3,ISBLANK(Actuals!N73)),"",('Reforecast Q1 2026'!N73-Actuals!N73)/ABS('Reforecast Q1 2026'!N73)),"")</f>
      </c>
      <c r="AX58" s="531">
        <f>SUMPRODUCT((Actuals!C73:N73&lt;&gt;"")*('Reforecast Q1 2026'!C73:N73))</f>
        <v>0</v>
      </c>
      <c r="AY58" s="531">
        <f>SUM(Actuals!C73:N73)</f>
        <v>0</v>
      </c>
      <c r="AZ58" s="532">
        <f>AX58-AY58</f>
        <v>0</v>
      </c>
    </row>
    <row r="59" ht="15" customFormat="1" customHeight="1" s="381">
      <c r="A59" s="528" t="inlineStr">
        <is>
          <t>Scott Accounting Fee</t>
        </is>
      </c>
      <c r="B59" s="529">
        <f>'Reforecast Q1 2026'!C74</f>
        <v>0</v>
      </c>
      <c r="C59" s="529">
        <f>IF(OR(1&gt;$B$3,ISBLANK(Actuals!C74)),"",Actuals!C74)</f>
      </c>
      <c r="D59" s="530">
        <f>IF(OR(1&gt;$B$3,ISBLANK(Actuals!C74)),"",'Reforecast Q1 2026'!C74-Actuals!C74)</f>
      </c>
      <c r="E59" s="530">
        <f>IFERROR(IF(OR(1&gt;$B$3,ISBLANK(Actuals!C74)),"",('Reforecast Q1 2026'!C74-Actuals!C74)/ABS('Reforecast Q1 2026'!C74)),"")</f>
      </c>
      <c r="F59" s="529">
        <f>'Reforecast Q1 2026'!D74</f>
        <v>0</v>
      </c>
      <c r="G59" s="529">
        <f>IF(OR(2&gt;$B$3,ISBLANK(Actuals!D74)),"",Actuals!D74)</f>
      </c>
      <c r="H59" s="530">
        <f>IF(OR(2&gt;$B$3,ISBLANK(Actuals!D74)),"",'Reforecast Q1 2026'!D74-Actuals!D74)</f>
      </c>
      <c r="I59" s="530">
        <f>IFERROR(IF(OR(2&gt;$B$3,ISBLANK(Actuals!D74)),"",('Reforecast Q1 2026'!D74-Actuals!D74)/ABS('Reforecast Q1 2026'!D74)),"")</f>
      </c>
      <c r="J59" s="529">
        <f>'Reforecast Q1 2026'!E74</f>
        <v>0</v>
      </c>
      <c r="K59" s="529">
        <f>IF(OR(3&gt;$B$3,ISBLANK(Actuals!E74)),"",Actuals!E74)</f>
      </c>
      <c r="L59" s="530">
        <f>IF(OR(3&gt;$B$3,ISBLANK(Actuals!E74)),"",'Reforecast Q1 2026'!E74-Actuals!E74)</f>
      </c>
      <c r="M59" s="530">
        <f>IFERROR(IF(OR(3&gt;$B$3,ISBLANK(Actuals!E74)),"",('Reforecast Q1 2026'!E74-Actuals!E74)/ABS('Reforecast Q1 2026'!E74)),"")</f>
      </c>
      <c r="N59" s="529">
        <f>'Reforecast Q1 2026'!F74</f>
        <v>0</v>
      </c>
      <c r="O59" s="529">
        <f>IF(OR(4&gt;$B$3,ISBLANK(Actuals!F74)),"",Actuals!F74)</f>
      </c>
      <c r="P59" s="530">
        <f>IF(OR(4&gt;$B$3,ISBLANK(Actuals!F74)),"",'Reforecast Q1 2026'!F74-Actuals!F74)</f>
      </c>
      <c r="Q59" s="530">
        <f>IFERROR(IF(OR(4&gt;$B$3,ISBLANK(Actuals!F74)),"",('Reforecast Q1 2026'!F74-Actuals!F74)/ABS('Reforecast Q1 2026'!F74)),"")</f>
      </c>
      <c r="R59" s="529">
        <f>'Reforecast Q1 2026'!G74</f>
        <v>0</v>
      </c>
      <c r="S59" s="529">
        <f>IF(OR(5&gt;$B$3,ISBLANK(Actuals!G74)),"",Actuals!G74)</f>
      </c>
      <c r="T59" s="530">
        <f>IF(OR(5&gt;$B$3,ISBLANK(Actuals!G74)),"",'Reforecast Q1 2026'!G74-Actuals!G74)</f>
      </c>
      <c r="U59" s="530">
        <f>IFERROR(IF(OR(5&gt;$B$3,ISBLANK(Actuals!G74)),"",('Reforecast Q1 2026'!G74-Actuals!G74)/ABS('Reforecast Q1 2026'!G74)),"")</f>
      </c>
      <c r="V59" s="529">
        <f>'Reforecast Q1 2026'!H74</f>
        <v>0</v>
      </c>
      <c r="W59" s="529">
        <f>IF(OR(6&gt;$B$3,ISBLANK(Actuals!H74)),"",Actuals!H74)</f>
      </c>
      <c r="X59" s="530">
        <f>IF(OR(6&gt;$B$3,ISBLANK(Actuals!H74)),"",'Reforecast Q1 2026'!H74-Actuals!H74)</f>
      </c>
      <c r="Y59" s="530">
        <f>IFERROR(IF(OR(6&gt;$B$3,ISBLANK(Actuals!H74)),"",('Reforecast Q1 2026'!H74-Actuals!H74)/ABS('Reforecast Q1 2026'!H74)),"")</f>
      </c>
      <c r="Z59" s="529">
        <f>'Reforecast Q1 2026'!I74</f>
        <v>0</v>
      </c>
      <c r="AA59" s="529">
        <f>IF(OR(7&gt;$B$3,ISBLANK(Actuals!I74)),"",Actuals!I74)</f>
      </c>
      <c r="AB59" s="530">
        <f>IF(OR(7&gt;$B$3,ISBLANK(Actuals!I74)),"",'Reforecast Q1 2026'!I74-Actuals!I74)</f>
      </c>
      <c r="AC59" s="530">
        <f>IFERROR(IF(OR(7&gt;$B$3,ISBLANK(Actuals!I74)),"",('Reforecast Q1 2026'!I74-Actuals!I74)/ABS('Reforecast Q1 2026'!I74)),"")</f>
      </c>
      <c r="AD59" s="529">
        <f>'Reforecast Q1 2026'!J74</f>
        <v>0</v>
      </c>
      <c r="AE59" s="529">
        <f>IF(OR(8&gt;$B$3,ISBLANK(Actuals!J74)),"",Actuals!J74)</f>
      </c>
      <c r="AF59" s="530">
        <f>IF(OR(8&gt;$B$3,ISBLANK(Actuals!J74)),"",'Reforecast Q1 2026'!J74-Actuals!J74)</f>
      </c>
      <c r="AG59" s="530">
        <f>IFERROR(IF(OR(8&gt;$B$3,ISBLANK(Actuals!J74)),"",('Reforecast Q1 2026'!J74-Actuals!J74)/ABS('Reforecast Q1 2026'!J74)),"")</f>
      </c>
      <c r="AH59" s="529">
        <f>'Reforecast Q1 2026'!K74</f>
        <v>0</v>
      </c>
      <c r="AI59" s="529">
        <f>IF(OR(9&gt;$B$3,ISBLANK(Actuals!K74)),"",Actuals!K74)</f>
      </c>
      <c r="AJ59" s="530">
        <f>IF(OR(9&gt;$B$3,ISBLANK(Actuals!K74)),"",'Reforecast Q1 2026'!K74-Actuals!K74)</f>
      </c>
      <c r="AK59" s="530">
        <f>IFERROR(IF(OR(9&gt;$B$3,ISBLANK(Actuals!K74)),"",('Reforecast Q1 2026'!K74-Actuals!K74)/ABS('Reforecast Q1 2026'!K74)),"")</f>
      </c>
      <c r="AL59" s="529">
        <f>'Reforecast Q1 2026'!L74</f>
        <v>0</v>
      </c>
      <c r="AM59" s="529">
        <f>IF(OR(10&gt;$B$3,ISBLANK(Actuals!L74)),"",Actuals!L74)</f>
      </c>
      <c r="AN59" s="530">
        <f>IF(OR(10&gt;$B$3,ISBLANK(Actuals!L74)),"",'Reforecast Q1 2026'!L74-Actuals!L74)</f>
      </c>
      <c r="AO59" s="530">
        <f>IFERROR(IF(OR(10&gt;$B$3,ISBLANK(Actuals!L74)),"",('Reforecast Q1 2026'!L74-Actuals!L74)/ABS('Reforecast Q1 2026'!L74)),"")</f>
      </c>
      <c r="AP59" s="529">
        <f>'Reforecast Q1 2026'!M74</f>
        <v>0</v>
      </c>
      <c r="AQ59" s="529">
        <f>IF(OR(11&gt;$B$3,ISBLANK(Actuals!M74)),"",Actuals!M74)</f>
      </c>
      <c r="AR59" s="530">
        <f>IF(OR(11&gt;$B$3,ISBLANK(Actuals!M74)),"",'Reforecast Q1 2026'!M74-Actuals!M74)</f>
      </c>
      <c r="AS59" s="530">
        <f>IFERROR(IF(OR(11&gt;$B$3,ISBLANK(Actuals!M74)),"",('Reforecast Q1 2026'!M74-Actuals!M74)/ABS('Reforecast Q1 2026'!M74)),"")</f>
      </c>
      <c r="AT59" s="529">
        <f>'Reforecast Q1 2026'!N74</f>
        <v>0</v>
      </c>
      <c r="AU59" s="529">
        <f>IF(OR(12&gt;$B$3,ISBLANK(Actuals!N74)),"",Actuals!N74)</f>
      </c>
      <c r="AV59" s="530">
        <f>IF(OR(12&gt;$B$3,ISBLANK(Actuals!N74)),"",'Reforecast Q1 2026'!N74-Actuals!N74)</f>
      </c>
      <c r="AW59" s="530">
        <f>IFERROR(IF(OR(12&gt;$B$3,ISBLANK(Actuals!N74)),"",('Reforecast Q1 2026'!N74-Actuals!N74)/ABS('Reforecast Q1 2026'!N74)),"")</f>
      </c>
      <c r="AX59" s="531">
        <f>SUMPRODUCT((Actuals!C74:N74&lt;&gt;"")*('Reforecast Q1 2026'!C74:N74))</f>
        <v>0</v>
      </c>
      <c r="AY59" s="531">
        <f>SUM(Actuals!C74:N74)</f>
        <v>0</v>
      </c>
      <c r="AZ59" s="532">
        <f>AX59-AY59</f>
        <v>0</v>
      </c>
    </row>
    <row r="60" ht="15" customFormat="1" customHeight="1" s="381">
      <c r="A60" s="528" t="inlineStr">
        <is>
          <t>Scott Developer Fee</t>
        </is>
      </c>
      <c r="B60" s="529">
        <f>'Reforecast Q1 2026'!C75</f>
        <v>0</v>
      </c>
      <c r="C60" s="529">
        <f>IF(OR(1&gt;$B$3,ISBLANK(Actuals!C75)),"",Actuals!C75)</f>
      </c>
      <c r="D60" s="530">
        <f>IF(OR(1&gt;$B$3,ISBLANK(Actuals!C75)),"",'Reforecast Q1 2026'!C75-Actuals!C75)</f>
      </c>
      <c r="E60" s="530">
        <f>IFERROR(IF(OR(1&gt;$B$3,ISBLANK(Actuals!C75)),"",('Reforecast Q1 2026'!C75-Actuals!C75)/ABS('Reforecast Q1 2026'!C75)),"")</f>
      </c>
      <c r="F60" s="529">
        <f>'Reforecast Q1 2026'!D75</f>
        <v>0</v>
      </c>
      <c r="G60" s="529">
        <f>IF(OR(2&gt;$B$3,ISBLANK(Actuals!D75)),"",Actuals!D75)</f>
      </c>
      <c r="H60" s="530">
        <f>IF(OR(2&gt;$B$3,ISBLANK(Actuals!D75)),"",'Reforecast Q1 2026'!D75-Actuals!D75)</f>
      </c>
      <c r="I60" s="530">
        <f>IFERROR(IF(OR(2&gt;$B$3,ISBLANK(Actuals!D75)),"",('Reforecast Q1 2026'!D75-Actuals!D75)/ABS('Reforecast Q1 2026'!D75)),"")</f>
      </c>
      <c r="J60" s="529">
        <f>'Reforecast Q1 2026'!E75</f>
        <v>0</v>
      </c>
      <c r="K60" s="529">
        <f>IF(OR(3&gt;$B$3,ISBLANK(Actuals!E75)),"",Actuals!E75)</f>
      </c>
      <c r="L60" s="530">
        <f>IF(OR(3&gt;$B$3,ISBLANK(Actuals!E75)),"",'Reforecast Q1 2026'!E75-Actuals!E75)</f>
      </c>
      <c r="M60" s="530">
        <f>IFERROR(IF(OR(3&gt;$B$3,ISBLANK(Actuals!E75)),"",('Reforecast Q1 2026'!E75-Actuals!E75)/ABS('Reforecast Q1 2026'!E75)),"")</f>
      </c>
      <c r="N60" s="529">
        <f>'Reforecast Q1 2026'!F75</f>
        <v>0</v>
      </c>
      <c r="O60" s="529">
        <f>IF(OR(4&gt;$B$3,ISBLANK(Actuals!F75)),"",Actuals!F75)</f>
      </c>
      <c r="P60" s="530">
        <f>IF(OR(4&gt;$B$3,ISBLANK(Actuals!F75)),"",'Reforecast Q1 2026'!F75-Actuals!F75)</f>
      </c>
      <c r="Q60" s="530">
        <f>IFERROR(IF(OR(4&gt;$B$3,ISBLANK(Actuals!F75)),"",('Reforecast Q1 2026'!F75-Actuals!F75)/ABS('Reforecast Q1 2026'!F75)),"")</f>
      </c>
      <c r="R60" s="529">
        <f>'Reforecast Q1 2026'!G75</f>
        <v>0</v>
      </c>
      <c r="S60" s="529">
        <f>IF(OR(5&gt;$B$3,ISBLANK(Actuals!G75)),"",Actuals!G75)</f>
      </c>
      <c r="T60" s="530">
        <f>IF(OR(5&gt;$B$3,ISBLANK(Actuals!G75)),"",'Reforecast Q1 2026'!G75-Actuals!G75)</f>
      </c>
      <c r="U60" s="530">
        <f>IFERROR(IF(OR(5&gt;$B$3,ISBLANK(Actuals!G75)),"",('Reforecast Q1 2026'!G75-Actuals!G75)/ABS('Reforecast Q1 2026'!G75)),"")</f>
      </c>
      <c r="V60" s="529">
        <f>'Reforecast Q1 2026'!H75</f>
        <v>0</v>
      </c>
      <c r="W60" s="529">
        <f>IF(OR(6&gt;$B$3,ISBLANK(Actuals!H75)),"",Actuals!H75)</f>
      </c>
      <c r="X60" s="530">
        <f>IF(OR(6&gt;$B$3,ISBLANK(Actuals!H75)),"",'Reforecast Q1 2026'!H75-Actuals!H75)</f>
      </c>
      <c r="Y60" s="530">
        <f>IFERROR(IF(OR(6&gt;$B$3,ISBLANK(Actuals!H75)),"",('Reforecast Q1 2026'!H75-Actuals!H75)/ABS('Reforecast Q1 2026'!H75)),"")</f>
      </c>
      <c r="Z60" s="529">
        <f>'Reforecast Q1 2026'!I75</f>
        <v>0</v>
      </c>
      <c r="AA60" s="529">
        <f>IF(OR(7&gt;$B$3,ISBLANK(Actuals!I75)),"",Actuals!I75)</f>
      </c>
      <c r="AB60" s="530">
        <f>IF(OR(7&gt;$B$3,ISBLANK(Actuals!I75)),"",'Reforecast Q1 2026'!I75-Actuals!I75)</f>
      </c>
      <c r="AC60" s="530">
        <f>IFERROR(IF(OR(7&gt;$B$3,ISBLANK(Actuals!I75)),"",('Reforecast Q1 2026'!I75-Actuals!I75)/ABS('Reforecast Q1 2026'!I75)),"")</f>
      </c>
      <c r="AD60" s="529">
        <f>'Reforecast Q1 2026'!J75</f>
        <v>0</v>
      </c>
      <c r="AE60" s="529">
        <f>IF(OR(8&gt;$B$3,ISBLANK(Actuals!J75)),"",Actuals!J75)</f>
      </c>
      <c r="AF60" s="530">
        <f>IF(OR(8&gt;$B$3,ISBLANK(Actuals!J75)),"",'Reforecast Q1 2026'!J75-Actuals!J75)</f>
      </c>
      <c r="AG60" s="530">
        <f>IFERROR(IF(OR(8&gt;$B$3,ISBLANK(Actuals!J75)),"",('Reforecast Q1 2026'!J75-Actuals!J75)/ABS('Reforecast Q1 2026'!J75)),"")</f>
      </c>
      <c r="AH60" s="529">
        <f>'Reforecast Q1 2026'!K75</f>
        <v>0</v>
      </c>
      <c r="AI60" s="529">
        <f>IF(OR(9&gt;$B$3,ISBLANK(Actuals!K75)),"",Actuals!K75)</f>
      </c>
      <c r="AJ60" s="530">
        <f>IF(OR(9&gt;$B$3,ISBLANK(Actuals!K75)),"",'Reforecast Q1 2026'!K75-Actuals!K75)</f>
      </c>
      <c r="AK60" s="530">
        <f>IFERROR(IF(OR(9&gt;$B$3,ISBLANK(Actuals!K75)),"",('Reforecast Q1 2026'!K75-Actuals!K75)/ABS('Reforecast Q1 2026'!K75)),"")</f>
      </c>
      <c r="AL60" s="529">
        <f>'Reforecast Q1 2026'!L75</f>
        <v>0</v>
      </c>
      <c r="AM60" s="529">
        <f>IF(OR(10&gt;$B$3,ISBLANK(Actuals!L75)),"",Actuals!L75)</f>
      </c>
      <c r="AN60" s="530">
        <f>IF(OR(10&gt;$B$3,ISBLANK(Actuals!L75)),"",'Reforecast Q1 2026'!L75-Actuals!L75)</f>
      </c>
      <c r="AO60" s="530">
        <f>IFERROR(IF(OR(10&gt;$B$3,ISBLANK(Actuals!L75)),"",('Reforecast Q1 2026'!L75-Actuals!L75)/ABS('Reforecast Q1 2026'!L75)),"")</f>
      </c>
      <c r="AP60" s="529">
        <f>'Reforecast Q1 2026'!M75</f>
        <v>0</v>
      </c>
      <c r="AQ60" s="529">
        <f>IF(OR(11&gt;$B$3,ISBLANK(Actuals!M75)),"",Actuals!M75)</f>
      </c>
      <c r="AR60" s="530">
        <f>IF(OR(11&gt;$B$3,ISBLANK(Actuals!M75)),"",'Reforecast Q1 2026'!M75-Actuals!M75)</f>
      </c>
      <c r="AS60" s="530">
        <f>IFERROR(IF(OR(11&gt;$B$3,ISBLANK(Actuals!M75)),"",('Reforecast Q1 2026'!M75-Actuals!M75)/ABS('Reforecast Q1 2026'!M75)),"")</f>
      </c>
      <c r="AT60" s="529">
        <f>'Reforecast Q1 2026'!N75</f>
        <v>0</v>
      </c>
      <c r="AU60" s="529">
        <f>IF(OR(12&gt;$B$3,ISBLANK(Actuals!N75)),"",Actuals!N75)</f>
      </c>
      <c r="AV60" s="530">
        <f>IF(OR(12&gt;$B$3,ISBLANK(Actuals!N75)),"",'Reforecast Q1 2026'!N75-Actuals!N75)</f>
      </c>
      <c r="AW60" s="530">
        <f>IFERROR(IF(OR(12&gt;$B$3,ISBLANK(Actuals!N75)),"",('Reforecast Q1 2026'!N75-Actuals!N75)/ABS('Reforecast Q1 2026'!N75)),"")</f>
      </c>
      <c r="AX60" s="531">
        <f>SUMPRODUCT((Actuals!C75:N75&lt;&gt;"")*('Reforecast Q1 2026'!C75:N75))</f>
        <v>0</v>
      </c>
      <c r="AY60" s="531">
        <f>SUM(Actuals!C75:N75)</f>
        <v>0</v>
      </c>
      <c r="AZ60" s="532">
        <f>AX60-AY60</f>
        <v>0</v>
      </c>
    </row>
    <row r="61" ht="15" customFormat="1" customHeight="1" s="381">
      <c r="A61" s="528" t="inlineStr">
        <is>
          <t>Scott Guarantee Fee</t>
        </is>
      </c>
      <c r="B61" s="529">
        <f>'Reforecast Q1 2026'!C76</f>
        <v>0</v>
      </c>
      <c r="C61" s="529">
        <f>IF(OR(1&gt;$B$3,ISBLANK(Actuals!C76)),"",Actuals!C76)</f>
      </c>
      <c r="D61" s="530">
        <f>IF(OR(1&gt;$B$3,ISBLANK(Actuals!C76)),"",'Reforecast Q1 2026'!C76-Actuals!C76)</f>
      </c>
      <c r="E61" s="530">
        <f>IFERROR(IF(OR(1&gt;$B$3,ISBLANK(Actuals!C76)),"",('Reforecast Q1 2026'!C76-Actuals!C76)/ABS('Reforecast Q1 2026'!C76)),"")</f>
      </c>
      <c r="F61" s="529">
        <f>'Reforecast Q1 2026'!D76</f>
        <v>0</v>
      </c>
      <c r="G61" s="529">
        <f>IF(OR(2&gt;$B$3,ISBLANK(Actuals!D76)),"",Actuals!D76)</f>
      </c>
      <c r="H61" s="530">
        <f>IF(OR(2&gt;$B$3,ISBLANK(Actuals!D76)),"",'Reforecast Q1 2026'!D76-Actuals!D76)</f>
      </c>
      <c r="I61" s="530">
        <f>IFERROR(IF(OR(2&gt;$B$3,ISBLANK(Actuals!D76)),"",('Reforecast Q1 2026'!D76-Actuals!D76)/ABS('Reforecast Q1 2026'!D76)),"")</f>
      </c>
      <c r="J61" s="529">
        <f>'Reforecast Q1 2026'!E76</f>
        <v>0</v>
      </c>
      <c r="K61" s="529">
        <f>IF(OR(3&gt;$B$3,ISBLANK(Actuals!E76)),"",Actuals!E76)</f>
      </c>
      <c r="L61" s="530">
        <f>IF(OR(3&gt;$B$3,ISBLANK(Actuals!E76)),"",'Reforecast Q1 2026'!E76-Actuals!E76)</f>
      </c>
      <c r="M61" s="530">
        <f>IFERROR(IF(OR(3&gt;$B$3,ISBLANK(Actuals!E76)),"",('Reforecast Q1 2026'!E76-Actuals!E76)/ABS('Reforecast Q1 2026'!E76)),"")</f>
      </c>
      <c r="N61" s="529">
        <f>'Reforecast Q1 2026'!F76</f>
        <v>0</v>
      </c>
      <c r="O61" s="529">
        <f>IF(OR(4&gt;$B$3,ISBLANK(Actuals!F76)),"",Actuals!F76)</f>
      </c>
      <c r="P61" s="530">
        <f>IF(OR(4&gt;$B$3,ISBLANK(Actuals!F76)),"",'Reforecast Q1 2026'!F76-Actuals!F76)</f>
      </c>
      <c r="Q61" s="530">
        <f>IFERROR(IF(OR(4&gt;$B$3,ISBLANK(Actuals!F76)),"",('Reforecast Q1 2026'!F76-Actuals!F76)/ABS('Reforecast Q1 2026'!F76)),"")</f>
      </c>
      <c r="R61" s="529">
        <f>'Reforecast Q1 2026'!G76</f>
        <v>0</v>
      </c>
      <c r="S61" s="529">
        <f>IF(OR(5&gt;$B$3,ISBLANK(Actuals!G76)),"",Actuals!G76)</f>
      </c>
      <c r="T61" s="530">
        <f>IF(OR(5&gt;$B$3,ISBLANK(Actuals!G76)),"",'Reforecast Q1 2026'!G76-Actuals!G76)</f>
      </c>
      <c r="U61" s="530">
        <f>IFERROR(IF(OR(5&gt;$B$3,ISBLANK(Actuals!G76)),"",('Reforecast Q1 2026'!G76-Actuals!G76)/ABS('Reforecast Q1 2026'!G76)),"")</f>
      </c>
      <c r="V61" s="529">
        <f>'Reforecast Q1 2026'!H76</f>
        <v>0</v>
      </c>
      <c r="W61" s="529">
        <f>IF(OR(6&gt;$B$3,ISBLANK(Actuals!H76)),"",Actuals!H76)</f>
      </c>
      <c r="X61" s="530">
        <f>IF(OR(6&gt;$B$3,ISBLANK(Actuals!H76)),"",'Reforecast Q1 2026'!H76-Actuals!H76)</f>
      </c>
      <c r="Y61" s="530">
        <f>IFERROR(IF(OR(6&gt;$B$3,ISBLANK(Actuals!H76)),"",('Reforecast Q1 2026'!H76-Actuals!H76)/ABS('Reforecast Q1 2026'!H76)),"")</f>
      </c>
      <c r="Z61" s="529">
        <f>'Reforecast Q1 2026'!I76</f>
        <v>0</v>
      </c>
      <c r="AA61" s="529">
        <f>IF(OR(7&gt;$B$3,ISBLANK(Actuals!I76)),"",Actuals!I76)</f>
      </c>
      <c r="AB61" s="530">
        <f>IF(OR(7&gt;$B$3,ISBLANK(Actuals!I76)),"",'Reforecast Q1 2026'!I76-Actuals!I76)</f>
      </c>
      <c r="AC61" s="530">
        <f>IFERROR(IF(OR(7&gt;$B$3,ISBLANK(Actuals!I76)),"",('Reforecast Q1 2026'!I76-Actuals!I76)/ABS('Reforecast Q1 2026'!I76)),"")</f>
      </c>
      <c r="AD61" s="529">
        <f>'Reforecast Q1 2026'!J76</f>
        <v>0</v>
      </c>
      <c r="AE61" s="529">
        <f>IF(OR(8&gt;$B$3,ISBLANK(Actuals!J76)),"",Actuals!J76)</f>
      </c>
      <c r="AF61" s="530">
        <f>IF(OR(8&gt;$B$3,ISBLANK(Actuals!J76)),"",'Reforecast Q1 2026'!J76-Actuals!J76)</f>
      </c>
      <c r="AG61" s="530">
        <f>IFERROR(IF(OR(8&gt;$B$3,ISBLANK(Actuals!J76)),"",('Reforecast Q1 2026'!J76-Actuals!J76)/ABS('Reforecast Q1 2026'!J76)),"")</f>
      </c>
      <c r="AH61" s="529">
        <f>'Reforecast Q1 2026'!K76</f>
        <v>0</v>
      </c>
      <c r="AI61" s="529">
        <f>IF(OR(9&gt;$B$3,ISBLANK(Actuals!K76)),"",Actuals!K76)</f>
      </c>
      <c r="AJ61" s="530">
        <f>IF(OR(9&gt;$B$3,ISBLANK(Actuals!K76)),"",'Reforecast Q1 2026'!K76-Actuals!K76)</f>
      </c>
      <c r="AK61" s="530">
        <f>IFERROR(IF(OR(9&gt;$B$3,ISBLANK(Actuals!K76)),"",('Reforecast Q1 2026'!K76-Actuals!K76)/ABS('Reforecast Q1 2026'!K76)),"")</f>
      </c>
      <c r="AL61" s="529">
        <f>'Reforecast Q1 2026'!L76</f>
        <v>0</v>
      </c>
      <c r="AM61" s="529">
        <f>IF(OR(10&gt;$B$3,ISBLANK(Actuals!L76)),"",Actuals!L76)</f>
      </c>
      <c r="AN61" s="530">
        <f>IF(OR(10&gt;$B$3,ISBLANK(Actuals!L76)),"",'Reforecast Q1 2026'!L76-Actuals!L76)</f>
      </c>
      <c r="AO61" s="530">
        <f>IFERROR(IF(OR(10&gt;$B$3,ISBLANK(Actuals!L76)),"",('Reforecast Q1 2026'!L76-Actuals!L76)/ABS('Reforecast Q1 2026'!L76)),"")</f>
      </c>
      <c r="AP61" s="529">
        <f>'Reforecast Q1 2026'!M76</f>
        <v>0</v>
      </c>
      <c r="AQ61" s="529">
        <f>IF(OR(11&gt;$B$3,ISBLANK(Actuals!M76)),"",Actuals!M76)</f>
      </c>
      <c r="AR61" s="530">
        <f>IF(OR(11&gt;$B$3,ISBLANK(Actuals!M76)),"",'Reforecast Q1 2026'!M76-Actuals!M76)</f>
      </c>
      <c r="AS61" s="530">
        <f>IFERROR(IF(OR(11&gt;$B$3,ISBLANK(Actuals!M76)),"",('Reforecast Q1 2026'!M76-Actuals!M76)/ABS('Reforecast Q1 2026'!M76)),"")</f>
      </c>
      <c r="AT61" s="529">
        <f>'Reforecast Q1 2026'!N76</f>
        <v>0</v>
      </c>
      <c r="AU61" s="529">
        <f>IF(OR(12&gt;$B$3,ISBLANK(Actuals!N76)),"",Actuals!N76)</f>
      </c>
      <c r="AV61" s="530">
        <f>IF(OR(12&gt;$B$3,ISBLANK(Actuals!N76)),"",'Reforecast Q1 2026'!N76-Actuals!N76)</f>
      </c>
      <c r="AW61" s="530">
        <f>IFERROR(IF(OR(12&gt;$B$3,ISBLANK(Actuals!N76)),"",('Reforecast Q1 2026'!N76-Actuals!N76)/ABS('Reforecast Q1 2026'!N76)),"")</f>
      </c>
      <c r="AX61" s="531">
        <f>SUMPRODUCT((Actuals!C76:N76&lt;&gt;"")*('Reforecast Q1 2026'!C76:N76))</f>
        <v>0</v>
      </c>
      <c r="AY61" s="531">
        <f>SUM(Actuals!C76:N76)</f>
        <v>0</v>
      </c>
      <c r="AZ61" s="532">
        <f>AX61-AY61</f>
        <v>0</v>
      </c>
    </row>
    <row r="62" ht="15" customFormat="1" customHeight="1" s="381">
      <c r="A62" s="528" t="inlineStr">
        <is>
          <t>Francis LIHTC Revenue (SP Share)</t>
        </is>
      </c>
      <c r="B62" s="529">
        <f>'Reforecast Q1 2026'!C77</f>
        <v>0</v>
      </c>
      <c r="C62" s="529">
        <f>IF(OR(1&gt;$B$3,ISBLANK(Actuals!C77)),"",Actuals!C77)</f>
      </c>
      <c r="D62" s="530">
        <f>IF(OR(1&gt;$B$3,ISBLANK(Actuals!C77)),"",'Reforecast Q1 2026'!C77-Actuals!C77)</f>
      </c>
      <c r="E62" s="530">
        <f>IFERROR(IF(OR(1&gt;$B$3,ISBLANK(Actuals!C77)),"",('Reforecast Q1 2026'!C77-Actuals!C77)/ABS('Reforecast Q1 2026'!C77)),"")</f>
      </c>
      <c r="F62" s="529">
        <f>'Reforecast Q1 2026'!D77</f>
        <v>0</v>
      </c>
      <c r="G62" s="529">
        <f>IF(OR(2&gt;$B$3,ISBLANK(Actuals!D77)),"",Actuals!D77)</f>
      </c>
      <c r="H62" s="530">
        <f>IF(OR(2&gt;$B$3,ISBLANK(Actuals!D77)),"",'Reforecast Q1 2026'!D77-Actuals!D77)</f>
      </c>
      <c r="I62" s="530">
        <f>IFERROR(IF(OR(2&gt;$B$3,ISBLANK(Actuals!D77)),"",('Reforecast Q1 2026'!D77-Actuals!D77)/ABS('Reforecast Q1 2026'!D77)),"")</f>
      </c>
      <c r="J62" s="529">
        <f>'Reforecast Q1 2026'!E77</f>
        <v>0</v>
      </c>
      <c r="K62" s="529">
        <f>IF(OR(3&gt;$B$3,ISBLANK(Actuals!E77)),"",Actuals!E77)</f>
      </c>
      <c r="L62" s="530">
        <f>IF(OR(3&gt;$B$3,ISBLANK(Actuals!E77)),"",'Reforecast Q1 2026'!E77-Actuals!E77)</f>
      </c>
      <c r="M62" s="530">
        <f>IFERROR(IF(OR(3&gt;$B$3,ISBLANK(Actuals!E77)),"",('Reforecast Q1 2026'!E77-Actuals!E77)/ABS('Reforecast Q1 2026'!E77)),"")</f>
      </c>
      <c r="N62" s="529">
        <f>'Reforecast Q1 2026'!F77</f>
        <v>0</v>
      </c>
      <c r="O62" s="529">
        <f>IF(OR(4&gt;$B$3,ISBLANK(Actuals!F77)),"",Actuals!F77)</f>
      </c>
      <c r="P62" s="530">
        <f>IF(OR(4&gt;$B$3,ISBLANK(Actuals!F77)),"",'Reforecast Q1 2026'!F77-Actuals!F77)</f>
      </c>
      <c r="Q62" s="530">
        <f>IFERROR(IF(OR(4&gt;$B$3,ISBLANK(Actuals!F77)),"",('Reforecast Q1 2026'!F77-Actuals!F77)/ABS('Reforecast Q1 2026'!F77)),"")</f>
      </c>
      <c r="R62" s="529">
        <f>'Reforecast Q1 2026'!G77</f>
        <v>0</v>
      </c>
      <c r="S62" s="529">
        <f>IF(OR(5&gt;$B$3,ISBLANK(Actuals!G77)),"",Actuals!G77)</f>
      </c>
      <c r="T62" s="530">
        <f>IF(OR(5&gt;$B$3,ISBLANK(Actuals!G77)),"",'Reforecast Q1 2026'!G77-Actuals!G77)</f>
      </c>
      <c r="U62" s="530">
        <f>IFERROR(IF(OR(5&gt;$B$3,ISBLANK(Actuals!G77)),"",('Reforecast Q1 2026'!G77-Actuals!G77)/ABS('Reforecast Q1 2026'!G77)),"")</f>
      </c>
      <c r="V62" s="529">
        <f>'Reforecast Q1 2026'!H77</f>
        <v>0</v>
      </c>
      <c r="W62" s="529">
        <f>IF(OR(6&gt;$B$3,ISBLANK(Actuals!H77)),"",Actuals!H77)</f>
      </c>
      <c r="X62" s="530">
        <f>IF(OR(6&gt;$B$3,ISBLANK(Actuals!H77)),"",'Reforecast Q1 2026'!H77-Actuals!H77)</f>
      </c>
      <c r="Y62" s="530">
        <f>IFERROR(IF(OR(6&gt;$B$3,ISBLANK(Actuals!H77)),"",('Reforecast Q1 2026'!H77-Actuals!H77)/ABS('Reforecast Q1 2026'!H77)),"")</f>
      </c>
      <c r="Z62" s="529">
        <f>'Reforecast Q1 2026'!I77</f>
        <v>0</v>
      </c>
      <c r="AA62" s="529">
        <f>IF(OR(7&gt;$B$3,ISBLANK(Actuals!I77)),"",Actuals!I77)</f>
      </c>
      <c r="AB62" s="530">
        <f>IF(OR(7&gt;$B$3,ISBLANK(Actuals!I77)),"",'Reforecast Q1 2026'!I77-Actuals!I77)</f>
      </c>
      <c r="AC62" s="530">
        <f>IFERROR(IF(OR(7&gt;$B$3,ISBLANK(Actuals!I77)),"",('Reforecast Q1 2026'!I77-Actuals!I77)/ABS('Reforecast Q1 2026'!I77)),"")</f>
      </c>
      <c r="AD62" s="529">
        <f>'Reforecast Q1 2026'!J77</f>
        <v>0</v>
      </c>
      <c r="AE62" s="529">
        <f>IF(OR(8&gt;$B$3,ISBLANK(Actuals!J77)),"",Actuals!J77)</f>
      </c>
      <c r="AF62" s="530">
        <f>IF(OR(8&gt;$B$3,ISBLANK(Actuals!J77)),"",'Reforecast Q1 2026'!J77-Actuals!J77)</f>
      </c>
      <c r="AG62" s="530">
        <f>IFERROR(IF(OR(8&gt;$B$3,ISBLANK(Actuals!J77)),"",('Reforecast Q1 2026'!J77-Actuals!J77)/ABS('Reforecast Q1 2026'!J77)),"")</f>
      </c>
      <c r="AH62" s="529">
        <f>'Reforecast Q1 2026'!K77</f>
        <v>0</v>
      </c>
      <c r="AI62" s="529">
        <f>IF(OR(9&gt;$B$3,ISBLANK(Actuals!K77)),"",Actuals!K77)</f>
      </c>
      <c r="AJ62" s="530">
        <f>IF(OR(9&gt;$B$3,ISBLANK(Actuals!K77)),"",'Reforecast Q1 2026'!K77-Actuals!K77)</f>
      </c>
      <c r="AK62" s="530">
        <f>IFERROR(IF(OR(9&gt;$B$3,ISBLANK(Actuals!K77)),"",('Reforecast Q1 2026'!K77-Actuals!K77)/ABS('Reforecast Q1 2026'!K77)),"")</f>
      </c>
      <c r="AL62" s="529">
        <f>'Reforecast Q1 2026'!L77</f>
        <v>0</v>
      </c>
      <c r="AM62" s="529">
        <f>IF(OR(10&gt;$B$3,ISBLANK(Actuals!L77)),"",Actuals!L77)</f>
      </c>
      <c r="AN62" s="530">
        <f>IF(OR(10&gt;$B$3,ISBLANK(Actuals!L77)),"",'Reforecast Q1 2026'!L77-Actuals!L77)</f>
      </c>
      <c r="AO62" s="530">
        <f>IFERROR(IF(OR(10&gt;$B$3,ISBLANK(Actuals!L77)),"",('Reforecast Q1 2026'!L77-Actuals!L77)/ABS('Reforecast Q1 2026'!L77)),"")</f>
      </c>
      <c r="AP62" s="529">
        <f>'Reforecast Q1 2026'!M77</f>
        <v>0</v>
      </c>
      <c r="AQ62" s="529">
        <f>IF(OR(11&gt;$B$3,ISBLANK(Actuals!M77)),"",Actuals!M77)</f>
      </c>
      <c r="AR62" s="530">
        <f>IF(OR(11&gt;$B$3,ISBLANK(Actuals!M77)),"",'Reforecast Q1 2026'!M77-Actuals!M77)</f>
      </c>
      <c r="AS62" s="530">
        <f>IFERROR(IF(OR(11&gt;$B$3,ISBLANK(Actuals!M77)),"",('Reforecast Q1 2026'!M77-Actuals!M77)/ABS('Reforecast Q1 2026'!M77)),"")</f>
      </c>
      <c r="AT62" s="529">
        <f>'Reforecast Q1 2026'!N77</f>
        <v>0</v>
      </c>
      <c r="AU62" s="529">
        <f>IF(OR(12&gt;$B$3,ISBLANK(Actuals!N77)),"",Actuals!N77)</f>
      </c>
      <c r="AV62" s="530">
        <f>IF(OR(12&gt;$B$3,ISBLANK(Actuals!N77)),"",'Reforecast Q1 2026'!N77-Actuals!N77)</f>
      </c>
      <c r="AW62" s="530">
        <f>IFERROR(IF(OR(12&gt;$B$3,ISBLANK(Actuals!N77)),"",('Reforecast Q1 2026'!N77-Actuals!N77)/ABS('Reforecast Q1 2026'!N77)),"")</f>
      </c>
      <c r="AX62" s="531">
        <f>SUMPRODUCT((Actuals!C77:N77&lt;&gt;"")*('Reforecast Q1 2026'!C77:N77))</f>
        <v>0</v>
      </c>
      <c r="AY62" s="531">
        <f>SUM(Actuals!C77:N77)</f>
        <v>0</v>
      </c>
      <c r="AZ62" s="532">
        <f>AX62-AY62</f>
        <v>0</v>
      </c>
    </row>
    <row r="63" ht="15" customFormat="1" customHeight="1" s="381">
      <c r="A63" s="528" t="inlineStr">
        <is>
          <t>Reseda LIHTC Revenue (SP Share)</t>
        </is>
      </c>
      <c r="B63" s="529">
        <f>'Reforecast Q1 2026'!C78</f>
        <v>0</v>
      </c>
      <c r="C63" s="529">
        <f>IF(OR(1&gt;$B$3,ISBLANK(Actuals!C78)),"",Actuals!C78)</f>
      </c>
      <c r="D63" s="530">
        <f>IF(OR(1&gt;$B$3,ISBLANK(Actuals!C78)),"",'Reforecast Q1 2026'!C78-Actuals!C78)</f>
      </c>
      <c r="E63" s="530">
        <f>IFERROR(IF(OR(1&gt;$B$3,ISBLANK(Actuals!C78)),"",('Reforecast Q1 2026'!C78-Actuals!C78)/ABS('Reforecast Q1 2026'!C78)),"")</f>
      </c>
      <c r="F63" s="529">
        <f>'Reforecast Q1 2026'!D78</f>
        <v>0</v>
      </c>
      <c r="G63" s="529">
        <f>IF(OR(2&gt;$B$3,ISBLANK(Actuals!D78)),"",Actuals!D78)</f>
      </c>
      <c r="H63" s="530">
        <f>IF(OR(2&gt;$B$3,ISBLANK(Actuals!D78)),"",'Reforecast Q1 2026'!D78-Actuals!D78)</f>
      </c>
      <c r="I63" s="530">
        <f>IFERROR(IF(OR(2&gt;$B$3,ISBLANK(Actuals!D78)),"",('Reforecast Q1 2026'!D78-Actuals!D78)/ABS('Reforecast Q1 2026'!D78)),"")</f>
      </c>
      <c r="J63" s="529">
        <f>'Reforecast Q1 2026'!E78</f>
        <v>0</v>
      </c>
      <c r="K63" s="529">
        <f>IF(OR(3&gt;$B$3,ISBLANK(Actuals!E78)),"",Actuals!E78)</f>
      </c>
      <c r="L63" s="530">
        <f>IF(OR(3&gt;$B$3,ISBLANK(Actuals!E78)),"",'Reforecast Q1 2026'!E78-Actuals!E78)</f>
      </c>
      <c r="M63" s="530">
        <f>IFERROR(IF(OR(3&gt;$B$3,ISBLANK(Actuals!E78)),"",('Reforecast Q1 2026'!E78-Actuals!E78)/ABS('Reforecast Q1 2026'!E78)),"")</f>
      </c>
      <c r="N63" s="529">
        <f>'Reforecast Q1 2026'!F78</f>
        <v>0</v>
      </c>
      <c r="O63" s="529">
        <f>IF(OR(4&gt;$B$3,ISBLANK(Actuals!F78)),"",Actuals!F78)</f>
      </c>
      <c r="P63" s="530">
        <f>IF(OR(4&gt;$B$3,ISBLANK(Actuals!F78)),"",'Reforecast Q1 2026'!F78-Actuals!F78)</f>
      </c>
      <c r="Q63" s="530">
        <f>IFERROR(IF(OR(4&gt;$B$3,ISBLANK(Actuals!F78)),"",('Reforecast Q1 2026'!F78-Actuals!F78)/ABS('Reforecast Q1 2026'!F78)),"")</f>
      </c>
      <c r="R63" s="529">
        <f>'Reforecast Q1 2026'!G78</f>
        <v>0</v>
      </c>
      <c r="S63" s="529">
        <f>IF(OR(5&gt;$B$3,ISBLANK(Actuals!G78)),"",Actuals!G78)</f>
      </c>
      <c r="T63" s="530">
        <f>IF(OR(5&gt;$B$3,ISBLANK(Actuals!G78)),"",'Reforecast Q1 2026'!G78-Actuals!G78)</f>
      </c>
      <c r="U63" s="530">
        <f>IFERROR(IF(OR(5&gt;$B$3,ISBLANK(Actuals!G78)),"",('Reforecast Q1 2026'!G78-Actuals!G78)/ABS('Reforecast Q1 2026'!G78)),"")</f>
      </c>
      <c r="V63" s="529">
        <f>'Reforecast Q1 2026'!H78</f>
        <v>0</v>
      </c>
      <c r="W63" s="529">
        <f>IF(OR(6&gt;$B$3,ISBLANK(Actuals!H78)),"",Actuals!H78)</f>
      </c>
      <c r="X63" s="530">
        <f>IF(OR(6&gt;$B$3,ISBLANK(Actuals!H78)),"",'Reforecast Q1 2026'!H78-Actuals!H78)</f>
      </c>
      <c r="Y63" s="530">
        <f>IFERROR(IF(OR(6&gt;$B$3,ISBLANK(Actuals!H78)),"",('Reforecast Q1 2026'!H78-Actuals!H78)/ABS('Reforecast Q1 2026'!H78)),"")</f>
      </c>
      <c r="Z63" s="529">
        <f>'Reforecast Q1 2026'!I78</f>
        <v>0</v>
      </c>
      <c r="AA63" s="529">
        <f>IF(OR(7&gt;$B$3,ISBLANK(Actuals!I78)),"",Actuals!I78)</f>
      </c>
      <c r="AB63" s="530">
        <f>IF(OR(7&gt;$B$3,ISBLANK(Actuals!I78)),"",'Reforecast Q1 2026'!I78-Actuals!I78)</f>
      </c>
      <c r="AC63" s="530">
        <f>IFERROR(IF(OR(7&gt;$B$3,ISBLANK(Actuals!I78)),"",('Reforecast Q1 2026'!I78-Actuals!I78)/ABS('Reforecast Q1 2026'!I78)),"")</f>
      </c>
      <c r="AD63" s="529">
        <f>'Reforecast Q1 2026'!J78</f>
        <v>0</v>
      </c>
      <c r="AE63" s="529">
        <f>IF(OR(8&gt;$B$3,ISBLANK(Actuals!J78)),"",Actuals!J78)</f>
      </c>
      <c r="AF63" s="530">
        <f>IF(OR(8&gt;$B$3,ISBLANK(Actuals!J78)),"",'Reforecast Q1 2026'!J78-Actuals!J78)</f>
      </c>
      <c r="AG63" s="530">
        <f>IFERROR(IF(OR(8&gt;$B$3,ISBLANK(Actuals!J78)),"",('Reforecast Q1 2026'!J78-Actuals!J78)/ABS('Reforecast Q1 2026'!J78)),"")</f>
      </c>
      <c r="AH63" s="529">
        <f>'Reforecast Q1 2026'!K78</f>
        <v>0</v>
      </c>
      <c r="AI63" s="529">
        <f>IF(OR(9&gt;$B$3,ISBLANK(Actuals!K78)),"",Actuals!K78)</f>
      </c>
      <c r="AJ63" s="530">
        <f>IF(OR(9&gt;$B$3,ISBLANK(Actuals!K78)),"",'Reforecast Q1 2026'!K78-Actuals!K78)</f>
      </c>
      <c r="AK63" s="530">
        <f>IFERROR(IF(OR(9&gt;$B$3,ISBLANK(Actuals!K78)),"",('Reforecast Q1 2026'!K78-Actuals!K78)/ABS('Reforecast Q1 2026'!K78)),"")</f>
      </c>
      <c r="AL63" s="529">
        <f>'Reforecast Q1 2026'!L78</f>
        <v>0</v>
      </c>
      <c r="AM63" s="529">
        <f>IF(OR(10&gt;$B$3,ISBLANK(Actuals!L78)),"",Actuals!L78)</f>
      </c>
      <c r="AN63" s="530">
        <f>IF(OR(10&gt;$B$3,ISBLANK(Actuals!L78)),"",'Reforecast Q1 2026'!L78-Actuals!L78)</f>
      </c>
      <c r="AO63" s="530">
        <f>IFERROR(IF(OR(10&gt;$B$3,ISBLANK(Actuals!L78)),"",('Reforecast Q1 2026'!L78-Actuals!L78)/ABS('Reforecast Q1 2026'!L78)),"")</f>
      </c>
      <c r="AP63" s="529">
        <f>'Reforecast Q1 2026'!M78</f>
        <v>0</v>
      </c>
      <c r="AQ63" s="529">
        <f>IF(OR(11&gt;$B$3,ISBLANK(Actuals!M78)),"",Actuals!M78)</f>
      </c>
      <c r="AR63" s="530">
        <f>IF(OR(11&gt;$B$3,ISBLANK(Actuals!M78)),"",'Reforecast Q1 2026'!M78-Actuals!M78)</f>
      </c>
      <c r="AS63" s="530">
        <f>IFERROR(IF(OR(11&gt;$B$3,ISBLANK(Actuals!M78)),"",('Reforecast Q1 2026'!M78-Actuals!M78)/ABS('Reforecast Q1 2026'!M78)),"")</f>
      </c>
      <c r="AT63" s="529">
        <f>'Reforecast Q1 2026'!N78</f>
        <v>0</v>
      </c>
      <c r="AU63" s="529">
        <f>IF(OR(12&gt;$B$3,ISBLANK(Actuals!N78)),"",Actuals!N78)</f>
      </c>
      <c r="AV63" s="530">
        <f>IF(OR(12&gt;$B$3,ISBLANK(Actuals!N78)),"",'Reforecast Q1 2026'!N78-Actuals!N78)</f>
      </c>
      <c r="AW63" s="530">
        <f>IFERROR(IF(OR(12&gt;$B$3,ISBLANK(Actuals!N78)),"",('Reforecast Q1 2026'!N78-Actuals!N78)/ABS('Reforecast Q1 2026'!N78)),"")</f>
      </c>
      <c r="AX63" s="531">
        <f>SUMPRODUCT((Actuals!C78:N78&lt;&gt;"")*('Reforecast Q1 2026'!C78:N78))</f>
        <v>0</v>
      </c>
      <c r="AY63" s="531">
        <f>SUM(Actuals!C78:N78)</f>
        <v>0</v>
      </c>
      <c r="AZ63" s="532">
        <f>AX63-AY63</f>
        <v>0</v>
      </c>
    </row>
    <row r="64" ht="15" customFormat="1" customHeight="1" s="381">
      <c r="A64" s="528" t="inlineStr">
        <is>
          <t>3rd St LIHTC Revenue (SP Share)</t>
        </is>
      </c>
      <c r="B64" s="529">
        <f>'Reforecast Q1 2026'!C79</f>
        <v>0</v>
      </c>
      <c r="C64" s="529">
        <f>IF(OR(1&gt;$B$3,ISBLANK(Actuals!C79)),"",Actuals!C79)</f>
      </c>
      <c r="D64" s="530">
        <f>IF(OR(1&gt;$B$3,ISBLANK(Actuals!C79)),"",'Reforecast Q1 2026'!C79-Actuals!C79)</f>
      </c>
      <c r="E64" s="530">
        <f>IFERROR(IF(OR(1&gt;$B$3,ISBLANK(Actuals!C79)),"",('Reforecast Q1 2026'!C79-Actuals!C79)/ABS('Reforecast Q1 2026'!C79)),"")</f>
      </c>
      <c r="F64" s="529">
        <f>'Reforecast Q1 2026'!D79</f>
        <v>0</v>
      </c>
      <c r="G64" s="529">
        <f>IF(OR(2&gt;$B$3,ISBLANK(Actuals!D79)),"",Actuals!D79)</f>
      </c>
      <c r="H64" s="530">
        <f>IF(OR(2&gt;$B$3,ISBLANK(Actuals!D79)),"",'Reforecast Q1 2026'!D79-Actuals!D79)</f>
      </c>
      <c r="I64" s="530">
        <f>IFERROR(IF(OR(2&gt;$B$3,ISBLANK(Actuals!D79)),"",('Reforecast Q1 2026'!D79-Actuals!D79)/ABS('Reforecast Q1 2026'!D79)),"")</f>
      </c>
      <c r="J64" s="529">
        <f>'Reforecast Q1 2026'!E79</f>
        <v>0</v>
      </c>
      <c r="K64" s="529">
        <f>IF(OR(3&gt;$B$3,ISBLANK(Actuals!E79)),"",Actuals!E79)</f>
      </c>
      <c r="L64" s="530">
        <f>IF(OR(3&gt;$B$3,ISBLANK(Actuals!E79)),"",'Reforecast Q1 2026'!E79-Actuals!E79)</f>
      </c>
      <c r="M64" s="530">
        <f>IFERROR(IF(OR(3&gt;$B$3,ISBLANK(Actuals!E79)),"",('Reforecast Q1 2026'!E79-Actuals!E79)/ABS('Reforecast Q1 2026'!E79)),"")</f>
      </c>
      <c r="N64" s="529">
        <f>'Reforecast Q1 2026'!F79</f>
        <v>0</v>
      </c>
      <c r="O64" s="529">
        <f>IF(OR(4&gt;$B$3,ISBLANK(Actuals!F79)),"",Actuals!F79)</f>
      </c>
      <c r="P64" s="530">
        <f>IF(OR(4&gt;$B$3,ISBLANK(Actuals!F79)),"",'Reforecast Q1 2026'!F79-Actuals!F79)</f>
      </c>
      <c r="Q64" s="530">
        <f>IFERROR(IF(OR(4&gt;$B$3,ISBLANK(Actuals!F79)),"",('Reforecast Q1 2026'!F79-Actuals!F79)/ABS('Reforecast Q1 2026'!F79)),"")</f>
      </c>
      <c r="R64" s="529">
        <f>'Reforecast Q1 2026'!G79</f>
        <v>0</v>
      </c>
      <c r="S64" s="529">
        <f>IF(OR(5&gt;$B$3,ISBLANK(Actuals!G79)),"",Actuals!G79)</f>
      </c>
      <c r="T64" s="530">
        <f>IF(OR(5&gt;$B$3,ISBLANK(Actuals!G79)),"",'Reforecast Q1 2026'!G79-Actuals!G79)</f>
      </c>
      <c r="U64" s="530">
        <f>IFERROR(IF(OR(5&gt;$B$3,ISBLANK(Actuals!G79)),"",('Reforecast Q1 2026'!G79-Actuals!G79)/ABS('Reforecast Q1 2026'!G79)),"")</f>
      </c>
      <c r="V64" s="529">
        <f>'Reforecast Q1 2026'!H79</f>
        <v>0</v>
      </c>
      <c r="W64" s="529">
        <f>IF(OR(6&gt;$B$3,ISBLANK(Actuals!H79)),"",Actuals!H79)</f>
      </c>
      <c r="X64" s="530">
        <f>IF(OR(6&gt;$B$3,ISBLANK(Actuals!H79)),"",'Reforecast Q1 2026'!H79-Actuals!H79)</f>
      </c>
      <c r="Y64" s="530">
        <f>IFERROR(IF(OR(6&gt;$B$3,ISBLANK(Actuals!H79)),"",('Reforecast Q1 2026'!H79-Actuals!H79)/ABS('Reforecast Q1 2026'!H79)),"")</f>
      </c>
      <c r="Z64" s="529">
        <f>'Reforecast Q1 2026'!I79</f>
        <v>0</v>
      </c>
      <c r="AA64" s="529">
        <f>IF(OR(7&gt;$B$3,ISBLANK(Actuals!I79)),"",Actuals!I79)</f>
      </c>
      <c r="AB64" s="530">
        <f>IF(OR(7&gt;$B$3,ISBLANK(Actuals!I79)),"",'Reforecast Q1 2026'!I79-Actuals!I79)</f>
      </c>
      <c r="AC64" s="530">
        <f>IFERROR(IF(OR(7&gt;$B$3,ISBLANK(Actuals!I79)),"",('Reforecast Q1 2026'!I79-Actuals!I79)/ABS('Reforecast Q1 2026'!I79)),"")</f>
      </c>
      <c r="AD64" s="529">
        <f>'Reforecast Q1 2026'!J79</f>
        <v>0</v>
      </c>
      <c r="AE64" s="529">
        <f>IF(OR(8&gt;$B$3,ISBLANK(Actuals!J79)),"",Actuals!J79)</f>
      </c>
      <c r="AF64" s="530">
        <f>IF(OR(8&gt;$B$3,ISBLANK(Actuals!J79)),"",'Reforecast Q1 2026'!J79-Actuals!J79)</f>
      </c>
      <c r="AG64" s="530">
        <f>IFERROR(IF(OR(8&gt;$B$3,ISBLANK(Actuals!J79)),"",('Reforecast Q1 2026'!J79-Actuals!J79)/ABS('Reforecast Q1 2026'!J79)),"")</f>
      </c>
      <c r="AH64" s="529">
        <f>'Reforecast Q1 2026'!K79</f>
        <v>0</v>
      </c>
      <c r="AI64" s="529">
        <f>IF(OR(9&gt;$B$3,ISBLANK(Actuals!K79)),"",Actuals!K79)</f>
      </c>
      <c r="AJ64" s="530">
        <f>IF(OR(9&gt;$B$3,ISBLANK(Actuals!K79)),"",'Reforecast Q1 2026'!K79-Actuals!K79)</f>
      </c>
      <c r="AK64" s="530">
        <f>IFERROR(IF(OR(9&gt;$B$3,ISBLANK(Actuals!K79)),"",('Reforecast Q1 2026'!K79-Actuals!K79)/ABS('Reforecast Q1 2026'!K79)),"")</f>
      </c>
      <c r="AL64" s="529">
        <f>'Reforecast Q1 2026'!L79</f>
        <v>0</v>
      </c>
      <c r="AM64" s="529">
        <f>IF(OR(10&gt;$B$3,ISBLANK(Actuals!L79)),"",Actuals!L79)</f>
      </c>
      <c r="AN64" s="530">
        <f>IF(OR(10&gt;$B$3,ISBLANK(Actuals!L79)),"",'Reforecast Q1 2026'!L79-Actuals!L79)</f>
      </c>
      <c r="AO64" s="530">
        <f>IFERROR(IF(OR(10&gt;$B$3,ISBLANK(Actuals!L79)),"",('Reforecast Q1 2026'!L79-Actuals!L79)/ABS('Reforecast Q1 2026'!L79)),"")</f>
      </c>
      <c r="AP64" s="529">
        <f>'Reforecast Q1 2026'!M79</f>
        <v>0</v>
      </c>
      <c r="AQ64" s="529">
        <f>IF(OR(11&gt;$B$3,ISBLANK(Actuals!M79)),"",Actuals!M79)</f>
      </c>
      <c r="AR64" s="530">
        <f>IF(OR(11&gt;$B$3,ISBLANK(Actuals!M79)),"",'Reforecast Q1 2026'!M79-Actuals!M79)</f>
      </c>
      <c r="AS64" s="530">
        <f>IFERROR(IF(OR(11&gt;$B$3,ISBLANK(Actuals!M79)),"",('Reforecast Q1 2026'!M79-Actuals!M79)/ABS('Reforecast Q1 2026'!M79)),"")</f>
      </c>
      <c r="AT64" s="529">
        <f>'Reforecast Q1 2026'!N79</f>
        <v>0</v>
      </c>
      <c r="AU64" s="529">
        <f>IF(OR(12&gt;$B$3,ISBLANK(Actuals!N79)),"",Actuals!N79)</f>
      </c>
      <c r="AV64" s="530">
        <f>IF(OR(12&gt;$B$3,ISBLANK(Actuals!N79)),"",'Reforecast Q1 2026'!N79-Actuals!N79)</f>
      </c>
      <c r="AW64" s="530">
        <f>IFERROR(IF(OR(12&gt;$B$3,ISBLANK(Actuals!N79)),"",('Reforecast Q1 2026'!N79-Actuals!N79)/ABS('Reforecast Q1 2026'!N79)),"")</f>
      </c>
      <c r="AX64" s="531">
        <f>SUMPRODUCT((Actuals!C79:N79&lt;&gt;"")*('Reforecast Q1 2026'!C79:N79))</f>
        <v>0</v>
      </c>
      <c r="AY64" s="531">
        <f>SUM(Actuals!C79:N79)</f>
        <v>0</v>
      </c>
      <c r="AZ64" s="532">
        <f>AX64-AY64</f>
        <v>0</v>
      </c>
    </row>
    <row r="65" ht="15" customFormat="1" customHeight="1" s="381">
      <c r="A65" s="528" t="inlineStr">
        <is>
          <t>Uplifters Total to SP</t>
        </is>
      </c>
      <c r="B65" s="529">
        <f>'Reforecast Q1 2026'!C80</f>
        <v>0</v>
      </c>
      <c r="C65" s="529">
        <f>IF(OR(1&gt;$B$3,ISBLANK(Actuals!C80)),"",Actuals!C80)</f>
      </c>
      <c r="D65" s="530">
        <f>IF(OR(1&gt;$B$3,ISBLANK(Actuals!C80)),"",'Reforecast Q1 2026'!C80-Actuals!C80)</f>
      </c>
      <c r="E65" s="530">
        <f>IFERROR(IF(OR(1&gt;$B$3,ISBLANK(Actuals!C80)),"",('Reforecast Q1 2026'!C80-Actuals!C80)/ABS('Reforecast Q1 2026'!C80)),"")</f>
      </c>
      <c r="F65" s="529">
        <f>'Reforecast Q1 2026'!D80</f>
        <v>0</v>
      </c>
      <c r="G65" s="529">
        <f>IF(OR(2&gt;$B$3,ISBLANK(Actuals!D80)),"",Actuals!D80)</f>
      </c>
      <c r="H65" s="530">
        <f>IF(OR(2&gt;$B$3,ISBLANK(Actuals!D80)),"",'Reforecast Q1 2026'!D80-Actuals!D80)</f>
      </c>
      <c r="I65" s="530">
        <f>IFERROR(IF(OR(2&gt;$B$3,ISBLANK(Actuals!D80)),"",('Reforecast Q1 2026'!D80-Actuals!D80)/ABS('Reforecast Q1 2026'!D80)),"")</f>
      </c>
      <c r="J65" s="529">
        <f>'Reforecast Q1 2026'!E80</f>
        <v>0</v>
      </c>
      <c r="K65" s="529">
        <f>IF(OR(3&gt;$B$3,ISBLANK(Actuals!E80)),"",Actuals!E80)</f>
      </c>
      <c r="L65" s="530">
        <f>IF(OR(3&gt;$B$3,ISBLANK(Actuals!E80)),"",'Reforecast Q1 2026'!E80-Actuals!E80)</f>
      </c>
      <c r="M65" s="530">
        <f>IFERROR(IF(OR(3&gt;$B$3,ISBLANK(Actuals!E80)),"",('Reforecast Q1 2026'!E80-Actuals!E80)/ABS('Reforecast Q1 2026'!E80)),"")</f>
      </c>
      <c r="N65" s="529">
        <f>'Reforecast Q1 2026'!F80</f>
        <v>0</v>
      </c>
      <c r="O65" s="529">
        <f>IF(OR(4&gt;$B$3,ISBLANK(Actuals!F80)),"",Actuals!F80)</f>
      </c>
      <c r="P65" s="530">
        <f>IF(OR(4&gt;$B$3,ISBLANK(Actuals!F80)),"",'Reforecast Q1 2026'!F80-Actuals!F80)</f>
      </c>
      <c r="Q65" s="530">
        <f>IFERROR(IF(OR(4&gt;$B$3,ISBLANK(Actuals!F80)),"",('Reforecast Q1 2026'!F80-Actuals!F80)/ABS('Reforecast Q1 2026'!F80)),"")</f>
      </c>
      <c r="R65" s="529">
        <f>'Reforecast Q1 2026'!G80</f>
        <v>0</v>
      </c>
      <c r="S65" s="529">
        <f>IF(OR(5&gt;$B$3,ISBLANK(Actuals!G80)),"",Actuals!G80)</f>
      </c>
      <c r="T65" s="530">
        <f>IF(OR(5&gt;$B$3,ISBLANK(Actuals!G80)),"",'Reforecast Q1 2026'!G80-Actuals!G80)</f>
      </c>
      <c r="U65" s="530">
        <f>IFERROR(IF(OR(5&gt;$B$3,ISBLANK(Actuals!G80)),"",('Reforecast Q1 2026'!G80-Actuals!G80)/ABS('Reforecast Q1 2026'!G80)),"")</f>
      </c>
      <c r="V65" s="529">
        <f>'Reforecast Q1 2026'!H80</f>
        <v>0</v>
      </c>
      <c r="W65" s="529">
        <f>IF(OR(6&gt;$B$3,ISBLANK(Actuals!H80)),"",Actuals!H80)</f>
      </c>
      <c r="X65" s="530">
        <f>IF(OR(6&gt;$B$3,ISBLANK(Actuals!H80)),"",'Reforecast Q1 2026'!H80-Actuals!H80)</f>
      </c>
      <c r="Y65" s="530">
        <f>IFERROR(IF(OR(6&gt;$B$3,ISBLANK(Actuals!H80)),"",('Reforecast Q1 2026'!H80-Actuals!H80)/ABS('Reforecast Q1 2026'!H80)),"")</f>
      </c>
      <c r="Z65" s="529">
        <f>'Reforecast Q1 2026'!I80</f>
        <v>0</v>
      </c>
      <c r="AA65" s="529">
        <f>IF(OR(7&gt;$B$3,ISBLANK(Actuals!I80)),"",Actuals!I80)</f>
      </c>
      <c r="AB65" s="530">
        <f>IF(OR(7&gt;$B$3,ISBLANK(Actuals!I80)),"",'Reforecast Q1 2026'!I80-Actuals!I80)</f>
      </c>
      <c r="AC65" s="530">
        <f>IFERROR(IF(OR(7&gt;$B$3,ISBLANK(Actuals!I80)),"",('Reforecast Q1 2026'!I80-Actuals!I80)/ABS('Reforecast Q1 2026'!I80)),"")</f>
      </c>
      <c r="AD65" s="529">
        <f>'Reforecast Q1 2026'!J80</f>
        <v>0</v>
      </c>
      <c r="AE65" s="529">
        <f>IF(OR(8&gt;$B$3,ISBLANK(Actuals!J80)),"",Actuals!J80)</f>
      </c>
      <c r="AF65" s="530">
        <f>IF(OR(8&gt;$B$3,ISBLANK(Actuals!J80)),"",'Reforecast Q1 2026'!J80-Actuals!J80)</f>
      </c>
      <c r="AG65" s="530">
        <f>IFERROR(IF(OR(8&gt;$B$3,ISBLANK(Actuals!J80)),"",('Reforecast Q1 2026'!J80-Actuals!J80)/ABS('Reforecast Q1 2026'!J80)),"")</f>
      </c>
      <c r="AH65" s="529">
        <f>'Reforecast Q1 2026'!K80</f>
        <v>0</v>
      </c>
      <c r="AI65" s="529">
        <f>IF(OR(9&gt;$B$3,ISBLANK(Actuals!K80)),"",Actuals!K80)</f>
      </c>
      <c r="AJ65" s="530">
        <f>IF(OR(9&gt;$B$3,ISBLANK(Actuals!K80)),"",'Reforecast Q1 2026'!K80-Actuals!K80)</f>
      </c>
      <c r="AK65" s="530">
        <f>IFERROR(IF(OR(9&gt;$B$3,ISBLANK(Actuals!K80)),"",('Reforecast Q1 2026'!K80-Actuals!K80)/ABS('Reforecast Q1 2026'!K80)),"")</f>
      </c>
      <c r="AL65" s="529">
        <f>'Reforecast Q1 2026'!L80</f>
        <v>0</v>
      </c>
      <c r="AM65" s="529">
        <f>IF(OR(10&gt;$B$3,ISBLANK(Actuals!L80)),"",Actuals!L80)</f>
      </c>
      <c r="AN65" s="530">
        <f>IF(OR(10&gt;$B$3,ISBLANK(Actuals!L80)),"",'Reforecast Q1 2026'!L80-Actuals!L80)</f>
      </c>
      <c r="AO65" s="530">
        <f>IFERROR(IF(OR(10&gt;$B$3,ISBLANK(Actuals!L80)),"",('Reforecast Q1 2026'!L80-Actuals!L80)/ABS('Reforecast Q1 2026'!L80)),"")</f>
      </c>
      <c r="AP65" s="529">
        <f>'Reforecast Q1 2026'!M80</f>
        <v>0</v>
      </c>
      <c r="AQ65" s="529">
        <f>IF(OR(11&gt;$B$3,ISBLANK(Actuals!M80)),"",Actuals!M80)</f>
      </c>
      <c r="AR65" s="530">
        <f>IF(OR(11&gt;$B$3,ISBLANK(Actuals!M80)),"",'Reforecast Q1 2026'!M80-Actuals!M80)</f>
      </c>
      <c r="AS65" s="530">
        <f>IFERROR(IF(OR(11&gt;$B$3,ISBLANK(Actuals!M80)),"",('Reforecast Q1 2026'!M80-Actuals!M80)/ABS('Reforecast Q1 2026'!M80)),"")</f>
      </c>
      <c r="AT65" s="529">
        <f>'Reforecast Q1 2026'!N80</f>
        <v>0</v>
      </c>
      <c r="AU65" s="529">
        <f>IF(OR(12&gt;$B$3,ISBLANK(Actuals!N80)),"",Actuals!N80)</f>
      </c>
      <c r="AV65" s="530">
        <f>IF(OR(12&gt;$B$3,ISBLANK(Actuals!N80)),"",'Reforecast Q1 2026'!N80-Actuals!N80)</f>
      </c>
      <c r="AW65" s="530">
        <f>IFERROR(IF(OR(12&gt;$B$3,ISBLANK(Actuals!N80)),"",('Reforecast Q1 2026'!N80-Actuals!N80)/ABS('Reforecast Q1 2026'!N80)),"")</f>
      </c>
      <c r="AX65" s="531">
        <f>SUMPRODUCT((Actuals!C80:N80&lt;&gt;"")*('Reforecast Q1 2026'!C80:N80))</f>
        <v>0</v>
      </c>
      <c r="AY65" s="531">
        <f>SUM(Actuals!C80:N80)</f>
        <v>0</v>
      </c>
      <c r="AZ65" s="532">
        <f>AX65-AY65</f>
        <v>0</v>
      </c>
    </row>
    <row r="66" ht="15" customFormat="1" customHeight="1" s="381">
      <c r="A66" s="472" t="inlineStr">
        <is>
          <t>Non-Cash Revenue Items</t>
        </is>
      </c>
      <c r="B66" s="529">
        <f>'Reforecast Q1 2026'!C63</f>
        <v>0</v>
      </c>
      <c r="C66" s="529">
        <f>IF(OR(1&gt;$B$3,ISBLANK(Actuals!C63)),"",Actuals!C63)</f>
      </c>
      <c r="D66" s="530">
        <f>IF(OR(1&gt;$B$3,ISBLANK(Actuals!C63)),"",'Reforecast Q1 2026'!C63-Actuals!C63)</f>
      </c>
      <c r="E66" s="530">
        <f>IFERROR(IF(OR(1&gt;$B$3,ISBLANK(Actuals!C63)),"",('Reforecast Q1 2026'!C63-Actuals!C63)/ABS('Reforecast Q1 2026'!C63)),"")</f>
      </c>
      <c r="F66" s="529">
        <f>'Reforecast Q1 2026'!D63</f>
        <v>0</v>
      </c>
      <c r="G66" s="529">
        <f>IF(OR(2&gt;$B$3,ISBLANK(Actuals!D63)),"",Actuals!D63)</f>
      </c>
      <c r="H66" s="530">
        <f>IF(OR(2&gt;$B$3,ISBLANK(Actuals!D63)),"",'Reforecast Q1 2026'!D63-Actuals!D63)</f>
      </c>
      <c r="I66" s="530">
        <f>IFERROR(IF(OR(2&gt;$B$3,ISBLANK(Actuals!D63)),"",('Reforecast Q1 2026'!D63-Actuals!D63)/ABS('Reforecast Q1 2026'!D63)),"")</f>
      </c>
      <c r="J66" s="529">
        <f>'Reforecast Q1 2026'!E63</f>
        <v>0</v>
      </c>
      <c r="K66" s="529">
        <f>IF(OR(3&gt;$B$3,ISBLANK(Actuals!E63)),"",Actuals!E63)</f>
      </c>
      <c r="L66" s="530">
        <f>IF(OR(3&gt;$B$3,ISBLANK(Actuals!E63)),"",'Reforecast Q1 2026'!E63-Actuals!E63)</f>
      </c>
      <c r="M66" s="530">
        <f>IFERROR(IF(OR(3&gt;$B$3,ISBLANK(Actuals!E63)),"",('Reforecast Q1 2026'!E63-Actuals!E63)/ABS('Reforecast Q1 2026'!E63)),"")</f>
      </c>
      <c r="N66" s="529">
        <f>'Reforecast Q1 2026'!F63</f>
        <v>0</v>
      </c>
      <c r="O66" s="529">
        <f>IF(OR(4&gt;$B$3,ISBLANK(Actuals!F63)),"",Actuals!F63)</f>
      </c>
      <c r="P66" s="530">
        <f>IF(OR(4&gt;$B$3,ISBLANK(Actuals!F63)),"",'Reforecast Q1 2026'!F63-Actuals!F63)</f>
      </c>
      <c r="Q66" s="530">
        <f>IFERROR(IF(OR(4&gt;$B$3,ISBLANK(Actuals!F63)),"",('Reforecast Q1 2026'!F63-Actuals!F63)/ABS('Reforecast Q1 2026'!F63)),"")</f>
      </c>
      <c r="R66" s="529">
        <f>'Reforecast Q1 2026'!G63</f>
        <v>0</v>
      </c>
      <c r="S66" s="529">
        <f>IF(OR(5&gt;$B$3,ISBLANK(Actuals!G63)),"",Actuals!G63)</f>
      </c>
      <c r="T66" s="530">
        <f>IF(OR(5&gt;$B$3,ISBLANK(Actuals!G63)),"",'Reforecast Q1 2026'!G63-Actuals!G63)</f>
      </c>
      <c r="U66" s="530">
        <f>IFERROR(IF(OR(5&gt;$B$3,ISBLANK(Actuals!G63)),"",('Reforecast Q1 2026'!G63-Actuals!G63)/ABS('Reforecast Q1 2026'!G63)),"")</f>
      </c>
      <c r="V66" s="529">
        <f>'Reforecast Q1 2026'!H63</f>
        <v>0</v>
      </c>
      <c r="W66" s="529">
        <f>IF(OR(6&gt;$B$3,ISBLANK(Actuals!H63)),"",Actuals!H63)</f>
        <v>299000</v>
      </c>
      <c r="X66" s="530">
        <f>IF(OR(6&gt;$B$3,ISBLANK(Actuals!H63)),"",'Reforecast Q1 2026'!H63-Actuals!H63)</f>
        <v>-299000</v>
      </c>
      <c r="Y66" s="530">
        <f>IFERROR(IF(OR(6&gt;$B$3,ISBLANK(Actuals!H63)),"",('Reforecast Q1 2026'!H63-Actuals!H63)/ABS('Reforecast Q1 2026'!H63)),"")</f>
      </c>
      <c r="Z66" s="529">
        <f>'Reforecast Q1 2026'!I63</f>
        <v>0</v>
      </c>
      <c r="AA66" s="529">
        <f>IF(OR(7&gt;$B$3,ISBLANK(Actuals!I63)),"",Actuals!I63)</f>
      </c>
      <c r="AB66" s="530">
        <f>IF(OR(7&gt;$B$3,ISBLANK(Actuals!I63)),"",'Reforecast Q1 2026'!I63-Actuals!I63)</f>
      </c>
      <c r="AC66" s="530">
        <f>IFERROR(IF(OR(7&gt;$B$3,ISBLANK(Actuals!I63)),"",('Reforecast Q1 2026'!I63-Actuals!I63)/ABS('Reforecast Q1 2026'!I63)),"")</f>
      </c>
      <c r="AD66" s="529">
        <f>'Reforecast Q1 2026'!J63</f>
        <v>0</v>
      </c>
      <c r="AE66" s="529">
        <f>IF(OR(8&gt;$B$3,ISBLANK(Actuals!J63)),"",Actuals!J63)</f>
      </c>
      <c r="AF66" s="530">
        <f>IF(OR(8&gt;$B$3,ISBLANK(Actuals!J63)),"",'Reforecast Q1 2026'!J63-Actuals!J63)</f>
      </c>
      <c r="AG66" s="530">
        <f>IFERROR(IF(OR(8&gt;$B$3,ISBLANK(Actuals!J63)),"",('Reforecast Q1 2026'!J63-Actuals!J63)/ABS('Reforecast Q1 2026'!J63)),"")</f>
      </c>
      <c r="AH66" s="529">
        <f>'Reforecast Q1 2026'!K63</f>
        <v>0</v>
      </c>
      <c r="AI66" s="529">
        <f>IF(OR(9&gt;$B$3,ISBLANK(Actuals!K63)),"",Actuals!K63)</f>
      </c>
      <c r="AJ66" s="530">
        <f>IF(OR(9&gt;$B$3,ISBLANK(Actuals!K63)),"",'Reforecast Q1 2026'!K63-Actuals!K63)</f>
      </c>
      <c r="AK66" s="530">
        <f>IFERROR(IF(OR(9&gt;$B$3,ISBLANK(Actuals!K63)),"",('Reforecast Q1 2026'!K63-Actuals!K63)/ABS('Reforecast Q1 2026'!K63)),"")</f>
      </c>
      <c r="AL66" s="529">
        <f>'Reforecast Q1 2026'!L63</f>
        <v>0</v>
      </c>
      <c r="AM66" s="529">
        <f>IF(OR(10&gt;$B$3,ISBLANK(Actuals!L63)),"",Actuals!L63)</f>
      </c>
      <c r="AN66" s="530">
        <f>IF(OR(10&gt;$B$3,ISBLANK(Actuals!L63)),"",'Reforecast Q1 2026'!L63-Actuals!L63)</f>
      </c>
      <c r="AO66" s="530">
        <f>IFERROR(IF(OR(10&gt;$B$3,ISBLANK(Actuals!L63)),"",('Reforecast Q1 2026'!L63-Actuals!L63)/ABS('Reforecast Q1 2026'!L63)),"")</f>
      </c>
      <c r="AP66" s="529">
        <f>'Reforecast Q1 2026'!M63</f>
        <v>0</v>
      </c>
      <c r="AQ66" s="529">
        <f>IF(OR(11&gt;$B$3,ISBLANK(Actuals!M63)),"",Actuals!M63)</f>
      </c>
      <c r="AR66" s="530">
        <f>IF(OR(11&gt;$B$3,ISBLANK(Actuals!M63)),"",'Reforecast Q1 2026'!M63-Actuals!M63)</f>
      </c>
      <c r="AS66" s="530">
        <f>IFERROR(IF(OR(11&gt;$B$3,ISBLANK(Actuals!M63)),"",('Reforecast Q1 2026'!M63-Actuals!M63)/ABS('Reforecast Q1 2026'!M63)),"")</f>
      </c>
      <c r="AT66" s="529">
        <f>'Reforecast Q1 2026'!N63</f>
        <v>0</v>
      </c>
      <c r="AU66" s="529">
        <f>IF(OR(12&gt;$B$3,ISBLANK(Actuals!N63)),"",Actuals!N63)</f>
      </c>
      <c r="AV66" s="530">
        <f>IF(OR(12&gt;$B$3,ISBLANK(Actuals!N63)),"",'Reforecast Q1 2026'!N63-Actuals!N63)</f>
      </c>
      <c r="AW66" s="530">
        <f>IFERROR(IF(OR(12&gt;$B$3,ISBLANK(Actuals!N63)),"",('Reforecast Q1 2026'!N63-Actuals!N63)/ABS('Reforecast Q1 2026'!N63)),"")</f>
      </c>
      <c r="AX66" s="531">
        <f>SUMPRODUCT((Actuals!C63:N66&lt;&gt;"")*('Reforecast Q1 2026'!C63:N66))</f>
        <v>148437.48</v>
      </c>
      <c r="AY66" s="531">
        <f>SUM(Actuals!C63:N66)</f>
        <v>447437.48</v>
      </c>
      <c r="AZ66" s="532">
        <f>AX66-AY66</f>
        <v>-299000</v>
      </c>
    </row>
    <row r="67" ht="15" customFormat="1" customHeight="1" s="381">
      <c r="A67" s="528" t="inlineStr">
        <is>
          <t>5000-1000 Payroll</t>
        </is>
      </c>
      <c r="B67" s="529">
        <f>'Reforecast Q1 2026'!C83</f>
        <v>-54421</v>
      </c>
      <c r="C67" s="529">
        <f>IF(OR(1&gt;$B$3,ISBLANK(Actuals!C83)),"",Actuals!C83)</f>
        <v>-54421</v>
      </c>
      <c r="D67" s="530">
        <f>IF(OR(1&gt;$B$3,ISBLANK(Actuals!C83)),"",'Reforecast Q1 2026'!C83-Actuals!C83)</f>
        <v>0</v>
      </c>
      <c r="E67" s="530">
        <f>IFERROR(IF(OR(1&gt;$B$3,ISBLANK(Actuals!C83)),"",('Reforecast Q1 2026'!C83-Actuals!C83)/ABS('Reforecast Q1 2026'!C83)),"")</f>
        <v>0</v>
      </c>
      <c r="F67" s="529">
        <f>'Reforecast Q1 2026'!D83</f>
        <v>-54166.68</v>
      </c>
      <c r="G67" s="529">
        <f>IF(OR(2&gt;$B$3,ISBLANK(Actuals!D83)),"",Actuals!D83)</f>
        <v>-54166.68</v>
      </c>
      <c r="H67" s="530">
        <f>IF(OR(2&gt;$B$3,ISBLANK(Actuals!D83)),"",'Reforecast Q1 2026'!D83-Actuals!D83)</f>
        <v>0</v>
      </c>
      <c r="I67" s="530">
        <f>IFERROR(IF(OR(2&gt;$B$3,ISBLANK(Actuals!D83)),"",('Reforecast Q1 2026'!D83-Actuals!D83)/ABS('Reforecast Q1 2026'!D83)),"")</f>
        <v>0</v>
      </c>
      <c r="J67" s="529">
        <f>'Reforecast Q1 2026'!E83</f>
        <v>-54166.68</v>
      </c>
      <c r="K67" s="529">
        <f>IF(OR(3&gt;$B$3,ISBLANK(Actuals!E83)),"",Actuals!E83)</f>
        <v>-54166.68</v>
      </c>
      <c r="L67" s="530">
        <f>IF(OR(3&gt;$B$3,ISBLANK(Actuals!E83)),"",'Reforecast Q1 2026'!E83-Actuals!E83)</f>
        <v>0</v>
      </c>
      <c r="M67" s="530">
        <f>IFERROR(IF(OR(3&gt;$B$3,ISBLANK(Actuals!E83)),"",('Reforecast Q1 2026'!E83-Actuals!E83)/ABS('Reforecast Q1 2026'!E83)),"")</f>
        <v>0</v>
      </c>
      <c r="N67" s="529">
        <f>'Reforecast Q1 2026'!F83</f>
        <v>-11458.3333333333</v>
      </c>
      <c r="O67" s="529">
        <f>IF(OR(4&gt;$B$3,ISBLANK(Actuals!F83)),"",Actuals!F83)</f>
        <v>-54166.68</v>
      </c>
      <c r="P67" s="530">
        <f>IF(OR(4&gt;$B$3,ISBLANK(Actuals!F83)),"",'Reforecast Q1 2026'!F83-Actuals!F83)</f>
        <v>42708.3466666667</v>
      </c>
      <c r="Q67" s="530">
        <f>IFERROR(IF(OR(4&gt;$B$3,ISBLANK(Actuals!F83)),"",('Reforecast Q1 2026'!F83-Actuals!F83)/ABS('Reforecast Q1 2026'!F83)),"")</f>
        <v>3.72727389090911</v>
      </c>
      <c r="R67" s="529">
        <f>'Reforecast Q1 2026'!G83</f>
        <v>-11458.3333333333</v>
      </c>
      <c r="S67" s="529">
        <f>IF(OR(5&gt;$B$3,ISBLANK(Actuals!G83)),"",Actuals!G83)</f>
        <v>-54166.68</v>
      </c>
      <c r="T67" s="530">
        <f>IF(OR(5&gt;$B$3,ISBLANK(Actuals!G83)),"",'Reforecast Q1 2026'!G83-Actuals!G83)</f>
        <v>42708.3466666667</v>
      </c>
      <c r="U67" s="530">
        <f>IFERROR(IF(OR(5&gt;$B$3,ISBLANK(Actuals!G83)),"",('Reforecast Q1 2026'!G83-Actuals!G83)/ABS('Reforecast Q1 2026'!G83)),"")</f>
        <v>3.72727389090911</v>
      </c>
      <c r="V67" s="529">
        <f>'Reforecast Q1 2026'!H83</f>
        <v>-11458.3333333333</v>
      </c>
      <c r="W67" s="529">
        <f>IF(OR(6&gt;$B$3,ISBLANK(Actuals!H83)),"",Actuals!H83)</f>
        <v>-54166.68</v>
      </c>
      <c r="X67" s="530">
        <f>IF(OR(6&gt;$B$3,ISBLANK(Actuals!H83)),"",'Reforecast Q1 2026'!H83-Actuals!H83)</f>
        <v>42708.3466666667</v>
      </c>
      <c r="Y67" s="530">
        <f>IFERROR(IF(OR(6&gt;$B$3,ISBLANK(Actuals!H83)),"",('Reforecast Q1 2026'!H83-Actuals!H83)/ABS('Reforecast Q1 2026'!H83)),"")</f>
        <v>3.72727389090911</v>
      </c>
      <c r="Z67" s="529">
        <f>'Reforecast Q1 2026'!I83</f>
        <v>-11458.3333333333</v>
      </c>
      <c r="AA67" s="529">
        <f>IF(OR(7&gt;$B$3,ISBLANK(Actuals!I83)),"",Actuals!I83)</f>
      </c>
      <c r="AB67" s="530">
        <f>IF(OR(7&gt;$B$3,ISBLANK(Actuals!I83)),"",'Reforecast Q1 2026'!I83-Actuals!I83)</f>
      </c>
      <c r="AC67" s="530">
        <f>IFERROR(IF(OR(7&gt;$B$3,ISBLANK(Actuals!I83)),"",('Reforecast Q1 2026'!I83-Actuals!I83)/ABS('Reforecast Q1 2026'!I83)),"")</f>
      </c>
      <c r="AD67" s="529">
        <f>'Reforecast Q1 2026'!J83</f>
        <v>-11458.3333333333</v>
      </c>
      <c r="AE67" s="529">
        <f>IF(OR(8&gt;$B$3,ISBLANK(Actuals!J83)),"",Actuals!J83)</f>
      </c>
      <c r="AF67" s="530">
        <f>IF(OR(8&gt;$B$3,ISBLANK(Actuals!J83)),"",'Reforecast Q1 2026'!J83-Actuals!J83)</f>
      </c>
      <c r="AG67" s="530">
        <f>IFERROR(IF(OR(8&gt;$B$3,ISBLANK(Actuals!J83)),"",('Reforecast Q1 2026'!J83-Actuals!J83)/ABS('Reforecast Q1 2026'!J83)),"")</f>
      </c>
      <c r="AH67" s="529">
        <f>'Reforecast Q1 2026'!K83</f>
        <v>-11458.3333333333</v>
      </c>
      <c r="AI67" s="529">
        <f>IF(OR(9&gt;$B$3,ISBLANK(Actuals!K83)),"",Actuals!K83)</f>
      </c>
      <c r="AJ67" s="530">
        <f>IF(OR(9&gt;$B$3,ISBLANK(Actuals!K83)),"",'Reforecast Q1 2026'!K83-Actuals!K83)</f>
      </c>
      <c r="AK67" s="530">
        <f>IFERROR(IF(OR(9&gt;$B$3,ISBLANK(Actuals!K83)),"",('Reforecast Q1 2026'!K83-Actuals!K83)/ABS('Reforecast Q1 2026'!K83)),"")</f>
      </c>
      <c r="AL67" s="529">
        <f>'Reforecast Q1 2026'!L83</f>
        <v>-11458.3333333333</v>
      </c>
      <c r="AM67" s="529">
        <f>IF(OR(10&gt;$B$3,ISBLANK(Actuals!L83)),"",Actuals!L83)</f>
      </c>
      <c r="AN67" s="530">
        <f>IF(OR(10&gt;$B$3,ISBLANK(Actuals!L83)),"",'Reforecast Q1 2026'!L83-Actuals!L83)</f>
      </c>
      <c r="AO67" s="530">
        <f>IFERROR(IF(OR(10&gt;$B$3,ISBLANK(Actuals!L83)),"",('Reforecast Q1 2026'!L83-Actuals!L83)/ABS('Reforecast Q1 2026'!L83)),"")</f>
      </c>
      <c r="AP67" s="529">
        <f>'Reforecast Q1 2026'!M83</f>
        <v>-11458.3333333333</v>
      </c>
      <c r="AQ67" s="529">
        <f>IF(OR(11&gt;$B$3,ISBLANK(Actuals!M83)),"",Actuals!M83)</f>
      </c>
      <c r="AR67" s="530">
        <f>IF(OR(11&gt;$B$3,ISBLANK(Actuals!M83)),"",'Reforecast Q1 2026'!M83-Actuals!M83)</f>
      </c>
      <c r="AS67" s="530">
        <f>IFERROR(IF(OR(11&gt;$B$3,ISBLANK(Actuals!M83)),"",('Reforecast Q1 2026'!M83-Actuals!M83)/ABS('Reforecast Q1 2026'!M83)),"")</f>
      </c>
      <c r="AT67" s="529">
        <f>'Reforecast Q1 2026'!N83</f>
        <v>-11458.3333333333</v>
      </c>
      <c r="AU67" s="529">
        <f>IF(OR(12&gt;$B$3,ISBLANK(Actuals!N83)),"",Actuals!N83)</f>
      </c>
      <c r="AV67" s="530">
        <f>IF(OR(12&gt;$B$3,ISBLANK(Actuals!N83)),"",'Reforecast Q1 2026'!N83-Actuals!N83)</f>
      </c>
      <c r="AW67" s="530">
        <f>IFERROR(IF(OR(12&gt;$B$3,ISBLANK(Actuals!N83)),"",('Reforecast Q1 2026'!N83-Actuals!N83)/ABS('Reforecast Q1 2026'!N83)),"")</f>
      </c>
      <c r="AX67" s="531">
        <f>SUMPRODUCT((Actuals!C83:N83&lt;&gt;"")*('Reforecast Q1 2026'!C83:N83))</f>
        <v>-197129.36</v>
      </c>
      <c r="AY67" s="531">
        <f>SUM(Actuals!C83:N83)</f>
        <v>-325254.4</v>
      </c>
      <c r="AZ67" s="532">
        <f>AX67-AY67</f>
        <v>128125.04</v>
      </c>
    </row>
    <row r="68" ht="15" customFormat="1" customHeight="1" s="381">
      <c r="A68" s="528" t="inlineStr">
        <is>
          <t>5000-1001 Payroll Taxes</t>
        </is>
      </c>
      <c r="B68" s="529">
        <f>'Reforecast Q1 2026'!C84</f>
        <v>-5302</v>
      </c>
      <c r="C68" s="529">
        <f>IF(OR(1&gt;$B$3,ISBLANK(Actuals!C84)),"",Actuals!C84)</f>
        <v>-5302</v>
      </c>
      <c r="D68" s="530">
        <f>IF(OR(1&gt;$B$3,ISBLANK(Actuals!C84)),"",'Reforecast Q1 2026'!C84-Actuals!C84)</f>
        <v>0</v>
      </c>
      <c r="E68" s="530">
        <f>IFERROR(IF(OR(1&gt;$B$3,ISBLANK(Actuals!C84)),"",('Reforecast Q1 2026'!C84-Actuals!C84)/ABS('Reforecast Q1 2026'!C84)),"")</f>
        <v>0</v>
      </c>
      <c r="F68" s="529">
        <f>'Reforecast Q1 2026'!D84</f>
        <v>-4279.79</v>
      </c>
      <c r="G68" s="529">
        <f>IF(OR(2&gt;$B$3,ISBLANK(Actuals!D84)),"",Actuals!D84)</f>
        <v>-4279.79</v>
      </c>
      <c r="H68" s="530">
        <f>IF(OR(2&gt;$B$3,ISBLANK(Actuals!D84)),"",'Reforecast Q1 2026'!D84-Actuals!D84)</f>
        <v>0</v>
      </c>
      <c r="I68" s="530">
        <f>IFERROR(IF(OR(2&gt;$B$3,ISBLANK(Actuals!D84)),"",('Reforecast Q1 2026'!D84-Actuals!D84)/ABS('Reforecast Q1 2026'!D84)),"")</f>
        <v>0</v>
      </c>
      <c r="J68" s="529">
        <f>'Reforecast Q1 2026'!E84</f>
        <v>-4145.97</v>
      </c>
      <c r="K68" s="529">
        <f>IF(OR(3&gt;$B$3,ISBLANK(Actuals!E84)),"",Actuals!E84)</f>
        <v>-4145.97</v>
      </c>
      <c r="L68" s="530">
        <f>IF(OR(3&gt;$B$3,ISBLANK(Actuals!E84)),"",'Reforecast Q1 2026'!E84-Actuals!E84)</f>
        <v>0</v>
      </c>
      <c r="M68" s="530">
        <f>IFERROR(IF(OR(3&gt;$B$3,ISBLANK(Actuals!E84)),"",('Reforecast Q1 2026'!E84-Actuals!E84)/ABS('Reforecast Q1 2026'!E84)),"")</f>
        <v>0</v>
      </c>
      <c r="N68" s="529">
        <f>'Reforecast Q1 2026'!F84</f>
        <v>-802.083333333334</v>
      </c>
      <c r="O68" s="529">
        <f>IF(OR(4&gt;$B$3,ISBLANK(Actuals!F84)),"",Actuals!F84)</f>
        <v>-4145.96</v>
      </c>
      <c r="P68" s="530">
        <f>IF(OR(4&gt;$B$3,ISBLANK(Actuals!F84)),"",'Reforecast Q1 2026'!F84-Actuals!F84)</f>
        <v>3343.87666666667</v>
      </c>
      <c r="Q68" s="530">
        <f>IFERROR(IF(OR(4&gt;$B$3,ISBLANK(Actuals!F84)),"",('Reforecast Q1 2026'!F84-Actuals!F84)/ABS('Reforecast Q1 2026'!F84)),"")</f>
        <v>4.16898909090909</v>
      </c>
      <c r="R68" s="529">
        <f>'Reforecast Q1 2026'!G84</f>
        <v>-802.083333333334</v>
      </c>
      <c r="S68" s="529">
        <f>IF(OR(5&gt;$B$3,ISBLANK(Actuals!G84)),"",Actuals!G84)</f>
        <v>-4145.99</v>
      </c>
      <c r="T68" s="530">
        <f>IF(OR(5&gt;$B$3,ISBLANK(Actuals!G84)),"",'Reforecast Q1 2026'!G84-Actuals!G84)</f>
        <v>3343.90666666667</v>
      </c>
      <c r="U68" s="530">
        <f>IFERROR(IF(OR(5&gt;$B$3,ISBLANK(Actuals!G84)),"",('Reforecast Q1 2026'!G84-Actuals!G84)/ABS('Reforecast Q1 2026'!G84)),"")</f>
        <v>4.16902649350649</v>
      </c>
      <c r="V68" s="529">
        <f>'Reforecast Q1 2026'!H84</f>
        <v>-802.083333333334</v>
      </c>
      <c r="W68" s="529">
        <f>IF(OR(6&gt;$B$3,ISBLANK(Actuals!H84)),"",Actuals!H84)</f>
        <v>-4145.95</v>
      </c>
      <c r="X68" s="530">
        <f>IF(OR(6&gt;$B$3,ISBLANK(Actuals!H84)),"",'Reforecast Q1 2026'!H84-Actuals!H84)</f>
        <v>3343.86666666667</v>
      </c>
      <c r="Y68" s="530">
        <f>IFERROR(IF(OR(6&gt;$B$3,ISBLANK(Actuals!H84)),"",('Reforecast Q1 2026'!H84-Actuals!H84)/ABS('Reforecast Q1 2026'!H84)),"")</f>
        <v>4.16897662337662</v>
      </c>
      <c r="Z68" s="529">
        <f>'Reforecast Q1 2026'!I84</f>
        <v>-802.083333333334</v>
      </c>
      <c r="AA68" s="529">
        <f>IF(OR(7&gt;$B$3,ISBLANK(Actuals!I84)),"",Actuals!I84)</f>
      </c>
      <c r="AB68" s="530">
        <f>IF(OR(7&gt;$B$3,ISBLANK(Actuals!I84)),"",'Reforecast Q1 2026'!I84-Actuals!I84)</f>
      </c>
      <c r="AC68" s="530">
        <f>IFERROR(IF(OR(7&gt;$B$3,ISBLANK(Actuals!I84)),"",('Reforecast Q1 2026'!I84-Actuals!I84)/ABS('Reforecast Q1 2026'!I84)),"")</f>
      </c>
      <c r="AD68" s="529">
        <f>'Reforecast Q1 2026'!J84</f>
        <v>-802.083333333334</v>
      </c>
      <c r="AE68" s="529">
        <f>IF(OR(8&gt;$B$3,ISBLANK(Actuals!J84)),"",Actuals!J84)</f>
      </c>
      <c r="AF68" s="530">
        <f>IF(OR(8&gt;$B$3,ISBLANK(Actuals!J84)),"",'Reforecast Q1 2026'!J84-Actuals!J84)</f>
      </c>
      <c r="AG68" s="530">
        <f>IFERROR(IF(OR(8&gt;$B$3,ISBLANK(Actuals!J84)),"",('Reforecast Q1 2026'!J84-Actuals!J84)/ABS('Reforecast Q1 2026'!J84)),"")</f>
      </c>
      <c r="AH68" s="529">
        <f>'Reforecast Q1 2026'!K84</f>
        <v>-802.083333333334</v>
      </c>
      <c r="AI68" s="529">
        <f>IF(OR(9&gt;$B$3,ISBLANK(Actuals!K84)),"",Actuals!K84)</f>
      </c>
      <c r="AJ68" s="530">
        <f>IF(OR(9&gt;$B$3,ISBLANK(Actuals!K84)),"",'Reforecast Q1 2026'!K84-Actuals!K84)</f>
      </c>
      <c r="AK68" s="530">
        <f>IFERROR(IF(OR(9&gt;$B$3,ISBLANK(Actuals!K84)),"",('Reforecast Q1 2026'!K84-Actuals!K84)/ABS('Reforecast Q1 2026'!K84)),"")</f>
      </c>
      <c r="AL68" s="529">
        <f>'Reforecast Q1 2026'!L84</f>
        <v>-802.083333333334</v>
      </c>
      <c r="AM68" s="529">
        <f>IF(OR(10&gt;$B$3,ISBLANK(Actuals!L84)),"",Actuals!L84)</f>
      </c>
      <c r="AN68" s="530">
        <f>IF(OR(10&gt;$B$3,ISBLANK(Actuals!L84)),"",'Reforecast Q1 2026'!L84-Actuals!L84)</f>
      </c>
      <c r="AO68" s="530">
        <f>IFERROR(IF(OR(10&gt;$B$3,ISBLANK(Actuals!L84)),"",('Reforecast Q1 2026'!L84-Actuals!L84)/ABS('Reforecast Q1 2026'!L84)),"")</f>
      </c>
      <c r="AP68" s="529">
        <f>'Reforecast Q1 2026'!M84</f>
        <v>-802.083333333334</v>
      </c>
      <c r="AQ68" s="529">
        <f>IF(OR(11&gt;$B$3,ISBLANK(Actuals!M84)),"",Actuals!M84)</f>
      </c>
      <c r="AR68" s="530">
        <f>IF(OR(11&gt;$B$3,ISBLANK(Actuals!M84)),"",'Reforecast Q1 2026'!M84-Actuals!M84)</f>
      </c>
      <c r="AS68" s="530">
        <f>IFERROR(IF(OR(11&gt;$B$3,ISBLANK(Actuals!M84)),"",('Reforecast Q1 2026'!M84-Actuals!M84)/ABS('Reforecast Q1 2026'!M84)),"")</f>
      </c>
      <c r="AT68" s="529">
        <f>'Reforecast Q1 2026'!N84</f>
        <v>-802.083333333334</v>
      </c>
      <c r="AU68" s="529">
        <f>IF(OR(12&gt;$B$3,ISBLANK(Actuals!N84)),"",Actuals!N84)</f>
      </c>
      <c r="AV68" s="530">
        <f>IF(OR(12&gt;$B$3,ISBLANK(Actuals!N84)),"",'Reforecast Q1 2026'!N84-Actuals!N84)</f>
      </c>
      <c r="AW68" s="530">
        <f>IFERROR(IF(OR(12&gt;$B$3,ISBLANK(Actuals!N84)),"",('Reforecast Q1 2026'!N84-Actuals!N84)/ABS('Reforecast Q1 2026'!N84)),"")</f>
      </c>
      <c r="AX68" s="531">
        <f>SUMPRODUCT((Actuals!C84:N84&lt;&gt;"")*('Reforecast Q1 2026'!C84:N84))</f>
        <v>-16134.01</v>
      </c>
      <c r="AY68" s="531">
        <f>SUM(Actuals!C84:N84)</f>
        <v>-26165.66</v>
      </c>
      <c r="AZ68" s="532">
        <f>AX68-AY68</f>
        <v>10031.65</v>
      </c>
    </row>
    <row r="69" ht="15" customFormat="1" customHeight="1" s="381">
      <c r="A69" s="528" t="inlineStr">
        <is>
          <t>5000-1002 Employee Benefits</t>
        </is>
      </c>
      <c r="B69" s="529">
        <f>'Reforecast Q1 2026'!C85</f>
        <v>-12137.77</v>
      </c>
      <c r="C69" s="529">
        <f>IF(OR(1&gt;$B$3,ISBLANK(Actuals!C85)),"",Actuals!C85)</f>
        <v>-12137.77</v>
      </c>
      <c r="D69" s="530">
        <f>IF(OR(1&gt;$B$3,ISBLANK(Actuals!C85)),"",'Reforecast Q1 2026'!C85-Actuals!C85)</f>
        <v>0</v>
      </c>
      <c r="E69" s="530">
        <f>IFERROR(IF(OR(1&gt;$B$3,ISBLANK(Actuals!C85)),"",('Reforecast Q1 2026'!C85-Actuals!C85)/ABS('Reforecast Q1 2026'!C85)),"")</f>
        <v>0</v>
      </c>
      <c r="F69" s="529">
        <f>'Reforecast Q1 2026'!D85</f>
        <v>-12137.78</v>
      </c>
      <c r="G69" s="529">
        <f>IF(OR(2&gt;$B$3,ISBLANK(Actuals!D85)),"",Actuals!D85)</f>
        <v>-12137.78</v>
      </c>
      <c r="H69" s="530">
        <f>IF(OR(2&gt;$B$3,ISBLANK(Actuals!D85)),"",'Reforecast Q1 2026'!D85-Actuals!D85)</f>
        <v>0</v>
      </c>
      <c r="I69" s="530">
        <f>IFERROR(IF(OR(2&gt;$B$3,ISBLANK(Actuals!D85)),"",('Reforecast Q1 2026'!D85-Actuals!D85)/ABS('Reforecast Q1 2026'!D85)),"")</f>
        <v>0</v>
      </c>
      <c r="J69" s="529">
        <f>'Reforecast Q1 2026'!E85</f>
        <v>-12137.78</v>
      </c>
      <c r="K69" s="529">
        <f>IF(OR(3&gt;$B$3,ISBLANK(Actuals!E85)),"",Actuals!E85)</f>
        <v>-12137.78</v>
      </c>
      <c r="L69" s="530">
        <f>IF(OR(3&gt;$B$3,ISBLANK(Actuals!E85)),"",'Reforecast Q1 2026'!E85-Actuals!E85)</f>
        <v>0</v>
      </c>
      <c r="M69" s="530">
        <f>IFERROR(IF(OR(3&gt;$B$3,ISBLANK(Actuals!E85)),"",('Reforecast Q1 2026'!E85-Actuals!E85)/ABS('Reforecast Q1 2026'!E85)),"")</f>
        <v>0</v>
      </c>
      <c r="N69" s="529">
        <f>'Reforecast Q1 2026'!F85</f>
        <v>-572.916666666667</v>
      </c>
      <c r="O69" s="529">
        <f>IF(OR(4&gt;$B$3,ISBLANK(Actuals!F85)),"",Actuals!F85)</f>
        <v>-12137.78</v>
      </c>
      <c r="P69" s="530">
        <f>IF(OR(4&gt;$B$3,ISBLANK(Actuals!F85)),"",'Reforecast Q1 2026'!F85-Actuals!F85)</f>
        <v>11564.8633333333</v>
      </c>
      <c r="Q69" s="530">
        <f>IFERROR(IF(OR(4&gt;$B$3,ISBLANK(Actuals!F85)),"",('Reforecast Q1 2026'!F85-Actuals!F85)/ABS('Reforecast Q1 2026'!F85)),"")</f>
        <v>20.1859432727273</v>
      </c>
      <c r="R69" s="529">
        <f>'Reforecast Q1 2026'!G85</f>
        <v>-572.916666666667</v>
      </c>
      <c r="S69" s="529">
        <f>IF(OR(5&gt;$B$3,ISBLANK(Actuals!G85)),"",Actuals!G85)</f>
        <v>-12137.78</v>
      </c>
      <c r="T69" s="530">
        <f>IF(OR(5&gt;$B$3,ISBLANK(Actuals!G85)),"",'Reforecast Q1 2026'!G85-Actuals!G85)</f>
        <v>11564.8633333333</v>
      </c>
      <c r="U69" s="530">
        <f>IFERROR(IF(OR(5&gt;$B$3,ISBLANK(Actuals!G85)),"",('Reforecast Q1 2026'!G85-Actuals!G85)/ABS('Reforecast Q1 2026'!G85)),"")</f>
        <v>20.1859432727273</v>
      </c>
      <c r="V69" s="529">
        <f>'Reforecast Q1 2026'!H85</f>
        <v>-572.916666666667</v>
      </c>
      <c r="W69" s="529">
        <f>IF(OR(6&gt;$B$3,ISBLANK(Actuals!H85)),"",Actuals!H85)</f>
        <v>-12137.78</v>
      </c>
      <c r="X69" s="530">
        <f>IF(OR(6&gt;$B$3,ISBLANK(Actuals!H85)),"",'Reforecast Q1 2026'!H85-Actuals!H85)</f>
        <v>11564.8633333333</v>
      </c>
      <c r="Y69" s="530">
        <f>IFERROR(IF(OR(6&gt;$B$3,ISBLANK(Actuals!H85)),"",('Reforecast Q1 2026'!H85-Actuals!H85)/ABS('Reforecast Q1 2026'!H85)),"")</f>
        <v>20.1859432727273</v>
      </c>
      <c r="Z69" s="529">
        <f>'Reforecast Q1 2026'!I85</f>
        <v>-572.916666666667</v>
      </c>
      <c r="AA69" s="529">
        <f>IF(OR(7&gt;$B$3,ISBLANK(Actuals!I85)),"",Actuals!I85)</f>
      </c>
      <c r="AB69" s="530">
        <f>IF(OR(7&gt;$B$3,ISBLANK(Actuals!I85)),"",'Reforecast Q1 2026'!I85-Actuals!I85)</f>
      </c>
      <c r="AC69" s="530">
        <f>IFERROR(IF(OR(7&gt;$B$3,ISBLANK(Actuals!I85)),"",('Reforecast Q1 2026'!I85-Actuals!I85)/ABS('Reforecast Q1 2026'!I85)),"")</f>
      </c>
      <c r="AD69" s="529">
        <f>'Reforecast Q1 2026'!J85</f>
        <v>-572.916666666667</v>
      </c>
      <c r="AE69" s="529">
        <f>IF(OR(8&gt;$B$3,ISBLANK(Actuals!J85)),"",Actuals!J85)</f>
      </c>
      <c r="AF69" s="530">
        <f>IF(OR(8&gt;$B$3,ISBLANK(Actuals!J85)),"",'Reforecast Q1 2026'!J85-Actuals!J85)</f>
      </c>
      <c r="AG69" s="530">
        <f>IFERROR(IF(OR(8&gt;$B$3,ISBLANK(Actuals!J85)),"",('Reforecast Q1 2026'!J85-Actuals!J85)/ABS('Reforecast Q1 2026'!J85)),"")</f>
      </c>
      <c r="AH69" s="529">
        <f>'Reforecast Q1 2026'!K85</f>
        <v>-572.916666666667</v>
      </c>
      <c r="AI69" s="529">
        <f>IF(OR(9&gt;$B$3,ISBLANK(Actuals!K85)),"",Actuals!K85)</f>
      </c>
      <c r="AJ69" s="530">
        <f>IF(OR(9&gt;$B$3,ISBLANK(Actuals!K85)),"",'Reforecast Q1 2026'!K85-Actuals!K85)</f>
      </c>
      <c r="AK69" s="530">
        <f>IFERROR(IF(OR(9&gt;$B$3,ISBLANK(Actuals!K85)),"",('Reforecast Q1 2026'!K85-Actuals!K85)/ABS('Reforecast Q1 2026'!K85)),"")</f>
      </c>
      <c r="AL69" s="529">
        <f>'Reforecast Q1 2026'!L85</f>
        <v>-572.916666666667</v>
      </c>
      <c r="AM69" s="529">
        <f>IF(OR(10&gt;$B$3,ISBLANK(Actuals!L85)),"",Actuals!L85)</f>
      </c>
      <c r="AN69" s="530">
        <f>IF(OR(10&gt;$B$3,ISBLANK(Actuals!L85)),"",'Reforecast Q1 2026'!L85-Actuals!L85)</f>
      </c>
      <c r="AO69" s="530">
        <f>IFERROR(IF(OR(10&gt;$B$3,ISBLANK(Actuals!L85)),"",('Reforecast Q1 2026'!L85-Actuals!L85)/ABS('Reforecast Q1 2026'!L85)),"")</f>
      </c>
      <c r="AP69" s="529">
        <f>'Reforecast Q1 2026'!M85</f>
        <v>-572.916666666667</v>
      </c>
      <c r="AQ69" s="529">
        <f>IF(OR(11&gt;$B$3,ISBLANK(Actuals!M85)),"",Actuals!M85)</f>
      </c>
      <c r="AR69" s="530">
        <f>IF(OR(11&gt;$B$3,ISBLANK(Actuals!M85)),"",'Reforecast Q1 2026'!M85-Actuals!M85)</f>
      </c>
      <c r="AS69" s="530">
        <f>IFERROR(IF(OR(11&gt;$B$3,ISBLANK(Actuals!M85)),"",('Reforecast Q1 2026'!M85-Actuals!M85)/ABS('Reforecast Q1 2026'!M85)),"")</f>
      </c>
      <c r="AT69" s="529">
        <f>'Reforecast Q1 2026'!N85</f>
        <v>-572.916666666667</v>
      </c>
      <c r="AU69" s="529">
        <f>IF(OR(12&gt;$B$3,ISBLANK(Actuals!N85)),"",Actuals!N85)</f>
      </c>
      <c r="AV69" s="530">
        <f>IF(OR(12&gt;$B$3,ISBLANK(Actuals!N85)),"",'Reforecast Q1 2026'!N85-Actuals!N85)</f>
      </c>
      <c r="AW69" s="530">
        <f>IFERROR(IF(OR(12&gt;$B$3,ISBLANK(Actuals!N85)),"",('Reforecast Q1 2026'!N85-Actuals!N85)/ABS('Reforecast Q1 2026'!N85)),"")</f>
      </c>
      <c r="AX69" s="531">
        <f>SUMPRODUCT((Actuals!C85:N85&lt;&gt;"")*('Reforecast Q1 2026'!C85:N85))</f>
        <v>-38132.08</v>
      </c>
      <c r="AY69" s="531">
        <f>SUM(Actuals!C85:N85)</f>
        <v>-72826.67</v>
      </c>
      <c r="AZ69" s="532">
        <f>AX69-AY69</f>
        <v>34694.59</v>
      </c>
    </row>
    <row r="70" ht="15" customFormat="1" customHeight="1" s="381">
      <c r="A70" s="528" t="inlineStr">
        <is>
          <t>5000-1003 Workers Comp</t>
        </is>
      </c>
      <c r="B70" s="529">
        <f>'Reforecast Q1 2026'!C86</f>
        <v>-475.76</v>
      </c>
      <c r="C70" s="529">
        <f>IF(OR(1&gt;$B$3,ISBLANK(Actuals!C86)),"",Actuals!C86)</f>
        <v>-475.76</v>
      </c>
      <c r="D70" s="530">
        <f>IF(OR(1&gt;$B$3,ISBLANK(Actuals!C86)),"",'Reforecast Q1 2026'!C86-Actuals!C86)</f>
        <v>0</v>
      </c>
      <c r="E70" s="530">
        <f>IFERROR(IF(OR(1&gt;$B$3,ISBLANK(Actuals!C86)),"",('Reforecast Q1 2026'!C86-Actuals!C86)/ABS('Reforecast Q1 2026'!C86)),"")</f>
        <v>0</v>
      </c>
      <c r="F70" s="529">
        <f>'Reforecast Q1 2026'!D86</f>
        <v>-475.76</v>
      </c>
      <c r="G70" s="529">
        <f>IF(OR(2&gt;$B$3,ISBLANK(Actuals!D86)),"",Actuals!D86)</f>
        <v>-475.76</v>
      </c>
      <c r="H70" s="530">
        <f>IF(OR(2&gt;$B$3,ISBLANK(Actuals!D86)),"",'Reforecast Q1 2026'!D86-Actuals!D86)</f>
        <v>0</v>
      </c>
      <c r="I70" s="530">
        <f>IFERROR(IF(OR(2&gt;$B$3,ISBLANK(Actuals!D86)),"",('Reforecast Q1 2026'!D86-Actuals!D86)/ABS('Reforecast Q1 2026'!D86)),"")</f>
        <v>0</v>
      </c>
      <c r="J70" s="529">
        <f>'Reforecast Q1 2026'!E86</f>
        <v>-475.76</v>
      </c>
      <c r="K70" s="529">
        <f>IF(OR(3&gt;$B$3,ISBLANK(Actuals!E86)),"",Actuals!E86)</f>
        <v>-475.76</v>
      </c>
      <c r="L70" s="530">
        <f>IF(OR(3&gt;$B$3,ISBLANK(Actuals!E86)),"",'Reforecast Q1 2026'!E86-Actuals!E86)</f>
        <v>0</v>
      </c>
      <c r="M70" s="530">
        <f>IFERROR(IF(OR(3&gt;$B$3,ISBLANK(Actuals!E86)),"",('Reforecast Q1 2026'!E86-Actuals!E86)/ABS('Reforecast Q1 2026'!E86)),"")</f>
        <v>0</v>
      </c>
      <c r="N70" s="529">
        <f>'Reforecast Q1 2026'!F86</f>
        <v>-229.166666666667</v>
      </c>
      <c r="O70" s="529">
        <f>IF(OR(4&gt;$B$3,ISBLANK(Actuals!F86)),"",Actuals!F86)</f>
        <v>-475.76</v>
      </c>
      <c r="P70" s="530">
        <f>IF(OR(4&gt;$B$3,ISBLANK(Actuals!F86)),"",'Reforecast Q1 2026'!F86-Actuals!F86)</f>
        <v>246.593333333333</v>
      </c>
      <c r="Q70" s="530">
        <f>IFERROR(IF(OR(4&gt;$B$3,ISBLANK(Actuals!F86)),"",('Reforecast Q1 2026'!F86-Actuals!F86)/ABS('Reforecast Q1 2026'!F86)),"")</f>
        <v>1.07604363636363</v>
      </c>
      <c r="R70" s="529">
        <f>'Reforecast Q1 2026'!G86</f>
        <v>-229.166666666667</v>
      </c>
      <c r="S70" s="529">
        <f>IF(OR(5&gt;$B$3,ISBLANK(Actuals!G86)),"",Actuals!G86)</f>
        <v>-475.76</v>
      </c>
      <c r="T70" s="530">
        <f>IF(OR(5&gt;$B$3,ISBLANK(Actuals!G86)),"",'Reforecast Q1 2026'!G86-Actuals!G86)</f>
        <v>246.593333333333</v>
      </c>
      <c r="U70" s="530">
        <f>IFERROR(IF(OR(5&gt;$B$3,ISBLANK(Actuals!G86)),"",('Reforecast Q1 2026'!G86-Actuals!G86)/ABS('Reforecast Q1 2026'!G86)),"")</f>
        <v>1.07604363636363</v>
      </c>
      <c r="V70" s="529">
        <f>'Reforecast Q1 2026'!H86</f>
        <v>-229.166666666667</v>
      </c>
      <c r="W70" s="529">
        <f>IF(OR(6&gt;$B$3,ISBLANK(Actuals!H86)),"",Actuals!H86)</f>
        <v>-475.76</v>
      </c>
      <c r="X70" s="530">
        <f>IF(OR(6&gt;$B$3,ISBLANK(Actuals!H86)),"",'Reforecast Q1 2026'!H86-Actuals!H86)</f>
        <v>246.593333333333</v>
      </c>
      <c r="Y70" s="530">
        <f>IFERROR(IF(OR(6&gt;$B$3,ISBLANK(Actuals!H86)),"",('Reforecast Q1 2026'!H86-Actuals!H86)/ABS('Reforecast Q1 2026'!H86)),"")</f>
        <v>1.07604363636363</v>
      </c>
      <c r="Z70" s="529">
        <f>'Reforecast Q1 2026'!I86</f>
        <v>-229.166666666667</v>
      </c>
      <c r="AA70" s="529">
        <f>IF(OR(7&gt;$B$3,ISBLANK(Actuals!I86)),"",Actuals!I86)</f>
      </c>
      <c r="AB70" s="530">
        <f>IF(OR(7&gt;$B$3,ISBLANK(Actuals!I86)),"",'Reforecast Q1 2026'!I86-Actuals!I86)</f>
      </c>
      <c r="AC70" s="530">
        <f>IFERROR(IF(OR(7&gt;$B$3,ISBLANK(Actuals!I86)),"",('Reforecast Q1 2026'!I86-Actuals!I86)/ABS('Reforecast Q1 2026'!I86)),"")</f>
      </c>
      <c r="AD70" s="529">
        <f>'Reforecast Q1 2026'!J86</f>
        <v>-229.166666666667</v>
      </c>
      <c r="AE70" s="529">
        <f>IF(OR(8&gt;$B$3,ISBLANK(Actuals!J86)),"",Actuals!J86)</f>
      </c>
      <c r="AF70" s="530">
        <f>IF(OR(8&gt;$B$3,ISBLANK(Actuals!J86)),"",'Reforecast Q1 2026'!J86-Actuals!J86)</f>
      </c>
      <c r="AG70" s="530">
        <f>IFERROR(IF(OR(8&gt;$B$3,ISBLANK(Actuals!J86)),"",('Reforecast Q1 2026'!J86-Actuals!J86)/ABS('Reforecast Q1 2026'!J86)),"")</f>
      </c>
      <c r="AH70" s="529">
        <f>'Reforecast Q1 2026'!K86</f>
        <v>-229.166666666667</v>
      </c>
      <c r="AI70" s="529">
        <f>IF(OR(9&gt;$B$3,ISBLANK(Actuals!K86)),"",Actuals!K86)</f>
      </c>
      <c r="AJ70" s="530">
        <f>IF(OR(9&gt;$B$3,ISBLANK(Actuals!K86)),"",'Reforecast Q1 2026'!K86-Actuals!K86)</f>
      </c>
      <c r="AK70" s="530">
        <f>IFERROR(IF(OR(9&gt;$B$3,ISBLANK(Actuals!K86)),"",('Reforecast Q1 2026'!K86-Actuals!K86)/ABS('Reforecast Q1 2026'!K86)),"")</f>
      </c>
      <c r="AL70" s="529">
        <f>'Reforecast Q1 2026'!L86</f>
        <v>-229.166666666667</v>
      </c>
      <c r="AM70" s="529">
        <f>IF(OR(10&gt;$B$3,ISBLANK(Actuals!L86)),"",Actuals!L86)</f>
      </c>
      <c r="AN70" s="530">
        <f>IF(OR(10&gt;$B$3,ISBLANK(Actuals!L86)),"",'Reforecast Q1 2026'!L86-Actuals!L86)</f>
      </c>
      <c r="AO70" s="530">
        <f>IFERROR(IF(OR(10&gt;$B$3,ISBLANK(Actuals!L86)),"",('Reforecast Q1 2026'!L86-Actuals!L86)/ABS('Reforecast Q1 2026'!L86)),"")</f>
      </c>
      <c r="AP70" s="529">
        <f>'Reforecast Q1 2026'!M86</f>
        <v>-229.166666666667</v>
      </c>
      <c r="AQ70" s="529">
        <f>IF(OR(11&gt;$B$3,ISBLANK(Actuals!M86)),"",Actuals!M86)</f>
      </c>
      <c r="AR70" s="530">
        <f>IF(OR(11&gt;$B$3,ISBLANK(Actuals!M86)),"",'Reforecast Q1 2026'!M86-Actuals!M86)</f>
      </c>
      <c r="AS70" s="530">
        <f>IFERROR(IF(OR(11&gt;$B$3,ISBLANK(Actuals!M86)),"",('Reforecast Q1 2026'!M86-Actuals!M86)/ABS('Reforecast Q1 2026'!M86)),"")</f>
      </c>
      <c r="AT70" s="529">
        <f>'Reforecast Q1 2026'!N86</f>
        <v>-229.166666666667</v>
      </c>
      <c r="AU70" s="529">
        <f>IF(OR(12&gt;$B$3,ISBLANK(Actuals!N86)),"",Actuals!N86)</f>
      </c>
      <c r="AV70" s="530">
        <f>IF(OR(12&gt;$B$3,ISBLANK(Actuals!N86)),"",'Reforecast Q1 2026'!N86-Actuals!N86)</f>
      </c>
      <c r="AW70" s="530">
        <f>IFERROR(IF(OR(12&gt;$B$3,ISBLANK(Actuals!N86)),"",('Reforecast Q1 2026'!N86-Actuals!N86)/ABS('Reforecast Q1 2026'!N86)),"")</f>
      </c>
      <c r="AX70" s="531">
        <f>SUMPRODUCT((Actuals!C86:N86&lt;&gt;"")*('Reforecast Q1 2026'!C86:N86))</f>
        <v>-2114.78</v>
      </c>
      <c r="AY70" s="531">
        <f>SUM(Actuals!C86:N86)</f>
        <v>-2854.56</v>
      </c>
      <c r="AZ70" s="532">
        <f>AX70-AY70</f>
        <v>739.779999999999</v>
      </c>
    </row>
    <row r="71" ht="15" customFormat="1" customHeight="1" s="381">
      <c r="A71" s="528" t="inlineStr">
        <is>
          <t>5000-1005 Payroll Servicing Fees</t>
        </is>
      </c>
      <c r="B71" s="529">
        <f>'Reforecast Q1 2026'!C87</f>
        <v>-2200.12</v>
      </c>
      <c r="C71" s="529">
        <f>IF(OR(1&gt;$B$3,ISBLANK(Actuals!C87)),"",Actuals!C87)</f>
        <v>-2200.12</v>
      </c>
      <c r="D71" s="530">
        <f>IF(OR(1&gt;$B$3,ISBLANK(Actuals!C87)),"",'Reforecast Q1 2026'!C87-Actuals!C87)</f>
        <v>0</v>
      </c>
      <c r="E71" s="530">
        <f>IFERROR(IF(OR(1&gt;$B$3,ISBLANK(Actuals!C87)),"",('Reforecast Q1 2026'!C87-Actuals!C87)/ABS('Reforecast Q1 2026'!C87)),"")</f>
        <v>0</v>
      </c>
      <c r="F71" s="529">
        <f>'Reforecast Q1 2026'!D87</f>
        <v>-2200.12</v>
      </c>
      <c r="G71" s="529">
        <f>IF(OR(2&gt;$B$3,ISBLANK(Actuals!D87)),"",Actuals!D87)</f>
        <v>-2200.12</v>
      </c>
      <c r="H71" s="530">
        <f>IF(OR(2&gt;$B$3,ISBLANK(Actuals!D87)),"",'Reforecast Q1 2026'!D87-Actuals!D87)</f>
        <v>0</v>
      </c>
      <c r="I71" s="530">
        <f>IFERROR(IF(OR(2&gt;$B$3,ISBLANK(Actuals!D87)),"",('Reforecast Q1 2026'!D87-Actuals!D87)/ABS('Reforecast Q1 2026'!D87)),"")</f>
        <v>0</v>
      </c>
      <c r="J71" s="529">
        <f>'Reforecast Q1 2026'!E87</f>
        <v>-2200.12</v>
      </c>
      <c r="K71" s="529">
        <f>IF(OR(3&gt;$B$3,ISBLANK(Actuals!E87)),"",Actuals!E87)</f>
        <v>-2200.12</v>
      </c>
      <c r="L71" s="530">
        <f>IF(OR(3&gt;$B$3,ISBLANK(Actuals!E87)),"",'Reforecast Q1 2026'!E87-Actuals!E87)</f>
        <v>0</v>
      </c>
      <c r="M71" s="530">
        <f>IFERROR(IF(OR(3&gt;$B$3,ISBLANK(Actuals!E87)),"",('Reforecast Q1 2026'!E87-Actuals!E87)/ABS('Reforecast Q1 2026'!E87)),"")</f>
        <v>0</v>
      </c>
      <c r="N71" s="529">
        <f>'Reforecast Q1 2026'!F87</f>
        <v>-57.2916666666667</v>
      </c>
      <c r="O71" s="529">
        <f>IF(OR(4&gt;$B$3,ISBLANK(Actuals!F87)),"",Actuals!F87)</f>
        <v>-2200.12</v>
      </c>
      <c r="P71" s="530">
        <f>IF(OR(4&gt;$B$3,ISBLANK(Actuals!F87)),"",'Reforecast Q1 2026'!F87-Actuals!F87)</f>
        <v>2142.82833333333</v>
      </c>
      <c r="Q71" s="530">
        <f>IFERROR(IF(OR(4&gt;$B$3,ISBLANK(Actuals!F87)),"",('Reforecast Q1 2026'!F87-Actuals!F87)/ABS('Reforecast Q1 2026'!F87)),"")</f>
        <v>37.4020945454545</v>
      </c>
      <c r="R71" s="529">
        <f>'Reforecast Q1 2026'!G87</f>
        <v>-57.2916666666667</v>
      </c>
      <c r="S71" s="529">
        <f>IF(OR(5&gt;$B$3,ISBLANK(Actuals!G87)),"",Actuals!G87)</f>
        <v>-2200.12</v>
      </c>
      <c r="T71" s="530">
        <f>IF(OR(5&gt;$B$3,ISBLANK(Actuals!G87)),"",'Reforecast Q1 2026'!G87-Actuals!G87)</f>
        <v>2142.82833333333</v>
      </c>
      <c r="U71" s="530">
        <f>IFERROR(IF(OR(5&gt;$B$3,ISBLANK(Actuals!G87)),"",('Reforecast Q1 2026'!G87-Actuals!G87)/ABS('Reforecast Q1 2026'!G87)),"")</f>
        <v>37.4020945454545</v>
      </c>
      <c r="V71" s="529">
        <f>'Reforecast Q1 2026'!H87</f>
        <v>-57.2916666666667</v>
      </c>
      <c r="W71" s="529">
        <f>IF(OR(6&gt;$B$3,ISBLANK(Actuals!H87)),"",Actuals!H87)</f>
        <v>-2200.12</v>
      </c>
      <c r="X71" s="530">
        <f>IF(OR(6&gt;$B$3,ISBLANK(Actuals!H87)),"",'Reforecast Q1 2026'!H87-Actuals!H87)</f>
        <v>2142.82833333333</v>
      </c>
      <c r="Y71" s="530">
        <f>IFERROR(IF(OR(6&gt;$B$3,ISBLANK(Actuals!H87)),"",('Reforecast Q1 2026'!H87-Actuals!H87)/ABS('Reforecast Q1 2026'!H87)),"")</f>
        <v>37.4020945454545</v>
      </c>
      <c r="Z71" s="529">
        <f>'Reforecast Q1 2026'!I87</f>
        <v>-57.2916666666667</v>
      </c>
      <c r="AA71" s="529">
        <f>IF(OR(7&gt;$B$3,ISBLANK(Actuals!I87)),"",Actuals!I87)</f>
      </c>
      <c r="AB71" s="530">
        <f>IF(OR(7&gt;$B$3,ISBLANK(Actuals!I87)),"",'Reforecast Q1 2026'!I87-Actuals!I87)</f>
      </c>
      <c r="AC71" s="530">
        <f>IFERROR(IF(OR(7&gt;$B$3,ISBLANK(Actuals!I87)),"",('Reforecast Q1 2026'!I87-Actuals!I87)/ABS('Reforecast Q1 2026'!I87)),"")</f>
      </c>
      <c r="AD71" s="529">
        <f>'Reforecast Q1 2026'!J87</f>
        <v>-57.2916666666667</v>
      </c>
      <c r="AE71" s="529">
        <f>IF(OR(8&gt;$B$3,ISBLANK(Actuals!J87)),"",Actuals!J87)</f>
      </c>
      <c r="AF71" s="530">
        <f>IF(OR(8&gt;$B$3,ISBLANK(Actuals!J87)),"",'Reforecast Q1 2026'!J87-Actuals!J87)</f>
      </c>
      <c r="AG71" s="530">
        <f>IFERROR(IF(OR(8&gt;$B$3,ISBLANK(Actuals!J87)),"",('Reforecast Q1 2026'!J87-Actuals!J87)/ABS('Reforecast Q1 2026'!J87)),"")</f>
      </c>
      <c r="AH71" s="529">
        <f>'Reforecast Q1 2026'!K87</f>
        <v>-57.2916666666667</v>
      </c>
      <c r="AI71" s="529">
        <f>IF(OR(9&gt;$B$3,ISBLANK(Actuals!K87)),"",Actuals!K87)</f>
      </c>
      <c r="AJ71" s="530">
        <f>IF(OR(9&gt;$B$3,ISBLANK(Actuals!K87)),"",'Reforecast Q1 2026'!K87-Actuals!K87)</f>
      </c>
      <c r="AK71" s="530">
        <f>IFERROR(IF(OR(9&gt;$B$3,ISBLANK(Actuals!K87)),"",('Reforecast Q1 2026'!K87-Actuals!K87)/ABS('Reforecast Q1 2026'!K87)),"")</f>
      </c>
      <c r="AL71" s="529">
        <f>'Reforecast Q1 2026'!L87</f>
        <v>-57.2916666666667</v>
      </c>
      <c r="AM71" s="529">
        <f>IF(OR(10&gt;$B$3,ISBLANK(Actuals!L87)),"",Actuals!L87)</f>
      </c>
      <c r="AN71" s="530">
        <f>IF(OR(10&gt;$B$3,ISBLANK(Actuals!L87)),"",'Reforecast Q1 2026'!L87-Actuals!L87)</f>
      </c>
      <c r="AO71" s="530">
        <f>IFERROR(IF(OR(10&gt;$B$3,ISBLANK(Actuals!L87)),"",('Reforecast Q1 2026'!L87-Actuals!L87)/ABS('Reforecast Q1 2026'!L87)),"")</f>
      </c>
      <c r="AP71" s="529">
        <f>'Reforecast Q1 2026'!M87</f>
        <v>-57.2916666666667</v>
      </c>
      <c r="AQ71" s="529">
        <f>IF(OR(11&gt;$B$3,ISBLANK(Actuals!M87)),"",Actuals!M87)</f>
      </c>
      <c r="AR71" s="530">
        <f>IF(OR(11&gt;$B$3,ISBLANK(Actuals!M87)),"",'Reforecast Q1 2026'!M87-Actuals!M87)</f>
      </c>
      <c r="AS71" s="530">
        <f>IFERROR(IF(OR(11&gt;$B$3,ISBLANK(Actuals!M87)),"",('Reforecast Q1 2026'!M87-Actuals!M87)/ABS('Reforecast Q1 2026'!M87)),"")</f>
      </c>
      <c r="AT71" s="529">
        <f>'Reforecast Q1 2026'!N87</f>
        <v>-57.2916666666667</v>
      </c>
      <c r="AU71" s="529">
        <f>IF(OR(12&gt;$B$3,ISBLANK(Actuals!N87)),"",Actuals!N87)</f>
      </c>
      <c r="AV71" s="530">
        <f>IF(OR(12&gt;$B$3,ISBLANK(Actuals!N87)),"",'Reforecast Q1 2026'!N87-Actuals!N87)</f>
      </c>
      <c r="AW71" s="530">
        <f>IFERROR(IF(OR(12&gt;$B$3,ISBLANK(Actuals!N87)),"",('Reforecast Q1 2026'!N87-Actuals!N87)/ABS('Reforecast Q1 2026'!N87)),"")</f>
      </c>
      <c r="AX71" s="531">
        <f>SUMPRODUCT((Actuals!C87:N87&lt;&gt;"")*('Reforecast Q1 2026'!C87:N87))</f>
        <v>-6772.235</v>
      </c>
      <c r="AY71" s="531">
        <f>SUM(Actuals!C87:N87)</f>
        <v>-13200.72</v>
      </c>
      <c r="AZ71" s="532">
        <f>AX71-AY71</f>
        <v>6428.485</v>
      </c>
    </row>
    <row r="72" ht="15" customFormat="1" customHeight="1" s="381">
      <c r="A72" s="528" t="inlineStr">
        <is>
          <t>5100-1000 Rent Expense</t>
        </is>
      </c>
      <c r="B72" s="529">
        <f>'Reforecast Q1 2026'!C88</f>
        <v>-8848.65</v>
      </c>
      <c r="C72" s="529">
        <f>IF(OR(1&gt;$B$3,ISBLANK(Actuals!C88)),"",Actuals!C88)</f>
        <v>-8848.65</v>
      </c>
      <c r="D72" s="530">
        <f>IF(OR(1&gt;$B$3,ISBLANK(Actuals!C88)),"",'Reforecast Q1 2026'!C88-Actuals!C88)</f>
        <v>0</v>
      </c>
      <c r="E72" s="530">
        <f>IFERROR(IF(OR(1&gt;$B$3,ISBLANK(Actuals!C88)),"",('Reforecast Q1 2026'!C88-Actuals!C88)/ABS('Reforecast Q1 2026'!C88)),"")</f>
        <v>0</v>
      </c>
      <c r="F72" s="529">
        <f>'Reforecast Q1 2026'!D88</f>
        <v>-8817.63</v>
      </c>
      <c r="G72" s="529">
        <f>IF(OR(2&gt;$B$3,ISBLANK(Actuals!D88)),"",Actuals!D88)</f>
        <v>-8817.63</v>
      </c>
      <c r="H72" s="530">
        <f>IF(OR(2&gt;$B$3,ISBLANK(Actuals!D88)),"",'Reforecast Q1 2026'!D88-Actuals!D88)</f>
        <v>0</v>
      </c>
      <c r="I72" s="530">
        <f>IFERROR(IF(OR(2&gt;$B$3,ISBLANK(Actuals!D88)),"",('Reforecast Q1 2026'!D88-Actuals!D88)/ABS('Reforecast Q1 2026'!D88)),"")</f>
        <v>0</v>
      </c>
      <c r="J72" s="529">
        <f>'Reforecast Q1 2026'!E88</f>
        <v>-3775.91</v>
      </c>
      <c r="K72" s="529">
        <f>IF(OR(3&gt;$B$3,ISBLANK(Actuals!E88)),"",Actuals!E88)</f>
        <v>-3775.91</v>
      </c>
      <c r="L72" s="530">
        <f>IF(OR(3&gt;$B$3,ISBLANK(Actuals!E88)),"",'Reforecast Q1 2026'!E88-Actuals!E88)</f>
        <v>0</v>
      </c>
      <c r="M72" s="530">
        <f>IFERROR(IF(OR(3&gt;$B$3,ISBLANK(Actuals!E88)),"",('Reforecast Q1 2026'!E88-Actuals!E88)/ABS('Reforecast Q1 2026'!E88)),"")</f>
        <v>0</v>
      </c>
      <c r="N72" s="529">
        <f>'Reforecast Q1 2026'!F88</f>
        <v>-8500</v>
      </c>
      <c r="O72" s="529">
        <f>IF(OR(4&gt;$B$3,ISBLANK(Actuals!F88)),"",Actuals!F88)</f>
        <v>-8731.12</v>
      </c>
      <c r="P72" s="530">
        <f>IF(OR(4&gt;$B$3,ISBLANK(Actuals!F88)),"",'Reforecast Q1 2026'!F88-Actuals!F88)</f>
        <v>231.120000000001</v>
      </c>
      <c r="Q72" s="530">
        <f>IFERROR(IF(OR(4&gt;$B$3,ISBLANK(Actuals!F88)),"",('Reforecast Q1 2026'!F88-Actuals!F88)/ABS('Reforecast Q1 2026'!F88)),"")</f>
        <v>0.0271905882352942</v>
      </c>
      <c r="R72" s="529">
        <f>'Reforecast Q1 2026'!G88</f>
        <v>-8500</v>
      </c>
      <c r="S72" s="529">
        <f>IF(OR(5&gt;$B$3,ISBLANK(Actuals!G88)),"",Actuals!G88)</f>
        <v>-8739.17</v>
      </c>
      <c r="T72" s="530">
        <f>IF(OR(5&gt;$B$3,ISBLANK(Actuals!G88)),"",'Reforecast Q1 2026'!G88-Actuals!G88)</f>
        <v>239.17</v>
      </c>
      <c r="U72" s="530">
        <f>IFERROR(IF(OR(5&gt;$B$3,ISBLANK(Actuals!G88)),"",('Reforecast Q1 2026'!G88-Actuals!G88)/ABS('Reforecast Q1 2026'!G88)),"")</f>
        <v>0.0281376470588235</v>
      </c>
      <c r="V72" s="529">
        <f>'Reforecast Q1 2026'!H88</f>
        <v>-8500</v>
      </c>
      <c r="W72" s="529">
        <f>IF(OR(6&gt;$B$3,ISBLANK(Actuals!H88)),"",Actuals!H88)</f>
        <v>-8771.99</v>
      </c>
      <c r="X72" s="530">
        <f>IF(OR(6&gt;$B$3,ISBLANK(Actuals!H88)),"",'Reforecast Q1 2026'!H88-Actuals!H88)</f>
        <v>271.99</v>
      </c>
      <c r="Y72" s="530">
        <f>IFERROR(IF(OR(6&gt;$B$3,ISBLANK(Actuals!H88)),"",('Reforecast Q1 2026'!H88-Actuals!H88)/ABS('Reforecast Q1 2026'!H88)),"")</f>
        <v>0.0319988235294117</v>
      </c>
      <c r="Z72" s="529">
        <f>'Reforecast Q1 2026'!I88</f>
        <v>-8500</v>
      </c>
      <c r="AA72" s="529">
        <f>IF(OR(7&gt;$B$3,ISBLANK(Actuals!I88)),"",Actuals!I88)</f>
      </c>
      <c r="AB72" s="530">
        <f>IF(OR(7&gt;$B$3,ISBLANK(Actuals!I88)),"",'Reforecast Q1 2026'!I88-Actuals!I88)</f>
      </c>
      <c r="AC72" s="530">
        <f>IFERROR(IF(OR(7&gt;$B$3,ISBLANK(Actuals!I88)),"",('Reforecast Q1 2026'!I88-Actuals!I88)/ABS('Reforecast Q1 2026'!I88)),"")</f>
      </c>
      <c r="AD72" s="529">
        <f>'Reforecast Q1 2026'!J88</f>
        <v>-8500</v>
      </c>
      <c r="AE72" s="529">
        <f>IF(OR(8&gt;$B$3,ISBLANK(Actuals!J88)),"",Actuals!J88)</f>
      </c>
      <c r="AF72" s="530">
        <f>IF(OR(8&gt;$B$3,ISBLANK(Actuals!J88)),"",'Reforecast Q1 2026'!J88-Actuals!J88)</f>
      </c>
      <c r="AG72" s="530">
        <f>IFERROR(IF(OR(8&gt;$B$3,ISBLANK(Actuals!J88)),"",('Reforecast Q1 2026'!J88-Actuals!J88)/ABS('Reforecast Q1 2026'!J88)),"")</f>
      </c>
      <c r="AH72" s="529">
        <f>'Reforecast Q1 2026'!K88</f>
        <v>-8500</v>
      </c>
      <c r="AI72" s="529">
        <f>IF(OR(9&gt;$B$3,ISBLANK(Actuals!K88)),"",Actuals!K88)</f>
      </c>
      <c r="AJ72" s="530">
        <f>IF(OR(9&gt;$B$3,ISBLANK(Actuals!K88)),"",'Reforecast Q1 2026'!K88-Actuals!K88)</f>
      </c>
      <c r="AK72" s="530">
        <f>IFERROR(IF(OR(9&gt;$B$3,ISBLANK(Actuals!K88)),"",('Reforecast Q1 2026'!K88-Actuals!K88)/ABS('Reforecast Q1 2026'!K88)),"")</f>
      </c>
      <c r="AL72" s="529">
        <f>'Reforecast Q1 2026'!L88</f>
        <v>-8500</v>
      </c>
      <c r="AM72" s="529">
        <f>IF(OR(10&gt;$B$3,ISBLANK(Actuals!L88)),"",Actuals!L88)</f>
      </c>
      <c r="AN72" s="530">
        <f>IF(OR(10&gt;$B$3,ISBLANK(Actuals!L88)),"",'Reforecast Q1 2026'!L88-Actuals!L88)</f>
      </c>
      <c r="AO72" s="530">
        <f>IFERROR(IF(OR(10&gt;$B$3,ISBLANK(Actuals!L88)),"",('Reforecast Q1 2026'!L88-Actuals!L88)/ABS('Reforecast Q1 2026'!L88)),"")</f>
      </c>
      <c r="AP72" s="529">
        <f>'Reforecast Q1 2026'!M88</f>
        <v>-8500</v>
      </c>
      <c r="AQ72" s="529">
        <f>IF(OR(11&gt;$B$3,ISBLANK(Actuals!M88)),"",Actuals!M88)</f>
      </c>
      <c r="AR72" s="530">
        <f>IF(OR(11&gt;$B$3,ISBLANK(Actuals!M88)),"",'Reforecast Q1 2026'!M88-Actuals!M88)</f>
      </c>
      <c r="AS72" s="530">
        <f>IFERROR(IF(OR(11&gt;$B$3,ISBLANK(Actuals!M88)),"",('Reforecast Q1 2026'!M88-Actuals!M88)/ABS('Reforecast Q1 2026'!M88)),"")</f>
      </c>
      <c r="AT72" s="529">
        <f>'Reforecast Q1 2026'!N88</f>
        <v>-8500</v>
      </c>
      <c r="AU72" s="529">
        <f>IF(OR(12&gt;$B$3,ISBLANK(Actuals!N88)),"",Actuals!N88)</f>
      </c>
      <c r="AV72" s="530">
        <f>IF(OR(12&gt;$B$3,ISBLANK(Actuals!N88)),"",'Reforecast Q1 2026'!N88-Actuals!N88)</f>
      </c>
      <c r="AW72" s="530">
        <f>IFERROR(IF(OR(12&gt;$B$3,ISBLANK(Actuals!N88)),"",('Reforecast Q1 2026'!N88-Actuals!N88)/ABS('Reforecast Q1 2026'!N88)),"")</f>
      </c>
      <c r="AX72" s="531">
        <f>SUMPRODUCT((Actuals!C88:N88&lt;&gt;"")*('Reforecast Q1 2026'!C88:N88))</f>
        <v>-46942.19</v>
      </c>
      <c r="AY72" s="531">
        <f>SUM(Actuals!C88:N88)</f>
        <v>-47684.47</v>
      </c>
      <c r="AZ72" s="532">
        <f>AX72-AY72</f>
        <v>742.279999999992</v>
      </c>
    </row>
    <row r="73" ht="15" customFormat="1" customHeight="1" s="381">
      <c r="A73" s="528" t="inlineStr">
        <is>
          <t>5200-1000 Office Supplies and Expenses</t>
        </is>
      </c>
      <c r="B73" s="529">
        <f>'Reforecast Q1 2026'!C89</f>
        <v>-1722.9</v>
      </c>
      <c r="C73" s="529">
        <f>IF(OR(1&gt;$B$3,ISBLANK(Actuals!C89)),"",Actuals!C89)</f>
        <v>-1722.9</v>
      </c>
      <c r="D73" s="530">
        <f>IF(OR(1&gt;$B$3,ISBLANK(Actuals!C89)),"",'Reforecast Q1 2026'!C89-Actuals!C89)</f>
        <v>0</v>
      </c>
      <c r="E73" s="530">
        <f>IFERROR(IF(OR(1&gt;$B$3,ISBLANK(Actuals!C89)),"",('Reforecast Q1 2026'!C89-Actuals!C89)/ABS('Reforecast Q1 2026'!C89)),"")</f>
        <v>0</v>
      </c>
      <c r="F73" s="529">
        <f>'Reforecast Q1 2026'!D89</f>
        <v>0</v>
      </c>
      <c r="G73" s="529">
        <f>IF(OR(2&gt;$B$3,ISBLANK(Actuals!D89)),"",Actuals!D89)</f>
        <v>0</v>
      </c>
      <c r="H73" s="530">
        <f>IF(OR(2&gt;$B$3,ISBLANK(Actuals!D89)),"",'Reforecast Q1 2026'!D89-Actuals!D89)</f>
        <v>0</v>
      </c>
      <c r="I73" s="530">
        <f>IFERROR(IF(OR(2&gt;$B$3,ISBLANK(Actuals!D89)),"",('Reforecast Q1 2026'!D89-Actuals!D89)/ABS('Reforecast Q1 2026'!D89)),"")</f>
      </c>
      <c r="J73" s="529">
        <f>'Reforecast Q1 2026'!E89</f>
        <v>-28.51</v>
      </c>
      <c r="K73" s="529">
        <f>IF(OR(3&gt;$B$3,ISBLANK(Actuals!E89)),"",Actuals!E89)</f>
        <v>-28.51</v>
      </c>
      <c r="L73" s="530">
        <f>IF(OR(3&gt;$B$3,ISBLANK(Actuals!E89)),"",'Reforecast Q1 2026'!E89-Actuals!E89)</f>
        <v>0</v>
      </c>
      <c r="M73" s="530">
        <f>IFERROR(IF(OR(3&gt;$B$3,ISBLANK(Actuals!E89)),"",('Reforecast Q1 2026'!E89-Actuals!E89)/ABS('Reforecast Q1 2026'!E89)),"")</f>
        <v>0</v>
      </c>
      <c r="N73" s="529">
        <f>'Reforecast Q1 2026'!F89</f>
        <v>-583.8</v>
      </c>
      <c r="O73" s="529">
        <f>IF(OR(4&gt;$B$3,ISBLANK(Actuals!F89)),"",Actuals!F89)</f>
        <v>0</v>
      </c>
      <c r="P73" s="530">
        <f>IF(OR(4&gt;$B$3,ISBLANK(Actuals!F89)),"",'Reforecast Q1 2026'!F89-Actuals!F89)</f>
        <v>-583.8</v>
      </c>
      <c r="Q73" s="530">
        <f>IFERROR(IF(OR(4&gt;$B$3,ISBLANK(Actuals!F89)),"",('Reforecast Q1 2026'!F89-Actuals!F89)/ABS('Reforecast Q1 2026'!F89)),"")</f>
        <v>-1</v>
      </c>
      <c r="R73" s="529">
        <f>'Reforecast Q1 2026'!G89</f>
        <v>-583.8</v>
      </c>
      <c r="S73" s="529">
        <f>IF(OR(5&gt;$B$3,ISBLANK(Actuals!G89)),"",Actuals!G89)</f>
        <v>-212.12</v>
      </c>
      <c r="T73" s="530">
        <f>IF(OR(5&gt;$B$3,ISBLANK(Actuals!G89)),"",'Reforecast Q1 2026'!G89-Actuals!G89)</f>
        <v>-371.68</v>
      </c>
      <c r="U73" s="530">
        <f>IFERROR(IF(OR(5&gt;$B$3,ISBLANK(Actuals!G89)),"",('Reforecast Q1 2026'!G89-Actuals!G89)/ABS('Reforecast Q1 2026'!G89)),"")</f>
        <v>-0.636656389174375</v>
      </c>
      <c r="V73" s="529">
        <f>'Reforecast Q1 2026'!H89</f>
        <v>-583.8</v>
      </c>
      <c r="W73" s="529">
        <f>IF(OR(6&gt;$B$3,ISBLANK(Actuals!H89)),"",Actuals!H89)</f>
        <v>-83.92</v>
      </c>
      <c r="X73" s="530">
        <f>IF(OR(6&gt;$B$3,ISBLANK(Actuals!H89)),"",'Reforecast Q1 2026'!H89-Actuals!H89)</f>
        <v>-499.88</v>
      </c>
      <c r="Y73" s="530">
        <f>IFERROR(IF(OR(6&gt;$B$3,ISBLANK(Actuals!H89)),"",('Reforecast Q1 2026'!H89-Actuals!H89)/ABS('Reforecast Q1 2026'!H89)),"")</f>
        <v>-0.856252141144227</v>
      </c>
      <c r="Z73" s="529">
        <f>'Reforecast Q1 2026'!I89</f>
        <v>-583.8</v>
      </c>
      <c r="AA73" s="529">
        <f>IF(OR(7&gt;$B$3,ISBLANK(Actuals!I89)),"",Actuals!I89)</f>
      </c>
      <c r="AB73" s="530">
        <f>IF(OR(7&gt;$B$3,ISBLANK(Actuals!I89)),"",'Reforecast Q1 2026'!I89-Actuals!I89)</f>
      </c>
      <c r="AC73" s="530">
        <f>IFERROR(IF(OR(7&gt;$B$3,ISBLANK(Actuals!I89)),"",('Reforecast Q1 2026'!I89-Actuals!I89)/ABS('Reforecast Q1 2026'!I89)),"")</f>
      </c>
      <c r="AD73" s="529">
        <f>'Reforecast Q1 2026'!J89</f>
        <v>-583.8</v>
      </c>
      <c r="AE73" s="529">
        <f>IF(OR(8&gt;$B$3,ISBLANK(Actuals!J89)),"",Actuals!J89)</f>
      </c>
      <c r="AF73" s="530">
        <f>IF(OR(8&gt;$B$3,ISBLANK(Actuals!J89)),"",'Reforecast Q1 2026'!J89-Actuals!J89)</f>
      </c>
      <c r="AG73" s="530">
        <f>IFERROR(IF(OR(8&gt;$B$3,ISBLANK(Actuals!J89)),"",('Reforecast Q1 2026'!J89-Actuals!J89)/ABS('Reforecast Q1 2026'!J89)),"")</f>
      </c>
      <c r="AH73" s="529">
        <f>'Reforecast Q1 2026'!K89</f>
        <v>-583.8</v>
      </c>
      <c r="AI73" s="529">
        <f>IF(OR(9&gt;$B$3,ISBLANK(Actuals!K89)),"",Actuals!K89)</f>
      </c>
      <c r="AJ73" s="530">
        <f>IF(OR(9&gt;$B$3,ISBLANK(Actuals!K89)),"",'Reforecast Q1 2026'!K89-Actuals!K89)</f>
      </c>
      <c r="AK73" s="530">
        <f>IFERROR(IF(OR(9&gt;$B$3,ISBLANK(Actuals!K89)),"",('Reforecast Q1 2026'!K89-Actuals!K89)/ABS('Reforecast Q1 2026'!K89)),"")</f>
      </c>
      <c r="AL73" s="529">
        <f>'Reforecast Q1 2026'!L89</f>
        <v>-583.8</v>
      </c>
      <c r="AM73" s="529">
        <f>IF(OR(10&gt;$B$3,ISBLANK(Actuals!L89)),"",Actuals!L89)</f>
      </c>
      <c r="AN73" s="530">
        <f>IF(OR(10&gt;$B$3,ISBLANK(Actuals!L89)),"",'Reforecast Q1 2026'!L89-Actuals!L89)</f>
      </c>
      <c r="AO73" s="530">
        <f>IFERROR(IF(OR(10&gt;$B$3,ISBLANK(Actuals!L89)),"",('Reforecast Q1 2026'!L89-Actuals!L89)/ABS('Reforecast Q1 2026'!L89)),"")</f>
      </c>
      <c r="AP73" s="529">
        <f>'Reforecast Q1 2026'!M89</f>
        <v>-583.8</v>
      </c>
      <c r="AQ73" s="529">
        <f>IF(OR(11&gt;$B$3,ISBLANK(Actuals!M89)),"",Actuals!M89)</f>
      </c>
      <c r="AR73" s="530">
        <f>IF(OR(11&gt;$B$3,ISBLANK(Actuals!M89)),"",'Reforecast Q1 2026'!M89-Actuals!M89)</f>
      </c>
      <c r="AS73" s="530">
        <f>IFERROR(IF(OR(11&gt;$B$3,ISBLANK(Actuals!M89)),"",('Reforecast Q1 2026'!M89-Actuals!M89)/ABS('Reforecast Q1 2026'!M89)),"")</f>
      </c>
      <c r="AT73" s="529">
        <f>'Reforecast Q1 2026'!N89</f>
        <v>-583.8</v>
      </c>
      <c r="AU73" s="529">
        <f>IF(OR(12&gt;$B$3,ISBLANK(Actuals!N89)),"",Actuals!N89)</f>
      </c>
      <c r="AV73" s="530">
        <f>IF(OR(12&gt;$B$3,ISBLANK(Actuals!N89)),"",'Reforecast Q1 2026'!N89-Actuals!N89)</f>
      </c>
      <c r="AW73" s="530">
        <f>IFERROR(IF(OR(12&gt;$B$3,ISBLANK(Actuals!N89)),"",('Reforecast Q1 2026'!N89-Actuals!N89)/ABS('Reforecast Q1 2026'!N89)),"")</f>
      </c>
      <c r="AX73" s="531">
        <f>SUMPRODUCT((Actuals!C89:N89&lt;&gt;"")*('Reforecast Q1 2026'!C89:N89))</f>
        <v>-3502.81</v>
      </c>
      <c r="AY73" s="531">
        <f>SUM(Actuals!C89:N89)</f>
        <v>-2047.45</v>
      </c>
      <c r="AZ73" s="532">
        <f>AX73-AY73</f>
        <v>-1455.36</v>
      </c>
    </row>
    <row r="74" ht="15" customFormat="1" customHeight="1" s="381">
      <c r="A74" s="528" t="inlineStr">
        <is>
          <t>5200-1053 IT Software and Subscriptions</t>
        </is>
      </c>
      <c r="B74" s="529">
        <f>'Reforecast Q1 2026'!C90</f>
        <v>-246.85</v>
      </c>
      <c r="C74" s="529">
        <f>IF(OR(1&gt;$B$3,ISBLANK(Actuals!C90)),"",Actuals!C90)</f>
        <v>-246.85</v>
      </c>
      <c r="D74" s="530">
        <f>IF(OR(1&gt;$B$3,ISBLANK(Actuals!C90)),"",'Reforecast Q1 2026'!C90-Actuals!C90)</f>
        <v>0</v>
      </c>
      <c r="E74" s="530">
        <f>IFERROR(IF(OR(1&gt;$B$3,ISBLANK(Actuals!C90)),"",('Reforecast Q1 2026'!C90-Actuals!C90)/ABS('Reforecast Q1 2026'!C90)),"")</f>
        <v>0</v>
      </c>
      <c r="F74" s="529">
        <f>'Reforecast Q1 2026'!D90</f>
        <v>0</v>
      </c>
      <c r="G74" s="529">
        <f>IF(OR(2&gt;$B$3,ISBLANK(Actuals!D90)),"",Actuals!D90)</f>
        <v>0</v>
      </c>
      <c r="H74" s="530">
        <f>IF(OR(2&gt;$B$3,ISBLANK(Actuals!D90)),"",'Reforecast Q1 2026'!D90-Actuals!D90)</f>
        <v>0</v>
      </c>
      <c r="I74" s="530">
        <f>IFERROR(IF(OR(2&gt;$B$3,ISBLANK(Actuals!D90)),"",('Reforecast Q1 2026'!D90-Actuals!D90)/ABS('Reforecast Q1 2026'!D90)),"")</f>
      </c>
      <c r="J74" s="529">
        <f>'Reforecast Q1 2026'!E90</f>
        <v>-4246.73</v>
      </c>
      <c r="K74" s="529">
        <f>IF(OR(3&gt;$B$3,ISBLANK(Actuals!E90)),"",Actuals!E90)</f>
        <v>-4246.73</v>
      </c>
      <c r="L74" s="530">
        <f>IF(OR(3&gt;$B$3,ISBLANK(Actuals!E90)),"",'Reforecast Q1 2026'!E90-Actuals!E90)</f>
        <v>0</v>
      </c>
      <c r="M74" s="530">
        <f>IFERROR(IF(OR(3&gt;$B$3,ISBLANK(Actuals!E90)),"",('Reforecast Q1 2026'!E90-Actuals!E90)/ABS('Reforecast Q1 2026'!E90)),"")</f>
        <v>0</v>
      </c>
      <c r="N74" s="529">
        <f>'Reforecast Q1 2026'!F90</f>
        <v>-1497.86</v>
      </c>
      <c r="O74" s="529">
        <f>IF(OR(4&gt;$B$3,ISBLANK(Actuals!F90)),"",Actuals!F90)</f>
        <v>-3123.87</v>
      </c>
      <c r="P74" s="530">
        <f>IF(OR(4&gt;$B$3,ISBLANK(Actuals!F90)),"",'Reforecast Q1 2026'!F90-Actuals!F90)</f>
        <v>1626.01</v>
      </c>
      <c r="Q74" s="530">
        <f>IFERROR(IF(OR(4&gt;$B$3,ISBLANK(Actuals!F90)),"",('Reforecast Q1 2026'!F90-Actuals!F90)/ABS('Reforecast Q1 2026'!F90)),"")</f>
        <v>1.08555539235977</v>
      </c>
      <c r="R74" s="529">
        <f>'Reforecast Q1 2026'!G90</f>
        <v>-1497.86</v>
      </c>
      <c r="S74" s="529">
        <f>IF(OR(5&gt;$B$3,ISBLANK(Actuals!G90)),"",Actuals!G90)</f>
        <v>-3184.88</v>
      </c>
      <c r="T74" s="530">
        <f>IF(OR(5&gt;$B$3,ISBLANK(Actuals!G90)),"",'Reforecast Q1 2026'!G90-Actuals!G90)</f>
        <v>1687.02</v>
      </c>
      <c r="U74" s="530">
        <f>IFERROR(IF(OR(5&gt;$B$3,ISBLANK(Actuals!G90)),"",('Reforecast Q1 2026'!G90-Actuals!G90)/ABS('Reforecast Q1 2026'!G90)),"")</f>
        <v>1.12628683588586</v>
      </c>
      <c r="V74" s="529">
        <f>'Reforecast Q1 2026'!H90</f>
        <v>-1497.86</v>
      </c>
      <c r="W74" s="529">
        <f>IF(OR(6&gt;$B$3,ISBLANK(Actuals!H90)),"",Actuals!H90)</f>
        <v>-4015.94</v>
      </c>
      <c r="X74" s="530">
        <f>IF(OR(6&gt;$B$3,ISBLANK(Actuals!H90)),"",'Reforecast Q1 2026'!H90-Actuals!H90)</f>
        <v>2518.08</v>
      </c>
      <c r="Y74" s="530">
        <f>IFERROR(IF(OR(6&gt;$B$3,ISBLANK(Actuals!H90)),"",('Reforecast Q1 2026'!H90-Actuals!H90)/ABS('Reforecast Q1 2026'!H90)),"")</f>
        <v>1.68111839557769</v>
      </c>
      <c r="Z74" s="529">
        <f>'Reforecast Q1 2026'!I90</f>
        <v>-1497.86</v>
      </c>
      <c r="AA74" s="529">
        <f>IF(OR(7&gt;$B$3,ISBLANK(Actuals!I90)),"",Actuals!I90)</f>
      </c>
      <c r="AB74" s="530">
        <f>IF(OR(7&gt;$B$3,ISBLANK(Actuals!I90)),"",'Reforecast Q1 2026'!I90-Actuals!I90)</f>
      </c>
      <c r="AC74" s="530">
        <f>IFERROR(IF(OR(7&gt;$B$3,ISBLANK(Actuals!I90)),"",('Reforecast Q1 2026'!I90-Actuals!I90)/ABS('Reforecast Q1 2026'!I90)),"")</f>
      </c>
      <c r="AD74" s="529">
        <f>'Reforecast Q1 2026'!J90</f>
        <v>-1497.86</v>
      </c>
      <c r="AE74" s="529">
        <f>IF(OR(8&gt;$B$3,ISBLANK(Actuals!J90)),"",Actuals!J90)</f>
      </c>
      <c r="AF74" s="530">
        <f>IF(OR(8&gt;$B$3,ISBLANK(Actuals!J90)),"",'Reforecast Q1 2026'!J90-Actuals!J90)</f>
      </c>
      <c r="AG74" s="530">
        <f>IFERROR(IF(OR(8&gt;$B$3,ISBLANK(Actuals!J90)),"",('Reforecast Q1 2026'!J90-Actuals!J90)/ABS('Reforecast Q1 2026'!J90)),"")</f>
      </c>
      <c r="AH74" s="529">
        <f>'Reforecast Q1 2026'!K90</f>
        <v>-1497.86</v>
      </c>
      <c r="AI74" s="529">
        <f>IF(OR(9&gt;$B$3,ISBLANK(Actuals!K90)),"",Actuals!K90)</f>
      </c>
      <c r="AJ74" s="530">
        <f>IF(OR(9&gt;$B$3,ISBLANK(Actuals!K90)),"",'Reforecast Q1 2026'!K90-Actuals!K90)</f>
      </c>
      <c r="AK74" s="530">
        <f>IFERROR(IF(OR(9&gt;$B$3,ISBLANK(Actuals!K90)),"",('Reforecast Q1 2026'!K90-Actuals!K90)/ABS('Reforecast Q1 2026'!K90)),"")</f>
      </c>
      <c r="AL74" s="529">
        <f>'Reforecast Q1 2026'!L90</f>
        <v>-1497.86</v>
      </c>
      <c r="AM74" s="529">
        <f>IF(OR(10&gt;$B$3,ISBLANK(Actuals!L90)),"",Actuals!L90)</f>
      </c>
      <c r="AN74" s="530">
        <f>IF(OR(10&gt;$B$3,ISBLANK(Actuals!L90)),"",'Reforecast Q1 2026'!L90-Actuals!L90)</f>
      </c>
      <c r="AO74" s="530">
        <f>IFERROR(IF(OR(10&gt;$B$3,ISBLANK(Actuals!L90)),"",('Reforecast Q1 2026'!L90-Actuals!L90)/ABS('Reforecast Q1 2026'!L90)),"")</f>
      </c>
      <c r="AP74" s="529">
        <f>'Reforecast Q1 2026'!M90</f>
        <v>-1497.86</v>
      </c>
      <c r="AQ74" s="529">
        <f>IF(OR(11&gt;$B$3,ISBLANK(Actuals!M90)),"",Actuals!M90)</f>
      </c>
      <c r="AR74" s="530">
        <f>IF(OR(11&gt;$B$3,ISBLANK(Actuals!M90)),"",'Reforecast Q1 2026'!M90-Actuals!M90)</f>
      </c>
      <c r="AS74" s="530">
        <f>IFERROR(IF(OR(11&gt;$B$3,ISBLANK(Actuals!M90)),"",('Reforecast Q1 2026'!M90-Actuals!M90)/ABS('Reforecast Q1 2026'!M90)),"")</f>
      </c>
      <c r="AT74" s="529">
        <f>'Reforecast Q1 2026'!N90</f>
        <v>-1497.86</v>
      </c>
      <c r="AU74" s="529">
        <f>IF(OR(12&gt;$B$3,ISBLANK(Actuals!N90)),"",Actuals!N90)</f>
      </c>
      <c r="AV74" s="530">
        <f>IF(OR(12&gt;$B$3,ISBLANK(Actuals!N90)),"",'Reforecast Q1 2026'!N90-Actuals!N90)</f>
      </c>
      <c r="AW74" s="530">
        <f>IFERROR(IF(OR(12&gt;$B$3,ISBLANK(Actuals!N90)),"",('Reforecast Q1 2026'!N90-Actuals!N90)/ABS('Reforecast Q1 2026'!N90)),"")</f>
      </c>
      <c r="AX74" s="531">
        <f>SUMPRODUCT((Actuals!C90:N90&lt;&gt;"")*('Reforecast Q1 2026'!C90:N90))</f>
        <v>-8987.16</v>
      </c>
      <c r="AY74" s="531">
        <f>SUM(Actuals!C90:N90)</f>
        <v>-14818.27</v>
      </c>
      <c r="AZ74" s="532">
        <f>AX74-AY74</f>
        <v>5831.11</v>
      </c>
    </row>
    <row r="75" ht="15" customFormat="1" customHeight="1" s="381">
      <c r="A75" s="528" t="inlineStr">
        <is>
          <t>5200-1060 Website Design</t>
        </is>
      </c>
      <c r="B75" s="529">
        <f>'Reforecast Q1 2026'!C91</f>
        <v>0</v>
      </c>
      <c r="C75" s="529">
        <f>IF(OR(1&gt;$B$3,ISBLANK(Actuals!C91)),"",Actuals!C91)</f>
        <v>0</v>
      </c>
      <c r="D75" s="530">
        <f>IF(OR(1&gt;$B$3,ISBLANK(Actuals!C91)),"",'Reforecast Q1 2026'!C91-Actuals!C91)</f>
        <v>0</v>
      </c>
      <c r="E75" s="530">
        <f>IFERROR(IF(OR(1&gt;$B$3,ISBLANK(Actuals!C91)),"",('Reforecast Q1 2026'!C91-Actuals!C91)/ABS('Reforecast Q1 2026'!C91)),"")</f>
      </c>
      <c r="F75" s="529">
        <f>'Reforecast Q1 2026'!D91</f>
        <v>0</v>
      </c>
      <c r="G75" s="529">
        <f>IF(OR(2&gt;$B$3,ISBLANK(Actuals!D91)),"",Actuals!D91)</f>
        <v>0</v>
      </c>
      <c r="H75" s="530">
        <f>IF(OR(2&gt;$B$3,ISBLANK(Actuals!D91)),"",'Reforecast Q1 2026'!D91-Actuals!D91)</f>
        <v>0</v>
      </c>
      <c r="I75" s="530">
        <f>IFERROR(IF(OR(2&gt;$B$3,ISBLANK(Actuals!D91)),"",('Reforecast Q1 2026'!D91-Actuals!D91)/ABS('Reforecast Q1 2026'!D91)),"")</f>
      </c>
      <c r="J75" s="529">
        <f>'Reforecast Q1 2026'!E91</f>
        <v>-870</v>
      </c>
      <c r="K75" s="529">
        <f>IF(OR(3&gt;$B$3,ISBLANK(Actuals!E91)),"",Actuals!E91)</f>
        <v>-870</v>
      </c>
      <c r="L75" s="530">
        <f>IF(OR(3&gt;$B$3,ISBLANK(Actuals!E91)),"",'Reforecast Q1 2026'!E91-Actuals!E91)</f>
        <v>0</v>
      </c>
      <c r="M75" s="530">
        <f>IFERROR(IF(OR(3&gt;$B$3,ISBLANK(Actuals!E91)),"",('Reforecast Q1 2026'!E91-Actuals!E91)/ABS('Reforecast Q1 2026'!E91)),"")</f>
        <v>0</v>
      </c>
      <c r="N75" s="529">
        <f>'Reforecast Q1 2026'!F91</f>
        <v>-290</v>
      </c>
      <c r="O75" s="529">
        <f>IF(OR(4&gt;$B$3,ISBLANK(Actuals!F91)),"",Actuals!F91)</f>
        <v>0</v>
      </c>
      <c r="P75" s="530">
        <f>IF(OR(4&gt;$B$3,ISBLANK(Actuals!F91)),"",'Reforecast Q1 2026'!F91-Actuals!F91)</f>
        <v>-290</v>
      </c>
      <c r="Q75" s="530">
        <f>IFERROR(IF(OR(4&gt;$B$3,ISBLANK(Actuals!F91)),"",('Reforecast Q1 2026'!F91-Actuals!F91)/ABS('Reforecast Q1 2026'!F91)),"")</f>
        <v>-1</v>
      </c>
      <c r="R75" s="529">
        <f>'Reforecast Q1 2026'!G91</f>
        <v>-290</v>
      </c>
      <c r="S75" s="529">
        <f>IF(OR(5&gt;$B$3,ISBLANK(Actuals!G91)),"",Actuals!G91)</f>
        <v>0</v>
      </c>
      <c r="T75" s="530">
        <f>IF(OR(5&gt;$B$3,ISBLANK(Actuals!G91)),"",'Reforecast Q1 2026'!G91-Actuals!G91)</f>
        <v>-290</v>
      </c>
      <c r="U75" s="530">
        <f>IFERROR(IF(OR(5&gt;$B$3,ISBLANK(Actuals!G91)),"",('Reforecast Q1 2026'!G91-Actuals!G91)/ABS('Reforecast Q1 2026'!G91)),"")</f>
        <v>-1</v>
      </c>
      <c r="V75" s="529">
        <f>'Reforecast Q1 2026'!H91</f>
        <v>-290</v>
      </c>
      <c r="W75" s="529">
        <f>IF(OR(6&gt;$B$3,ISBLANK(Actuals!H91)),"",Actuals!H91)</f>
        <v>0</v>
      </c>
      <c r="X75" s="530">
        <f>IF(OR(6&gt;$B$3,ISBLANK(Actuals!H91)),"",'Reforecast Q1 2026'!H91-Actuals!H91)</f>
        <v>-290</v>
      </c>
      <c r="Y75" s="530">
        <f>IFERROR(IF(OR(6&gt;$B$3,ISBLANK(Actuals!H91)),"",('Reforecast Q1 2026'!H91-Actuals!H91)/ABS('Reforecast Q1 2026'!H91)),"")</f>
        <v>-1</v>
      </c>
      <c r="Z75" s="529">
        <f>'Reforecast Q1 2026'!I91</f>
        <v>-290</v>
      </c>
      <c r="AA75" s="529">
        <f>IF(OR(7&gt;$B$3,ISBLANK(Actuals!I91)),"",Actuals!I91)</f>
      </c>
      <c r="AB75" s="530">
        <f>IF(OR(7&gt;$B$3,ISBLANK(Actuals!I91)),"",'Reforecast Q1 2026'!I91-Actuals!I91)</f>
      </c>
      <c r="AC75" s="530">
        <f>IFERROR(IF(OR(7&gt;$B$3,ISBLANK(Actuals!I91)),"",('Reforecast Q1 2026'!I91-Actuals!I91)/ABS('Reforecast Q1 2026'!I91)),"")</f>
      </c>
      <c r="AD75" s="529">
        <f>'Reforecast Q1 2026'!J91</f>
        <v>-290</v>
      </c>
      <c r="AE75" s="529">
        <f>IF(OR(8&gt;$B$3,ISBLANK(Actuals!J91)),"",Actuals!J91)</f>
      </c>
      <c r="AF75" s="530">
        <f>IF(OR(8&gt;$B$3,ISBLANK(Actuals!J91)),"",'Reforecast Q1 2026'!J91-Actuals!J91)</f>
      </c>
      <c r="AG75" s="530">
        <f>IFERROR(IF(OR(8&gt;$B$3,ISBLANK(Actuals!J91)),"",('Reforecast Q1 2026'!J91-Actuals!J91)/ABS('Reforecast Q1 2026'!J91)),"")</f>
      </c>
      <c r="AH75" s="529">
        <f>'Reforecast Q1 2026'!K91</f>
        <v>-290</v>
      </c>
      <c r="AI75" s="529">
        <f>IF(OR(9&gt;$B$3,ISBLANK(Actuals!K91)),"",Actuals!K91)</f>
      </c>
      <c r="AJ75" s="530">
        <f>IF(OR(9&gt;$B$3,ISBLANK(Actuals!K91)),"",'Reforecast Q1 2026'!K91-Actuals!K91)</f>
      </c>
      <c r="AK75" s="530">
        <f>IFERROR(IF(OR(9&gt;$B$3,ISBLANK(Actuals!K91)),"",('Reforecast Q1 2026'!K91-Actuals!K91)/ABS('Reforecast Q1 2026'!K91)),"")</f>
      </c>
      <c r="AL75" s="529">
        <f>'Reforecast Q1 2026'!L91</f>
        <v>-290</v>
      </c>
      <c r="AM75" s="529">
        <f>IF(OR(10&gt;$B$3,ISBLANK(Actuals!L91)),"",Actuals!L91)</f>
      </c>
      <c r="AN75" s="530">
        <f>IF(OR(10&gt;$B$3,ISBLANK(Actuals!L91)),"",'Reforecast Q1 2026'!L91-Actuals!L91)</f>
      </c>
      <c r="AO75" s="530">
        <f>IFERROR(IF(OR(10&gt;$B$3,ISBLANK(Actuals!L91)),"",('Reforecast Q1 2026'!L91-Actuals!L91)/ABS('Reforecast Q1 2026'!L91)),"")</f>
      </c>
      <c r="AP75" s="529">
        <f>'Reforecast Q1 2026'!M91</f>
        <v>-290</v>
      </c>
      <c r="AQ75" s="529">
        <f>IF(OR(11&gt;$B$3,ISBLANK(Actuals!M91)),"",Actuals!M91)</f>
      </c>
      <c r="AR75" s="530">
        <f>IF(OR(11&gt;$B$3,ISBLANK(Actuals!M91)),"",'Reforecast Q1 2026'!M91-Actuals!M91)</f>
      </c>
      <c r="AS75" s="530">
        <f>IFERROR(IF(OR(11&gt;$B$3,ISBLANK(Actuals!M91)),"",('Reforecast Q1 2026'!M91-Actuals!M91)/ABS('Reforecast Q1 2026'!M91)),"")</f>
      </c>
      <c r="AT75" s="529">
        <f>'Reforecast Q1 2026'!N91</f>
        <v>-290</v>
      </c>
      <c r="AU75" s="529">
        <f>IF(OR(12&gt;$B$3,ISBLANK(Actuals!N91)),"",Actuals!N91)</f>
      </c>
      <c r="AV75" s="530">
        <f>IF(OR(12&gt;$B$3,ISBLANK(Actuals!N91)),"",'Reforecast Q1 2026'!N91-Actuals!N91)</f>
      </c>
      <c r="AW75" s="530">
        <f>IFERROR(IF(OR(12&gt;$B$3,ISBLANK(Actuals!N91)),"",('Reforecast Q1 2026'!N91-Actuals!N91)/ABS('Reforecast Q1 2026'!N91)),"")</f>
      </c>
      <c r="AX75" s="531">
        <f>SUMPRODUCT((Actuals!C91:N91&lt;&gt;"")*('Reforecast Q1 2026'!C91:N91))</f>
        <v>-1740</v>
      </c>
      <c r="AY75" s="531">
        <f>SUM(Actuals!C91:N91)</f>
        <v>-870</v>
      </c>
      <c r="AZ75" s="532">
        <f>AX75-AY75</f>
        <v>-870</v>
      </c>
    </row>
    <row r="76" ht="15" customFormat="1" customHeight="1" s="381">
      <c r="A76" s="528" t="inlineStr">
        <is>
          <t>5200-1061 Website Hosting</t>
        </is>
      </c>
      <c r="B76" s="529">
        <f>'Reforecast Q1 2026'!C92</f>
        <v>-245</v>
      </c>
      <c r="C76" s="529">
        <f>IF(OR(1&gt;$B$3,ISBLANK(Actuals!C92)),"",Actuals!C92)</f>
        <v>-245</v>
      </c>
      <c r="D76" s="530">
        <f>IF(OR(1&gt;$B$3,ISBLANK(Actuals!C92)),"",'Reforecast Q1 2026'!C92-Actuals!C92)</f>
        <v>0</v>
      </c>
      <c r="E76" s="530">
        <f>IFERROR(IF(OR(1&gt;$B$3,ISBLANK(Actuals!C92)),"",('Reforecast Q1 2026'!C92-Actuals!C92)/ABS('Reforecast Q1 2026'!C92)),"")</f>
        <v>0</v>
      </c>
      <c r="F76" s="529">
        <f>'Reforecast Q1 2026'!D92</f>
        <v>-245</v>
      </c>
      <c r="G76" s="529">
        <f>IF(OR(2&gt;$B$3,ISBLANK(Actuals!D92)),"",Actuals!D92)</f>
        <v>-245</v>
      </c>
      <c r="H76" s="530">
        <f>IF(OR(2&gt;$B$3,ISBLANK(Actuals!D92)),"",'Reforecast Q1 2026'!D92-Actuals!D92)</f>
        <v>0</v>
      </c>
      <c r="I76" s="530">
        <f>IFERROR(IF(OR(2&gt;$B$3,ISBLANK(Actuals!D92)),"",('Reforecast Q1 2026'!D92-Actuals!D92)/ABS('Reforecast Q1 2026'!D92)),"")</f>
        <v>0</v>
      </c>
      <c r="J76" s="529">
        <f>'Reforecast Q1 2026'!E92</f>
        <v>-245</v>
      </c>
      <c r="K76" s="529">
        <f>IF(OR(3&gt;$B$3,ISBLANK(Actuals!E92)),"",Actuals!E92)</f>
        <v>-245</v>
      </c>
      <c r="L76" s="530">
        <f>IF(OR(3&gt;$B$3,ISBLANK(Actuals!E92)),"",'Reforecast Q1 2026'!E92-Actuals!E92)</f>
        <v>0</v>
      </c>
      <c r="M76" s="530">
        <f>IFERROR(IF(OR(3&gt;$B$3,ISBLANK(Actuals!E92)),"",('Reforecast Q1 2026'!E92-Actuals!E92)/ABS('Reforecast Q1 2026'!E92)),"")</f>
        <v>0</v>
      </c>
      <c r="N76" s="529">
        <f>'Reforecast Q1 2026'!F92</f>
        <v>-245</v>
      </c>
      <c r="O76" s="529">
        <f>IF(OR(4&gt;$B$3,ISBLANK(Actuals!F92)),"",Actuals!F92)</f>
        <v>-245</v>
      </c>
      <c r="P76" s="530">
        <f>IF(OR(4&gt;$B$3,ISBLANK(Actuals!F92)),"",'Reforecast Q1 2026'!F92-Actuals!F92)</f>
        <v>0</v>
      </c>
      <c r="Q76" s="530">
        <f>IFERROR(IF(OR(4&gt;$B$3,ISBLANK(Actuals!F92)),"",('Reforecast Q1 2026'!F92-Actuals!F92)/ABS('Reforecast Q1 2026'!F92)),"")</f>
        <v>0</v>
      </c>
      <c r="R76" s="529">
        <f>'Reforecast Q1 2026'!G92</f>
        <v>-245</v>
      </c>
      <c r="S76" s="529">
        <f>IF(OR(5&gt;$B$3,ISBLANK(Actuals!G92)),"",Actuals!G92)</f>
        <v>-245</v>
      </c>
      <c r="T76" s="530">
        <f>IF(OR(5&gt;$B$3,ISBLANK(Actuals!G92)),"",'Reforecast Q1 2026'!G92-Actuals!G92)</f>
        <v>0</v>
      </c>
      <c r="U76" s="530">
        <f>IFERROR(IF(OR(5&gt;$B$3,ISBLANK(Actuals!G92)),"",('Reforecast Q1 2026'!G92-Actuals!G92)/ABS('Reforecast Q1 2026'!G92)),"")</f>
        <v>0</v>
      </c>
      <c r="V76" s="529">
        <f>'Reforecast Q1 2026'!H92</f>
        <v>-245</v>
      </c>
      <c r="W76" s="529">
        <f>IF(OR(6&gt;$B$3,ISBLANK(Actuals!H92)),"",Actuals!H92)</f>
        <v>-245</v>
      </c>
      <c r="X76" s="530">
        <f>IF(OR(6&gt;$B$3,ISBLANK(Actuals!H92)),"",'Reforecast Q1 2026'!H92-Actuals!H92)</f>
        <v>0</v>
      </c>
      <c r="Y76" s="530">
        <f>IFERROR(IF(OR(6&gt;$B$3,ISBLANK(Actuals!H92)),"",('Reforecast Q1 2026'!H92-Actuals!H92)/ABS('Reforecast Q1 2026'!H92)),"")</f>
        <v>0</v>
      </c>
      <c r="Z76" s="529">
        <f>'Reforecast Q1 2026'!I92</f>
        <v>-245</v>
      </c>
      <c r="AA76" s="529">
        <f>IF(OR(7&gt;$B$3,ISBLANK(Actuals!I92)),"",Actuals!I92)</f>
      </c>
      <c r="AB76" s="530">
        <f>IF(OR(7&gt;$B$3,ISBLANK(Actuals!I92)),"",'Reforecast Q1 2026'!I92-Actuals!I92)</f>
      </c>
      <c r="AC76" s="530">
        <f>IFERROR(IF(OR(7&gt;$B$3,ISBLANK(Actuals!I92)),"",('Reforecast Q1 2026'!I92-Actuals!I92)/ABS('Reforecast Q1 2026'!I92)),"")</f>
      </c>
      <c r="AD76" s="529">
        <f>'Reforecast Q1 2026'!J92</f>
        <v>-245</v>
      </c>
      <c r="AE76" s="529">
        <f>IF(OR(8&gt;$B$3,ISBLANK(Actuals!J92)),"",Actuals!J92)</f>
      </c>
      <c r="AF76" s="530">
        <f>IF(OR(8&gt;$B$3,ISBLANK(Actuals!J92)),"",'Reforecast Q1 2026'!J92-Actuals!J92)</f>
      </c>
      <c r="AG76" s="530">
        <f>IFERROR(IF(OR(8&gt;$B$3,ISBLANK(Actuals!J92)),"",('Reforecast Q1 2026'!J92-Actuals!J92)/ABS('Reforecast Q1 2026'!J92)),"")</f>
      </c>
      <c r="AH76" s="529">
        <f>'Reforecast Q1 2026'!K92</f>
        <v>-245</v>
      </c>
      <c r="AI76" s="529">
        <f>IF(OR(9&gt;$B$3,ISBLANK(Actuals!K92)),"",Actuals!K92)</f>
      </c>
      <c r="AJ76" s="530">
        <f>IF(OR(9&gt;$B$3,ISBLANK(Actuals!K92)),"",'Reforecast Q1 2026'!K92-Actuals!K92)</f>
      </c>
      <c r="AK76" s="530">
        <f>IFERROR(IF(OR(9&gt;$B$3,ISBLANK(Actuals!K92)),"",('Reforecast Q1 2026'!K92-Actuals!K92)/ABS('Reforecast Q1 2026'!K92)),"")</f>
      </c>
      <c r="AL76" s="529">
        <f>'Reforecast Q1 2026'!L92</f>
        <v>-245</v>
      </c>
      <c r="AM76" s="529">
        <f>IF(OR(10&gt;$B$3,ISBLANK(Actuals!L92)),"",Actuals!L92)</f>
      </c>
      <c r="AN76" s="530">
        <f>IF(OR(10&gt;$B$3,ISBLANK(Actuals!L92)),"",'Reforecast Q1 2026'!L92-Actuals!L92)</f>
      </c>
      <c r="AO76" s="530">
        <f>IFERROR(IF(OR(10&gt;$B$3,ISBLANK(Actuals!L92)),"",('Reforecast Q1 2026'!L92-Actuals!L92)/ABS('Reforecast Q1 2026'!L92)),"")</f>
      </c>
      <c r="AP76" s="529">
        <f>'Reforecast Q1 2026'!M92</f>
        <v>-245</v>
      </c>
      <c r="AQ76" s="529">
        <f>IF(OR(11&gt;$B$3,ISBLANK(Actuals!M92)),"",Actuals!M92)</f>
      </c>
      <c r="AR76" s="530">
        <f>IF(OR(11&gt;$B$3,ISBLANK(Actuals!M92)),"",'Reforecast Q1 2026'!M92-Actuals!M92)</f>
      </c>
      <c r="AS76" s="530">
        <f>IFERROR(IF(OR(11&gt;$B$3,ISBLANK(Actuals!M92)),"",('Reforecast Q1 2026'!M92-Actuals!M92)/ABS('Reforecast Q1 2026'!M92)),"")</f>
      </c>
      <c r="AT76" s="529">
        <f>'Reforecast Q1 2026'!N92</f>
        <v>-245</v>
      </c>
      <c r="AU76" s="529">
        <f>IF(OR(12&gt;$B$3,ISBLANK(Actuals!N92)),"",Actuals!N92)</f>
      </c>
      <c r="AV76" s="530">
        <f>IF(OR(12&gt;$B$3,ISBLANK(Actuals!N92)),"",'Reforecast Q1 2026'!N92-Actuals!N92)</f>
      </c>
      <c r="AW76" s="530">
        <f>IFERROR(IF(OR(12&gt;$B$3,ISBLANK(Actuals!N92)),"",('Reforecast Q1 2026'!N92-Actuals!N92)/ABS('Reforecast Q1 2026'!N92)),"")</f>
      </c>
      <c r="AX76" s="531">
        <f>SUMPRODUCT((Actuals!C92:N92&lt;&gt;"")*('Reforecast Q1 2026'!C92:N92))</f>
        <v>-1470</v>
      </c>
      <c r="AY76" s="531">
        <f>SUM(Actuals!C92:N92)</f>
        <v>-1470</v>
      </c>
      <c r="AZ76" s="532">
        <f>AX76-AY76</f>
        <v>0</v>
      </c>
    </row>
    <row r="77" ht="15" customFormat="1" customHeight="1" s="381">
      <c r="A77" s="528" t="inlineStr">
        <is>
          <t>5300-1000 Travel and Lodging</t>
        </is>
      </c>
      <c r="B77" s="529">
        <f>'Reforecast Q1 2026'!C93</f>
        <v>-986.57</v>
      </c>
      <c r="C77" s="529">
        <f>IF(OR(1&gt;$B$3,ISBLANK(Actuals!C93)),"",Actuals!C93)</f>
        <v>-986.57</v>
      </c>
      <c r="D77" s="530">
        <f>IF(OR(1&gt;$B$3,ISBLANK(Actuals!C93)),"",'Reforecast Q1 2026'!C93-Actuals!C93)</f>
        <v>0</v>
      </c>
      <c r="E77" s="530">
        <f>IFERROR(IF(OR(1&gt;$B$3,ISBLANK(Actuals!C93)),"",('Reforecast Q1 2026'!C93-Actuals!C93)/ABS('Reforecast Q1 2026'!C93)),"")</f>
        <v>0</v>
      </c>
      <c r="F77" s="529">
        <f>'Reforecast Q1 2026'!D93</f>
        <v>-1254.61</v>
      </c>
      <c r="G77" s="529">
        <f>IF(OR(2&gt;$B$3,ISBLANK(Actuals!D93)),"",Actuals!D93)</f>
        <v>-1254.61</v>
      </c>
      <c r="H77" s="530">
        <f>IF(OR(2&gt;$B$3,ISBLANK(Actuals!D93)),"",'Reforecast Q1 2026'!D93-Actuals!D93)</f>
        <v>0</v>
      </c>
      <c r="I77" s="530">
        <f>IFERROR(IF(OR(2&gt;$B$3,ISBLANK(Actuals!D93)),"",('Reforecast Q1 2026'!D93-Actuals!D93)/ABS('Reforecast Q1 2026'!D93)),"")</f>
        <v>0</v>
      </c>
      <c r="J77" s="529">
        <f>'Reforecast Q1 2026'!E93</f>
        <v>-1297.31</v>
      </c>
      <c r="K77" s="529">
        <f>IF(OR(3&gt;$B$3,ISBLANK(Actuals!E93)),"",Actuals!E93)</f>
        <v>-1297.31</v>
      </c>
      <c r="L77" s="530">
        <f>IF(OR(3&gt;$B$3,ISBLANK(Actuals!E93)),"",'Reforecast Q1 2026'!E93-Actuals!E93)</f>
        <v>0</v>
      </c>
      <c r="M77" s="530">
        <f>IFERROR(IF(OR(3&gt;$B$3,ISBLANK(Actuals!E93)),"",('Reforecast Q1 2026'!E93-Actuals!E93)/ABS('Reforecast Q1 2026'!E93)),"")</f>
        <v>0</v>
      </c>
      <c r="N77" s="529">
        <f>'Reforecast Q1 2026'!F93</f>
        <v>-1179.5</v>
      </c>
      <c r="O77" s="529">
        <f>IF(OR(4&gt;$B$3,ISBLANK(Actuals!F93)),"",Actuals!F93)</f>
        <v>-48.78</v>
      </c>
      <c r="P77" s="530">
        <f>IF(OR(4&gt;$B$3,ISBLANK(Actuals!F93)),"",'Reforecast Q1 2026'!F93-Actuals!F93)</f>
        <v>-1130.72</v>
      </c>
      <c r="Q77" s="530">
        <f>IFERROR(IF(OR(4&gt;$B$3,ISBLANK(Actuals!F93)),"",('Reforecast Q1 2026'!F93-Actuals!F93)/ABS('Reforecast Q1 2026'!F93)),"")</f>
        <v>-0.958643493005511</v>
      </c>
      <c r="R77" s="529">
        <f>'Reforecast Q1 2026'!G93</f>
        <v>-1179.5</v>
      </c>
      <c r="S77" s="529">
        <f>IF(OR(5&gt;$B$3,ISBLANK(Actuals!G93)),"",Actuals!G93)</f>
        <v>-4199.86</v>
      </c>
      <c r="T77" s="530">
        <f>IF(OR(5&gt;$B$3,ISBLANK(Actuals!G93)),"",'Reforecast Q1 2026'!G93-Actuals!G93)</f>
        <v>3020.36</v>
      </c>
      <c r="U77" s="530">
        <f>IFERROR(IF(OR(5&gt;$B$3,ISBLANK(Actuals!G93)),"",('Reforecast Q1 2026'!G93-Actuals!G93)/ABS('Reforecast Q1 2026'!G93)),"")</f>
        <v>2.56071216617211</v>
      </c>
      <c r="V77" s="529">
        <f>'Reforecast Q1 2026'!H93</f>
        <v>-1179.5</v>
      </c>
      <c r="W77" s="529">
        <f>IF(OR(6&gt;$B$3,ISBLANK(Actuals!H93)),"",Actuals!H93)</f>
        <v>-3433.39</v>
      </c>
      <c r="X77" s="530">
        <f>IF(OR(6&gt;$B$3,ISBLANK(Actuals!H93)),"",'Reforecast Q1 2026'!H93-Actuals!H93)</f>
        <v>2253.89</v>
      </c>
      <c r="Y77" s="530">
        <f>IFERROR(IF(OR(6&gt;$B$3,ISBLANK(Actuals!H93)),"",('Reforecast Q1 2026'!H93-Actuals!H93)/ABS('Reforecast Q1 2026'!H93)),"")</f>
        <v>1.91088596863078</v>
      </c>
      <c r="Z77" s="529">
        <f>'Reforecast Q1 2026'!I93</f>
        <v>-1179.5</v>
      </c>
      <c r="AA77" s="529">
        <f>IF(OR(7&gt;$B$3,ISBLANK(Actuals!I93)),"",Actuals!I93)</f>
      </c>
      <c r="AB77" s="530">
        <f>IF(OR(7&gt;$B$3,ISBLANK(Actuals!I93)),"",'Reforecast Q1 2026'!I93-Actuals!I93)</f>
      </c>
      <c r="AC77" s="530">
        <f>IFERROR(IF(OR(7&gt;$B$3,ISBLANK(Actuals!I93)),"",('Reforecast Q1 2026'!I93-Actuals!I93)/ABS('Reforecast Q1 2026'!I93)),"")</f>
      </c>
      <c r="AD77" s="529">
        <f>'Reforecast Q1 2026'!J93</f>
        <v>-1179.5</v>
      </c>
      <c r="AE77" s="529">
        <f>IF(OR(8&gt;$B$3,ISBLANK(Actuals!J93)),"",Actuals!J93)</f>
      </c>
      <c r="AF77" s="530">
        <f>IF(OR(8&gt;$B$3,ISBLANK(Actuals!J93)),"",'Reforecast Q1 2026'!J93-Actuals!J93)</f>
      </c>
      <c r="AG77" s="530">
        <f>IFERROR(IF(OR(8&gt;$B$3,ISBLANK(Actuals!J93)),"",('Reforecast Q1 2026'!J93-Actuals!J93)/ABS('Reforecast Q1 2026'!J93)),"")</f>
      </c>
      <c r="AH77" s="529">
        <f>'Reforecast Q1 2026'!K93</f>
        <v>-1179.5</v>
      </c>
      <c r="AI77" s="529">
        <f>IF(OR(9&gt;$B$3,ISBLANK(Actuals!K93)),"",Actuals!K93)</f>
      </c>
      <c r="AJ77" s="530">
        <f>IF(OR(9&gt;$B$3,ISBLANK(Actuals!K93)),"",'Reforecast Q1 2026'!K93-Actuals!K93)</f>
      </c>
      <c r="AK77" s="530">
        <f>IFERROR(IF(OR(9&gt;$B$3,ISBLANK(Actuals!K93)),"",('Reforecast Q1 2026'!K93-Actuals!K93)/ABS('Reforecast Q1 2026'!K93)),"")</f>
      </c>
      <c r="AL77" s="529">
        <f>'Reforecast Q1 2026'!L93</f>
        <v>-1179.5</v>
      </c>
      <c r="AM77" s="529">
        <f>IF(OR(10&gt;$B$3,ISBLANK(Actuals!L93)),"",Actuals!L93)</f>
      </c>
      <c r="AN77" s="530">
        <f>IF(OR(10&gt;$B$3,ISBLANK(Actuals!L93)),"",'Reforecast Q1 2026'!L93-Actuals!L93)</f>
      </c>
      <c r="AO77" s="530">
        <f>IFERROR(IF(OR(10&gt;$B$3,ISBLANK(Actuals!L93)),"",('Reforecast Q1 2026'!L93-Actuals!L93)/ABS('Reforecast Q1 2026'!L93)),"")</f>
      </c>
      <c r="AP77" s="529">
        <f>'Reforecast Q1 2026'!M93</f>
        <v>-1179.5</v>
      </c>
      <c r="AQ77" s="529">
        <f>IF(OR(11&gt;$B$3,ISBLANK(Actuals!M93)),"",Actuals!M93)</f>
      </c>
      <c r="AR77" s="530">
        <f>IF(OR(11&gt;$B$3,ISBLANK(Actuals!M93)),"",'Reforecast Q1 2026'!M93-Actuals!M93)</f>
      </c>
      <c r="AS77" s="530">
        <f>IFERROR(IF(OR(11&gt;$B$3,ISBLANK(Actuals!M93)),"",('Reforecast Q1 2026'!M93-Actuals!M93)/ABS('Reforecast Q1 2026'!M93)),"")</f>
      </c>
      <c r="AT77" s="529">
        <f>'Reforecast Q1 2026'!N93</f>
        <v>-1179.5</v>
      </c>
      <c r="AU77" s="529">
        <f>IF(OR(12&gt;$B$3,ISBLANK(Actuals!N93)),"",Actuals!N93)</f>
      </c>
      <c r="AV77" s="530">
        <f>IF(OR(12&gt;$B$3,ISBLANK(Actuals!N93)),"",'Reforecast Q1 2026'!N93-Actuals!N93)</f>
      </c>
      <c r="AW77" s="530">
        <f>IFERROR(IF(OR(12&gt;$B$3,ISBLANK(Actuals!N93)),"",('Reforecast Q1 2026'!N93-Actuals!N93)/ABS('Reforecast Q1 2026'!N93)),"")</f>
      </c>
      <c r="AX77" s="531">
        <f>SUMPRODUCT((Actuals!C93:N93&lt;&gt;"")*('Reforecast Q1 2026'!C93:N93))</f>
        <v>-7076.99</v>
      </c>
      <c r="AY77" s="531">
        <f>SUM(Actuals!C93:N93)</f>
        <v>-11220.52</v>
      </c>
      <c r="AZ77" s="532">
        <f>AX77-AY77</f>
        <v>4143.53</v>
      </c>
    </row>
    <row r="78" ht="15" customFormat="1" customHeight="1" s="381">
      <c r="A78" s="528" t="inlineStr">
        <is>
          <t>5300-1001 Public Transportation</t>
        </is>
      </c>
      <c r="B78" s="529">
        <f>'Reforecast Q1 2026'!C94</f>
        <v>-588.66</v>
      </c>
      <c r="C78" s="529">
        <f>IF(OR(1&gt;$B$3,ISBLANK(Actuals!C94)),"",Actuals!C94)</f>
        <v>-588.66</v>
      </c>
      <c r="D78" s="530">
        <f>IF(OR(1&gt;$B$3,ISBLANK(Actuals!C94)),"",'Reforecast Q1 2026'!C94-Actuals!C94)</f>
        <v>0</v>
      </c>
      <c r="E78" s="530">
        <f>IFERROR(IF(OR(1&gt;$B$3,ISBLANK(Actuals!C94)),"",('Reforecast Q1 2026'!C94-Actuals!C94)/ABS('Reforecast Q1 2026'!C94)),"")</f>
        <v>0</v>
      </c>
      <c r="F78" s="529">
        <f>'Reforecast Q1 2026'!D94</f>
        <v>-22.94</v>
      </c>
      <c r="G78" s="529">
        <f>IF(OR(2&gt;$B$3,ISBLANK(Actuals!D94)),"",Actuals!D94)</f>
        <v>-22.94</v>
      </c>
      <c r="H78" s="530">
        <f>IF(OR(2&gt;$B$3,ISBLANK(Actuals!D94)),"",'Reforecast Q1 2026'!D94-Actuals!D94)</f>
        <v>0</v>
      </c>
      <c r="I78" s="530">
        <f>IFERROR(IF(OR(2&gt;$B$3,ISBLANK(Actuals!D94)),"",('Reforecast Q1 2026'!D94-Actuals!D94)/ABS('Reforecast Q1 2026'!D94)),"")</f>
        <v>0</v>
      </c>
      <c r="J78" s="529">
        <f>'Reforecast Q1 2026'!E94</f>
        <v>-487.3</v>
      </c>
      <c r="K78" s="529">
        <f>IF(OR(3&gt;$B$3,ISBLANK(Actuals!E94)),"",Actuals!E94)</f>
        <v>-487.3</v>
      </c>
      <c r="L78" s="530">
        <f>IF(OR(3&gt;$B$3,ISBLANK(Actuals!E94)),"",'Reforecast Q1 2026'!E94-Actuals!E94)</f>
        <v>0</v>
      </c>
      <c r="M78" s="530">
        <f>IFERROR(IF(OR(3&gt;$B$3,ISBLANK(Actuals!E94)),"",('Reforecast Q1 2026'!E94-Actuals!E94)/ABS('Reforecast Q1 2026'!E94)),"")</f>
        <v>0</v>
      </c>
      <c r="N78" s="529">
        <f>'Reforecast Q1 2026'!F94</f>
        <v>-366.3</v>
      </c>
      <c r="O78" s="529">
        <f>IF(OR(4&gt;$B$3,ISBLANK(Actuals!F94)),"",Actuals!F94)</f>
        <v>-399.98</v>
      </c>
      <c r="P78" s="530">
        <f>IF(OR(4&gt;$B$3,ISBLANK(Actuals!F94)),"",'Reforecast Q1 2026'!F94-Actuals!F94)</f>
        <v>33.68</v>
      </c>
      <c r="Q78" s="530">
        <f>IFERROR(IF(OR(4&gt;$B$3,ISBLANK(Actuals!F94)),"",('Reforecast Q1 2026'!F94-Actuals!F94)/ABS('Reforecast Q1 2026'!F94)),"")</f>
        <v>0.091946491946492</v>
      </c>
      <c r="R78" s="529">
        <f>'Reforecast Q1 2026'!G94</f>
        <v>-366.3</v>
      </c>
      <c r="S78" s="529">
        <f>IF(OR(5&gt;$B$3,ISBLANK(Actuals!G94)),"",Actuals!G94)</f>
        <v>-216.15</v>
      </c>
      <c r="T78" s="530">
        <f>IF(OR(5&gt;$B$3,ISBLANK(Actuals!G94)),"",'Reforecast Q1 2026'!G94-Actuals!G94)</f>
        <v>-150.15</v>
      </c>
      <c r="U78" s="530">
        <f>IFERROR(IF(OR(5&gt;$B$3,ISBLANK(Actuals!G94)),"",('Reforecast Q1 2026'!G94-Actuals!G94)/ABS('Reforecast Q1 2026'!G94)),"")</f>
        <v>-0.40990990990991</v>
      </c>
      <c r="V78" s="529">
        <f>'Reforecast Q1 2026'!H94</f>
        <v>-366.3</v>
      </c>
      <c r="W78" s="529">
        <f>IF(OR(6&gt;$B$3,ISBLANK(Actuals!H94)),"",Actuals!H94)</f>
        <v>-936.05</v>
      </c>
      <c r="X78" s="530">
        <f>IF(OR(6&gt;$B$3,ISBLANK(Actuals!H94)),"",'Reforecast Q1 2026'!H94-Actuals!H94)</f>
        <v>569.75</v>
      </c>
      <c r="Y78" s="530">
        <f>IFERROR(IF(OR(6&gt;$B$3,ISBLANK(Actuals!H94)),"",('Reforecast Q1 2026'!H94-Actuals!H94)/ABS('Reforecast Q1 2026'!H94)),"")</f>
        <v>1.55541905541906</v>
      </c>
      <c r="Z78" s="529">
        <f>'Reforecast Q1 2026'!I94</f>
        <v>-366.3</v>
      </c>
      <c r="AA78" s="529">
        <f>IF(OR(7&gt;$B$3,ISBLANK(Actuals!I94)),"",Actuals!I94)</f>
      </c>
      <c r="AB78" s="530">
        <f>IF(OR(7&gt;$B$3,ISBLANK(Actuals!I94)),"",'Reforecast Q1 2026'!I94-Actuals!I94)</f>
      </c>
      <c r="AC78" s="530">
        <f>IFERROR(IF(OR(7&gt;$B$3,ISBLANK(Actuals!I94)),"",('Reforecast Q1 2026'!I94-Actuals!I94)/ABS('Reforecast Q1 2026'!I94)),"")</f>
      </c>
      <c r="AD78" s="529">
        <f>'Reforecast Q1 2026'!J94</f>
        <v>-366.3</v>
      </c>
      <c r="AE78" s="529">
        <f>IF(OR(8&gt;$B$3,ISBLANK(Actuals!J94)),"",Actuals!J94)</f>
      </c>
      <c r="AF78" s="530">
        <f>IF(OR(8&gt;$B$3,ISBLANK(Actuals!J94)),"",'Reforecast Q1 2026'!J94-Actuals!J94)</f>
      </c>
      <c r="AG78" s="530">
        <f>IFERROR(IF(OR(8&gt;$B$3,ISBLANK(Actuals!J94)),"",('Reforecast Q1 2026'!J94-Actuals!J94)/ABS('Reforecast Q1 2026'!J94)),"")</f>
      </c>
      <c r="AH78" s="529">
        <f>'Reforecast Q1 2026'!K94</f>
        <v>-366.3</v>
      </c>
      <c r="AI78" s="529">
        <f>IF(OR(9&gt;$B$3,ISBLANK(Actuals!K94)),"",Actuals!K94)</f>
      </c>
      <c r="AJ78" s="530">
        <f>IF(OR(9&gt;$B$3,ISBLANK(Actuals!K94)),"",'Reforecast Q1 2026'!K94-Actuals!K94)</f>
      </c>
      <c r="AK78" s="530">
        <f>IFERROR(IF(OR(9&gt;$B$3,ISBLANK(Actuals!K94)),"",('Reforecast Q1 2026'!K94-Actuals!K94)/ABS('Reforecast Q1 2026'!K94)),"")</f>
      </c>
      <c r="AL78" s="529">
        <f>'Reforecast Q1 2026'!L94</f>
        <v>-366.3</v>
      </c>
      <c r="AM78" s="529">
        <f>IF(OR(10&gt;$B$3,ISBLANK(Actuals!L94)),"",Actuals!L94)</f>
      </c>
      <c r="AN78" s="530">
        <f>IF(OR(10&gt;$B$3,ISBLANK(Actuals!L94)),"",'Reforecast Q1 2026'!L94-Actuals!L94)</f>
      </c>
      <c r="AO78" s="530">
        <f>IFERROR(IF(OR(10&gt;$B$3,ISBLANK(Actuals!L94)),"",('Reforecast Q1 2026'!L94-Actuals!L94)/ABS('Reforecast Q1 2026'!L94)),"")</f>
      </c>
      <c r="AP78" s="529">
        <f>'Reforecast Q1 2026'!M94</f>
        <v>-366.3</v>
      </c>
      <c r="AQ78" s="529">
        <f>IF(OR(11&gt;$B$3,ISBLANK(Actuals!M94)),"",Actuals!M94)</f>
      </c>
      <c r="AR78" s="530">
        <f>IF(OR(11&gt;$B$3,ISBLANK(Actuals!M94)),"",'Reforecast Q1 2026'!M94-Actuals!M94)</f>
      </c>
      <c r="AS78" s="530">
        <f>IFERROR(IF(OR(11&gt;$B$3,ISBLANK(Actuals!M94)),"",('Reforecast Q1 2026'!M94-Actuals!M94)/ABS('Reforecast Q1 2026'!M94)),"")</f>
      </c>
      <c r="AT78" s="529">
        <f>'Reforecast Q1 2026'!N94</f>
        <v>-366.3</v>
      </c>
      <c r="AU78" s="529">
        <f>IF(OR(12&gt;$B$3,ISBLANK(Actuals!N94)),"",Actuals!N94)</f>
      </c>
      <c r="AV78" s="530">
        <f>IF(OR(12&gt;$B$3,ISBLANK(Actuals!N94)),"",'Reforecast Q1 2026'!N94-Actuals!N94)</f>
      </c>
      <c r="AW78" s="530">
        <f>IFERROR(IF(OR(12&gt;$B$3,ISBLANK(Actuals!N94)),"",('Reforecast Q1 2026'!N94-Actuals!N94)/ABS('Reforecast Q1 2026'!N94)),"")</f>
      </c>
      <c r="AX78" s="531">
        <f>SUMPRODUCT((Actuals!C94:N94&lt;&gt;"")*('Reforecast Q1 2026'!C94:N94))</f>
        <v>-2197.8</v>
      </c>
      <c r="AY78" s="531">
        <f>SUM(Actuals!C94:N94)</f>
        <v>-2651.08</v>
      </c>
      <c r="AZ78" s="532">
        <f>AX78-AY78</f>
        <v>453.28</v>
      </c>
    </row>
    <row r="79" ht="15" customFormat="1" customHeight="1" s="381">
      <c r="A79" s="528" t="inlineStr">
        <is>
          <t>5300-1002 Parking</t>
        </is>
      </c>
      <c r="B79" s="529">
        <f>'Reforecast Q1 2026'!C95</f>
        <v>0</v>
      </c>
      <c r="C79" s="529">
        <f>IF(OR(1&gt;$B$3,ISBLANK(Actuals!C95)),"",Actuals!C95)</f>
        <v>0</v>
      </c>
      <c r="D79" s="530">
        <f>IF(OR(1&gt;$B$3,ISBLANK(Actuals!C95)),"",'Reforecast Q1 2026'!C95-Actuals!C95)</f>
        <v>0</v>
      </c>
      <c r="E79" s="530">
        <f>IFERROR(IF(OR(1&gt;$B$3,ISBLANK(Actuals!C95)),"",('Reforecast Q1 2026'!C95-Actuals!C95)/ABS('Reforecast Q1 2026'!C95)),"")</f>
      </c>
      <c r="F79" s="529">
        <f>'Reforecast Q1 2026'!D95</f>
        <v>-92.75</v>
      </c>
      <c r="G79" s="529">
        <f>IF(OR(2&gt;$B$3,ISBLANK(Actuals!D95)),"",Actuals!D95)</f>
        <v>-92.75</v>
      </c>
      <c r="H79" s="530">
        <f>IF(OR(2&gt;$B$3,ISBLANK(Actuals!D95)),"",'Reforecast Q1 2026'!D95-Actuals!D95)</f>
        <v>0</v>
      </c>
      <c r="I79" s="530">
        <f>IFERROR(IF(OR(2&gt;$B$3,ISBLANK(Actuals!D95)),"",('Reforecast Q1 2026'!D95-Actuals!D95)/ABS('Reforecast Q1 2026'!D95)),"")</f>
        <v>0</v>
      </c>
      <c r="J79" s="529">
        <f>'Reforecast Q1 2026'!E95</f>
        <v>-57.46</v>
      </c>
      <c r="K79" s="529">
        <f>IF(OR(3&gt;$B$3,ISBLANK(Actuals!E95)),"",Actuals!E95)</f>
        <v>-57.46</v>
      </c>
      <c r="L79" s="530">
        <f>IF(OR(3&gt;$B$3,ISBLANK(Actuals!E95)),"",'Reforecast Q1 2026'!E95-Actuals!E95)</f>
        <v>0</v>
      </c>
      <c r="M79" s="530">
        <f>IFERROR(IF(OR(3&gt;$B$3,ISBLANK(Actuals!E95)),"",('Reforecast Q1 2026'!E95-Actuals!E95)/ABS('Reforecast Q1 2026'!E95)),"")</f>
        <v>0</v>
      </c>
      <c r="N79" s="529">
        <f>'Reforecast Q1 2026'!F95</f>
        <v>-50.07</v>
      </c>
      <c r="O79" s="529">
        <f>IF(OR(4&gt;$B$3,ISBLANK(Actuals!F95)),"",Actuals!F95)</f>
        <v>0</v>
      </c>
      <c r="P79" s="530">
        <f>IF(OR(4&gt;$B$3,ISBLANK(Actuals!F95)),"",'Reforecast Q1 2026'!F95-Actuals!F95)</f>
        <v>-50.07</v>
      </c>
      <c r="Q79" s="530">
        <f>IFERROR(IF(OR(4&gt;$B$3,ISBLANK(Actuals!F95)),"",('Reforecast Q1 2026'!F95-Actuals!F95)/ABS('Reforecast Q1 2026'!F95)),"")</f>
        <v>-1</v>
      </c>
      <c r="R79" s="529">
        <f>'Reforecast Q1 2026'!G95</f>
        <v>-50.07</v>
      </c>
      <c r="S79" s="529">
        <f>IF(OR(5&gt;$B$3,ISBLANK(Actuals!G95)),"",Actuals!G95)</f>
        <v>-24.3</v>
      </c>
      <c r="T79" s="530">
        <f>IF(OR(5&gt;$B$3,ISBLANK(Actuals!G95)),"",'Reforecast Q1 2026'!G95-Actuals!G95)</f>
        <v>-25.77</v>
      </c>
      <c r="U79" s="530">
        <f>IFERROR(IF(OR(5&gt;$B$3,ISBLANK(Actuals!G95)),"",('Reforecast Q1 2026'!G95-Actuals!G95)/ABS('Reforecast Q1 2026'!G95)),"")</f>
        <v>-0.51467944877172</v>
      </c>
      <c r="V79" s="529">
        <f>'Reforecast Q1 2026'!H95</f>
        <v>-50.07</v>
      </c>
      <c r="W79" s="529">
        <f>IF(OR(6&gt;$B$3,ISBLANK(Actuals!H95)),"",Actuals!H95)</f>
        <v>-917.7</v>
      </c>
      <c r="X79" s="530">
        <f>IF(OR(6&gt;$B$3,ISBLANK(Actuals!H95)),"",'Reforecast Q1 2026'!H95-Actuals!H95)</f>
        <v>867.63</v>
      </c>
      <c r="Y79" s="530">
        <f>IFERROR(IF(OR(6&gt;$B$3,ISBLANK(Actuals!H95)),"",('Reforecast Q1 2026'!H95-Actuals!H95)/ABS('Reforecast Q1 2026'!H95)),"")</f>
        <v>17.328340323547</v>
      </c>
      <c r="Z79" s="529">
        <f>'Reforecast Q1 2026'!I95</f>
        <v>-50.07</v>
      </c>
      <c r="AA79" s="529">
        <f>IF(OR(7&gt;$B$3,ISBLANK(Actuals!I95)),"",Actuals!I95)</f>
      </c>
      <c r="AB79" s="530">
        <f>IF(OR(7&gt;$B$3,ISBLANK(Actuals!I95)),"",'Reforecast Q1 2026'!I95-Actuals!I95)</f>
      </c>
      <c r="AC79" s="530">
        <f>IFERROR(IF(OR(7&gt;$B$3,ISBLANK(Actuals!I95)),"",('Reforecast Q1 2026'!I95-Actuals!I95)/ABS('Reforecast Q1 2026'!I95)),"")</f>
      </c>
      <c r="AD79" s="529">
        <f>'Reforecast Q1 2026'!J95</f>
        <v>-50.07</v>
      </c>
      <c r="AE79" s="529">
        <f>IF(OR(8&gt;$B$3,ISBLANK(Actuals!J95)),"",Actuals!J95)</f>
      </c>
      <c r="AF79" s="530">
        <f>IF(OR(8&gt;$B$3,ISBLANK(Actuals!J95)),"",'Reforecast Q1 2026'!J95-Actuals!J95)</f>
      </c>
      <c r="AG79" s="530">
        <f>IFERROR(IF(OR(8&gt;$B$3,ISBLANK(Actuals!J95)),"",('Reforecast Q1 2026'!J95-Actuals!J95)/ABS('Reforecast Q1 2026'!J95)),"")</f>
      </c>
      <c r="AH79" s="529">
        <f>'Reforecast Q1 2026'!K95</f>
        <v>-50.07</v>
      </c>
      <c r="AI79" s="529">
        <f>IF(OR(9&gt;$B$3,ISBLANK(Actuals!K95)),"",Actuals!K95)</f>
      </c>
      <c r="AJ79" s="530">
        <f>IF(OR(9&gt;$B$3,ISBLANK(Actuals!K95)),"",'Reforecast Q1 2026'!K95-Actuals!K95)</f>
      </c>
      <c r="AK79" s="530">
        <f>IFERROR(IF(OR(9&gt;$B$3,ISBLANK(Actuals!K95)),"",('Reforecast Q1 2026'!K95-Actuals!K95)/ABS('Reforecast Q1 2026'!K95)),"")</f>
      </c>
      <c r="AL79" s="529">
        <f>'Reforecast Q1 2026'!L95</f>
        <v>-50.07</v>
      </c>
      <c r="AM79" s="529">
        <f>IF(OR(10&gt;$B$3,ISBLANK(Actuals!L95)),"",Actuals!L95)</f>
      </c>
      <c r="AN79" s="530">
        <f>IF(OR(10&gt;$B$3,ISBLANK(Actuals!L95)),"",'Reforecast Q1 2026'!L95-Actuals!L95)</f>
      </c>
      <c r="AO79" s="530">
        <f>IFERROR(IF(OR(10&gt;$B$3,ISBLANK(Actuals!L95)),"",('Reforecast Q1 2026'!L95-Actuals!L95)/ABS('Reforecast Q1 2026'!L95)),"")</f>
      </c>
      <c r="AP79" s="529">
        <f>'Reforecast Q1 2026'!M95</f>
        <v>-50.07</v>
      </c>
      <c r="AQ79" s="529">
        <f>IF(OR(11&gt;$B$3,ISBLANK(Actuals!M95)),"",Actuals!M95)</f>
      </c>
      <c r="AR79" s="530">
        <f>IF(OR(11&gt;$B$3,ISBLANK(Actuals!M95)),"",'Reforecast Q1 2026'!M95-Actuals!M95)</f>
      </c>
      <c r="AS79" s="530">
        <f>IFERROR(IF(OR(11&gt;$B$3,ISBLANK(Actuals!M95)),"",('Reforecast Q1 2026'!M95-Actuals!M95)/ABS('Reforecast Q1 2026'!M95)),"")</f>
      </c>
      <c r="AT79" s="529">
        <f>'Reforecast Q1 2026'!N95</f>
        <v>-50.07</v>
      </c>
      <c r="AU79" s="529">
        <f>IF(OR(12&gt;$B$3,ISBLANK(Actuals!N95)),"",Actuals!N95)</f>
      </c>
      <c r="AV79" s="530">
        <f>IF(OR(12&gt;$B$3,ISBLANK(Actuals!N95)),"",'Reforecast Q1 2026'!N95-Actuals!N95)</f>
      </c>
      <c r="AW79" s="530">
        <f>IFERROR(IF(OR(12&gt;$B$3,ISBLANK(Actuals!N95)),"",('Reforecast Q1 2026'!N95-Actuals!N95)/ABS('Reforecast Q1 2026'!N95)),"")</f>
      </c>
      <c r="AX79" s="531">
        <f>SUMPRODUCT((Actuals!C95:N95&lt;&gt;"")*('Reforecast Q1 2026'!C95:N95))</f>
        <v>-300.42</v>
      </c>
      <c r="AY79" s="531">
        <f>SUM(Actuals!C95:N95)</f>
        <v>-1092.21</v>
      </c>
      <c r="AZ79" s="532">
        <f>AX79-AY79</f>
        <v>791.79</v>
      </c>
    </row>
    <row r="80" ht="15" customFormat="1" customHeight="1" s="381">
      <c r="A80" s="528" t="inlineStr">
        <is>
          <t>5300-1050 Meals and Entertainment</t>
        </is>
      </c>
      <c r="B80" s="529">
        <f>'Reforecast Q1 2026'!C96</f>
        <v>-640.88</v>
      </c>
      <c r="C80" s="529">
        <f>IF(OR(1&gt;$B$3,ISBLANK(Actuals!C96)),"",Actuals!C96)</f>
        <v>-640.88</v>
      </c>
      <c r="D80" s="530">
        <f>IF(OR(1&gt;$B$3,ISBLANK(Actuals!C96)),"",'Reforecast Q1 2026'!C96-Actuals!C96)</f>
        <v>0</v>
      </c>
      <c r="E80" s="530">
        <f>IFERROR(IF(OR(1&gt;$B$3,ISBLANK(Actuals!C96)),"",('Reforecast Q1 2026'!C96-Actuals!C96)/ABS('Reforecast Q1 2026'!C96)),"")</f>
        <v>0</v>
      </c>
      <c r="F80" s="529">
        <f>'Reforecast Q1 2026'!D96</f>
        <v>-872.64</v>
      </c>
      <c r="G80" s="529">
        <f>IF(OR(2&gt;$B$3,ISBLANK(Actuals!D96)),"",Actuals!D96)</f>
        <v>-872.64</v>
      </c>
      <c r="H80" s="530">
        <f>IF(OR(2&gt;$B$3,ISBLANK(Actuals!D96)),"",'Reforecast Q1 2026'!D96-Actuals!D96)</f>
        <v>0</v>
      </c>
      <c r="I80" s="530">
        <f>IFERROR(IF(OR(2&gt;$B$3,ISBLANK(Actuals!D96)),"",('Reforecast Q1 2026'!D96-Actuals!D96)/ABS('Reforecast Q1 2026'!D96)),"")</f>
        <v>0</v>
      </c>
      <c r="J80" s="529">
        <f>'Reforecast Q1 2026'!E96</f>
        <v>-1175.78</v>
      </c>
      <c r="K80" s="529">
        <f>IF(OR(3&gt;$B$3,ISBLANK(Actuals!E96)),"",Actuals!E96)</f>
        <v>-1175.78</v>
      </c>
      <c r="L80" s="530">
        <f>IF(OR(3&gt;$B$3,ISBLANK(Actuals!E96)),"",'Reforecast Q1 2026'!E96-Actuals!E96)</f>
        <v>0</v>
      </c>
      <c r="M80" s="530">
        <f>IFERROR(IF(OR(3&gt;$B$3,ISBLANK(Actuals!E96)),"",('Reforecast Q1 2026'!E96-Actuals!E96)/ABS('Reforecast Q1 2026'!E96)),"")</f>
        <v>0</v>
      </c>
      <c r="N80" s="529">
        <f>'Reforecast Q1 2026'!F96</f>
        <v>-896.43</v>
      </c>
      <c r="O80" s="529">
        <f>IF(OR(4&gt;$B$3,ISBLANK(Actuals!F96)),"",Actuals!F96)</f>
        <v>-471.38</v>
      </c>
      <c r="P80" s="530">
        <f>IF(OR(4&gt;$B$3,ISBLANK(Actuals!F96)),"",'Reforecast Q1 2026'!F96-Actuals!F96)</f>
        <v>-425.05</v>
      </c>
      <c r="Q80" s="530">
        <f>IFERROR(IF(OR(4&gt;$B$3,ISBLANK(Actuals!F96)),"",('Reforecast Q1 2026'!F96-Actuals!F96)/ABS('Reforecast Q1 2026'!F96)),"")</f>
        <v>-0.474158606918555</v>
      </c>
      <c r="R80" s="529">
        <f>'Reforecast Q1 2026'!G96</f>
        <v>-896.43</v>
      </c>
      <c r="S80" s="529">
        <f>IF(OR(5&gt;$B$3,ISBLANK(Actuals!G96)),"",Actuals!G96)</f>
        <v>-1307.57</v>
      </c>
      <c r="T80" s="530">
        <f>IF(OR(5&gt;$B$3,ISBLANK(Actuals!G96)),"",'Reforecast Q1 2026'!G96-Actuals!G96)</f>
        <v>411.14</v>
      </c>
      <c r="U80" s="530">
        <f>IFERROR(IF(OR(5&gt;$B$3,ISBLANK(Actuals!G96)),"",('Reforecast Q1 2026'!G96-Actuals!G96)/ABS('Reforecast Q1 2026'!G96)),"")</f>
        <v>0.458641500172908</v>
      </c>
      <c r="V80" s="529">
        <f>'Reforecast Q1 2026'!H96</f>
        <v>-896.43</v>
      </c>
      <c r="W80" s="529">
        <f>IF(OR(6&gt;$B$3,ISBLANK(Actuals!H96)),"",Actuals!H96)</f>
        <v>-3067.11</v>
      </c>
      <c r="X80" s="530">
        <f>IF(OR(6&gt;$B$3,ISBLANK(Actuals!H96)),"",'Reforecast Q1 2026'!H96-Actuals!H96)</f>
        <v>2170.68</v>
      </c>
      <c r="Y80" s="530">
        <f>IFERROR(IF(OR(6&gt;$B$3,ISBLANK(Actuals!H96)),"",('Reforecast Q1 2026'!H96-Actuals!H96)/ABS('Reforecast Q1 2026'!H96)),"")</f>
        <v>2.42147183829189</v>
      </c>
      <c r="Z80" s="529">
        <f>'Reforecast Q1 2026'!I96</f>
        <v>-896.43</v>
      </c>
      <c r="AA80" s="529">
        <f>IF(OR(7&gt;$B$3,ISBLANK(Actuals!I96)),"",Actuals!I96)</f>
      </c>
      <c r="AB80" s="530">
        <f>IF(OR(7&gt;$B$3,ISBLANK(Actuals!I96)),"",'Reforecast Q1 2026'!I96-Actuals!I96)</f>
      </c>
      <c r="AC80" s="530">
        <f>IFERROR(IF(OR(7&gt;$B$3,ISBLANK(Actuals!I96)),"",('Reforecast Q1 2026'!I96-Actuals!I96)/ABS('Reforecast Q1 2026'!I96)),"")</f>
      </c>
      <c r="AD80" s="529">
        <f>'Reforecast Q1 2026'!J96</f>
        <v>-896.43</v>
      </c>
      <c r="AE80" s="529">
        <f>IF(OR(8&gt;$B$3,ISBLANK(Actuals!J96)),"",Actuals!J96)</f>
      </c>
      <c r="AF80" s="530">
        <f>IF(OR(8&gt;$B$3,ISBLANK(Actuals!J96)),"",'Reforecast Q1 2026'!J96-Actuals!J96)</f>
      </c>
      <c r="AG80" s="530">
        <f>IFERROR(IF(OR(8&gt;$B$3,ISBLANK(Actuals!J96)),"",('Reforecast Q1 2026'!J96-Actuals!J96)/ABS('Reforecast Q1 2026'!J96)),"")</f>
      </c>
      <c r="AH80" s="529">
        <f>'Reforecast Q1 2026'!K96</f>
        <v>-896.43</v>
      </c>
      <c r="AI80" s="529">
        <f>IF(OR(9&gt;$B$3,ISBLANK(Actuals!K96)),"",Actuals!K96)</f>
      </c>
      <c r="AJ80" s="530">
        <f>IF(OR(9&gt;$B$3,ISBLANK(Actuals!K96)),"",'Reforecast Q1 2026'!K96-Actuals!K96)</f>
      </c>
      <c r="AK80" s="530">
        <f>IFERROR(IF(OR(9&gt;$B$3,ISBLANK(Actuals!K96)),"",('Reforecast Q1 2026'!K96-Actuals!K96)/ABS('Reforecast Q1 2026'!K96)),"")</f>
      </c>
      <c r="AL80" s="529">
        <f>'Reforecast Q1 2026'!L96</f>
        <v>-896.43</v>
      </c>
      <c r="AM80" s="529">
        <f>IF(OR(10&gt;$B$3,ISBLANK(Actuals!L96)),"",Actuals!L96)</f>
      </c>
      <c r="AN80" s="530">
        <f>IF(OR(10&gt;$B$3,ISBLANK(Actuals!L96)),"",'Reforecast Q1 2026'!L96-Actuals!L96)</f>
      </c>
      <c r="AO80" s="530">
        <f>IFERROR(IF(OR(10&gt;$B$3,ISBLANK(Actuals!L96)),"",('Reforecast Q1 2026'!L96-Actuals!L96)/ABS('Reforecast Q1 2026'!L96)),"")</f>
      </c>
      <c r="AP80" s="529">
        <f>'Reforecast Q1 2026'!M96</f>
        <v>-896.43</v>
      </c>
      <c r="AQ80" s="529">
        <f>IF(OR(11&gt;$B$3,ISBLANK(Actuals!M96)),"",Actuals!M96)</f>
      </c>
      <c r="AR80" s="530">
        <f>IF(OR(11&gt;$B$3,ISBLANK(Actuals!M96)),"",'Reforecast Q1 2026'!M96-Actuals!M96)</f>
      </c>
      <c r="AS80" s="530">
        <f>IFERROR(IF(OR(11&gt;$B$3,ISBLANK(Actuals!M96)),"",('Reforecast Q1 2026'!M96-Actuals!M96)/ABS('Reforecast Q1 2026'!M96)),"")</f>
      </c>
      <c r="AT80" s="529">
        <f>'Reforecast Q1 2026'!N96</f>
        <v>-896.43</v>
      </c>
      <c r="AU80" s="529">
        <f>IF(OR(12&gt;$B$3,ISBLANK(Actuals!N96)),"",Actuals!N96)</f>
      </c>
      <c r="AV80" s="530">
        <f>IF(OR(12&gt;$B$3,ISBLANK(Actuals!N96)),"",'Reforecast Q1 2026'!N96-Actuals!N96)</f>
      </c>
      <c r="AW80" s="530">
        <f>IFERROR(IF(OR(12&gt;$B$3,ISBLANK(Actuals!N96)),"",('Reforecast Q1 2026'!N96-Actuals!N96)/ABS('Reforecast Q1 2026'!N96)),"")</f>
      </c>
      <c r="AX80" s="531">
        <f>SUMPRODUCT((Actuals!C96:N96&lt;&gt;"")*('Reforecast Q1 2026'!C96:N96))</f>
        <v>-5378.59</v>
      </c>
      <c r="AY80" s="531">
        <f>SUM(Actuals!C96:N96)</f>
        <v>-7535.36</v>
      </c>
      <c r="AZ80" s="532">
        <f>AX80-AY80</f>
        <v>2156.77</v>
      </c>
    </row>
    <row r="81" ht="15" customFormat="1" customHeight="1" s="381">
      <c r="A81" s="528" t="inlineStr">
        <is>
          <t>5500-1000 Legal and Professional Fees</t>
        </is>
      </c>
      <c r="B81" s="529">
        <f>'Reforecast Q1 2026'!C97</f>
        <v>0</v>
      </c>
      <c r="C81" s="529">
        <f>IF(OR(1&gt;$B$3,ISBLANK(Actuals!C97)),"",Actuals!C97)</f>
        <v>0</v>
      </c>
      <c r="D81" s="530">
        <f>IF(OR(1&gt;$B$3,ISBLANK(Actuals!C97)),"",'Reforecast Q1 2026'!C97-Actuals!C97)</f>
        <v>0</v>
      </c>
      <c r="E81" s="530">
        <f>IFERROR(IF(OR(1&gt;$B$3,ISBLANK(Actuals!C97)),"",('Reforecast Q1 2026'!C97-Actuals!C97)/ABS('Reforecast Q1 2026'!C97)),"")</f>
      </c>
      <c r="F81" s="529">
        <f>'Reforecast Q1 2026'!D97</f>
        <v>0</v>
      </c>
      <c r="G81" s="529">
        <f>IF(OR(2&gt;$B$3,ISBLANK(Actuals!D97)),"",Actuals!D97)</f>
        <v>0</v>
      </c>
      <c r="H81" s="530">
        <f>IF(OR(2&gt;$B$3,ISBLANK(Actuals!D97)),"",'Reforecast Q1 2026'!D97-Actuals!D97)</f>
        <v>0</v>
      </c>
      <c r="I81" s="530">
        <f>IFERROR(IF(OR(2&gt;$B$3,ISBLANK(Actuals!D97)),"",('Reforecast Q1 2026'!D97-Actuals!D97)/ABS('Reforecast Q1 2026'!D97)),"")</f>
      </c>
      <c r="J81" s="529">
        <f>'Reforecast Q1 2026'!E97</f>
        <v>-38050.5</v>
      </c>
      <c r="K81" s="529">
        <f>IF(OR(3&gt;$B$3,ISBLANK(Actuals!E97)),"",Actuals!E97)</f>
        <v>-38050.5</v>
      </c>
      <c r="L81" s="530">
        <f>IF(OR(3&gt;$B$3,ISBLANK(Actuals!E97)),"",'Reforecast Q1 2026'!E97-Actuals!E97)</f>
        <v>0</v>
      </c>
      <c r="M81" s="530">
        <f>IFERROR(IF(OR(3&gt;$B$3,ISBLANK(Actuals!E97)),"",('Reforecast Q1 2026'!E97-Actuals!E97)/ABS('Reforecast Q1 2026'!E97)),"")</f>
        <v>0</v>
      </c>
      <c r="N81" s="529">
        <f>'Reforecast Q1 2026'!F97</f>
        <v>-2000</v>
      </c>
      <c r="O81" s="529">
        <f>IF(OR(4&gt;$B$3,ISBLANK(Actuals!F97)),"",Actuals!F97)</f>
        <v>0</v>
      </c>
      <c r="P81" s="530">
        <f>IF(OR(4&gt;$B$3,ISBLANK(Actuals!F97)),"",'Reforecast Q1 2026'!F97-Actuals!F97)</f>
        <v>-2000</v>
      </c>
      <c r="Q81" s="530">
        <f>IFERROR(IF(OR(4&gt;$B$3,ISBLANK(Actuals!F97)),"",('Reforecast Q1 2026'!F97-Actuals!F97)/ABS('Reforecast Q1 2026'!F97)),"")</f>
        <v>-1</v>
      </c>
      <c r="R81" s="529">
        <f>'Reforecast Q1 2026'!G97</f>
        <v>-2000</v>
      </c>
      <c r="S81" s="529">
        <f>IF(OR(5&gt;$B$3,ISBLANK(Actuals!G97)),"",Actuals!G97)</f>
        <v>-986.5</v>
      </c>
      <c r="T81" s="530">
        <f>IF(OR(5&gt;$B$3,ISBLANK(Actuals!G97)),"",'Reforecast Q1 2026'!G97-Actuals!G97)</f>
        <v>-1013.5</v>
      </c>
      <c r="U81" s="530">
        <f>IFERROR(IF(OR(5&gt;$B$3,ISBLANK(Actuals!G97)),"",('Reforecast Q1 2026'!G97-Actuals!G97)/ABS('Reforecast Q1 2026'!G97)),"")</f>
        <v>-0.50675</v>
      </c>
      <c r="V81" s="529">
        <f>'Reforecast Q1 2026'!H97</f>
        <v>-2000</v>
      </c>
      <c r="W81" s="529">
        <f>IF(OR(6&gt;$B$3,ISBLANK(Actuals!H97)),"",Actuals!H97)</f>
        <v>-4830</v>
      </c>
      <c r="X81" s="530">
        <f>IF(OR(6&gt;$B$3,ISBLANK(Actuals!H97)),"",'Reforecast Q1 2026'!H97-Actuals!H97)</f>
        <v>2830</v>
      </c>
      <c r="Y81" s="530">
        <f>IFERROR(IF(OR(6&gt;$B$3,ISBLANK(Actuals!H97)),"",('Reforecast Q1 2026'!H97-Actuals!H97)/ABS('Reforecast Q1 2026'!H97)),"")</f>
        <v>1.415</v>
      </c>
      <c r="Z81" s="529">
        <f>'Reforecast Q1 2026'!I97</f>
        <v>-2000</v>
      </c>
      <c r="AA81" s="529">
        <f>IF(OR(7&gt;$B$3,ISBLANK(Actuals!I97)),"",Actuals!I97)</f>
      </c>
      <c r="AB81" s="530">
        <f>IF(OR(7&gt;$B$3,ISBLANK(Actuals!I97)),"",'Reforecast Q1 2026'!I97-Actuals!I97)</f>
      </c>
      <c r="AC81" s="530">
        <f>IFERROR(IF(OR(7&gt;$B$3,ISBLANK(Actuals!I97)),"",('Reforecast Q1 2026'!I97-Actuals!I97)/ABS('Reforecast Q1 2026'!I97)),"")</f>
      </c>
      <c r="AD81" s="529">
        <f>'Reforecast Q1 2026'!J97</f>
        <v>-2000</v>
      </c>
      <c r="AE81" s="529">
        <f>IF(OR(8&gt;$B$3,ISBLANK(Actuals!J97)),"",Actuals!J97)</f>
      </c>
      <c r="AF81" s="530">
        <f>IF(OR(8&gt;$B$3,ISBLANK(Actuals!J97)),"",'Reforecast Q1 2026'!J97-Actuals!J97)</f>
      </c>
      <c r="AG81" s="530">
        <f>IFERROR(IF(OR(8&gt;$B$3,ISBLANK(Actuals!J97)),"",('Reforecast Q1 2026'!J97-Actuals!J97)/ABS('Reforecast Q1 2026'!J97)),"")</f>
      </c>
      <c r="AH81" s="529">
        <f>'Reforecast Q1 2026'!K97</f>
        <v>-2000</v>
      </c>
      <c r="AI81" s="529">
        <f>IF(OR(9&gt;$B$3,ISBLANK(Actuals!K97)),"",Actuals!K97)</f>
      </c>
      <c r="AJ81" s="530">
        <f>IF(OR(9&gt;$B$3,ISBLANK(Actuals!K97)),"",'Reforecast Q1 2026'!K97-Actuals!K97)</f>
      </c>
      <c r="AK81" s="530">
        <f>IFERROR(IF(OR(9&gt;$B$3,ISBLANK(Actuals!K97)),"",('Reforecast Q1 2026'!K97-Actuals!K97)/ABS('Reforecast Q1 2026'!K97)),"")</f>
      </c>
      <c r="AL81" s="529">
        <f>'Reforecast Q1 2026'!L97</f>
        <v>-2000</v>
      </c>
      <c r="AM81" s="529">
        <f>IF(OR(10&gt;$B$3,ISBLANK(Actuals!L97)),"",Actuals!L97)</f>
      </c>
      <c r="AN81" s="530">
        <f>IF(OR(10&gt;$B$3,ISBLANK(Actuals!L97)),"",'Reforecast Q1 2026'!L97-Actuals!L97)</f>
      </c>
      <c r="AO81" s="530">
        <f>IFERROR(IF(OR(10&gt;$B$3,ISBLANK(Actuals!L97)),"",('Reforecast Q1 2026'!L97-Actuals!L97)/ABS('Reforecast Q1 2026'!L97)),"")</f>
      </c>
      <c r="AP81" s="529">
        <f>'Reforecast Q1 2026'!M97</f>
        <v>-2000</v>
      </c>
      <c r="AQ81" s="529">
        <f>IF(OR(11&gt;$B$3,ISBLANK(Actuals!M97)),"",Actuals!M97)</f>
      </c>
      <c r="AR81" s="530">
        <f>IF(OR(11&gt;$B$3,ISBLANK(Actuals!M97)),"",'Reforecast Q1 2026'!M97-Actuals!M97)</f>
      </c>
      <c r="AS81" s="530">
        <f>IFERROR(IF(OR(11&gt;$B$3,ISBLANK(Actuals!M97)),"",('Reforecast Q1 2026'!M97-Actuals!M97)/ABS('Reforecast Q1 2026'!M97)),"")</f>
      </c>
      <c r="AT81" s="529">
        <f>'Reforecast Q1 2026'!N97</f>
        <v>-2000</v>
      </c>
      <c r="AU81" s="529">
        <f>IF(OR(12&gt;$B$3,ISBLANK(Actuals!N97)),"",Actuals!N97)</f>
      </c>
      <c r="AV81" s="530">
        <f>IF(OR(12&gt;$B$3,ISBLANK(Actuals!N97)),"",'Reforecast Q1 2026'!N97-Actuals!N97)</f>
      </c>
      <c r="AW81" s="530">
        <f>IFERROR(IF(OR(12&gt;$B$3,ISBLANK(Actuals!N97)),"",('Reforecast Q1 2026'!N97-Actuals!N97)/ABS('Reforecast Q1 2026'!N97)),"")</f>
      </c>
      <c r="AX81" s="531">
        <f>SUMPRODUCT((Actuals!C97:N97&lt;&gt;"")*('Reforecast Q1 2026'!C97:N97))</f>
        <v>-44050.5</v>
      </c>
      <c r="AY81" s="531">
        <f>SUM(Actuals!C97:N97)</f>
        <v>-43867</v>
      </c>
      <c r="AZ81" s="532">
        <f>AX81-AY81</f>
        <v>-183.5</v>
      </c>
    </row>
    <row r="82" ht="15" customFormat="1" customHeight="1" s="381">
      <c r="A82" s="528" t="inlineStr">
        <is>
          <t>5500-1002 Accounting Consulting and Overhead</t>
        </is>
      </c>
      <c r="B82" s="529">
        <f>'Reforecast Q1 2026'!C98</f>
        <v>-4097.78</v>
      </c>
      <c r="C82" s="529">
        <f>IF(OR(1&gt;$B$3,ISBLANK(Actuals!C98)),"",Actuals!C98)</f>
        <v>-4097.78</v>
      </c>
      <c r="D82" s="530">
        <f>IF(OR(1&gt;$B$3,ISBLANK(Actuals!C98)),"",'Reforecast Q1 2026'!C98-Actuals!C98)</f>
        <v>0</v>
      </c>
      <c r="E82" s="530">
        <f>IFERROR(IF(OR(1&gt;$B$3,ISBLANK(Actuals!C98)),"",('Reforecast Q1 2026'!C98-Actuals!C98)/ABS('Reforecast Q1 2026'!C98)),"")</f>
        <v>0</v>
      </c>
      <c r="F82" s="529">
        <f>'Reforecast Q1 2026'!D98</f>
        <v>-1950.2</v>
      </c>
      <c r="G82" s="529">
        <f>IF(OR(2&gt;$B$3,ISBLANK(Actuals!D98)),"",Actuals!D98)</f>
        <v>-1950.2</v>
      </c>
      <c r="H82" s="530">
        <f>IF(OR(2&gt;$B$3,ISBLANK(Actuals!D98)),"",'Reforecast Q1 2026'!D98-Actuals!D98)</f>
        <v>0</v>
      </c>
      <c r="I82" s="530">
        <f>IFERROR(IF(OR(2&gt;$B$3,ISBLANK(Actuals!D98)),"",('Reforecast Q1 2026'!D98-Actuals!D98)/ABS('Reforecast Q1 2026'!D98)),"")</f>
        <v>0</v>
      </c>
      <c r="J82" s="529">
        <f>'Reforecast Q1 2026'!E98</f>
        <v>-1978.2</v>
      </c>
      <c r="K82" s="529">
        <f>IF(OR(3&gt;$B$3,ISBLANK(Actuals!E98)),"",Actuals!E98)</f>
        <v>-1978.2</v>
      </c>
      <c r="L82" s="530">
        <f>IF(OR(3&gt;$B$3,ISBLANK(Actuals!E98)),"",'Reforecast Q1 2026'!E98-Actuals!E98)</f>
        <v>0</v>
      </c>
      <c r="M82" s="530">
        <f>IFERROR(IF(OR(3&gt;$B$3,ISBLANK(Actuals!E98)),"",('Reforecast Q1 2026'!E98-Actuals!E98)/ABS('Reforecast Q1 2026'!E98)),"")</f>
        <v>0</v>
      </c>
      <c r="N82" s="529">
        <f>'Reforecast Q1 2026'!F98</f>
        <v>-2675.39</v>
      </c>
      <c r="O82" s="529">
        <f>IF(OR(4&gt;$B$3,ISBLANK(Actuals!F98)),"",Actuals!F98)</f>
        <v>-1970.2</v>
      </c>
      <c r="P82" s="530">
        <f>IF(OR(4&gt;$B$3,ISBLANK(Actuals!F98)),"",'Reforecast Q1 2026'!F98-Actuals!F98)</f>
        <v>-705.19</v>
      </c>
      <c r="Q82" s="530">
        <f>IFERROR(IF(OR(4&gt;$B$3,ISBLANK(Actuals!F98)),"",('Reforecast Q1 2026'!F98-Actuals!F98)/ABS('Reforecast Q1 2026'!F98)),"")</f>
        <v>-0.263584000837261</v>
      </c>
      <c r="R82" s="529">
        <f>'Reforecast Q1 2026'!G98</f>
        <v>-2675.39</v>
      </c>
      <c r="S82" s="529">
        <f>IF(OR(5&gt;$B$3,ISBLANK(Actuals!G98)),"",Actuals!G98)</f>
        <v>-6126.2</v>
      </c>
      <c r="T82" s="530">
        <f>IF(OR(5&gt;$B$3,ISBLANK(Actuals!G98)),"",'Reforecast Q1 2026'!G98-Actuals!G98)</f>
        <v>3450.81</v>
      </c>
      <c r="U82" s="530">
        <f>IFERROR(IF(OR(5&gt;$B$3,ISBLANK(Actuals!G98)),"",('Reforecast Q1 2026'!G98-Actuals!G98)/ABS('Reforecast Q1 2026'!G98)),"")</f>
        <v>1.28983437928676</v>
      </c>
      <c r="V82" s="529">
        <f>'Reforecast Q1 2026'!H98</f>
        <v>-2675.39</v>
      </c>
      <c r="W82" s="529">
        <f>IF(OR(6&gt;$B$3,ISBLANK(Actuals!H98)),"",Actuals!H98)</f>
        <v>-1993.2</v>
      </c>
      <c r="X82" s="530">
        <f>IF(OR(6&gt;$B$3,ISBLANK(Actuals!H98)),"",'Reforecast Q1 2026'!H98-Actuals!H98)</f>
        <v>-682.19</v>
      </c>
      <c r="Y82" s="530">
        <f>IFERROR(IF(OR(6&gt;$B$3,ISBLANK(Actuals!H98)),"",('Reforecast Q1 2026'!H98-Actuals!H98)/ABS('Reforecast Q1 2026'!H98)),"")</f>
        <v>-0.254987123372667</v>
      </c>
      <c r="Z82" s="529">
        <f>'Reforecast Q1 2026'!I98</f>
        <v>-2675.39</v>
      </c>
      <c r="AA82" s="529">
        <f>IF(OR(7&gt;$B$3,ISBLANK(Actuals!I98)),"",Actuals!I98)</f>
      </c>
      <c r="AB82" s="530">
        <f>IF(OR(7&gt;$B$3,ISBLANK(Actuals!I98)),"",'Reforecast Q1 2026'!I98-Actuals!I98)</f>
      </c>
      <c r="AC82" s="530">
        <f>IFERROR(IF(OR(7&gt;$B$3,ISBLANK(Actuals!I98)),"",('Reforecast Q1 2026'!I98-Actuals!I98)/ABS('Reforecast Q1 2026'!I98)),"")</f>
      </c>
      <c r="AD82" s="529">
        <f>'Reforecast Q1 2026'!J98</f>
        <v>-2675.39</v>
      </c>
      <c r="AE82" s="529">
        <f>IF(OR(8&gt;$B$3,ISBLANK(Actuals!J98)),"",Actuals!J98)</f>
      </c>
      <c r="AF82" s="530">
        <f>IF(OR(8&gt;$B$3,ISBLANK(Actuals!J98)),"",'Reforecast Q1 2026'!J98-Actuals!J98)</f>
      </c>
      <c r="AG82" s="530">
        <f>IFERROR(IF(OR(8&gt;$B$3,ISBLANK(Actuals!J98)),"",('Reforecast Q1 2026'!J98-Actuals!J98)/ABS('Reforecast Q1 2026'!J98)),"")</f>
      </c>
      <c r="AH82" s="529">
        <f>'Reforecast Q1 2026'!K98</f>
        <v>-2675.39</v>
      </c>
      <c r="AI82" s="529">
        <f>IF(OR(9&gt;$B$3,ISBLANK(Actuals!K98)),"",Actuals!K98)</f>
      </c>
      <c r="AJ82" s="530">
        <f>IF(OR(9&gt;$B$3,ISBLANK(Actuals!K98)),"",'Reforecast Q1 2026'!K98-Actuals!K98)</f>
      </c>
      <c r="AK82" s="530">
        <f>IFERROR(IF(OR(9&gt;$B$3,ISBLANK(Actuals!K98)),"",('Reforecast Q1 2026'!K98-Actuals!K98)/ABS('Reforecast Q1 2026'!K98)),"")</f>
      </c>
      <c r="AL82" s="529">
        <f>'Reforecast Q1 2026'!L98</f>
        <v>-2675.39</v>
      </c>
      <c r="AM82" s="529">
        <f>IF(OR(10&gt;$B$3,ISBLANK(Actuals!L98)),"",Actuals!L98)</f>
      </c>
      <c r="AN82" s="530">
        <f>IF(OR(10&gt;$B$3,ISBLANK(Actuals!L98)),"",'Reforecast Q1 2026'!L98-Actuals!L98)</f>
      </c>
      <c r="AO82" s="530">
        <f>IFERROR(IF(OR(10&gt;$B$3,ISBLANK(Actuals!L98)),"",('Reforecast Q1 2026'!L98-Actuals!L98)/ABS('Reforecast Q1 2026'!L98)),"")</f>
      </c>
      <c r="AP82" s="529">
        <f>'Reforecast Q1 2026'!M98</f>
        <v>-2675.39</v>
      </c>
      <c r="AQ82" s="529">
        <f>IF(OR(11&gt;$B$3,ISBLANK(Actuals!M98)),"",Actuals!M98)</f>
      </c>
      <c r="AR82" s="530">
        <f>IF(OR(11&gt;$B$3,ISBLANK(Actuals!M98)),"",'Reforecast Q1 2026'!M98-Actuals!M98)</f>
      </c>
      <c r="AS82" s="530">
        <f>IFERROR(IF(OR(11&gt;$B$3,ISBLANK(Actuals!M98)),"",('Reforecast Q1 2026'!M98-Actuals!M98)/ABS('Reforecast Q1 2026'!M98)),"")</f>
      </c>
      <c r="AT82" s="529">
        <f>'Reforecast Q1 2026'!N98</f>
        <v>-2675.39</v>
      </c>
      <c r="AU82" s="529">
        <f>IF(OR(12&gt;$B$3,ISBLANK(Actuals!N98)),"",Actuals!N98)</f>
      </c>
      <c r="AV82" s="530">
        <f>IF(OR(12&gt;$B$3,ISBLANK(Actuals!N98)),"",'Reforecast Q1 2026'!N98-Actuals!N98)</f>
      </c>
      <c r="AW82" s="530">
        <f>IFERROR(IF(OR(12&gt;$B$3,ISBLANK(Actuals!N98)),"",('Reforecast Q1 2026'!N98-Actuals!N98)/ABS('Reforecast Q1 2026'!N98)),"")</f>
      </c>
      <c r="AX82" s="531">
        <f>SUMPRODUCT((Actuals!C98:N98&lt;&gt;"")*('Reforecast Q1 2026'!C98:N98))</f>
        <v>-16052.35</v>
      </c>
      <c r="AY82" s="531">
        <f>SUM(Actuals!C98:N98)</f>
        <v>-18115.78</v>
      </c>
      <c r="AZ82" s="532">
        <f>AX82-AY82</f>
        <v>2063.43</v>
      </c>
    </row>
    <row r="83" ht="15" customFormat="1" customHeight="1" s="381">
      <c r="A83" s="528" t="inlineStr">
        <is>
          <t>5500-1004 Consultants and Other Professional Expenses</t>
        </is>
      </c>
      <c r="B83" s="529">
        <f>'Reforecast Q1 2026'!C99</f>
        <v>-28038</v>
      </c>
      <c r="C83" s="529">
        <f>IF(OR(1&gt;$B$3,ISBLANK(Actuals!C99)),"",Actuals!C99)</f>
        <v>-28038</v>
      </c>
      <c r="D83" s="530">
        <f>IF(OR(1&gt;$B$3,ISBLANK(Actuals!C99)),"",'Reforecast Q1 2026'!C99-Actuals!C99)</f>
        <v>0</v>
      </c>
      <c r="E83" s="530">
        <f>IFERROR(IF(OR(1&gt;$B$3,ISBLANK(Actuals!C99)),"",('Reforecast Q1 2026'!C99-Actuals!C99)/ABS('Reforecast Q1 2026'!C99)),"")</f>
        <v>0</v>
      </c>
      <c r="F83" s="529">
        <f>'Reforecast Q1 2026'!D99</f>
        <v>-29387.5</v>
      </c>
      <c r="G83" s="529">
        <f>IF(OR(2&gt;$B$3,ISBLANK(Actuals!D99)),"",Actuals!D99)</f>
        <v>-29387.5</v>
      </c>
      <c r="H83" s="530">
        <f>IF(OR(2&gt;$B$3,ISBLANK(Actuals!D99)),"",'Reforecast Q1 2026'!D99-Actuals!D99)</f>
        <v>0</v>
      </c>
      <c r="I83" s="530">
        <f>IFERROR(IF(OR(2&gt;$B$3,ISBLANK(Actuals!D99)),"",('Reforecast Q1 2026'!D99-Actuals!D99)/ABS('Reforecast Q1 2026'!D99)),"")</f>
        <v>0</v>
      </c>
      <c r="J83" s="529">
        <f>'Reforecast Q1 2026'!E99</f>
        <v>-28083</v>
      </c>
      <c r="K83" s="529">
        <f>IF(OR(3&gt;$B$3,ISBLANK(Actuals!E99)),"",Actuals!E99)</f>
        <v>-28083</v>
      </c>
      <c r="L83" s="530">
        <f>IF(OR(3&gt;$B$3,ISBLANK(Actuals!E99)),"",'Reforecast Q1 2026'!E99-Actuals!E99)</f>
        <v>0</v>
      </c>
      <c r="M83" s="530">
        <f>IFERROR(IF(OR(3&gt;$B$3,ISBLANK(Actuals!E99)),"",('Reforecast Q1 2026'!E99-Actuals!E99)/ABS('Reforecast Q1 2026'!E99)),"")</f>
        <v>0</v>
      </c>
      <c r="N83" s="529">
        <f>'Reforecast Q1 2026'!F99</f>
        <v>-8625</v>
      </c>
      <c r="O83" s="529">
        <f>IF(OR(4&gt;$B$3,ISBLANK(Actuals!F99)),"",Actuals!F99)</f>
        <v>-28083</v>
      </c>
      <c r="P83" s="530">
        <f>IF(OR(4&gt;$B$3,ISBLANK(Actuals!F99)),"",'Reforecast Q1 2026'!F99-Actuals!F99)</f>
        <v>19458</v>
      </c>
      <c r="Q83" s="530">
        <f>IFERROR(IF(OR(4&gt;$B$3,ISBLANK(Actuals!F99)),"",('Reforecast Q1 2026'!F99-Actuals!F99)/ABS('Reforecast Q1 2026'!F99)),"")</f>
        <v>2.256</v>
      </c>
      <c r="R83" s="529">
        <f>'Reforecast Q1 2026'!G99</f>
        <v>-8625</v>
      </c>
      <c r="S83" s="529">
        <f>IF(OR(5&gt;$B$3,ISBLANK(Actuals!G99)),"",Actuals!G99)</f>
        <v>-69333</v>
      </c>
      <c r="T83" s="530">
        <f>IF(OR(5&gt;$B$3,ISBLANK(Actuals!G99)),"",'Reforecast Q1 2026'!G99-Actuals!G99)</f>
        <v>60708</v>
      </c>
      <c r="U83" s="530">
        <f>IFERROR(IF(OR(5&gt;$B$3,ISBLANK(Actuals!G99)),"",('Reforecast Q1 2026'!G99-Actuals!G99)/ABS('Reforecast Q1 2026'!G99)),"")</f>
        <v>7.03860869565217</v>
      </c>
      <c r="V83" s="529">
        <f>'Reforecast Q1 2026'!H99</f>
        <v>-8625</v>
      </c>
      <c r="W83" s="529">
        <f>IF(OR(6&gt;$B$3,ISBLANK(Actuals!H99)),"",Actuals!H99)</f>
        <v>-28083</v>
      </c>
      <c r="X83" s="530">
        <f>IF(OR(6&gt;$B$3,ISBLANK(Actuals!H99)),"",'Reforecast Q1 2026'!H99-Actuals!H99)</f>
        <v>19458</v>
      </c>
      <c r="Y83" s="530">
        <f>IFERROR(IF(OR(6&gt;$B$3,ISBLANK(Actuals!H99)),"",('Reforecast Q1 2026'!H99-Actuals!H99)/ABS('Reforecast Q1 2026'!H99)),"")</f>
        <v>2.256</v>
      </c>
      <c r="Z83" s="529">
        <f>'Reforecast Q1 2026'!I99</f>
        <v>-8625</v>
      </c>
      <c r="AA83" s="529">
        <f>IF(OR(7&gt;$B$3,ISBLANK(Actuals!I99)),"",Actuals!I99)</f>
      </c>
      <c r="AB83" s="530">
        <f>IF(OR(7&gt;$B$3,ISBLANK(Actuals!I99)),"",'Reforecast Q1 2026'!I99-Actuals!I99)</f>
      </c>
      <c r="AC83" s="530">
        <f>IFERROR(IF(OR(7&gt;$B$3,ISBLANK(Actuals!I99)),"",('Reforecast Q1 2026'!I99-Actuals!I99)/ABS('Reforecast Q1 2026'!I99)),"")</f>
      </c>
      <c r="AD83" s="529">
        <f>'Reforecast Q1 2026'!J99</f>
        <v>-8625</v>
      </c>
      <c r="AE83" s="529">
        <f>IF(OR(8&gt;$B$3,ISBLANK(Actuals!J99)),"",Actuals!J99)</f>
      </c>
      <c r="AF83" s="530">
        <f>IF(OR(8&gt;$B$3,ISBLANK(Actuals!J99)),"",'Reforecast Q1 2026'!J99-Actuals!J99)</f>
      </c>
      <c r="AG83" s="530">
        <f>IFERROR(IF(OR(8&gt;$B$3,ISBLANK(Actuals!J99)),"",('Reforecast Q1 2026'!J99-Actuals!J99)/ABS('Reforecast Q1 2026'!J99)),"")</f>
      </c>
      <c r="AH83" s="529">
        <f>'Reforecast Q1 2026'!K99</f>
        <v>-8625</v>
      </c>
      <c r="AI83" s="529">
        <f>IF(OR(9&gt;$B$3,ISBLANK(Actuals!K99)),"",Actuals!K99)</f>
      </c>
      <c r="AJ83" s="530">
        <f>IF(OR(9&gt;$B$3,ISBLANK(Actuals!K99)),"",'Reforecast Q1 2026'!K99-Actuals!K99)</f>
      </c>
      <c r="AK83" s="530">
        <f>IFERROR(IF(OR(9&gt;$B$3,ISBLANK(Actuals!K99)),"",('Reforecast Q1 2026'!K99-Actuals!K99)/ABS('Reforecast Q1 2026'!K99)),"")</f>
      </c>
      <c r="AL83" s="529">
        <f>'Reforecast Q1 2026'!L99</f>
        <v>-8625</v>
      </c>
      <c r="AM83" s="529">
        <f>IF(OR(10&gt;$B$3,ISBLANK(Actuals!L99)),"",Actuals!L99)</f>
      </c>
      <c r="AN83" s="530">
        <f>IF(OR(10&gt;$B$3,ISBLANK(Actuals!L99)),"",'Reforecast Q1 2026'!L99-Actuals!L99)</f>
      </c>
      <c r="AO83" s="530">
        <f>IFERROR(IF(OR(10&gt;$B$3,ISBLANK(Actuals!L99)),"",('Reforecast Q1 2026'!L99-Actuals!L99)/ABS('Reforecast Q1 2026'!L99)),"")</f>
      </c>
      <c r="AP83" s="529">
        <f>'Reforecast Q1 2026'!M99</f>
        <v>-8625</v>
      </c>
      <c r="AQ83" s="529">
        <f>IF(OR(11&gt;$B$3,ISBLANK(Actuals!M99)),"",Actuals!M99)</f>
      </c>
      <c r="AR83" s="530">
        <f>IF(OR(11&gt;$B$3,ISBLANK(Actuals!M99)),"",'Reforecast Q1 2026'!M99-Actuals!M99)</f>
      </c>
      <c r="AS83" s="530">
        <f>IFERROR(IF(OR(11&gt;$B$3,ISBLANK(Actuals!M99)),"",('Reforecast Q1 2026'!M99-Actuals!M99)/ABS('Reforecast Q1 2026'!M99)),"")</f>
      </c>
      <c r="AT83" s="529">
        <f>'Reforecast Q1 2026'!N99</f>
        <v>-8625</v>
      </c>
      <c r="AU83" s="529">
        <f>IF(OR(12&gt;$B$3,ISBLANK(Actuals!N99)),"",Actuals!N99)</f>
      </c>
      <c r="AV83" s="530">
        <f>IF(OR(12&gt;$B$3,ISBLANK(Actuals!N99)),"",'Reforecast Q1 2026'!N99-Actuals!N99)</f>
      </c>
      <c r="AW83" s="530">
        <f>IFERROR(IF(OR(12&gt;$B$3,ISBLANK(Actuals!N99)),"",('Reforecast Q1 2026'!N99-Actuals!N99)/ABS('Reforecast Q1 2026'!N99)),"")</f>
      </c>
      <c r="AX83" s="531">
        <f>SUMPRODUCT((Actuals!C99:N99&lt;&gt;"")*('Reforecast Q1 2026'!C99:N99))</f>
        <v>-111383.5</v>
      </c>
      <c r="AY83" s="531">
        <f>SUM(Actuals!C99:N99)</f>
        <v>-211007.5</v>
      </c>
      <c r="AZ83" s="532">
        <f>AX83-AY83</f>
        <v>99624</v>
      </c>
    </row>
    <row r="84" ht="15" customFormat="1" customHeight="1" s="381">
      <c r="A84" s="528" t="inlineStr">
        <is>
          <t>5500-1007 Dues and Subscriptions</t>
        </is>
      </c>
      <c r="B84" s="529">
        <f>'Reforecast Q1 2026'!C100</f>
        <v>-268</v>
      </c>
      <c r="C84" s="529">
        <f>IF(OR(1&gt;$B$3,ISBLANK(Actuals!C100)),"",Actuals!C100)</f>
        <v>-268</v>
      </c>
      <c r="D84" s="530">
        <f>IF(OR(1&gt;$B$3,ISBLANK(Actuals!C100)),"",'Reforecast Q1 2026'!C100-Actuals!C100)</f>
        <v>0</v>
      </c>
      <c r="E84" s="530">
        <f>IFERROR(IF(OR(1&gt;$B$3,ISBLANK(Actuals!C100)),"",('Reforecast Q1 2026'!C100-Actuals!C100)/ABS('Reforecast Q1 2026'!C100)),"")</f>
        <v>0</v>
      </c>
      <c r="F84" s="529">
        <f>'Reforecast Q1 2026'!D100</f>
        <v>-2088.75</v>
      </c>
      <c r="G84" s="529">
        <f>IF(OR(2&gt;$B$3,ISBLANK(Actuals!D100)),"",Actuals!D100)</f>
        <v>-2088.75</v>
      </c>
      <c r="H84" s="530">
        <f>IF(OR(2&gt;$B$3,ISBLANK(Actuals!D100)),"",'Reforecast Q1 2026'!D100-Actuals!D100)</f>
        <v>0</v>
      </c>
      <c r="I84" s="530">
        <f>IFERROR(IF(OR(2&gt;$B$3,ISBLANK(Actuals!D100)),"",('Reforecast Q1 2026'!D100-Actuals!D100)/ABS('Reforecast Q1 2026'!D100)),"")</f>
        <v>0</v>
      </c>
      <c r="J84" s="529">
        <f>'Reforecast Q1 2026'!E100</f>
        <v>-2401.75</v>
      </c>
      <c r="K84" s="529">
        <f>IF(OR(3&gt;$B$3,ISBLANK(Actuals!E100)),"",Actuals!E100)</f>
        <v>-2401.75</v>
      </c>
      <c r="L84" s="530">
        <f>IF(OR(3&gt;$B$3,ISBLANK(Actuals!E100)),"",'Reforecast Q1 2026'!E100-Actuals!E100)</f>
        <v>0</v>
      </c>
      <c r="M84" s="530">
        <f>IFERROR(IF(OR(3&gt;$B$3,ISBLANK(Actuals!E100)),"",('Reforecast Q1 2026'!E100-Actuals!E100)/ABS('Reforecast Q1 2026'!E100)),"")</f>
        <v>0</v>
      </c>
      <c r="N84" s="529">
        <f>'Reforecast Q1 2026'!F100</f>
        <v>-1586.17</v>
      </c>
      <c r="O84" s="529">
        <f>IF(OR(4&gt;$B$3,ISBLANK(Actuals!F100)),"",Actuals!F100)</f>
        <v>-4209.5</v>
      </c>
      <c r="P84" s="530">
        <f>IF(OR(4&gt;$B$3,ISBLANK(Actuals!F100)),"",'Reforecast Q1 2026'!F100-Actuals!F100)</f>
        <v>2623.33</v>
      </c>
      <c r="Q84" s="530">
        <f>IFERROR(IF(OR(4&gt;$B$3,ISBLANK(Actuals!F100)),"",('Reforecast Q1 2026'!F100-Actuals!F100)/ABS('Reforecast Q1 2026'!F100)),"")</f>
        <v>1.65387694887685</v>
      </c>
      <c r="R84" s="529">
        <f>'Reforecast Q1 2026'!G100</f>
        <v>-1586.17</v>
      </c>
      <c r="S84" s="529">
        <f>IF(OR(5&gt;$B$3,ISBLANK(Actuals!G100)),"",Actuals!G100)</f>
        <v>-2377.59</v>
      </c>
      <c r="T84" s="530">
        <f>IF(OR(5&gt;$B$3,ISBLANK(Actuals!G100)),"",'Reforecast Q1 2026'!G100-Actuals!G100)</f>
        <v>791.42</v>
      </c>
      <c r="U84" s="530">
        <f>IFERROR(IF(OR(5&gt;$B$3,ISBLANK(Actuals!G100)),"",('Reforecast Q1 2026'!G100-Actuals!G100)/ABS('Reforecast Q1 2026'!G100)),"")</f>
        <v>0.498950301670061</v>
      </c>
      <c r="V84" s="529">
        <f>'Reforecast Q1 2026'!H100</f>
        <v>-1586.17</v>
      </c>
      <c r="W84" s="529">
        <f>IF(OR(6&gt;$B$3,ISBLANK(Actuals!H100)),"",Actuals!H100)</f>
        <v>-16</v>
      </c>
      <c r="X84" s="530">
        <f>IF(OR(6&gt;$B$3,ISBLANK(Actuals!H100)),"",'Reforecast Q1 2026'!H100-Actuals!H100)</f>
        <v>-1570.17</v>
      </c>
      <c r="Y84" s="530">
        <f>IFERROR(IF(OR(6&gt;$B$3,ISBLANK(Actuals!H100)),"",('Reforecast Q1 2026'!H100-Actuals!H100)/ABS('Reforecast Q1 2026'!H100)),"")</f>
        <v>-0.989912808841423</v>
      </c>
      <c r="Z84" s="529">
        <f>'Reforecast Q1 2026'!I100</f>
        <v>-1586.17</v>
      </c>
      <c r="AA84" s="529">
        <f>IF(OR(7&gt;$B$3,ISBLANK(Actuals!I100)),"",Actuals!I100)</f>
      </c>
      <c r="AB84" s="530">
        <f>IF(OR(7&gt;$B$3,ISBLANK(Actuals!I100)),"",'Reforecast Q1 2026'!I100-Actuals!I100)</f>
      </c>
      <c r="AC84" s="530">
        <f>IFERROR(IF(OR(7&gt;$B$3,ISBLANK(Actuals!I100)),"",('Reforecast Q1 2026'!I100-Actuals!I100)/ABS('Reforecast Q1 2026'!I100)),"")</f>
      </c>
      <c r="AD84" s="529">
        <f>'Reforecast Q1 2026'!J100</f>
        <v>-1586.17</v>
      </c>
      <c r="AE84" s="529">
        <f>IF(OR(8&gt;$B$3,ISBLANK(Actuals!J100)),"",Actuals!J100)</f>
      </c>
      <c r="AF84" s="530">
        <f>IF(OR(8&gt;$B$3,ISBLANK(Actuals!J100)),"",'Reforecast Q1 2026'!J100-Actuals!J100)</f>
      </c>
      <c r="AG84" s="530">
        <f>IFERROR(IF(OR(8&gt;$B$3,ISBLANK(Actuals!J100)),"",('Reforecast Q1 2026'!J100-Actuals!J100)/ABS('Reforecast Q1 2026'!J100)),"")</f>
      </c>
      <c r="AH84" s="529">
        <f>'Reforecast Q1 2026'!K100</f>
        <v>-1586.17</v>
      </c>
      <c r="AI84" s="529">
        <f>IF(OR(9&gt;$B$3,ISBLANK(Actuals!K100)),"",Actuals!K100)</f>
      </c>
      <c r="AJ84" s="530">
        <f>IF(OR(9&gt;$B$3,ISBLANK(Actuals!K100)),"",'Reforecast Q1 2026'!K100-Actuals!K100)</f>
      </c>
      <c r="AK84" s="530">
        <f>IFERROR(IF(OR(9&gt;$B$3,ISBLANK(Actuals!K100)),"",('Reforecast Q1 2026'!K100-Actuals!K100)/ABS('Reforecast Q1 2026'!K100)),"")</f>
      </c>
      <c r="AL84" s="529">
        <f>'Reforecast Q1 2026'!L100</f>
        <v>-1586.17</v>
      </c>
      <c r="AM84" s="529">
        <f>IF(OR(10&gt;$B$3,ISBLANK(Actuals!L100)),"",Actuals!L100)</f>
      </c>
      <c r="AN84" s="530">
        <f>IF(OR(10&gt;$B$3,ISBLANK(Actuals!L100)),"",'Reforecast Q1 2026'!L100-Actuals!L100)</f>
      </c>
      <c r="AO84" s="530">
        <f>IFERROR(IF(OR(10&gt;$B$3,ISBLANK(Actuals!L100)),"",('Reforecast Q1 2026'!L100-Actuals!L100)/ABS('Reforecast Q1 2026'!L100)),"")</f>
      </c>
      <c r="AP84" s="529">
        <f>'Reforecast Q1 2026'!M100</f>
        <v>-1586.17</v>
      </c>
      <c r="AQ84" s="529">
        <f>IF(OR(11&gt;$B$3,ISBLANK(Actuals!M100)),"",Actuals!M100)</f>
      </c>
      <c r="AR84" s="530">
        <f>IF(OR(11&gt;$B$3,ISBLANK(Actuals!M100)),"",'Reforecast Q1 2026'!M100-Actuals!M100)</f>
      </c>
      <c r="AS84" s="530">
        <f>IFERROR(IF(OR(11&gt;$B$3,ISBLANK(Actuals!M100)),"",('Reforecast Q1 2026'!M100-Actuals!M100)/ABS('Reforecast Q1 2026'!M100)),"")</f>
      </c>
      <c r="AT84" s="529">
        <f>'Reforecast Q1 2026'!N100</f>
        <v>-1586.17</v>
      </c>
      <c r="AU84" s="529">
        <f>IF(OR(12&gt;$B$3,ISBLANK(Actuals!N100)),"",Actuals!N100)</f>
      </c>
      <c r="AV84" s="530">
        <f>IF(OR(12&gt;$B$3,ISBLANK(Actuals!N100)),"",'Reforecast Q1 2026'!N100-Actuals!N100)</f>
      </c>
      <c r="AW84" s="530">
        <f>IFERROR(IF(OR(12&gt;$B$3,ISBLANK(Actuals!N100)),"",('Reforecast Q1 2026'!N100-Actuals!N100)/ABS('Reforecast Q1 2026'!N100)),"")</f>
      </c>
      <c r="AX84" s="531">
        <f>SUMPRODUCT((Actuals!C100:N100&lt;&gt;"")*('Reforecast Q1 2026'!C100:N100))</f>
        <v>-9517.01</v>
      </c>
      <c r="AY84" s="531">
        <f>SUM(Actuals!C100:N100)</f>
        <v>-11361.59</v>
      </c>
      <c r="AZ84" s="532">
        <f>AX84-AY84</f>
        <v>1844.58</v>
      </c>
    </row>
    <row r="85" ht="15" customFormat="1" customHeight="1" s="381">
      <c r="A85" s="528" t="inlineStr">
        <is>
          <t>5500-1009 Entity Filing and Formation Fees</t>
        </is>
      </c>
      <c r="B85" s="529">
        <f>'Reforecast Q1 2026'!C101</f>
        <v>-341.83</v>
      </c>
      <c r="C85" s="529">
        <f>IF(OR(1&gt;$B$3,ISBLANK(Actuals!C101)),"",Actuals!C101)</f>
        <v>-341.83</v>
      </c>
      <c r="D85" s="530">
        <f>IF(OR(1&gt;$B$3,ISBLANK(Actuals!C101)),"",'Reforecast Q1 2026'!C101-Actuals!C101)</f>
        <v>0</v>
      </c>
      <c r="E85" s="530">
        <f>IFERROR(IF(OR(1&gt;$B$3,ISBLANK(Actuals!C101)),"",('Reforecast Q1 2026'!C101-Actuals!C101)/ABS('Reforecast Q1 2026'!C101)),"")</f>
        <v>0</v>
      </c>
      <c r="F85" s="529">
        <f>'Reforecast Q1 2026'!D101</f>
        <v>-728</v>
      </c>
      <c r="G85" s="529">
        <f>IF(OR(2&gt;$B$3,ISBLANK(Actuals!D101)),"",Actuals!D101)</f>
        <v>-728</v>
      </c>
      <c r="H85" s="530">
        <f>IF(OR(2&gt;$B$3,ISBLANK(Actuals!D101)),"",'Reforecast Q1 2026'!D101-Actuals!D101)</f>
        <v>0</v>
      </c>
      <c r="I85" s="530">
        <f>IFERROR(IF(OR(2&gt;$B$3,ISBLANK(Actuals!D101)),"",('Reforecast Q1 2026'!D101-Actuals!D101)/ABS('Reforecast Q1 2026'!D101)),"")</f>
        <v>0</v>
      </c>
      <c r="J85" s="529">
        <f>'Reforecast Q1 2026'!E101</f>
        <v>-15256.75</v>
      </c>
      <c r="K85" s="529">
        <f>IF(OR(3&gt;$B$3,ISBLANK(Actuals!E101)),"",Actuals!E101)</f>
        <v>-15256.75</v>
      </c>
      <c r="L85" s="530">
        <f>IF(OR(3&gt;$B$3,ISBLANK(Actuals!E101)),"",'Reforecast Q1 2026'!E101-Actuals!E101)</f>
        <v>0</v>
      </c>
      <c r="M85" s="530">
        <f>IFERROR(IF(OR(3&gt;$B$3,ISBLANK(Actuals!E101)),"",('Reforecast Q1 2026'!E101-Actuals!E101)/ABS('Reforecast Q1 2026'!E101)),"")</f>
        <v>0</v>
      </c>
      <c r="N85" s="529">
        <f>'Reforecast Q1 2026'!F101</f>
        <v>-5442.19</v>
      </c>
      <c r="O85" s="529">
        <f>IF(OR(4&gt;$B$3,ISBLANK(Actuals!F101)),"",Actuals!F101)</f>
        <v>-1033.41</v>
      </c>
      <c r="P85" s="530">
        <f>IF(OR(4&gt;$B$3,ISBLANK(Actuals!F101)),"",'Reforecast Q1 2026'!F101-Actuals!F101)</f>
        <v>-4408.78</v>
      </c>
      <c r="Q85" s="530">
        <f>IFERROR(IF(OR(4&gt;$B$3,ISBLANK(Actuals!F101)),"",('Reforecast Q1 2026'!F101-Actuals!F101)/ABS('Reforecast Q1 2026'!F101)),"")</f>
        <v>-0.810111370606318</v>
      </c>
      <c r="R85" s="529">
        <f>'Reforecast Q1 2026'!G101</f>
        <v>-5442.19</v>
      </c>
      <c r="S85" s="529">
        <f>IF(OR(5&gt;$B$3,ISBLANK(Actuals!G101)),"",Actuals!G101)</f>
        <v>-3499</v>
      </c>
      <c r="T85" s="530">
        <f>IF(OR(5&gt;$B$3,ISBLANK(Actuals!G101)),"",'Reforecast Q1 2026'!G101-Actuals!G101)</f>
        <v>-1943.19</v>
      </c>
      <c r="U85" s="530">
        <f>IFERROR(IF(OR(5&gt;$B$3,ISBLANK(Actuals!G101)),"",('Reforecast Q1 2026'!G101-Actuals!G101)/ABS('Reforecast Q1 2026'!G101)),"")</f>
        <v>-0.357060301092024</v>
      </c>
      <c r="V85" s="529">
        <f>'Reforecast Q1 2026'!H101</f>
        <v>-5442.19</v>
      </c>
      <c r="W85" s="529">
        <f>IF(OR(6&gt;$B$3,ISBLANK(Actuals!H101)),"",Actuals!H101)</f>
        <v>-1033.41</v>
      </c>
      <c r="X85" s="530">
        <f>IF(OR(6&gt;$B$3,ISBLANK(Actuals!H101)),"",'Reforecast Q1 2026'!H101-Actuals!H101)</f>
        <v>-4408.78</v>
      </c>
      <c r="Y85" s="530">
        <f>IFERROR(IF(OR(6&gt;$B$3,ISBLANK(Actuals!H101)),"",('Reforecast Q1 2026'!H101-Actuals!H101)/ABS('Reforecast Q1 2026'!H101)),"")</f>
        <v>-0.810111370606318</v>
      </c>
      <c r="Z85" s="529">
        <f>'Reforecast Q1 2026'!I101</f>
        <v>-5442.19</v>
      </c>
      <c r="AA85" s="529">
        <f>IF(OR(7&gt;$B$3,ISBLANK(Actuals!I101)),"",Actuals!I101)</f>
      </c>
      <c r="AB85" s="530">
        <f>IF(OR(7&gt;$B$3,ISBLANK(Actuals!I101)),"",'Reforecast Q1 2026'!I101-Actuals!I101)</f>
      </c>
      <c r="AC85" s="530">
        <f>IFERROR(IF(OR(7&gt;$B$3,ISBLANK(Actuals!I101)),"",('Reforecast Q1 2026'!I101-Actuals!I101)/ABS('Reforecast Q1 2026'!I101)),"")</f>
      </c>
      <c r="AD85" s="529">
        <f>'Reforecast Q1 2026'!J101</f>
        <v>-5442.19</v>
      </c>
      <c r="AE85" s="529">
        <f>IF(OR(8&gt;$B$3,ISBLANK(Actuals!J101)),"",Actuals!J101)</f>
      </c>
      <c r="AF85" s="530">
        <f>IF(OR(8&gt;$B$3,ISBLANK(Actuals!J101)),"",'Reforecast Q1 2026'!J101-Actuals!J101)</f>
      </c>
      <c r="AG85" s="530">
        <f>IFERROR(IF(OR(8&gt;$B$3,ISBLANK(Actuals!J101)),"",('Reforecast Q1 2026'!J101-Actuals!J101)/ABS('Reforecast Q1 2026'!J101)),"")</f>
      </c>
      <c r="AH85" s="529">
        <f>'Reforecast Q1 2026'!K101</f>
        <v>-5442.19</v>
      </c>
      <c r="AI85" s="529">
        <f>IF(OR(9&gt;$B$3,ISBLANK(Actuals!K101)),"",Actuals!K101)</f>
      </c>
      <c r="AJ85" s="530">
        <f>IF(OR(9&gt;$B$3,ISBLANK(Actuals!K101)),"",'Reforecast Q1 2026'!K101-Actuals!K101)</f>
      </c>
      <c r="AK85" s="530">
        <f>IFERROR(IF(OR(9&gt;$B$3,ISBLANK(Actuals!K101)),"",('Reforecast Q1 2026'!K101-Actuals!K101)/ABS('Reforecast Q1 2026'!K101)),"")</f>
      </c>
      <c r="AL85" s="529">
        <f>'Reforecast Q1 2026'!L101</f>
        <v>-5442.19</v>
      </c>
      <c r="AM85" s="529">
        <f>IF(OR(10&gt;$B$3,ISBLANK(Actuals!L101)),"",Actuals!L101)</f>
      </c>
      <c r="AN85" s="530">
        <f>IF(OR(10&gt;$B$3,ISBLANK(Actuals!L101)),"",'Reforecast Q1 2026'!L101-Actuals!L101)</f>
      </c>
      <c r="AO85" s="530">
        <f>IFERROR(IF(OR(10&gt;$B$3,ISBLANK(Actuals!L101)),"",('Reforecast Q1 2026'!L101-Actuals!L101)/ABS('Reforecast Q1 2026'!L101)),"")</f>
      </c>
      <c r="AP85" s="529">
        <f>'Reforecast Q1 2026'!M101</f>
        <v>-5442.19</v>
      </c>
      <c r="AQ85" s="529">
        <f>IF(OR(11&gt;$B$3,ISBLANK(Actuals!M101)),"",Actuals!M101)</f>
      </c>
      <c r="AR85" s="530">
        <f>IF(OR(11&gt;$B$3,ISBLANK(Actuals!M101)),"",'Reforecast Q1 2026'!M101-Actuals!M101)</f>
      </c>
      <c r="AS85" s="530">
        <f>IFERROR(IF(OR(11&gt;$B$3,ISBLANK(Actuals!M101)),"",('Reforecast Q1 2026'!M101-Actuals!M101)/ABS('Reforecast Q1 2026'!M101)),"")</f>
      </c>
      <c r="AT85" s="529">
        <f>'Reforecast Q1 2026'!N101</f>
        <v>-5442.19</v>
      </c>
      <c r="AU85" s="529">
        <f>IF(OR(12&gt;$B$3,ISBLANK(Actuals!N101)),"",Actuals!N101)</f>
      </c>
      <c r="AV85" s="530">
        <f>IF(OR(12&gt;$B$3,ISBLANK(Actuals!N101)),"",'Reforecast Q1 2026'!N101-Actuals!N101)</f>
      </c>
      <c r="AW85" s="530">
        <f>IFERROR(IF(OR(12&gt;$B$3,ISBLANK(Actuals!N101)),"",('Reforecast Q1 2026'!N101-Actuals!N101)/ABS('Reforecast Q1 2026'!N101)),"")</f>
      </c>
      <c r="AX85" s="531">
        <f>SUMPRODUCT((Actuals!C101:N101&lt;&gt;"")*('Reforecast Q1 2026'!C101:N101))</f>
        <v>-32653.15</v>
      </c>
      <c r="AY85" s="531">
        <f>SUM(Actuals!C101:N101)</f>
        <v>-21892.4</v>
      </c>
      <c r="AZ85" s="532">
        <f>AX85-AY85</f>
        <v>-10760.75</v>
      </c>
    </row>
    <row r="86" ht="15" customFormat="1" customHeight="1" s="381">
      <c r="A86" s="528" t="inlineStr">
        <is>
          <t>5500-1010 Investment Management Software</t>
        </is>
      </c>
      <c r="B86" s="529">
        <f>'Reforecast Q1 2026'!C102</f>
        <v>-1905.31</v>
      </c>
      <c r="C86" s="529">
        <f>IF(OR(1&gt;$B$3,ISBLANK(Actuals!C102)),"",Actuals!C102)</f>
        <v>-1905.31</v>
      </c>
      <c r="D86" s="530">
        <f>IF(OR(1&gt;$B$3,ISBLANK(Actuals!C102)),"",'Reforecast Q1 2026'!C102-Actuals!C102)</f>
        <v>0</v>
      </c>
      <c r="E86" s="530">
        <f>IFERROR(IF(OR(1&gt;$B$3,ISBLANK(Actuals!C102)),"",('Reforecast Q1 2026'!C102-Actuals!C102)/ABS('Reforecast Q1 2026'!C102)),"")</f>
        <v>0</v>
      </c>
      <c r="F86" s="529">
        <f>'Reforecast Q1 2026'!D102</f>
        <v>-1905.31</v>
      </c>
      <c r="G86" s="529">
        <f>IF(OR(2&gt;$B$3,ISBLANK(Actuals!D102)),"",Actuals!D102)</f>
        <v>-1905.31</v>
      </c>
      <c r="H86" s="530">
        <f>IF(OR(2&gt;$B$3,ISBLANK(Actuals!D102)),"",'Reforecast Q1 2026'!D102-Actuals!D102)</f>
        <v>0</v>
      </c>
      <c r="I86" s="530">
        <f>IFERROR(IF(OR(2&gt;$B$3,ISBLANK(Actuals!D102)),"",('Reforecast Q1 2026'!D102-Actuals!D102)/ABS('Reforecast Q1 2026'!D102)),"")</f>
        <v>0</v>
      </c>
      <c r="J86" s="529">
        <f>'Reforecast Q1 2026'!E102</f>
        <v>-1905.31</v>
      </c>
      <c r="K86" s="529">
        <f>IF(OR(3&gt;$B$3,ISBLANK(Actuals!E102)),"",Actuals!E102)</f>
        <v>-1905.31</v>
      </c>
      <c r="L86" s="530">
        <f>IF(OR(3&gt;$B$3,ISBLANK(Actuals!E102)),"",'Reforecast Q1 2026'!E102-Actuals!E102)</f>
        <v>0</v>
      </c>
      <c r="M86" s="530">
        <f>IFERROR(IF(OR(3&gt;$B$3,ISBLANK(Actuals!E102)),"",('Reforecast Q1 2026'!E102-Actuals!E102)/ABS('Reforecast Q1 2026'!E102)),"")</f>
        <v>0</v>
      </c>
      <c r="N86" s="529">
        <f>'Reforecast Q1 2026'!F102</f>
        <v>-1905.31</v>
      </c>
      <c r="O86" s="529">
        <f>IF(OR(4&gt;$B$3,ISBLANK(Actuals!F102)),"",Actuals!F102)</f>
        <v>-1905.31</v>
      </c>
      <c r="P86" s="530">
        <f>IF(OR(4&gt;$B$3,ISBLANK(Actuals!F102)),"",'Reforecast Q1 2026'!F102-Actuals!F102)</f>
        <v>0</v>
      </c>
      <c r="Q86" s="530">
        <f>IFERROR(IF(OR(4&gt;$B$3,ISBLANK(Actuals!F102)),"",('Reforecast Q1 2026'!F102-Actuals!F102)/ABS('Reforecast Q1 2026'!F102)),"")</f>
        <v>0</v>
      </c>
      <c r="R86" s="529">
        <f>'Reforecast Q1 2026'!G102</f>
        <v>-1905.31</v>
      </c>
      <c r="S86" s="529">
        <f>IF(OR(5&gt;$B$3,ISBLANK(Actuals!G102)),"",Actuals!G102)</f>
        <v>-1905.31</v>
      </c>
      <c r="T86" s="530">
        <f>IF(OR(5&gt;$B$3,ISBLANK(Actuals!G102)),"",'Reforecast Q1 2026'!G102-Actuals!G102)</f>
        <v>0</v>
      </c>
      <c r="U86" s="530">
        <f>IFERROR(IF(OR(5&gt;$B$3,ISBLANK(Actuals!G102)),"",('Reforecast Q1 2026'!G102-Actuals!G102)/ABS('Reforecast Q1 2026'!G102)),"")</f>
        <v>0</v>
      </c>
      <c r="V86" s="529">
        <f>'Reforecast Q1 2026'!H102</f>
        <v>-1905.31</v>
      </c>
      <c r="W86" s="529">
        <f>IF(OR(6&gt;$B$3,ISBLANK(Actuals!H102)),"",Actuals!H102)</f>
        <v>-1905.31</v>
      </c>
      <c r="X86" s="530">
        <f>IF(OR(6&gt;$B$3,ISBLANK(Actuals!H102)),"",'Reforecast Q1 2026'!H102-Actuals!H102)</f>
        <v>0</v>
      </c>
      <c r="Y86" s="530">
        <f>IFERROR(IF(OR(6&gt;$B$3,ISBLANK(Actuals!H102)),"",('Reforecast Q1 2026'!H102-Actuals!H102)/ABS('Reforecast Q1 2026'!H102)),"")</f>
        <v>0</v>
      </c>
      <c r="Z86" s="529">
        <f>'Reforecast Q1 2026'!I102</f>
        <v>-1905.31</v>
      </c>
      <c r="AA86" s="529">
        <f>IF(OR(7&gt;$B$3,ISBLANK(Actuals!I102)),"",Actuals!I102)</f>
      </c>
      <c r="AB86" s="530">
        <f>IF(OR(7&gt;$B$3,ISBLANK(Actuals!I102)),"",'Reforecast Q1 2026'!I102-Actuals!I102)</f>
      </c>
      <c r="AC86" s="530">
        <f>IFERROR(IF(OR(7&gt;$B$3,ISBLANK(Actuals!I102)),"",('Reforecast Q1 2026'!I102-Actuals!I102)/ABS('Reforecast Q1 2026'!I102)),"")</f>
      </c>
      <c r="AD86" s="529">
        <f>'Reforecast Q1 2026'!J102</f>
        <v>-1905.31</v>
      </c>
      <c r="AE86" s="529">
        <f>IF(OR(8&gt;$B$3,ISBLANK(Actuals!J102)),"",Actuals!J102)</f>
      </c>
      <c r="AF86" s="530">
        <f>IF(OR(8&gt;$B$3,ISBLANK(Actuals!J102)),"",'Reforecast Q1 2026'!J102-Actuals!J102)</f>
      </c>
      <c r="AG86" s="530">
        <f>IFERROR(IF(OR(8&gt;$B$3,ISBLANK(Actuals!J102)),"",('Reforecast Q1 2026'!J102-Actuals!J102)/ABS('Reforecast Q1 2026'!J102)),"")</f>
      </c>
      <c r="AH86" s="529">
        <f>'Reforecast Q1 2026'!K102</f>
        <v>-1905.31</v>
      </c>
      <c r="AI86" s="529">
        <f>IF(OR(9&gt;$B$3,ISBLANK(Actuals!K102)),"",Actuals!K102)</f>
      </c>
      <c r="AJ86" s="530">
        <f>IF(OR(9&gt;$B$3,ISBLANK(Actuals!K102)),"",'Reforecast Q1 2026'!K102-Actuals!K102)</f>
      </c>
      <c r="AK86" s="530">
        <f>IFERROR(IF(OR(9&gt;$B$3,ISBLANK(Actuals!K102)),"",('Reforecast Q1 2026'!K102-Actuals!K102)/ABS('Reforecast Q1 2026'!K102)),"")</f>
      </c>
      <c r="AL86" s="529">
        <f>'Reforecast Q1 2026'!L102</f>
        <v>-1905.31</v>
      </c>
      <c r="AM86" s="529">
        <f>IF(OR(10&gt;$B$3,ISBLANK(Actuals!L102)),"",Actuals!L102)</f>
      </c>
      <c r="AN86" s="530">
        <f>IF(OR(10&gt;$B$3,ISBLANK(Actuals!L102)),"",'Reforecast Q1 2026'!L102-Actuals!L102)</f>
      </c>
      <c r="AO86" s="530">
        <f>IFERROR(IF(OR(10&gt;$B$3,ISBLANK(Actuals!L102)),"",('Reforecast Q1 2026'!L102-Actuals!L102)/ABS('Reforecast Q1 2026'!L102)),"")</f>
      </c>
      <c r="AP86" s="529">
        <f>'Reforecast Q1 2026'!M102</f>
        <v>-1905.31</v>
      </c>
      <c r="AQ86" s="529">
        <f>IF(OR(11&gt;$B$3,ISBLANK(Actuals!M102)),"",Actuals!M102)</f>
      </c>
      <c r="AR86" s="530">
        <f>IF(OR(11&gt;$B$3,ISBLANK(Actuals!M102)),"",'Reforecast Q1 2026'!M102-Actuals!M102)</f>
      </c>
      <c r="AS86" s="530">
        <f>IFERROR(IF(OR(11&gt;$B$3,ISBLANK(Actuals!M102)),"",('Reforecast Q1 2026'!M102-Actuals!M102)/ABS('Reforecast Q1 2026'!M102)),"")</f>
      </c>
      <c r="AT86" s="529">
        <f>'Reforecast Q1 2026'!N102</f>
        <v>-1905.31</v>
      </c>
      <c r="AU86" s="529">
        <f>IF(OR(12&gt;$B$3,ISBLANK(Actuals!N102)),"",Actuals!N102)</f>
      </c>
      <c r="AV86" s="530">
        <f>IF(OR(12&gt;$B$3,ISBLANK(Actuals!N102)),"",'Reforecast Q1 2026'!N102-Actuals!N102)</f>
      </c>
      <c r="AW86" s="530">
        <f>IFERROR(IF(OR(12&gt;$B$3,ISBLANK(Actuals!N102)),"",('Reforecast Q1 2026'!N102-Actuals!N102)/ABS('Reforecast Q1 2026'!N102)),"")</f>
      </c>
      <c r="AX86" s="531">
        <f>SUMPRODUCT((Actuals!C102:N102&lt;&gt;"")*('Reforecast Q1 2026'!C102:N102))</f>
        <v>-11431.86</v>
      </c>
      <c r="AY86" s="531">
        <f>SUM(Actuals!C102:N102)</f>
        <v>-11431.86</v>
      </c>
      <c r="AZ86" s="532">
        <f>AX86-AY86</f>
        <v>0</v>
      </c>
    </row>
    <row r="87" ht="15" customFormat="1" customHeight="1" s="381">
      <c r="A87" s="528" t="inlineStr">
        <is>
          <t>5500-1053 E&amp;O/D&amp;O Insurance</t>
        </is>
      </c>
      <c r="B87" s="529">
        <f>'Reforecast Q1 2026'!C103</f>
        <v>-2100</v>
      </c>
      <c r="C87" s="529">
        <f>IF(OR(1&gt;$B$3,ISBLANK(Actuals!C103)),"",Actuals!C103)</f>
        <v>-2100</v>
      </c>
      <c r="D87" s="530">
        <f>IF(OR(1&gt;$B$3,ISBLANK(Actuals!C103)),"",'Reforecast Q1 2026'!C103-Actuals!C103)</f>
        <v>0</v>
      </c>
      <c r="E87" s="530">
        <f>IFERROR(IF(OR(1&gt;$B$3,ISBLANK(Actuals!C103)),"",('Reforecast Q1 2026'!C103-Actuals!C103)/ABS('Reforecast Q1 2026'!C103)),"")</f>
        <v>0</v>
      </c>
      <c r="F87" s="529">
        <f>'Reforecast Q1 2026'!D103</f>
        <v>-2100</v>
      </c>
      <c r="G87" s="529">
        <f>IF(OR(2&gt;$B$3,ISBLANK(Actuals!D103)),"",Actuals!D103)</f>
        <v>-2100</v>
      </c>
      <c r="H87" s="530">
        <f>IF(OR(2&gt;$B$3,ISBLANK(Actuals!D103)),"",'Reforecast Q1 2026'!D103-Actuals!D103)</f>
        <v>0</v>
      </c>
      <c r="I87" s="530">
        <f>IFERROR(IF(OR(2&gt;$B$3,ISBLANK(Actuals!D103)),"",('Reforecast Q1 2026'!D103-Actuals!D103)/ABS('Reforecast Q1 2026'!D103)),"")</f>
        <v>0</v>
      </c>
      <c r="J87" s="529">
        <f>'Reforecast Q1 2026'!E103</f>
        <v>-2100</v>
      </c>
      <c r="K87" s="529">
        <f>IF(OR(3&gt;$B$3,ISBLANK(Actuals!E103)),"",Actuals!E103)</f>
        <v>-2100</v>
      </c>
      <c r="L87" s="530">
        <f>IF(OR(3&gt;$B$3,ISBLANK(Actuals!E103)),"",'Reforecast Q1 2026'!E103-Actuals!E103)</f>
        <v>0</v>
      </c>
      <c r="M87" s="530">
        <f>IFERROR(IF(OR(3&gt;$B$3,ISBLANK(Actuals!E103)),"",('Reforecast Q1 2026'!E103-Actuals!E103)/ABS('Reforecast Q1 2026'!E103)),"")</f>
        <v>0</v>
      </c>
      <c r="N87" s="529">
        <f>'Reforecast Q1 2026'!F103</f>
        <v>-2100</v>
      </c>
      <c r="O87" s="529">
        <f>IF(OR(4&gt;$B$3,ISBLANK(Actuals!F103)),"",Actuals!F103)</f>
        <v>-2100</v>
      </c>
      <c r="P87" s="530">
        <f>IF(OR(4&gt;$B$3,ISBLANK(Actuals!F103)),"",'Reforecast Q1 2026'!F103-Actuals!F103)</f>
        <v>0</v>
      </c>
      <c r="Q87" s="530">
        <f>IFERROR(IF(OR(4&gt;$B$3,ISBLANK(Actuals!F103)),"",('Reforecast Q1 2026'!F103-Actuals!F103)/ABS('Reforecast Q1 2026'!F103)),"")</f>
        <v>0</v>
      </c>
      <c r="R87" s="529">
        <f>'Reforecast Q1 2026'!G103</f>
        <v>-2100</v>
      </c>
      <c r="S87" s="529">
        <f>IF(OR(5&gt;$B$3,ISBLANK(Actuals!G103)),"",Actuals!G103)</f>
        <v>-2100</v>
      </c>
      <c r="T87" s="530">
        <f>IF(OR(5&gt;$B$3,ISBLANK(Actuals!G103)),"",'Reforecast Q1 2026'!G103-Actuals!G103)</f>
        <v>0</v>
      </c>
      <c r="U87" s="530">
        <f>IFERROR(IF(OR(5&gt;$B$3,ISBLANK(Actuals!G103)),"",('Reforecast Q1 2026'!G103-Actuals!G103)/ABS('Reforecast Q1 2026'!G103)),"")</f>
        <v>0</v>
      </c>
      <c r="V87" s="529">
        <f>'Reforecast Q1 2026'!H103</f>
        <v>-2100</v>
      </c>
      <c r="W87" s="529">
        <f>IF(OR(6&gt;$B$3,ISBLANK(Actuals!H103)),"",Actuals!H103)</f>
        <v>-2100</v>
      </c>
      <c r="X87" s="530">
        <f>IF(OR(6&gt;$B$3,ISBLANK(Actuals!H103)),"",'Reforecast Q1 2026'!H103-Actuals!H103)</f>
        <v>0</v>
      </c>
      <c r="Y87" s="530">
        <f>IFERROR(IF(OR(6&gt;$B$3,ISBLANK(Actuals!H103)),"",('Reforecast Q1 2026'!H103-Actuals!H103)/ABS('Reforecast Q1 2026'!H103)),"")</f>
        <v>0</v>
      </c>
      <c r="Z87" s="529">
        <f>'Reforecast Q1 2026'!I103</f>
        <v>-2100</v>
      </c>
      <c r="AA87" s="529">
        <f>IF(OR(7&gt;$B$3,ISBLANK(Actuals!I103)),"",Actuals!I103)</f>
      </c>
      <c r="AB87" s="530">
        <f>IF(OR(7&gt;$B$3,ISBLANK(Actuals!I103)),"",'Reforecast Q1 2026'!I103-Actuals!I103)</f>
      </c>
      <c r="AC87" s="530">
        <f>IFERROR(IF(OR(7&gt;$B$3,ISBLANK(Actuals!I103)),"",('Reforecast Q1 2026'!I103-Actuals!I103)/ABS('Reforecast Q1 2026'!I103)),"")</f>
      </c>
      <c r="AD87" s="529">
        <f>'Reforecast Q1 2026'!J103</f>
        <v>-2100</v>
      </c>
      <c r="AE87" s="529">
        <f>IF(OR(8&gt;$B$3,ISBLANK(Actuals!J103)),"",Actuals!J103)</f>
      </c>
      <c r="AF87" s="530">
        <f>IF(OR(8&gt;$B$3,ISBLANK(Actuals!J103)),"",'Reforecast Q1 2026'!J103-Actuals!J103)</f>
      </c>
      <c r="AG87" s="530">
        <f>IFERROR(IF(OR(8&gt;$B$3,ISBLANK(Actuals!J103)),"",('Reforecast Q1 2026'!J103-Actuals!J103)/ABS('Reforecast Q1 2026'!J103)),"")</f>
      </c>
      <c r="AH87" s="529">
        <f>'Reforecast Q1 2026'!K103</f>
        <v>-2100</v>
      </c>
      <c r="AI87" s="529">
        <f>IF(OR(9&gt;$B$3,ISBLANK(Actuals!K103)),"",Actuals!K103)</f>
      </c>
      <c r="AJ87" s="530">
        <f>IF(OR(9&gt;$B$3,ISBLANK(Actuals!K103)),"",'Reforecast Q1 2026'!K103-Actuals!K103)</f>
      </c>
      <c r="AK87" s="530">
        <f>IFERROR(IF(OR(9&gt;$B$3,ISBLANK(Actuals!K103)),"",('Reforecast Q1 2026'!K103-Actuals!K103)/ABS('Reforecast Q1 2026'!K103)),"")</f>
      </c>
      <c r="AL87" s="529">
        <f>'Reforecast Q1 2026'!L103</f>
        <v>-2100</v>
      </c>
      <c r="AM87" s="529">
        <f>IF(OR(10&gt;$B$3,ISBLANK(Actuals!L103)),"",Actuals!L103)</f>
      </c>
      <c r="AN87" s="530">
        <f>IF(OR(10&gt;$B$3,ISBLANK(Actuals!L103)),"",'Reforecast Q1 2026'!L103-Actuals!L103)</f>
      </c>
      <c r="AO87" s="530">
        <f>IFERROR(IF(OR(10&gt;$B$3,ISBLANK(Actuals!L103)),"",('Reforecast Q1 2026'!L103-Actuals!L103)/ABS('Reforecast Q1 2026'!L103)),"")</f>
      </c>
      <c r="AP87" s="529">
        <f>'Reforecast Q1 2026'!M103</f>
        <v>-2100</v>
      </c>
      <c r="AQ87" s="529">
        <f>IF(OR(11&gt;$B$3,ISBLANK(Actuals!M103)),"",Actuals!M103)</f>
      </c>
      <c r="AR87" s="530">
        <f>IF(OR(11&gt;$B$3,ISBLANK(Actuals!M103)),"",'Reforecast Q1 2026'!M103-Actuals!M103)</f>
      </c>
      <c r="AS87" s="530">
        <f>IFERROR(IF(OR(11&gt;$B$3,ISBLANK(Actuals!M103)),"",('Reforecast Q1 2026'!M103-Actuals!M103)/ABS('Reforecast Q1 2026'!M103)),"")</f>
      </c>
      <c r="AT87" s="529">
        <f>'Reforecast Q1 2026'!N103</f>
        <v>-2100</v>
      </c>
      <c r="AU87" s="529">
        <f>IF(OR(12&gt;$B$3,ISBLANK(Actuals!N103)),"",Actuals!N103)</f>
      </c>
      <c r="AV87" s="530">
        <f>IF(OR(12&gt;$B$3,ISBLANK(Actuals!N103)),"",'Reforecast Q1 2026'!N103-Actuals!N103)</f>
      </c>
      <c r="AW87" s="530">
        <f>IFERROR(IF(OR(12&gt;$B$3,ISBLANK(Actuals!N103)),"",('Reforecast Q1 2026'!N103-Actuals!N103)/ABS('Reforecast Q1 2026'!N103)),"")</f>
      </c>
      <c r="AX87" s="531">
        <f>SUMPRODUCT((Actuals!C103:N103&lt;&gt;"")*('Reforecast Q1 2026'!C103:N103))</f>
        <v>-12600</v>
      </c>
      <c r="AY87" s="531">
        <f>SUM(Actuals!C103:N103)</f>
        <v>-12600</v>
      </c>
      <c r="AZ87" s="532">
        <f>AX87-AY87</f>
        <v>0</v>
      </c>
    </row>
    <row r="88" ht="15" customFormat="1" customHeight="1" s="381">
      <c r="A88" s="528" t="inlineStr">
        <is>
          <t>5800-1003 Consulting Fee</t>
        </is>
      </c>
      <c r="B88" s="529">
        <f>'Reforecast Q1 2026'!C104</f>
        <v>-66666.66</v>
      </c>
      <c r="C88" s="529">
        <f>IF(OR(1&gt;$B$3,ISBLANK(Actuals!C104)),"",Actuals!C104)</f>
        <v>-66666.66</v>
      </c>
      <c r="D88" s="530">
        <f>IF(OR(1&gt;$B$3,ISBLANK(Actuals!C104)),"",'Reforecast Q1 2026'!C104-Actuals!C104)</f>
        <v>0</v>
      </c>
      <c r="E88" s="530">
        <f>IFERROR(IF(OR(1&gt;$B$3,ISBLANK(Actuals!C104)),"",('Reforecast Q1 2026'!C104-Actuals!C104)/ABS('Reforecast Q1 2026'!C104)),"")</f>
        <v>0</v>
      </c>
      <c r="F88" s="529">
        <f>'Reforecast Q1 2026'!D104</f>
        <v>-66666.66</v>
      </c>
      <c r="G88" s="529">
        <f>IF(OR(2&gt;$B$3,ISBLANK(Actuals!D104)),"",Actuals!D104)</f>
        <v>-66666.66</v>
      </c>
      <c r="H88" s="530">
        <f>IF(OR(2&gt;$B$3,ISBLANK(Actuals!D104)),"",'Reforecast Q1 2026'!D104-Actuals!D104)</f>
        <v>0</v>
      </c>
      <c r="I88" s="530">
        <f>IFERROR(IF(OR(2&gt;$B$3,ISBLANK(Actuals!D104)),"",('Reforecast Q1 2026'!D104-Actuals!D104)/ABS('Reforecast Q1 2026'!D104)),"")</f>
        <v>0</v>
      </c>
      <c r="J88" s="529">
        <f>'Reforecast Q1 2026'!E104</f>
        <v>-66666.66</v>
      </c>
      <c r="K88" s="529">
        <f>IF(OR(3&gt;$B$3,ISBLANK(Actuals!E104)),"",Actuals!E104)</f>
        <v>-66666.66</v>
      </c>
      <c r="L88" s="530">
        <f>IF(OR(3&gt;$B$3,ISBLANK(Actuals!E104)),"",'Reforecast Q1 2026'!E104-Actuals!E104)</f>
        <v>0</v>
      </c>
      <c r="M88" s="530">
        <f>IFERROR(IF(OR(3&gt;$B$3,ISBLANK(Actuals!E104)),"",('Reforecast Q1 2026'!E104-Actuals!E104)/ABS('Reforecast Q1 2026'!E104)),"")</f>
        <v>0</v>
      </c>
      <c r="N88" s="529">
        <f>'Reforecast Q1 2026'!F104</f>
        <v>-25000</v>
      </c>
      <c r="O88" s="529">
        <f>IF(OR(4&gt;$B$3,ISBLANK(Actuals!F104)),"",Actuals!F104)</f>
        <v>-66666.66</v>
      </c>
      <c r="P88" s="530">
        <f>IF(OR(4&gt;$B$3,ISBLANK(Actuals!F104)),"",'Reforecast Q1 2026'!F104-Actuals!F104)</f>
        <v>41666.66</v>
      </c>
      <c r="Q88" s="530">
        <f>IFERROR(IF(OR(4&gt;$B$3,ISBLANK(Actuals!F104)),"",('Reforecast Q1 2026'!F104-Actuals!F104)/ABS('Reforecast Q1 2026'!F104)),"")</f>
        <v>1.6666664</v>
      </c>
      <c r="R88" s="529">
        <f>'Reforecast Q1 2026'!G104</f>
        <v>-25000</v>
      </c>
      <c r="S88" s="529">
        <f>IF(OR(5&gt;$B$3,ISBLANK(Actuals!G104)),"",Actuals!G104)</f>
        <v>-66666.66</v>
      </c>
      <c r="T88" s="530">
        <f>IF(OR(5&gt;$B$3,ISBLANK(Actuals!G104)),"",'Reforecast Q1 2026'!G104-Actuals!G104)</f>
        <v>41666.66</v>
      </c>
      <c r="U88" s="530">
        <f>IFERROR(IF(OR(5&gt;$B$3,ISBLANK(Actuals!G104)),"",('Reforecast Q1 2026'!G104-Actuals!G104)/ABS('Reforecast Q1 2026'!G104)),"")</f>
        <v>1.6666664</v>
      </c>
      <c r="V88" s="529">
        <f>'Reforecast Q1 2026'!H104</f>
        <v>-25000</v>
      </c>
      <c r="W88" s="529">
        <f>IF(OR(6&gt;$B$3,ISBLANK(Actuals!H104)),"",Actuals!H104)</f>
        <v>-66666.66</v>
      </c>
      <c r="X88" s="530">
        <f>IF(OR(6&gt;$B$3,ISBLANK(Actuals!H104)),"",'Reforecast Q1 2026'!H104-Actuals!H104)</f>
        <v>41666.66</v>
      </c>
      <c r="Y88" s="530">
        <f>IFERROR(IF(OR(6&gt;$B$3,ISBLANK(Actuals!H104)),"",('Reforecast Q1 2026'!H104-Actuals!H104)/ABS('Reforecast Q1 2026'!H104)),"")</f>
        <v>1.6666664</v>
      </c>
      <c r="Z88" s="529">
        <f>'Reforecast Q1 2026'!I104</f>
        <v>-25000</v>
      </c>
      <c r="AA88" s="529">
        <f>IF(OR(7&gt;$B$3,ISBLANK(Actuals!I104)),"",Actuals!I104)</f>
      </c>
      <c r="AB88" s="530">
        <f>IF(OR(7&gt;$B$3,ISBLANK(Actuals!I104)),"",'Reforecast Q1 2026'!I104-Actuals!I104)</f>
      </c>
      <c r="AC88" s="530">
        <f>IFERROR(IF(OR(7&gt;$B$3,ISBLANK(Actuals!I104)),"",('Reforecast Q1 2026'!I104-Actuals!I104)/ABS('Reforecast Q1 2026'!I104)),"")</f>
      </c>
      <c r="AD88" s="529">
        <f>'Reforecast Q1 2026'!J104</f>
        <v>-25000</v>
      </c>
      <c r="AE88" s="529">
        <f>IF(OR(8&gt;$B$3,ISBLANK(Actuals!J104)),"",Actuals!J104)</f>
      </c>
      <c r="AF88" s="530">
        <f>IF(OR(8&gt;$B$3,ISBLANK(Actuals!J104)),"",'Reforecast Q1 2026'!J104-Actuals!J104)</f>
      </c>
      <c r="AG88" s="530">
        <f>IFERROR(IF(OR(8&gt;$B$3,ISBLANK(Actuals!J104)),"",('Reforecast Q1 2026'!J104-Actuals!J104)/ABS('Reforecast Q1 2026'!J104)),"")</f>
      </c>
      <c r="AH88" s="529">
        <f>'Reforecast Q1 2026'!K104</f>
        <v>-25000</v>
      </c>
      <c r="AI88" s="529">
        <f>IF(OR(9&gt;$B$3,ISBLANK(Actuals!K104)),"",Actuals!K104)</f>
      </c>
      <c r="AJ88" s="530">
        <f>IF(OR(9&gt;$B$3,ISBLANK(Actuals!K104)),"",'Reforecast Q1 2026'!K104-Actuals!K104)</f>
      </c>
      <c r="AK88" s="530">
        <f>IFERROR(IF(OR(9&gt;$B$3,ISBLANK(Actuals!K104)),"",('Reforecast Q1 2026'!K104-Actuals!K104)/ABS('Reforecast Q1 2026'!K104)),"")</f>
      </c>
      <c r="AL88" s="529">
        <f>'Reforecast Q1 2026'!L104</f>
        <v>-25000</v>
      </c>
      <c r="AM88" s="529">
        <f>IF(OR(10&gt;$B$3,ISBLANK(Actuals!L104)),"",Actuals!L104)</f>
      </c>
      <c r="AN88" s="530">
        <f>IF(OR(10&gt;$B$3,ISBLANK(Actuals!L104)),"",'Reforecast Q1 2026'!L104-Actuals!L104)</f>
      </c>
      <c r="AO88" s="530">
        <f>IFERROR(IF(OR(10&gt;$B$3,ISBLANK(Actuals!L104)),"",('Reforecast Q1 2026'!L104-Actuals!L104)/ABS('Reforecast Q1 2026'!L104)),"")</f>
      </c>
      <c r="AP88" s="529">
        <f>'Reforecast Q1 2026'!M104</f>
        <v>-25000</v>
      </c>
      <c r="AQ88" s="529">
        <f>IF(OR(11&gt;$B$3,ISBLANK(Actuals!M104)),"",Actuals!M104)</f>
      </c>
      <c r="AR88" s="530">
        <f>IF(OR(11&gt;$B$3,ISBLANK(Actuals!M104)),"",'Reforecast Q1 2026'!M104-Actuals!M104)</f>
      </c>
      <c r="AS88" s="530">
        <f>IFERROR(IF(OR(11&gt;$B$3,ISBLANK(Actuals!M104)),"",('Reforecast Q1 2026'!M104-Actuals!M104)/ABS('Reforecast Q1 2026'!M104)),"")</f>
      </c>
      <c r="AT88" s="529">
        <f>'Reforecast Q1 2026'!N104</f>
        <v>-25000</v>
      </c>
      <c r="AU88" s="529">
        <f>IF(OR(12&gt;$B$3,ISBLANK(Actuals!N104)),"",Actuals!N104)</f>
      </c>
      <c r="AV88" s="530">
        <f>IF(OR(12&gt;$B$3,ISBLANK(Actuals!N104)),"",'Reforecast Q1 2026'!N104-Actuals!N104)</f>
      </c>
      <c r="AW88" s="530">
        <f>IFERROR(IF(OR(12&gt;$B$3,ISBLANK(Actuals!N104)),"",('Reforecast Q1 2026'!N104-Actuals!N104)/ABS('Reforecast Q1 2026'!N104)),"")</f>
      </c>
      <c r="AX88" s="531">
        <f>SUMPRODUCT((Actuals!C104:N104&lt;&gt;"")*('Reforecast Q1 2026'!C104:N104))</f>
        <v>-274999.98</v>
      </c>
      <c r="AY88" s="531">
        <f>SUM(Actuals!C104:N104)</f>
        <v>-399999.96</v>
      </c>
      <c r="AZ88" s="532">
        <f>AX88-AY88</f>
        <v>124999.98</v>
      </c>
    </row>
    <row r="89" ht="15" customFormat="1" customHeight="1" s="381">
      <c r="A89" s="528" t="inlineStr">
        <is>
          <t>5900-1075 Miscellaneous Expense</t>
        </is>
      </c>
      <c r="B89" s="529">
        <f>'Reforecast Q1 2026'!C105</f>
        <v>-4731.96</v>
      </c>
      <c r="C89" s="529">
        <f>IF(OR(1&gt;$B$3,ISBLANK(Actuals!C105)),"",Actuals!C105)</f>
        <v>-6935.84</v>
      </c>
      <c r="D89" s="530">
        <f>IF(OR(1&gt;$B$3,ISBLANK(Actuals!C105)),"",'Reforecast Q1 2026'!C105-Actuals!C105)</f>
        <v>2203.88</v>
      </c>
      <c r="E89" s="530">
        <f>IFERROR(IF(OR(1&gt;$B$3,ISBLANK(Actuals!C105)),"",('Reforecast Q1 2026'!C105-Actuals!C105)/ABS('Reforecast Q1 2026'!C105)),"")</f>
        <v>0.465743581940676</v>
      </c>
      <c r="F89" s="529">
        <f>'Reforecast Q1 2026'!D105</f>
        <v>-5</v>
      </c>
      <c r="G89" s="529">
        <f>IF(OR(2&gt;$B$3,ISBLANK(Actuals!D105)),"",Actuals!D105)</f>
        <v>-2799.88</v>
      </c>
      <c r="H89" s="530">
        <f>IF(OR(2&gt;$B$3,ISBLANK(Actuals!D105)),"",'Reforecast Q1 2026'!D105-Actuals!D105)</f>
        <v>2794.88</v>
      </c>
      <c r="I89" s="530">
        <f>IFERROR(IF(OR(2&gt;$B$3,ISBLANK(Actuals!D105)),"",('Reforecast Q1 2026'!D105-Actuals!D105)/ABS('Reforecast Q1 2026'!D105)),"")</f>
        <v>558.976</v>
      </c>
      <c r="J89" s="529">
        <f>'Reforecast Q1 2026'!E105</f>
        <v>-5</v>
      </c>
      <c r="K89" s="529">
        <f>IF(OR(3&gt;$B$3,ISBLANK(Actuals!E105)),"",Actuals!E105)</f>
        <v>-12899.88</v>
      </c>
      <c r="L89" s="530">
        <f>IF(OR(3&gt;$B$3,ISBLANK(Actuals!E105)),"",'Reforecast Q1 2026'!E105-Actuals!E105)</f>
        <v>12894.88</v>
      </c>
      <c r="M89" s="530">
        <f>IFERROR(IF(OR(3&gt;$B$3,ISBLANK(Actuals!E105)),"",('Reforecast Q1 2026'!E105-Actuals!E105)/ABS('Reforecast Q1 2026'!E105)),"")</f>
        <v>2578.976</v>
      </c>
      <c r="N89" s="529">
        <f>'Reforecast Q1 2026'!F105</f>
        <v>-1580.65</v>
      </c>
      <c r="O89" s="529">
        <f>IF(OR(4&gt;$B$3,ISBLANK(Actuals!F105)),"",Actuals!F105)</f>
        <v>-2932.88</v>
      </c>
      <c r="P89" s="530">
        <f>IF(OR(4&gt;$B$3,ISBLANK(Actuals!F105)),"",'Reforecast Q1 2026'!F105-Actuals!F105)</f>
        <v>1352.23</v>
      </c>
      <c r="Q89" s="530">
        <f>IFERROR(IF(OR(4&gt;$B$3,ISBLANK(Actuals!F105)),"",('Reforecast Q1 2026'!F105-Actuals!F105)/ABS('Reforecast Q1 2026'!F105)),"")</f>
        <v>0.855489830133173</v>
      </c>
      <c r="R89" s="529">
        <f>'Reforecast Q1 2026'!G105</f>
        <v>-1580.65</v>
      </c>
      <c r="S89" s="529">
        <f>IF(OR(5&gt;$B$3,ISBLANK(Actuals!G105)),"",Actuals!G105)</f>
        <v>-5474.88</v>
      </c>
      <c r="T89" s="530">
        <f>IF(OR(5&gt;$B$3,ISBLANK(Actuals!G105)),"",'Reforecast Q1 2026'!G105-Actuals!G105)</f>
        <v>3894.23</v>
      </c>
      <c r="U89" s="530">
        <f>IFERROR(IF(OR(5&gt;$B$3,ISBLANK(Actuals!G105)),"",('Reforecast Q1 2026'!G105-Actuals!G105)/ABS('Reforecast Q1 2026'!G105)),"")</f>
        <v>2.46368898870718</v>
      </c>
      <c r="V89" s="529">
        <f>'Reforecast Q1 2026'!H105</f>
        <v>-1580.65</v>
      </c>
      <c r="W89" s="529">
        <f>IF(OR(6&gt;$B$3,ISBLANK(Actuals!H105)),"",Actuals!H105)</f>
        <v>-5</v>
      </c>
      <c r="X89" s="530">
        <f>IF(OR(6&gt;$B$3,ISBLANK(Actuals!H105)),"",'Reforecast Q1 2026'!H105-Actuals!H105)</f>
        <v>-1575.65</v>
      </c>
      <c r="Y89" s="530">
        <f>IFERROR(IF(OR(6&gt;$B$3,ISBLANK(Actuals!H105)),"",('Reforecast Q1 2026'!H105-Actuals!H105)/ABS('Reforecast Q1 2026'!H105)),"")</f>
        <v>-0.996836744377313</v>
      </c>
      <c r="Z89" s="529">
        <f>'Reforecast Q1 2026'!I105</f>
        <v>-1580.65</v>
      </c>
      <c r="AA89" s="529">
        <f>IF(OR(7&gt;$B$3,ISBLANK(Actuals!I105)),"",Actuals!I105)</f>
      </c>
      <c r="AB89" s="530">
        <f>IF(OR(7&gt;$B$3,ISBLANK(Actuals!I105)),"",'Reforecast Q1 2026'!I105-Actuals!I105)</f>
      </c>
      <c r="AC89" s="530">
        <f>IFERROR(IF(OR(7&gt;$B$3,ISBLANK(Actuals!I105)),"",('Reforecast Q1 2026'!I105-Actuals!I105)/ABS('Reforecast Q1 2026'!I105)),"")</f>
      </c>
      <c r="AD89" s="529">
        <f>'Reforecast Q1 2026'!J105</f>
        <v>-1580.65</v>
      </c>
      <c r="AE89" s="529">
        <f>IF(OR(8&gt;$B$3,ISBLANK(Actuals!J105)),"",Actuals!J105)</f>
      </c>
      <c r="AF89" s="530">
        <f>IF(OR(8&gt;$B$3,ISBLANK(Actuals!J105)),"",'Reforecast Q1 2026'!J105-Actuals!J105)</f>
      </c>
      <c r="AG89" s="530">
        <f>IFERROR(IF(OR(8&gt;$B$3,ISBLANK(Actuals!J105)),"",('Reforecast Q1 2026'!J105-Actuals!J105)/ABS('Reforecast Q1 2026'!J105)),"")</f>
      </c>
      <c r="AH89" s="529">
        <f>'Reforecast Q1 2026'!K105</f>
        <v>-1580.65</v>
      </c>
      <c r="AI89" s="529">
        <f>IF(OR(9&gt;$B$3,ISBLANK(Actuals!K105)),"",Actuals!K105)</f>
      </c>
      <c r="AJ89" s="530">
        <f>IF(OR(9&gt;$B$3,ISBLANK(Actuals!K105)),"",'Reforecast Q1 2026'!K105-Actuals!K105)</f>
      </c>
      <c r="AK89" s="530">
        <f>IFERROR(IF(OR(9&gt;$B$3,ISBLANK(Actuals!K105)),"",('Reforecast Q1 2026'!K105-Actuals!K105)/ABS('Reforecast Q1 2026'!K105)),"")</f>
      </c>
      <c r="AL89" s="529">
        <f>'Reforecast Q1 2026'!L105</f>
        <v>-1580.65</v>
      </c>
      <c r="AM89" s="529">
        <f>IF(OR(10&gt;$B$3,ISBLANK(Actuals!L105)),"",Actuals!L105)</f>
      </c>
      <c r="AN89" s="530">
        <f>IF(OR(10&gt;$B$3,ISBLANK(Actuals!L105)),"",'Reforecast Q1 2026'!L105-Actuals!L105)</f>
      </c>
      <c r="AO89" s="530">
        <f>IFERROR(IF(OR(10&gt;$B$3,ISBLANK(Actuals!L105)),"",('Reforecast Q1 2026'!L105-Actuals!L105)/ABS('Reforecast Q1 2026'!L105)),"")</f>
      </c>
      <c r="AP89" s="529">
        <f>'Reforecast Q1 2026'!M105</f>
        <v>-1580.65</v>
      </c>
      <c r="AQ89" s="529">
        <f>IF(OR(11&gt;$B$3,ISBLANK(Actuals!M105)),"",Actuals!M105)</f>
      </c>
      <c r="AR89" s="530">
        <f>IF(OR(11&gt;$B$3,ISBLANK(Actuals!M105)),"",'Reforecast Q1 2026'!M105-Actuals!M105)</f>
      </c>
      <c r="AS89" s="530">
        <f>IFERROR(IF(OR(11&gt;$B$3,ISBLANK(Actuals!M105)),"",('Reforecast Q1 2026'!M105-Actuals!M105)/ABS('Reforecast Q1 2026'!M105)),"")</f>
      </c>
      <c r="AT89" s="529">
        <f>'Reforecast Q1 2026'!N105</f>
        <v>-1580.65</v>
      </c>
      <c r="AU89" s="529">
        <f>IF(OR(12&gt;$B$3,ISBLANK(Actuals!N105)),"",Actuals!N105)</f>
      </c>
      <c r="AV89" s="530">
        <f>IF(OR(12&gt;$B$3,ISBLANK(Actuals!N105)),"",'Reforecast Q1 2026'!N105-Actuals!N105)</f>
      </c>
      <c r="AW89" s="530">
        <f>IFERROR(IF(OR(12&gt;$B$3,ISBLANK(Actuals!N105)),"",('Reforecast Q1 2026'!N105-Actuals!N105)/ABS('Reforecast Q1 2026'!N105)),"")</f>
      </c>
      <c r="AX89" s="531">
        <f>SUMPRODUCT((Actuals!C105:N105&lt;&gt;"")*('Reforecast Q1 2026'!C105:N105))</f>
        <v>-9483.91</v>
      </c>
      <c r="AY89" s="531">
        <f>SUM(Actuals!C105:N105)</f>
        <v>-31048.36</v>
      </c>
      <c r="AZ89" s="532">
        <f>AX89-AY89</f>
        <v>21564.45</v>
      </c>
    </row>
    <row r="90" ht="15" customFormat="1" customHeight="1" s="381">
      <c r="A90" s="528" t="inlineStr">
        <is>
          <t>5900-1080 Bank Service Charges</t>
        </is>
      </c>
      <c r="B90" s="529">
        <f>'Reforecast Q1 2026'!C106</f>
        <v>-658.14</v>
      </c>
      <c r="C90" s="529">
        <f>IF(OR(1&gt;$B$3,ISBLANK(Actuals!C106)),"",Actuals!C106)</f>
        <v>-658.14</v>
      </c>
      <c r="D90" s="530">
        <f>IF(OR(1&gt;$B$3,ISBLANK(Actuals!C106)),"",'Reforecast Q1 2026'!C106-Actuals!C106)</f>
        <v>0</v>
      </c>
      <c r="E90" s="530">
        <f>IFERROR(IF(OR(1&gt;$B$3,ISBLANK(Actuals!C106)),"",('Reforecast Q1 2026'!C106-Actuals!C106)/ABS('Reforecast Q1 2026'!C106)),"")</f>
        <v>0</v>
      </c>
      <c r="F90" s="529">
        <f>'Reforecast Q1 2026'!D106</f>
        <v>-310</v>
      </c>
      <c r="G90" s="529">
        <f>IF(OR(2&gt;$B$3,ISBLANK(Actuals!D106)),"",Actuals!D106)</f>
        <v>-310</v>
      </c>
      <c r="H90" s="530">
        <f>IF(OR(2&gt;$B$3,ISBLANK(Actuals!D106)),"",'Reforecast Q1 2026'!D106-Actuals!D106)</f>
        <v>0</v>
      </c>
      <c r="I90" s="530">
        <f>IFERROR(IF(OR(2&gt;$B$3,ISBLANK(Actuals!D106)),"",('Reforecast Q1 2026'!D106-Actuals!D106)/ABS('Reforecast Q1 2026'!D106)),"")</f>
        <v>0</v>
      </c>
      <c r="J90" s="529">
        <f>'Reforecast Q1 2026'!E106</f>
        <v>-371.74</v>
      </c>
      <c r="K90" s="529">
        <f>IF(OR(3&gt;$B$3,ISBLANK(Actuals!E106)),"",Actuals!E106)</f>
        <v>-371.74</v>
      </c>
      <c r="L90" s="530">
        <f>IF(OR(3&gt;$B$3,ISBLANK(Actuals!E106)),"",'Reforecast Q1 2026'!E106-Actuals!E106)</f>
        <v>0</v>
      </c>
      <c r="M90" s="530">
        <f>IFERROR(IF(OR(3&gt;$B$3,ISBLANK(Actuals!E106)),"",('Reforecast Q1 2026'!E106-Actuals!E106)/ABS('Reforecast Q1 2026'!E106)),"")</f>
        <v>0</v>
      </c>
      <c r="N90" s="529">
        <f>'Reforecast Q1 2026'!F106</f>
        <v>-446.63</v>
      </c>
      <c r="O90" s="529">
        <f>IF(OR(4&gt;$B$3,ISBLANK(Actuals!F106)),"",Actuals!F106)</f>
        <v>-857.33</v>
      </c>
      <c r="P90" s="530">
        <f>IF(OR(4&gt;$B$3,ISBLANK(Actuals!F106)),"",'Reforecast Q1 2026'!F106-Actuals!F106)</f>
        <v>410.7</v>
      </c>
      <c r="Q90" s="530">
        <f>IFERROR(IF(OR(4&gt;$B$3,ISBLANK(Actuals!F106)),"",('Reforecast Q1 2026'!F106-Actuals!F106)/ABS('Reforecast Q1 2026'!F106)),"")</f>
        <v>0.919553097642344</v>
      </c>
      <c r="R90" s="529">
        <f>'Reforecast Q1 2026'!G106</f>
        <v>-446.63</v>
      </c>
      <c r="S90" s="529">
        <f>IF(OR(5&gt;$B$3,ISBLANK(Actuals!G106)),"",Actuals!G106)</f>
        <v>-305</v>
      </c>
      <c r="T90" s="530">
        <f>IF(OR(5&gt;$B$3,ISBLANK(Actuals!G106)),"",'Reforecast Q1 2026'!G106-Actuals!G106)</f>
        <v>-141.63</v>
      </c>
      <c r="U90" s="530">
        <f>IFERROR(IF(OR(5&gt;$B$3,ISBLANK(Actuals!G106)),"",('Reforecast Q1 2026'!G106-Actuals!G106)/ABS('Reforecast Q1 2026'!G106)),"")</f>
        <v>-0.317108120815888</v>
      </c>
      <c r="V90" s="529">
        <f>'Reforecast Q1 2026'!H106</f>
        <v>-446.63</v>
      </c>
      <c r="W90" s="529">
        <f>IF(OR(6&gt;$B$3,ISBLANK(Actuals!H106)),"",Actuals!H106)</f>
        <v>-352.5</v>
      </c>
      <c r="X90" s="530">
        <f>IF(OR(6&gt;$B$3,ISBLANK(Actuals!H106)),"",'Reforecast Q1 2026'!H106-Actuals!H106)</f>
        <v>-94.13</v>
      </c>
      <c r="Y90" s="530">
        <f>IFERROR(IF(OR(6&gt;$B$3,ISBLANK(Actuals!H106)),"",('Reforecast Q1 2026'!H106-Actuals!H106)/ABS('Reforecast Q1 2026'!H106)),"")</f>
        <v>-0.210756106844592</v>
      </c>
      <c r="Z90" s="529">
        <f>'Reforecast Q1 2026'!I106</f>
        <v>-446.63</v>
      </c>
      <c r="AA90" s="529">
        <f>IF(OR(7&gt;$B$3,ISBLANK(Actuals!I106)),"",Actuals!I106)</f>
      </c>
      <c r="AB90" s="530">
        <f>IF(OR(7&gt;$B$3,ISBLANK(Actuals!I106)),"",'Reforecast Q1 2026'!I106-Actuals!I106)</f>
      </c>
      <c r="AC90" s="530">
        <f>IFERROR(IF(OR(7&gt;$B$3,ISBLANK(Actuals!I106)),"",('Reforecast Q1 2026'!I106-Actuals!I106)/ABS('Reforecast Q1 2026'!I106)),"")</f>
      </c>
      <c r="AD90" s="529">
        <f>'Reforecast Q1 2026'!J106</f>
        <v>-446.63</v>
      </c>
      <c r="AE90" s="529">
        <f>IF(OR(8&gt;$B$3,ISBLANK(Actuals!J106)),"",Actuals!J106)</f>
      </c>
      <c r="AF90" s="530">
        <f>IF(OR(8&gt;$B$3,ISBLANK(Actuals!J106)),"",'Reforecast Q1 2026'!J106-Actuals!J106)</f>
      </c>
      <c r="AG90" s="530">
        <f>IFERROR(IF(OR(8&gt;$B$3,ISBLANK(Actuals!J106)),"",('Reforecast Q1 2026'!J106-Actuals!J106)/ABS('Reforecast Q1 2026'!J106)),"")</f>
      </c>
      <c r="AH90" s="529">
        <f>'Reforecast Q1 2026'!K106</f>
        <v>-446.63</v>
      </c>
      <c r="AI90" s="529">
        <f>IF(OR(9&gt;$B$3,ISBLANK(Actuals!K106)),"",Actuals!K106)</f>
      </c>
      <c r="AJ90" s="530">
        <f>IF(OR(9&gt;$B$3,ISBLANK(Actuals!K106)),"",'Reforecast Q1 2026'!K106-Actuals!K106)</f>
      </c>
      <c r="AK90" s="530">
        <f>IFERROR(IF(OR(9&gt;$B$3,ISBLANK(Actuals!K106)),"",('Reforecast Q1 2026'!K106-Actuals!K106)/ABS('Reforecast Q1 2026'!K106)),"")</f>
      </c>
      <c r="AL90" s="529">
        <f>'Reforecast Q1 2026'!L106</f>
        <v>-446.63</v>
      </c>
      <c r="AM90" s="529">
        <f>IF(OR(10&gt;$B$3,ISBLANK(Actuals!L106)),"",Actuals!L106)</f>
      </c>
      <c r="AN90" s="530">
        <f>IF(OR(10&gt;$B$3,ISBLANK(Actuals!L106)),"",'Reforecast Q1 2026'!L106-Actuals!L106)</f>
      </c>
      <c r="AO90" s="530">
        <f>IFERROR(IF(OR(10&gt;$B$3,ISBLANK(Actuals!L106)),"",('Reforecast Q1 2026'!L106-Actuals!L106)/ABS('Reforecast Q1 2026'!L106)),"")</f>
      </c>
      <c r="AP90" s="529">
        <f>'Reforecast Q1 2026'!M106</f>
        <v>-446.63</v>
      </c>
      <c r="AQ90" s="529">
        <f>IF(OR(11&gt;$B$3,ISBLANK(Actuals!M106)),"",Actuals!M106)</f>
      </c>
      <c r="AR90" s="530">
        <f>IF(OR(11&gt;$B$3,ISBLANK(Actuals!M106)),"",'Reforecast Q1 2026'!M106-Actuals!M106)</f>
      </c>
      <c r="AS90" s="530">
        <f>IFERROR(IF(OR(11&gt;$B$3,ISBLANK(Actuals!M106)),"",('Reforecast Q1 2026'!M106-Actuals!M106)/ABS('Reforecast Q1 2026'!M106)),"")</f>
      </c>
      <c r="AT90" s="529">
        <f>'Reforecast Q1 2026'!N106</f>
        <v>-446.63</v>
      </c>
      <c r="AU90" s="529">
        <f>IF(OR(12&gt;$B$3,ISBLANK(Actuals!N106)),"",Actuals!N106)</f>
      </c>
      <c r="AV90" s="530">
        <f>IF(OR(12&gt;$B$3,ISBLANK(Actuals!N106)),"",'Reforecast Q1 2026'!N106-Actuals!N106)</f>
      </c>
      <c r="AW90" s="530">
        <f>IFERROR(IF(OR(12&gt;$B$3,ISBLANK(Actuals!N106)),"",('Reforecast Q1 2026'!N106-Actuals!N106)/ABS('Reforecast Q1 2026'!N106)),"")</f>
      </c>
      <c r="AX90" s="531">
        <f>SUMPRODUCT((Actuals!C106:N106&lt;&gt;"")*('Reforecast Q1 2026'!C106:N106))</f>
        <v>-2679.77</v>
      </c>
      <c r="AY90" s="531">
        <f>SUM(Actuals!C106:N106)</f>
        <v>-2854.71</v>
      </c>
      <c r="AZ90" s="532">
        <f>AX90-AY90</f>
        <v>174.94</v>
      </c>
    </row>
    <row r="91" ht="15" customFormat="1" customHeight="1" s="381">
      <c r="A91" s="528" t="inlineStr">
        <is>
          <t>Steyn Group Guaranty Fee</t>
        </is>
      </c>
      <c r="B91" s="529">
        <f>'Reforecast Q1 2026'!C107</f>
        <v>0</v>
      </c>
      <c r="C91" s="529">
        <f>IF(OR(1&gt;$B$3,ISBLANK(Actuals!C107)),"",Actuals!C107)</f>
      </c>
      <c r="D91" s="530">
        <f>IF(OR(1&gt;$B$3,ISBLANK(Actuals!C107)),"",'Reforecast Q1 2026'!C107-Actuals!C107)</f>
      </c>
      <c r="E91" s="530">
        <f>IFERROR(IF(OR(1&gt;$B$3,ISBLANK(Actuals!C107)),"",('Reforecast Q1 2026'!C107-Actuals!C107)/ABS('Reforecast Q1 2026'!C107)),"")</f>
      </c>
      <c r="F91" s="529">
        <f>'Reforecast Q1 2026'!D107</f>
        <v>0</v>
      </c>
      <c r="G91" s="529">
        <f>IF(OR(2&gt;$B$3,ISBLANK(Actuals!D107)),"",Actuals!D107)</f>
      </c>
      <c r="H91" s="530">
        <f>IF(OR(2&gt;$B$3,ISBLANK(Actuals!D107)),"",'Reforecast Q1 2026'!D107-Actuals!D107)</f>
      </c>
      <c r="I91" s="530">
        <f>IFERROR(IF(OR(2&gt;$B$3,ISBLANK(Actuals!D107)),"",('Reforecast Q1 2026'!D107-Actuals!D107)/ABS('Reforecast Q1 2026'!D107)),"")</f>
      </c>
      <c r="J91" s="529">
        <f>'Reforecast Q1 2026'!E107</f>
        <v>0</v>
      </c>
      <c r="K91" s="529">
        <f>IF(OR(3&gt;$B$3,ISBLANK(Actuals!E107)),"",Actuals!E107)</f>
      </c>
      <c r="L91" s="530">
        <f>IF(OR(3&gt;$B$3,ISBLANK(Actuals!E107)),"",'Reforecast Q1 2026'!E107-Actuals!E107)</f>
      </c>
      <c r="M91" s="530">
        <f>IFERROR(IF(OR(3&gt;$B$3,ISBLANK(Actuals!E107)),"",('Reforecast Q1 2026'!E107-Actuals!E107)/ABS('Reforecast Q1 2026'!E107)),"")</f>
      </c>
      <c r="N91" s="529">
        <f>'Reforecast Q1 2026'!F107</f>
        <v>0</v>
      </c>
      <c r="O91" s="529">
        <f>IF(OR(4&gt;$B$3,ISBLANK(Actuals!F107)),"",Actuals!F107)</f>
      </c>
      <c r="P91" s="530">
        <f>IF(OR(4&gt;$B$3,ISBLANK(Actuals!F107)),"",'Reforecast Q1 2026'!F107-Actuals!F107)</f>
      </c>
      <c r="Q91" s="530">
        <f>IFERROR(IF(OR(4&gt;$B$3,ISBLANK(Actuals!F107)),"",('Reforecast Q1 2026'!F107-Actuals!F107)/ABS('Reforecast Q1 2026'!F107)),"")</f>
      </c>
      <c r="R91" s="529">
        <f>'Reforecast Q1 2026'!G107</f>
        <v>0</v>
      </c>
      <c r="S91" s="529">
        <f>IF(OR(5&gt;$B$3,ISBLANK(Actuals!G107)),"",Actuals!G107)</f>
      </c>
      <c r="T91" s="530">
        <f>IF(OR(5&gt;$B$3,ISBLANK(Actuals!G107)),"",'Reforecast Q1 2026'!G107-Actuals!G107)</f>
      </c>
      <c r="U91" s="530">
        <f>IFERROR(IF(OR(5&gt;$B$3,ISBLANK(Actuals!G107)),"",('Reforecast Q1 2026'!G107-Actuals!G107)/ABS('Reforecast Q1 2026'!G107)),"")</f>
      </c>
      <c r="V91" s="529">
        <f>'Reforecast Q1 2026'!H107</f>
        <v>0</v>
      </c>
      <c r="W91" s="529">
        <f>IF(OR(6&gt;$B$3,ISBLANK(Actuals!H107)),"",Actuals!H107)</f>
      </c>
      <c r="X91" s="530">
        <f>IF(OR(6&gt;$B$3,ISBLANK(Actuals!H107)),"",'Reforecast Q1 2026'!H107-Actuals!H107)</f>
      </c>
      <c r="Y91" s="530">
        <f>IFERROR(IF(OR(6&gt;$B$3,ISBLANK(Actuals!H107)),"",('Reforecast Q1 2026'!H107-Actuals!H107)/ABS('Reforecast Q1 2026'!H107)),"")</f>
      </c>
      <c r="Z91" s="529">
        <f>'Reforecast Q1 2026'!I107</f>
        <v>0</v>
      </c>
      <c r="AA91" s="529">
        <f>IF(OR(7&gt;$B$3,ISBLANK(Actuals!I107)),"",Actuals!I107)</f>
      </c>
      <c r="AB91" s="530">
        <f>IF(OR(7&gt;$B$3,ISBLANK(Actuals!I107)),"",'Reforecast Q1 2026'!I107-Actuals!I107)</f>
      </c>
      <c r="AC91" s="530">
        <f>IFERROR(IF(OR(7&gt;$B$3,ISBLANK(Actuals!I107)),"",('Reforecast Q1 2026'!I107-Actuals!I107)/ABS('Reforecast Q1 2026'!I107)),"")</f>
      </c>
      <c r="AD91" s="529">
        <f>'Reforecast Q1 2026'!J107</f>
        <v>0</v>
      </c>
      <c r="AE91" s="529">
        <f>IF(OR(8&gt;$B$3,ISBLANK(Actuals!J107)),"",Actuals!J107)</f>
      </c>
      <c r="AF91" s="530">
        <f>IF(OR(8&gt;$B$3,ISBLANK(Actuals!J107)),"",'Reforecast Q1 2026'!J107-Actuals!J107)</f>
      </c>
      <c r="AG91" s="530">
        <f>IFERROR(IF(OR(8&gt;$B$3,ISBLANK(Actuals!J107)),"",('Reforecast Q1 2026'!J107-Actuals!J107)/ABS('Reforecast Q1 2026'!J107)),"")</f>
      </c>
      <c r="AH91" s="529">
        <f>'Reforecast Q1 2026'!K107</f>
        <v>0</v>
      </c>
      <c r="AI91" s="529">
        <f>IF(OR(9&gt;$B$3,ISBLANK(Actuals!K107)),"",Actuals!K107)</f>
      </c>
      <c r="AJ91" s="530">
        <f>IF(OR(9&gt;$B$3,ISBLANK(Actuals!K107)),"",'Reforecast Q1 2026'!K107-Actuals!K107)</f>
      </c>
      <c r="AK91" s="530">
        <f>IFERROR(IF(OR(9&gt;$B$3,ISBLANK(Actuals!K107)),"",('Reforecast Q1 2026'!K107-Actuals!K107)/ABS('Reforecast Q1 2026'!K107)),"")</f>
      </c>
      <c r="AL91" s="529">
        <f>'Reforecast Q1 2026'!L107</f>
        <v>0</v>
      </c>
      <c r="AM91" s="529">
        <f>IF(OR(10&gt;$B$3,ISBLANK(Actuals!L107)),"",Actuals!L107)</f>
      </c>
      <c r="AN91" s="530">
        <f>IF(OR(10&gt;$B$3,ISBLANK(Actuals!L107)),"",'Reforecast Q1 2026'!L107-Actuals!L107)</f>
      </c>
      <c r="AO91" s="530">
        <f>IFERROR(IF(OR(10&gt;$B$3,ISBLANK(Actuals!L107)),"",('Reforecast Q1 2026'!L107-Actuals!L107)/ABS('Reforecast Q1 2026'!L107)),"")</f>
      </c>
      <c r="AP91" s="529">
        <f>'Reforecast Q1 2026'!M107</f>
        <v>0</v>
      </c>
      <c r="AQ91" s="529">
        <f>IF(OR(11&gt;$B$3,ISBLANK(Actuals!M107)),"",Actuals!M107)</f>
      </c>
      <c r="AR91" s="530">
        <f>IF(OR(11&gt;$B$3,ISBLANK(Actuals!M107)),"",'Reforecast Q1 2026'!M107-Actuals!M107)</f>
      </c>
      <c r="AS91" s="530">
        <f>IFERROR(IF(OR(11&gt;$B$3,ISBLANK(Actuals!M107)),"",('Reforecast Q1 2026'!M107-Actuals!M107)/ABS('Reforecast Q1 2026'!M107)),"")</f>
      </c>
      <c r="AT91" s="529">
        <f>'Reforecast Q1 2026'!N107</f>
        <v>0</v>
      </c>
      <c r="AU91" s="529">
        <f>IF(OR(12&gt;$B$3,ISBLANK(Actuals!N107)),"",Actuals!N107)</f>
      </c>
      <c r="AV91" s="530">
        <f>IF(OR(12&gt;$B$3,ISBLANK(Actuals!N107)),"",'Reforecast Q1 2026'!N107-Actuals!N107)</f>
      </c>
      <c r="AW91" s="530">
        <f>IFERROR(IF(OR(12&gt;$B$3,ISBLANK(Actuals!N107)),"",('Reforecast Q1 2026'!N107-Actuals!N107)/ABS('Reforecast Q1 2026'!N107)),"")</f>
      </c>
      <c r="AX91" s="531">
        <f>SUMPRODUCT((Actuals!C107:N107&lt;&gt;"")*('Reforecast Q1 2026'!C107:N107))</f>
        <v>0</v>
      </c>
      <c r="AY91" s="531">
        <f>SUM(Actuals!C107:N107)</f>
        <v>0</v>
      </c>
      <c r="AZ91" s="532">
        <f>AX91-AY91</f>
        <v>0</v>
      </c>
    </row>
    <row r="92" ht="15" customFormat="1" customHeight="1" s="381">
      <c r="A92" s="528" t="inlineStr">
        <is>
          <t>Steyn Liquidity Guarantee Fee</t>
        </is>
      </c>
      <c r="B92" s="529">
        <f>'Reforecast Q1 2026'!C108</f>
        <v>0</v>
      </c>
      <c r="C92" s="529">
        <f>IF(OR(1&gt;$B$3,ISBLANK(Actuals!C108)),"",Actuals!C108)</f>
      </c>
      <c r="D92" s="530">
        <f>IF(OR(1&gt;$B$3,ISBLANK(Actuals!C108)),"",'Reforecast Q1 2026'!C108-Actuals!C108)</f>
      </c>
      <c r="E92" s="530">
        <f>IFERROR(IF(OR(1&gt;$B$3,ISBLANK(Actuals!C108)),"",('Reforecast Q1 2026'!C108-Actuals!C108)/ABS('Reforecast Q1 2026'!C108)),"")</f>
      </c>
      <c r="F92" s="529">
        <f>'Reforecast Q1 2026'!D108</f>
        <v>0</v>
      </c>
      <c r="G92" s="529">
        <f>IF(OR(2&gt;$B$3,ISBLANK(Actuals!D108)),"",Actuals!D108)</f>
      </c>
      <c r="H92" s="530">
        <f>IF(OR(2&gt;$B$3,ISBLANK(Actuals!D108)),"",'Reforecast Q1 2026'!D108-Actuals!D108)</f>
      </c>
      <c r="I92" s="530">
        <f>IFERROR(IF(OR(2&gt;$B$3,ISBLANK(Actuals!D108)),"",('Reforecast Q1 2026'!D108-Actuals!D108)/ABS('Reforecast Q1 2026'!D108)),"")</f>
      </c>
      <c r="J92" s="529">
        <f>'Reforecast Q1 2026'!E108</f>
        <v>0</v>
      </c>
      <c r="K92" s="529">
        <f>IF(OR(3&gt;$B$3,ISBLANK(Actuals!E108)),"",Actuals!E108)</f>
      </c>
      <c r="L92" s="530">
        <f>IF(OR(3&gt;$B$3,ISBLANK(Actuals!E108)),"",'Reforecast Q1 2026'!E108-Actuals!E108)</f>
      </c>
      <c r="M92" s="530">
        <f>IFERROR(IF(OR(3&gt;$B$3,ISBLANK(Actuals!E108)),"",('Reforecast Q1 2026'!E108-Actuals!E108)/ABS('Reforecast Q1 2026'!E108)),"")</f>
      </c>
      <c r="N92" s="529">
        <f>'Reforecast Q1 2026'!F108</f>
        <v>0</v>
      </c>
      <c r="O92" s="529">
        <f>IF(OR(4&gt;$B$3,ISBLANK(Actuals!F108)),"",Actuals!F108)</f>
      </c>
      <c r="P92" s="530">
        <f>IF(OR(4&gt;$B$3,ISBLANK(Actuals!F108)),"",'Reforecast Q1 2026'!F108-Actuals!F108)</f>
      </c>
      <c r="Q92" s="530">
        <f>IFERROR(IF(OR(4&gt;$B$3,ISBLANK(Actuals!F108)),"",('Reforecast Q1 2026'!F108-Actuals!F108)/ABS('Reforecast Q1 2026'!F108)),"")</f>
      </c>
      <c r="R92" s="529">
        <f>'Reforecast Q1 2026'!G108</f>
        <v>0</v>
      </c>
      <c r="S92" s="529">
        <f>IF(OR(5&gt;$B$3,ISBLANK(Actuals!G108)),"",Actuals!G108)</f>
      </c>
      <c r="T92" s="530">
        <f>IF(OR(5&gt;$B$3,ISBLANK(Actuals!G108)),"",'Reforecast Q1 2026'!G108-Actuals!G108)</f>
      </c>
      <c r="U92" s="530">
        <f>IFERROR(IF(OR(5&gt;$B$3,ISBLANK(Actuals!G108)),"",('Reforecast Q1 2026'!G108-Actuals!G108)/ABS('Reforecast Q1 2026'!G108)),"")</f>
      </c>
      <c r="V92" s="529">
        <f>'Reforecast Q1 2026'!H108</f>
        <v>0</v>
      </c>
      <c r="W92" s="529">
        <f>IF(OR(6&gt;$B$3,ISBLANK(Actuals!H108)),"",Actuals!H108)</f>
      </c>
      <c r="X92" s="530">
        <f>IF(OR(6&gt;$B$3,ISBLANK(Actuals!H108)),"",'Reforecast Q1 2026'!H108-Actuals!H108)</f>
      </c>
      <c r="Y92" s="530">
        <f>IFERROR(IF(OR(6&gt;$B$3,ISBLANK(Actuals!H108)),"",('Reforecast Q1 2026'!H108-Actuals!H108)/ABS('Reforecast Q1 2026'!H108)),"")</f>
      </c>
      <c r="Z92" s="529">
        <f>'Reforecast Q1 2026'!I108</f>
        <v>0</v>
      </c>
      <c r="AA92" s="529">
        <f>IF(OR(7&gt;$B$3,ISBLANK(Actuals!I108)),"",Actuals!I108)</f>
      </c>
      <c r="AB92" s="530">
        <f>IF(OR(7&gt;$B$3,ISBLANK(Actuals!I108)),"",'Reforecast Q1 2026'!I108-Actuals!I108)</f>
      </c>
      <c r="AC92" s="530">
        <f>IFERROR(IF(OR(7&gt;$B$3,ISBLANK(Actuals!I108)),"",('Reforecast Q1 2026'!I108-Actuals!I108)/ABS('Reforecast Q1 2026'!I108)),"")</f>
      </c>
      <c r="AD92" s="529">
        <f>'Reforecast Q1 2026'!J108</f>
        <v>0</v>
      </c>
      <c r="AE92" s="529">
        <f>IF(OR(8&gt;$B$3,ISBLANK(Actuals!J108)),"",Actuals!J108)</f>
      </c>
      <c r="AF92" s="530">
        <f>IF(OR(8&gt;$B$3,ISBLANK(Actuals!J108)),"",'Reforecast Q1 2026'!J108-Actuals!J108)</f>
      </c>
      <c r="AG92" s="530">
        <f>IFERROR(IF(OR(8&gt;$B$3,ISBLANK(Actuals!J108)),"",('Reforecast Q1 2026'!J108-Actuals!J108)/ABS('Reforecast Q1 2026'!J108)),"")</f>
      </c>
      <c r="AH92" s="529">
        <f>'Reforecast Q1 2026'!K108</f>
        <v>0</v>
      </c>
      <c r="AI92" s="529">
        <f>IF(OR(9&gt;$B$3,ISBLANK(Actuals!K108)),"",Actuals!K108)</f>
      </c>
      <c r="AJ92" s="530">
        <f>IF(OR(9&gt;$B$3,ISBLANK(Actuals!K108)),"",'Reforecast Q1 2026'!K108-Actuals!K108)</f>
      </c>
      <c r="AK92" s="530">
        <f>IFERROR(IF(OR(9&gt;$B$3,ISBLANK(Actuals!K108)),"",('Reforecast Q1 2026'!K108-Actuals!K108)/ABS('Reforecast Q1 2026'!K108)),"")</f>
      </c>
      <c r="AL92" s="529">
        <f>'Reforecast Q1 2026'!L108</f>
        <v>0</v>
      </c>
      <c r="AM92" s="529">
        <f>IF(OR(10&gt;$B$3,ISBLANK(Actuals!L108)),"",Actuals!L108)</f>
      </c>
      <c r="AN92" s="530">
        <f>IF(OR(10&gt;$B$3,ISBLANK(Actuals!L108)),"",'Reforecast Q1 2026'!L108-Actuals!L108)</f>
      </c>
      <c r="AO92" s="530">
        <f>IFERROR(IF(OR(10&gt;$B$3,ISBLANK(Actuals!L108)),"",('Reforecast Q1 2026'!L108-Actuals!L108)/ABS('Reforecast Q1 2026'!L108)),"")</f>
      </c>
      <c r="AP92" s="529">
        <f>'Reforecast Q1 2026'!M108</f>
        <v>0</v>
      </c>
      <c r="AQ92" s="529">
        <f>IF(OR(11&gt;$B$3,ISBLANK(Actuals!M108)),"",Actuals!M108)</f>
      </c>
      <c r="AR92" s="530">
        <f>IF(OR(11&gt;$B$3,ISBLANK(Actuals!M108)),"",'Reforecast Q1 2026'!M108-Actuals!M108)</f>
      </c>
      <c r="AS92" s="530">
        <f>IFERROR(IF(OR(11&gt;$B$3,ISBLANK(Actuals!M108)),"",('Reforecast Q1 2026'!M108-Actuals!M108)/ABS('Reforecast Q1 2026'!M108)),"")</f>
      </c>
      <c r="AT92" s="529">
        <f>'Reforecast Q1 2026'!N108</f>
        <v>0</v>
      </c>
      <c r="AU92" s="529">
        <f>IF(OR(12&gt;$B$3,ISBLANK(Actuals!N108)),"",Actuals!N108)</f>
      </c>
      <c r="AV92" s="530">
        <f>IF(OR(12&gt;$B$3,ISBLANK(Actuals!N108)),"",'Reforecast Q1 2026'!N108-Actuals!N108)</f>
      </c>
      <c r="AW92" s="530">
        <f>IFERROR(IF(OR(12&gt;$B$3,ISBLANK(Actuals!N108)),"",('Reforecast Q1 2026'!N108-Actuals!N108)/ABS('Reforecast Q1 2026'!N108)),"")</f>
      </c>
      <c r="AX92" s="531">
        <f>SUMPRODUCT((Actuals!C108:N108&lt;&gt;"")*('Reforecast Q1 2026'!C108:N108))</f>
        <v>0</v>
      </c>
      <c r="AY92" s="531">
        <f>SUM(Actuals!C108:N108)</f>
        <v>0</v>
      </c>
      <c r="AZ92" s="532">
        <f>AX92-AY92</f>
        <v>0</v>
      </c>
    </row>
    <row r="93" ht="15" customFormat="1" customHeight="1" s="381">
      <c r="A93" s="528" t="inlineStr">
        <is>
          <t>Francis Steyn Fee + PIK (from LIHTC Revenue)</t>
        </is>
      </c>
      <c r="B93" s="529">
        <f>'Reforecast Q1 2026'!C109</f>
        <v>0</v>
      </c>
      <c r="C93" s="529">
        <f>IF(OR(1&gt;$B$3,ISBLANK(Actuals!C109)),"",Actuals!C109)</f>
      </c>
      <c r="D93" s="530">
        <f>IF(OR(1&gt;$B$3,ISBLANK(Actuals!C109)),"",'Reforecast Q1 2026'!C109-Actuals!C109)</f>
      </c>
      <c r="E93" s="530">
        <f>IFERROR(IF(OR(1&gt;$B$3,ISBLANK(Actuals!C109)),"",('Reforecast Q1 2026'!C109-Actuals!C109)/ABS('Reforecast Q1 2026'!C109)),"")</f>
      </c>
      <c r="F93" s="529">
        <f>'Reforecast Q1 2026'!D109</f>
        <v>0</v>
      </c>
      <c r="G93" s="529">
        <f>IF(OR(2&gt;$B$3,ISBLANK(Actuals!D109)),"",Actuals!D109)</f>
      </c>
      <c r="H93" s="530">
        <f>IF(OR(2&gt;$B$3,ISBLANK(Actuals!D109)),"",'Reforecast Q1 2026'!D109-Actuals!D109)</f>
      </c>
      <c r="I93" s="530">
        <f>IFERROR(IF(OR(2&gt;$B$3,ISBLANK(Actuals!D109)),"",('Reforecast Q1 2026'!D109-Actuals!D109)/ABS('Reforecast Q1 2026'!D109)),"")</f>
      </c>
      <c r="J93" s="529">
        <f>'Reforecast Q1 2026'!E109</f>
        <v>0</v>
      </c>
      <c r="K93" s="529">
        <f>IF(OR(3&gt;$B$3,ISBLANK(Actuals!E109)),"",Actuals!E109)</f>
      </c>
      <c r="L93" s="530">
        <f>IF(OR(3&gt;$B$3,ISBLANK(Actuals!E109)),"",'Reforecast Q1 2026'!E109-Actuals!E109)</f>
      </c>
      <c r="M93" s="530">
        <f>IFERROR(IF(OR(3&gt;$B$3,ISBLANK(Actuals!E109)),"",('Reforecast Q1 2026'!E109-Actuals!E109)/ABS('Reforecast Q1 2026'!E109)),"")</f>
      </c>
      <c r="N93" s="529">
        <f>'Reforecast Q1 2026'!F109</f>
        <v>0</v>
      </c>
      <c r="O93" s="529">
        <f>IF(OR(4&gt;$B$3,ISBLANK(Actuals!F109)),"",Actuals!F109)</f>
      </c>
      <c r="P93" s="530">
        <f>IF(OR(4&gt;$B$3,ISBLANK(Actuals!F109)),"",'Reforecast Q1 2026'!F109-Actuals!F109)</f>
      </c>
      <c r="Q93" s="530">
        <f>IFERROR(IF(OR(4&gt;$B$3,ISBLANK(Actuals!F109)),"",('Reforecast Q1 2026'!F109-Actuals!F109)/ABS('Reforecast Q1 2026'!F109)),"")</f>
      </c>
      <c r="R93" s="529">
        <f>'Reforecast Q1 2026'!G109</f>
        <v>0</v>
      </c>
      <c r="S93" s="529">
        <f>IF(OR(5&gt;$B$3,ISBLANK(Actuals!G109)),"",Actuals!G109)</f>
      </c>
      <c r="T93" s="530">
        <f>IF(OR(5&gt;$B$3,ISBLANK(Actuals!G109)),"",'Reforecast Q1 2026'!G109-Actuals!G109)</f>
      </c>
      <c r="U93" s="530">
        <f>IFERROR(IF(OR(5&gt;$B$3,ISBLANK(Actuals!G109)),"",('Reforecast Q1 2026'!G109-Actuals!G109)/ABS('Reforecast Q1 2026'!G109)),"")</f>
      </c>
      <c r="V93" s="529">
        <f>'Reforecast Q1 2026'!H109</f>
        <v>0</v>
      </c>
      <c r="W93" s="529">
        <f>IF(OR(6&gt;$B$3,ISBLANK(Actuals!H109)),"",Actuals!H109)</f>
      </c>
      <c r="X93" s="530">
        <f>IF(OR(6&gt;$B$3,ISBLANK(Actuals!H109)),"",'Reforecast Q1 2026'!H109-Actuals!H109)</f>
      </c>
      <c r="Y93" s="530">
        <f>IFERROR(IF(OR(6&gt;$B$3,ISBLANK(Actuals!H109)),"",('Reforecast Q1 2026'!H109-Actuals!H109)/ABS('Reforecast Q1 2026'!H109)),"")</f>
      </c>
      <c r="Z93" s="529">
        <f>'Reforecast Q1 2026'!I109</f>
        <v>0</v>
      </c>
      <c r="AA93" s="529">
        <f>IF(OR(7&gt;$B$3,ISBLANK(Actuals!I109)),"",Actuals!I109)</f>
      </c>
      <c r="AB93" s="530">
        <f>IF(OR(7&gt;$B$3,ISBLANK(Actuals!I109)),"",'Reforecast Q1 2026'!I109-Actuals!I109)</f>
      </c>
      <c r="AC93" s="530">
        <f>IFERROR(IF(OR(7&gt;$B$3,ISBLANK(Actuals!I109)),"",('Reforecast Q1 2026'!I109-Actuals!I109)/ABS('Reforecast Q1 2026'!I109)),"")</f>
      </c>
      <c r="AD93" s="529">
        <f>'Reforecast Q1 2026'!J109</f>
        <v>0</v>
      </c>
      <c r="AE93" s="529">
        <f>IF(OR(8&gt;$B$3,ISBLANK(Actuals!J109)),"",Actuals!J109)</f>
      </c>
      <c r="AF93" s="530">
        <f>IF(OR(8&gt;$B$3,ISBLANK(Actuals!J109)),"",'Reforecast Q1 2026'!J109-Actuals!J109)</f>
      </c>
      <c r="AG93" s="530">
        <f>IFERROR(IF(OR(8&gt;$B$3,ISBLANK(Actuals!J109)),"",('Reforecast Q1 2026'!J109-Actuals!J109)/ABS('Reforecast Q1 2026'!J109)),"")</f>
      </c>
      <c r="AH93" s="529">
        <f>'Reforecast Q1 2026'!K109</f>
        <v>0</v>
      </c>
      <c r="AI93" s="529">
        <f>IF(OR(9&gt;$B$3,ISBLANK(Actuals!K109)),"",Actuals!K109)</f>
      </c>
      <c r="AJ93" s="530">
        <f>IF(OR(9&gt;$B$3,ISBLANK(Actuals!K109)),"",'Reforecast Q1 2026'!K109-Actuals!K109)</f>
      </c>
      <c r="AK93" s="530">
        <f>IFERROR(IF(OR(9&gt;$B$3,ISBLANK(Actuals!K109)),"",('Reforecast Q1 2026'!K109-Actuals!K109)/ABS('Reforecast Q1 2026'!K109)),"")</f>
      </c>
      <c r="AL93" s="529">
        <f>'Reforecast Q1 2026'!L109</f>
        <v>0</v>
      </c>
      <c r="AM93" s="529">
        <f>IF(OR(10&gt;$B$3,ISBLANK(Actuals!L109)),"",Actuals!L109)</f>
      </c>
      <c r="AN93" s="530">
        <f>IF(OR(10&gt;$B$3,ISBLANK(Actuals!L109)),"",'Reforecast Q1 2026'!L109-Actuals!L109)</f>
      </c>
      <c r="AO93" s="530">
        <f>IFERROR(IF(OR(10&gt;$B$3,ISBLANK(Actuals!L109)),"",('Reforecast Q1 2026'!L109-Actuals!L109)/ABS('Reforecast Q1 2026'!L109)),"")</f>
      </c>
      <c r="AP93" s="529">
        <f>'Reforecast Q1 2026'!M109</f>
        <v>0</v>
      </c>
      <c r="AQ93" s="529">
        <f>IF(OR(11&gt;$B$3,ISBLANK(Actuals!M109)),"",Actuals!M109)</f>
      </c>
      <c r="AR93" s="530">
        <f>IF(OR(11&gt;$B$3,ISBLANK(Actuals!M109)),"",'Reforecast Q1 2026'!M109-Actuals!M109)</f>
      </c>
      <c r="AS93" s="530">
        <f>IFERROR(IF(OR(11&gt;$B$3,ISBLANK(Actuals!M109)),"",('Reforecast Q1 2026'!M109-Actuals!M109)/ABS('Reforecast Q1 2026'!M109)),"")</f>
      </c>
      <c r="AT93" s="529">
        <f>'Reforecast Q1 2026'!N109</f>
        <v>0</v>
      </c>
      <c r="AU93" s="529">
        <f>IF(OR(12&gt;$B$3,ISBLANK(Actuals!N109)),"",Actuals!N109)</f>
      </c>
      <c r="AV93" s="530">
        <f>IF(OR(12&gt;$B$3,ISBLANK(Actuals!N109)),"",'Reforecast Q1 2026'!N109-Actuals!N109)</f>
      </c>
      <c r="AW93" s="530">
        <f>IFERROR(IF(OR(12&gt;$B$3,ISBLANK(Actuals!N109)),"",('Reforecast Q1 2026'!N109-Actuals!N109)/ABS('Reforecast Q1 2026'!N109)),"")</f>
      </c>
      <c r="AX93" s="531">
        <f>SUMPRODUCT((Actuals!C109:N109&lt;&gt;"")*('Reforecast Q1 2026'!C109:N109))</f>
        <v>0</v>
      </c>
      <c r="AY93" s="531">
        <f>SUM(Actuals!C109:N109)</f>
        <v>0</v>
      </c>
      <c r="AZ93" s="532">
        <f>AX93-AY93</f>
        <v>0</v>
      </c>
    </row>
    <row r="94" ht="15" customFormat="1" customHeight="1" s="381">
      <c r="A94" s="528" t="inlineStr">
        <is>
          <t>Reseda Steyn Fee + PIK (from LIHTC Revenue)</t>
        </is>
      </c>
      <c r="B94" s="529">
        <f>'Reforecast Q1 2026'!C110</f>
        <v>0</v>
      </c>
      <c r="C94" s="529">
        <f>IF(OR(1&gt;$B$3,ISBLANK(Actuals!C110)),"",Actuals!C110)</f>
      </c>
      <c r="D94" s="530">
        <f>IF(OR(1&gt;$B$3,ISBLANK(Actuals!C110)),"",'Reforecast Q1 2026'!C110-Actuals!C110)</f>
      </c>
      <c r="E94" s="530">
        <f>IFERROR(IF(OR(1&gt;$B$3,ISBLANK(Actuals!C110)),"",('Reforecast Q1 2026'!C110-Actuals!C110)/ABS('Reforecast Q1 2026'!C110)),"")</f>
      </c>
      <c r="F94" s="529">
        <f>'Reforecast Q1 2026'!D110</f>
        <v>0</v>
      </c>
      <c r="G94" s="529">
        <f>IF(OR(2&gt;$B$3,ISBLANK(Actuals!D110)),"",Actuals!D110)</f>
      </c>
      <c r="H94" s="530">
        <f>IF(OR(2&gt;$B$3,ISBLANK(Actuals!D110)),"",'Reforecast Q1 2026'!D110-Actuals!D110)</f>
      </c>
      <c r="I94" s="530">
        <f>IFERROR(IF(OR(2&gt;$B$3,ISBLANK(Actuals!D110)),"",('Reforecast Q1 2026'!D110-Actuals!D110)/ABS('Reforecast Q1 2026'!D110)),"")</f>
      </c>
      <c r="J94" s="529">
        <f>'Reforecast Q1 2026'!E110</f>
        <v>0</v>
      </c>
      <c r="K94" s="529">
        <f>IF(OR(3&gt;$B$3,ISBLANK(Actuals!E110)),"",Actuals!E110)</f>
      </c>
      <c r="L94" s="530">
        <f>IF(OR(3&gt;$B$3,ISBLANK(Actuals!E110)),"",'Reforecast Q1 2026'!E110-Actuals!E110)</f>
      </c>
      <c r="M94" s="530">
        <f>IFERROR(IF(OR(3&gt;$B$3,ISBLANK(Actuals!E110)),"",('Reforecast Q1 2026'!E110-Actuals!E110)/ABS('Reforecast Q1 2026'!E110)),"")</f>
      </c>
      <c r="N94" s="529">
        <f>'Reforecast Q1 2026'!F110</f>
        <v>0</v>
      </c>
      <c r="O94" s="529">
        <f>IF(OR(4&gt;$B$3,ISBLANK(Actuals!F110)),"",Actuals!F110)</f>
      </c>
      <c r="P94" s="530">
        <f>IF(OR(4&gt;$B$3,ISBLANK(Actuals!F110)),"",'Reforecast Q1 2026'!F110-Actuals!F110)</f>
      </c>
      <c r="Q94" s="530">
        <f>IFERROR(IF(OR(4&gt;$B$3,ISBLANK(Actuals!F110)),"",('Reforecast Q1 2026'!F110-Actuals!F110)/ABS('Reforecast Q1 2026'!F110)),"")</f>
      </c>
      <c r="R94" s="529">
        <f>'Reforecast Q1 2026'!G110</f>
        <v>0</v>
      </c>
      <c r="S94" s="529">
        <f>IF(OR(5&gt;$B$3,ISBLANK(Actuals!G110)),"",Actuals!G110)</f>
      </c>
      <c r="T94" s="530">
        <f>IF(OR(5&gt;$B$3,ISBLANK(Actuals!G110)),"",'Reforecast Q1 2026'!G110-Actuals!G110)</f>
      </c>
      <c r="U94" s="530">
        <f>IFERROR(IF(OR(5&gt;$B$3,ISBLANK(Actuals!G110)),"",('Reforecast Q1 2026'!G110-Actuals!G110)/ABS('Reforecast Q1 2026'!G110)),"")</f>
      </c>
      <c r="V94" s="529">
        <f>'Reforecast Q1 2026'!H110</f>
        <v>0</v>
      </c>
      <c r="W94" s="529">
        <f>IF(OR(6&gt;$B$3,ISBLANK(Actuals!H110)),"",Actuals!H110)</f>
      </c>
      <c r="X94" s="530">
        <f>IF(OR(6&gt;$B$3,ISBLANK(Actuals!H110)),"",'Reforecast Q1 2026'!H110-Actuals!H110)</f>
      </c>
      <c r="Y94" s="530">
        <f>IFERROR(IF(OR(6&gt;$B$3,ISBLANK(Actuals!H110)),"",('Reforecast Q1 2026'!H110-Actuals!H110)/ABS('Reforecast Q1 2026'!H110)),"")</f>
      </c>
      <c r="Z94" s="529">
        <f>'Reforecast Q1 2026'!I110</f>
        <v>0</v>
      </c>
      <c r="AA94" s="529">
        <f>IF(OR(7&gt;$B$3,ISBLANK(Actuals!I110)),"",Actuals!I110)</f>
      </c>
      <c r="AB94" s="530">
        <f>IF(OR(7&gt;$B$3,ISBLANK(Actuals!I110)),"",'Reforecast Q1 2026'!I110-Actuals!I110)</f>
      </c>
      <c r="AC94" s="530">
        <f>IFERROR(IF(OR(7&gt;$B$3,ISBLANK(Actuals!I110)),"",('Reforecast Q1 2026'!I110-Actuals!I110)/ABS('Reforecast Q1 2026'!I110)),"")</f>
      </c>
      <c r="AD94" s="529">
        <f>'Reforecast Q1 2026'!J110</f>
        <v>0</v>
      </c>
      <c r="AE94" s="529">
        <f>IF(OR(8&gt;$B$3,ISBLANK(Actuals!J110)),"",Actuals!J110)</f>
      </c>
      <c r="AF94" s="530">
        <f>IF(OR(8&gt;$B$3,ISBLANK(Actuals!J110)),"",'Reforecast Q1 2026'!J110-Actuals!J110)</f>
      </c>
      <c r="AG94" s="530">
        <f>IFERROR(IF(OR(8&gt;$B$3,ISBLANK(Actuals!J110)),"",('Reforecast Q1 2026'!J110-Actuals!J110)/ABS('Reforecast Q1 2026'!J110)),"")</f>
      </c>
      <c r="AH94" s="529">
        <f>'Reforecast Q1 2026'!K110</f>
        <v>0</v>
      </c>
      <c r="AI94" s="529">
        <f>IF(OR(9&gt;$B$3,ISBLANK(Actuals!K110)),"",Actuals!K110)</f>
      </c>
      <c r="AJ94" s="530">
        <f>IF(OR(9&gt;$B$3,ISBLANK(Actuals!K110)),"",'Reforecast Q1 2026'!K110-Actuals!K110)</f>
      </c>
      <c r="AK94" s="530">
        <f>IFERROR(IF(OR(9&gt;$B$3,ISBLANK(Actuals!K110)),"",('Reforecast Q1 2026'!K110-Actuals!K110)/ABS('Reforecast Q1 2026'!K110)),"")</f>
      </c>
      <c r="AL94" s="529">
        <f>'Reforecast Q1 2026'!L110</f>
        <v>0</v>
      </c>
      <c r="AM94" s="529">
        <f>IF(OR(10&gt;$B$3,ISBLANK(Actuals!L110)),"",Actuals!L110)</f>
      </c>
      <c r="AN94" s="530">
        <f>IF(OR(10&gt;$B$3,ISBLANK(Actuals!L110)),"",'Reforecast Q1 2026'!L110-Actuals!L110)</f>
      </c>
      <c r="AO94" s="530">
        <f>IFERROR(IF(OR(10&gt;$B$3,ISBLANK(Actuals!L110)),"",('Reforecast Q1 2026'!L110-Actuals!L110)/ABS('Reforecast Q1 2026'!L110)),"")</f>
      </c>
      <c r="AP94" s="529">
        <f>'Reforecast Q1 2026'!M110</f>
        <v>0</v>
      </c>
      <c r="AQ94" s="529">
        <f>IF(OR(11&gt;$B$3,ISBLANK(Actuals!M110)),"",Actuals!M110)</f>
      </c>
      <c r="AR94" s="530">
        <f>IF(OR(11&gt;$B$3,ISBLANK(Actuals!M110)),"",'Reforecast Q1 2026'!M110-Actuals!M110)</f>
      </c>
      <c r="AS94" s="530">
        <f>IFERROR(IF(OR(11&gt;$B$3,ISBLANK(Actuals!M110)),"",('Reforecast Q1 2026'!M110-Actuals!M110)/ABS('Reforecast Q1 2026'!M110)),"")</f>
      </c>
      <c r="AT94" s="529">
        <f>'Reforecast Q1 2026'!N110</f>
        <v>0</v>
      </c>
      <c r="AU94" s="529">
        <f>IF(OR(12&gt;$B$3,ISBLANK(Actuals!N110)),"",Actuals!N110)</f>
      </c>
      <c r="AV94" s="530">
        <f>IF(OR(12&gt;$B$3,ISBLANK(Actuals!N110)),"",'Reforecast Q1 2026'!N110-Actuals!N110)</f>
      </c>
      <c r="AW94" s="530">
        <f>IFERROR(IF(OR(12&gt;$B$3,ISBLANK(Actuals!N110)),"",('Reforecast Q1 2026'!N110-Actuals!N110)/ABS('Reforecast Q1 2026'!N110)),"")</f>
      </c>
      <c r="AX94" s="531">
        <f>SUMPRODUCT((Actuals!C110:N110&lt;&gt;"")*('Reforecast Q1 2026'!C110:N110))</f>
        <v>0</v>
      </c>
      <c r="AY94" s="531">
        <f>SUM(Actuals!C110:N110)</f>
        <v>0</v>
      </c>
      <c r="AZ94" s="532">
        <f>AX94-AY94</f>
        <v>0</v>
      </c>
    </row>
    <row r="95" ht="15" customFormat="1" customHeight="1" s="381">
      <c r="A95" s="528" t="inlineStr">
        <is>
          <t>3rd St Steyn Fee + PIK (from LIHTC Revenue)</t>
        </is>
      </c>
      <c r="B95" s="529">
        <f>'Reforecast Q1 2026'!C111</f>
        <v>0</v>
      </c>
      <c r="C95" s="529">
        <f>IF(OR(1&gt;$B$3,ISBLANK(Actuals!C111)),"",Actuals!C111)</f>
      </c>
      <c r="D95" s="530">
        <f>IF(OR(1&gt;$B$3,ISBLANK(Actuals!C111)),"",'Reforecast Q1 2026'!C111-Actuals!C111)</f>
      </c>
      <c r="E95" s="530">
        <f>IFERROR(IF(OR(1&gt;$B$3,ISBLANK(Actuals!C111)),"",('Reforecast Q1 2026'!C111-Actuals!C111)/ABS('Reforecast Q1 2026'!C111)),"")</f>
      </c>
      <c r="F95" s="529">
        <f>'Reforecast Q1 2026'!D111</f>
        <v>0</v>
      </c>
      <c r="G95" s="529">
        <f>IF(OR(2&gt;$B$3,ISBLANK(Actuals!D111)),"",Actuals!D111)</f>
      </c>
      <c r="H95" s="530">
        <f>IF(OR(2&gt;$B$3,ISBLANK(Actuals!D111)),"",'Reforecast Q1 2026'!D111-Actuals!D111)</f>
      </c>
      <c r="I95" s="530">
        <f>IFERROR(IF(OR(2&gt;$B$3,ISBLANK(Actuals!D111)),"",('Reforecast Q1 2026'!D111-Actuals!D111)/ABS('Reforecast Q1 2026'!D111)),"")</f>
      </c>
      <c r="J95" s="529">
        <f>'Reforecast Q1 2026'!E111</f>
        <v>0</v>
      </c>
      <c r="K95" s="529">
        <f>IF(OR(3&gt;$B$3,ISBLANK(Actuals!E111)),"",Actuals!E111)</f>
      </c>
      <c r="L95" s="530">
        <f>IF(OR(3&gt;$B$3,ISBLANK(Actuals!E111)),"",'Reforecast Q1 2026'!E111-Actuals!E111)</f>
      </c>
      <c r="M95" s="530">
        <f>IFERROR(IF(OR(3&gt;$B$3,ISBLANK(Actuals!E111)),"",('Reforecast Q1 2026'!E111-Actuals!E111)/ABS('Reforecast Q1 2026'!E111)),"")</f>
      </c>
      <c r="N95" s="529">
        <f>'Reforecast Q1 2026'!F111</f>
        <v>0</v>
      </c>
      <c r="O95" s="529">
        <f>IF(OR(4&gt;$B$3,ISBLANK(Actuals!F111)),"",Actuals!F111)</f>
      </c>
      <c r="P95" s="530">
        <f>IF(OR(4&gt;$B$3,ISBLANK(Actuals!F111)),"",'Reforecast Q1 2026'!F111-Actuals!F111)</f>
      </c>
      <c r="Q95" s="530">
        <f>IFERROR(IF(OR(4&gt;$B$3,ISBLANK(Actuals!F111)),"",('Reforecast Q1 2026'!F111-Actuals!F111)/ABS('Reforecast Q1 2026'!F111)),"")</f>
      </c>
      <c r="R95" s="529">
        <f>'Reforecast Q1 2026'!G111</f>
        <v>0</v>
      </c>
      <c r="S95" s="529">
        <f>IF(OR(5&gt;$B$3,ISBLANK(Actuals!G111)),"",Actuals!G111)</f>
      </c>
      <c r="T95" s="530">
        <f>IF(OR(5&gt;$B$3,ISBLANK(Actuals!G111)),"",'Reforecast Q1 2026'!G111-Actuals!G111)</f>
      </c>
      <c r="U95" s="530">
        <f>IFERROR(IF(OR(5&gt;$B$3,ISBLANK(Actuals!G111)),"",('Reforecast Q1 2026'!G111-Actuals!G111)/ABS('Reforecast Q1 2026'!G111)),"")</f>
      </c>
      <c r="V95" s="529">
        <f>'Reforecast Q1 2026'!H111</f>
        <v>0</v>
      </c>
      <c r="W95" s="529">
        <f>IF(OR(6&gt;$B$3,ISBLANK(Actuals!H111)),"",Actuals!H111)</f>
      </c>
      <c r="X95" s="530">
        <f>IF(OR(6&gt;$B$3,ISBLANK(Actuals!H111)),"",'Reforecast Q1 2026'!H111-Actuals!H111)</f>
      </c>
      <c r="Y95" s="530">
        <f>IFERROR(IF(OR(6&gt;$B$3,ISBLANK(Actuals!H111)),"",('Reforecast Q1 2026'!H111-Actuals!H111)/ABS('Reforecast Q1 2026'!H111)),"")</f>
      </c>
      <c r="Z95" s="529">
        <f>'Reforecast Q1 2026'!I111</f>
        <v>0</v>
      </c>
      <c r="AA95" s="529">
        <f>IF(OR(7&gt;$B$3,ISBLANK(Actuals!I111)),"",Actuals!I111)</f>
      </c>
      <c r="AB95" s="530">
        <f>IF(OR(7&gt;$B$3,ISBLANK(Actuals!I111)),"",'Reforecast Q1 2026'!I111-Actuals!I111)</f>
      </c>
      <c r="AC95" s="530">
        <f>IFERROR(IF(OR(7&gt;$B$3,ISBLANK(Actuals!I111)),"",('Reforecast Q1 2026'!I111-Actuals!I111)/ABS('Reforecast Q1 2026'!I111)),"")</f>
      </c>
      <c r="AD95" s="529">
        <f>'Reforecast Q1 2026'!J111</f>
        <v>0</v>
      </c>
      <c r="AE95" s="529">
        <f>IF(OR(8&gt;$B$3,ISBLANK(Actuals!J111)),"",Actuals!J111)</f>
      </c>
      <c r="AF95" s="530">
        <f>IF(OR(8&gt;$B$3,ISBLANK(Actuals!J111)),"",'Reforecast Q1 2026'!J111-Actuals!J111)</f>
      </c>
      <c r="AG95" s="530">
        <f>IFERROR(IF(OR(8&gt;$B$3,ISBLANK(Actuals!J111)),"",('Reforecast Q1 2026'!J111-Actuals!J111)/ABS('Reforecast Q1 2026'!J111)),"")</f>
      </c>
      <c r="AH95" s="529">
        <f>'Reforecast Q1 2026'!K111</f>
        <v>0</v>
      </c>
      <c r="AI95" s="529">
        <f>IF(OR(9&gt;$B$3,ISBLANK(Actuals!K111)),"",Actuals!K111)</f>
      </c>
      <c r="AJ95" s="530">
        <f>IF(OR(9&gt;$B$3,ISBLANK(Actuals!K111)),"",'Reforecast Q1 2026'!K111-Actuals!K111)</f>
      </c>
      <c r="AK95" s="530">
        <f>IFERROR(IF(OR(9&gt;$B$3,ISBLANK(Actuals!K111)),"",('Reforecast Q1 2026'!K111-Actuals!K111)/ABS('Reforecast Q1 2026'!K111)),"")</f>
      </c>
      <c r="AL95" s="529">
        <f>'Reforecast Q1 2026'!L111</f>
        <v>0</v>
      </c>
      <c r="AM95" s="529">
        <f>IF(OR(10&gt;$B$3,ISBLANK(Actuals!L111)),"",Actuals!L111)</f>
      </c>
      <c r="AN95" s="530">
        <f>IF(OR(10&gt;$B$3,ISBLANK(Actuals!L111)),"",'Reforecast Q1 2026'!L111-Actuals!L111)</f>
      </c>
      <c r="AO95" s="530">
        <f>IFERROR(IF(OR(10&gt;$B$3,ISBLANK(Actuals!L111)),"",('Reforecast Q1 2026'!L111-Actuals!L111)/ABS('Reforecast Q1 2026'!L111)),"")</f>
      </c>
      <c r="AP95" s="529">
        <f>'Reforecast Q1 2026'!M111</f>
        <v>0</v>
      </c>
      <c r="AQ95" s="529">
        <f>IF(OR(11&gt;$B$3,ISBLANK(Actuals!M111)),"",Actuals!M111)</f>
      </c>
      <c r="AR95" s="530">
        <f>IF(OR(11&gt;$B$3,ISBLANK(Actuals!M111)),"",'Reforecast Q1 2026'!M111-Actuals!M111)</f>
      </c>
      <c r="AS95" s="530">
        <f>IFERROR(IF(OR(11&gt;$B$3,ISBLANK(Actuals!M111)),"",('Reforecast Q1 2026'!M111-Actuals!M111)/ABS('Reforecast Q1 2026'!M111)),"")</f>
      </c>
      <c r="AT95" s="529">
        <f>'Reforecast Q1 2026'!N111</f>
        <v>0</v>
      </c>
      <c r="AU95" s="529">
        <f>IF(OR(12&gt;$B$3,ISBLANK(Actuals!N111)),"",Actuals!N111)</f>
      </c>
      <c r="AV95" s="530">
        <f>IF(OR(12&gt;$B$3,ISBLANK(Actuals!N111)),"",'Reforecast Q1 2026'!N111-Actuals!N111)</f>
      </c>
      <c r="AW95" s="530">
        <f>IFERROR(IF(OR(12&gt;$B$3,ISBLANK(Actuals!N111)),"",('Reforecast Q1 2026'!N111-Actuals!N111)/ABS('Reforecast Q1 2026'!N111)),"")</f>
      </c>
      <c r="AX95" s="531">
        <f>SUMPRODUCT((Actuals!C111:N111&lt;&gt;"")*('Reforecast Q1 2026'!C111:N111))</f>
        <v>0</v>
      </c>
      <c r="AY95" s="531">
        <f>SUM(Actuals!C111:N111)</f>
        <v>0</v>
      </c>
      <c r="AZ95" s="532">
        <f>AX95-AY95</f>
        <v>0</v>
      </c>
    </row>
    <row r="96" ht="15" customFormat="1" customHeight="1" s="381">
      <c r="B96" s="491" t="n"/>
      <c r="C96" s="491" t="n"/>
      <c r="D96" s="491" t="n"/>
      <c r="E96" s="491" t="n"/>
      <c r="F96" s="491" t="n"/>
      <c r="G96" s="491" t="n"/>
      <c r="H96" s="491" t="n"/>
      <c r="I96" s="491" t="n"/>
      <c r="J96" s="491" t="n"/>
      <c r="K96" s="491" t="n"/>
      <c r="L96" s="491" t="n"/>
      <c r="M96" s="491" t="n"/>
      <c r="N96" s="491" t="n"/>
      <c r="O96" s="491" t="n"/>
      <c r="P96" s="491" t="n"/>
      <c r="Q96" s="491" t="n"/>
      <c r="R96" s="491" t="n"/>
      <c r="S96" s="491" t="n"/>
      <c r="T96" s="491" t="n"/>
      <c r="U96" s="491" t="n"/>
      <c r="V96" s="491" t="n"/>
      <c r="W96" s="491" t="n"/>
      <c r="X96" s="491" t="n"/>
      <c r="Y96" s="491" t="n"/>
      <c r="Z96" s="491" t="n"/>
      <c r="AA96" s="491" t="n"/>
      <c r="AB96" s="491" t="n"/>
      <c r="AC96" s="491" t="n"/>
      <c r="AD96" s="491" t="n"/>
      <c r="AE96" s="491" t="n"/>
      <c r="AF96" s="491" t="n"/>
      <c r="AG96" s="491" t="n"/>
      <c r="AH96" s="491" t="n"/>
      <c r="AI96" s="491" t="n"/>
      <c r="AJ96" s="491" t="n"/>
      <c r="AK96" s="491" t="n"/>
      <c r="AL96" s="491" t="n"/>
      <c r="AM96" s="491" t="n"/>
      <c r="AN96" s="491" t="n"/>
      <c r="AO96" s="491" t="n"/>
      <c r="AP96" s="491" t="n"/>
      <c r="AQ96" s="491" t="n"/>
      <c r="AR96" s="491" t="n"/>
      <c r="AS96" s="491" t="n"/>
      <c r="AT96" s="491" t="n"/>
      <c r="AU96" s="491" t="n"/>
      <c r="AV96" s="491" t="n"/>
      <c r="AW96" s="491" t="n"/>
      <c r="AX96" s="491" t="n"/>
      <c r="AY96" s="491" t="n"/>
      <c r="AZ96" s="491" t="n"/>
    </row>
    <row r="97" ht="15" customFormat="1" customHeight="1" s="381">
      <c r="A97" s="533" t="inlineStr">
        <is>
          <t>TOTAL — sum of all P&amp;L lines</t>
        </is>
      </c>
      <c r="B97" s="534">
        <f>SUM(B6:B13)+SUM(B15:B95)</f>
        <v>-202748.04</v>
      </c>
      <c r="C97" s="534">
        <f>SUM(C6:C13)+SUM(C15:C95)</f>
        <v>-206557.78</v>
      </c>
      <c r="D97" s="534">
        <f>SUM(D6:D13)+SUM(D15:D95)</f>
        <v>3809.74</v>
      </c>
      <c r="E97" s="534" t="n"/>
      <c r="F97" s="534">
        <f>SUM(F6:F13)+SUM(F15:F95)</f>
        <v>-465294.64</v>
      </c>
      <c r="G97" s="534">
        <f>SUM(G6:G13)+SUM(G15:G95)</f>
        <v>-469696.73</v>
      </c>
      <c r="H97" s="534">
        <f>SUM(H6:H13)+SUM(H15:H95)</f>
        <v>4402.08999999999</v>
      </c>
      <c r="I97" s="534" t="n"/>
      <c r="J97" s="534">
        <f>SUM(J6:J13)+SUM(J15:J95)</f>
        <v>35842.0500000003</v>
      </c>
      <c r="K97" s="534">
        <f>SUM(K6:K13)+SUM(K15:K95)</f>
        <v>21337.2600000002</v>
      </c>
      <c r="L97" s="534">
        <f>SUM(L6:L13)+SUM(L15:L95)</f>
        <v>14504.79</v>
      </c>
      <c r="M97" s="534" t="n"/>
      <c r="N97" s="534">
        <f>SUM(N6:N13)+SUM(N15:N95)</f>
        <v>42717.9922202429</v>
      </c>
      <c r="O97" s="534">
        <f>SUM(O6:O13)+SUM(O15:O95)</f>
        <v>212136.55</v>
      </c>
      <c r="P97" s="534">
        <f>SUM(P6:P13)+SUM(P15:P95)</f>
        <v>-178918.557779757</v>
      </c>
      <c r="Q97" s="534" t="n"/>
      <c r="R97" s="534">
        <f>SUM(R6:R13)+SUM(R15:R95)</f>
        <v>-29679.925088813</v>
      </c>
      <c r="S97" s="534">
        <f>SUM(S6:S13)+SUM(S15:S95)</f>
        <v>-188293.09</v>
      </c>
      <c r="T97" s="534">
        <f>SUM(T6:T13)+SUM(T15:T95)</f>
        <v>149113.164911187</v>
      </c>
      <c r="U97" s="534" t="n"/>
      <c r="V97" s="534">
        <f>SUM(V6:V13)+SUM(V15:V95)</f>
        <v>-59054.9222056931</v>
      </c>
      <c r="W97" s="534">
        <f>SUM(W6:W13)+SUM(W15:W95)</f>
        <v>449429.350000001</v>
      </c>
      <c r="X97" s="534">
        <f>SUM(X6:X13)+SUM(X15:X95)</f>
        <v>-517984.272205694</v>
      </c>
      <c r="Y97" s="534" t="n"/>
      <c r="Z97" s="534">
        <f>SUM(Z6:Z13)+SUM(Z15:Z95)</f>
        <v>444413.23693596</v>
      </c>
      <c r="AA97" s="534">
        <f>SUM(AA6:AA13)+SUM(AA15:AA95)</f>
        <v>0</v>
      </c>
      <c r="AB97" s="534">
        <f>SUM(AB6:AB13)+SUM(AB15:AB95)</f>
        <v>0</v>
      </c>
      <c r="AC97" s="534" t="n"/>
      <c r="AD97" s="534">
        <f>SUM(AD6:AD13)+SUM(AD15:AD95)</f>
        <v>137353.04008154</v>
      </c>
      <c r="AE97" s="534">
        <f>SUM(AE6:AE13)+SUM(AE15:AE95)</f>
        <v>0</v>
      </c>
      <c r="AF97" s="534">
        <f>SUM(AF6:AF13)+SUM(AF15:AF95)</f>
        <v>0</v>
      </c>
      <c r="AG97" s="534" t="n"/>
      <c r="AH97" s="534">
        <f>SUM(AH6:AH13)+SUM(AH15:AH95)</f>
        <v>136519.707981801</v>
      </c>
      <c r="AI97" s="534">
        <f>SUM(AI6:AI13)+SUM(AI15:AI95)</f>
        <v>0</v>
      </c>
      <c r="AJ97" s="534">
        <f>SUM(AJ6:AJ13)+SUM(AJ15:AJ95)</f>
        <v>0</v>
      </c>
      <c r="AK97" s="534" t="n"/>
      <c r="AL97" s="534">
        <f>SUM(AL6:AL13)+SUM(AL15:AL95)</f>
        <v>441570.278826481</v>
      </c>
      <c r="AM97" s="534">
        <f>SUM(AM6:AM13)+SUM(AM15:AM95)</f>
        <v>0</v>
      </c>
      <c r="AN97" s="534">
        <f>SUM(AN6:AN13)+SUM(AN15:AN95)</f>
        <v>0</v>
      </c>
      <c r="AO97" s="534" t="n"/>
      <c r="AP97" s="534">
        <f>SUM(AP6:AP13)+SUM(AP15:AP95)</f>
        <v>463196.206572316</v>
      </c>
      <c r="AQ97" s="534">
        <f>SUM(AQ6:AQ13)+SUM(AQ15:AQ95)</f>
        <v>0</v>
      </c>
      <c r="AR97" s="534">
        <f>SUM(AR6:AR13)+SUM(AR15:AR95)</f>
        <v>0</v>
      </c>
      <c r="AS97" s="534" t="n"/>
      <c r="AT97" s="534">
        <f>SUM(AT6:AT13)+SUM(AT15:AT95)</f>
        <v>210821.122324942</v>
      </c>
      <c r="AU97" s="534">
        <f>SUM(AU6:AU13)+SUM(AU15:AU95)</f>
        <v>0</v>
      </c>
      <c r="AV97" s="534">
        <f>SUM(AV6:AV13)+SUM(AV15:AV95)</f>
        <v>0</v>
      </c>
      <c r="AW97" s="534" t="n"/>
      <c r="AX97" s="534">
        <f>SUM(AX6:AX13)+SUM(AX15:AX95)</f>
        <v>-558280.005074262</v>
      </c>
      <c r="AY97" s="534">
        <f>SUM(AY6:AY13)+SUM(AY15:AY95)</f>
        <v>-33206.9600000004</v>
      </c>
      <c r="AZ97" s="534">
        <f>SUM(AZ6:AZ13)+SUM(AZ15:AZ95)</f>
        <v>-525073.045074262</v>
      </c>
    </row>
    <row r="98" ht="15" customFormat="1" customHeight="1" s="381">
      <c r="B98" s="535" t="n"/>
      <c r="C98" s="535" t="n"/>
      <c r="D98" s="535" t="n"/>
      <c r="E98" s="535" t="n"/>
      <c r="F98" s="535" t="n"/>
      <c r="G98" s="535" t="n"/>
      <c r="H98" s="535" t="n"/>
      <c r="I98" s="535" t="n"/>
      <c r="J98" s="535" t="n"/>
      <c r="K98" s="535" t="n"/>
      <c r="L98" s="535" t="n"/>
      <c r="M98" s="535" t="n"/>
      <c r="N98" s="535" t="n"/>
      <c r="O98" s="535" t="n"/>
      <c r="P98" s="535" t="n"/>
      <c r="Q98" s="535" t="n"/>
      <c r="R98" s="535" t="n"/>
      <c r="S98" s="535" t="n"/>
      <c r="T98" s="535" t="n"/>
      <c r="U98" s="535" t="n"/>
      <c r="V98" s="535" t="n"/>
      <c r="W98" s="535" t="n"/>
      <c r="X98" s="535" t="n"/>
      <c r="Y98" s="535" t="n"/>
      <c r="Z98" s="535" t="n"/>
      <c r="AA98" s="535" t="n"/>
      <c r="AB98" s="535" t="n"/>
      <c r="AC98" s="535" t="n"/>
      <c r="AD98" s="535" t="n"/>
      <c r="AE98" s="535" t="n"/>
      <c r="AF98" s="535" t="n"/>
      <c r="AG98" s="535" t="n"/>
      <c r="AH98" s="535" t="n"/>
      <c r="AI98" s="535" t="n"/>
      <c r="AJ98" s="535" t="n"/>
      <c r="AK98" s="535" t="n"/>
      <c r="AL98" s="535" t="n"/>
      <c r="AM98" s="535" t="n"/>
      <c r="AN98" s="535" t="n"/>
      <c r="AO98" s="535" t="n"/>
      <c r="AP98" s="535" t="n"/>
      <c r="AQ98" s="535" t="n"/>
      <c r="AR98" s="535" t="n"/>
      <c r="AS98" s="535" t="n"/>
      <c r="AT98" s="535" t="n"/>
      <c r="AU98" s="535" t="n"/>
      <c r="AV98" s="535" t="n"/>
      <c r="AW98" s="535" t="n"/>
      <c r="AX98" s="535" t="n"/>
      <c r="AY98" s="535" t="n"/>
      <c r="AZ98" s="535" t="n"/>
    </row>
    <row r="99" ht="15" customFormat="1" customHeight="1" s="381">
      <c r="B99" s="535" t="n"/>
      <c r="C99" s="535" t="n"/>
      <c r="D99" s="535" t="n"/>
      <c r="E99" s="535" t="n"/>
      <c r="F99" s="535" t="n"/>
      <c r="G99" s="535" t="n"/>
      <c r="H99" s="535" t="n"/>
      <c r="I99" s="535" t="n"/>
      <c r="J99" s="535" t="n"/>
      <c r="K99" s="535" t="n"/>
      <c r="L99" s="535" t="n"/>
      <c r="M99" s="535" t="n"/>
      <c r="N99" s="535" t="n"/>
      <c r="O99" s="535" t="n"/>
      <c r="P99" s="535" t="n"/>
      <c r="Q99" s="535" t="n"/>
      <c r="R99" s="535" t="n"/>
      <c r="S99" s="535" t="n"/>
      <c r="T99" s="535" t="n"/>
      <c r="U99" s="535" t="n"/>
      <c r="V99" s="535" t="n"/>
      <c r="W99" s="535" t="n"/>
      <c r="X99" s="535" t="n"/>
      <c r="Y99" s="535" t="n"/>
      <c r="Z99" s="535" t="n"/>
      <c r="AA99" s="535" t="n"/>
      <c r="AB99" s="535" t="n"/>
      <c r="AC99" s="535" t="n"/>
      <c r="AD99" s="535" t="n"/>
      <c r="AE99" s="535" t="n"/>
      <c r="AF99" s="535" t="n"/>
      <c r="AG99" s="535" t="n"/>
      <c r="AH99" s="535" t="n"/>
      <c r="AI99" s="535" t="n"/>
      <c r="AJ99" s="535" t="n"/>
      <c r="AK99" s="535" t="n"/>
      <c r="AL99" s="535" t="n"/>
      <c r="AM99" s="535" t="n"/>
      <c r="AN99" s="535" t="n"/>
      <c r="AO99" s="535" t="n"/>
      <c r="AP99" s="535" t="n"/>
      <c r="AQ99" s="535" t="n"/>
      <c r="AR99" s="535" t="n"/>
      <c r="AS99" s="535" t="n"/>
      <c r="AT99" s="535" t="n"/>
      <c r="AU99" s="535" t="n"/>
      <c r="AV99" s="535" t="n"/>
      <c r="AW99" s="535" t="n"/>
      <c r="AX99" s="535" t="n"/>
      <c r="AY99" s="535" t="n"/>
      <c r="AZ99" s="535" t="n"/>
    </row>
    <row r="100" ht="15" customFormat="1" customHeight="1" s="381">
      <c r="B100" s="535" t="n"/>
      <c r="C100" s="535" t="n"/>
      <c r="D100" s="535" t="n"/>
      <c r="E100" s="535" t="n"/>
      <c r="F100" s="535" t="n"/>
      <c r="G100" s="535" t="n"/>
      <c r="H100" s="535" t="n"/>
      <c r="I100" s="535" t="n"/>
      <c r="J100" s="535" t="n"/>
      <c r="K100" s="535" t="n"/>
      <c r="L100" s="535" t="n"/>
      <c r="M100" s="535" t="n"/>
      <c r="N100" s="535" t="n"/>
      <c r="O100" s="535" t="n"/>
      <c r="P100" s="535" t="n"/>
      <c r="Q100" s="535" t="n"/>
      <c r="R100" s="535" t="n"/>
      <c r="S100" s="535" t="n"/>
      <c r="T100" s="535" t="n"/>
      <c r="U100" s="535" t="n"/>
      <c r="V100" s="535" t="n"/>
      <c r="W100" s="535" t="n"/>
      <c r="X100" s="535" t="n"/>
      <c r="Y100" s="535" t="n"/>
      <c r="Z100" s="535" t="n"/>
      <c r="AA100" s="535" t="n"/>
      <c r="AB100" s="535" t="n"/>
      <c r="AC100" s="535" t="n"/>
      <c r="AD100" s="535" t="n"/>
      <c r="AE100" s="535" t="n"/>
      <c r="AF100" s="535" t="n"/>
      <c r="AG100" s="535" t="n"/>
      <c r="AH100" s="535" t="n"/>
      <c r="AI100" s="535" t="n"/>
      <c r="AJ100" s="535" t="n"/>
      <c r="AK100" s="535" t="n"/>
      <c r="AL100" s="535" t="n"/>
      <c r="AM100" s="535" t="n"/>
      <c r="AN100" s="535" t="n"/>
      <c r="AO100" s="535" t="n"/>
      <c r="AP100" s="535" t="n"/>
      <c r="AQ100" s="535" t="n"/>
      <c r="AR100" s="535" t="n"/>
      <c r="AS100" s="535" t="n"/>
      <c r="AT100" s="535" t="n"/>
      <c r="AU100" s="535" t="n"/>
      <c r="AV100" s="535" t="n"/>
      <c r="AW100" s="535" t="n"/>
      <c r="AX100" s="535" t="n"/>
      <c r="AY100" s="535" t="n"/>
      <c r="AZ100" s="535" t="n"/>
    </row>
    <row r="101" ht="15" customFormat="1" customHeight="1" s="381">
      <c r="B101" s="535" t="n"/>
      <c r="C101" s="535" t="n"/>
      <c r="D101" s="535" t="n"/>
      <c r="E101" s="535" t="n"/>
      <c r="F101" s="535" t="n"/>
      <c r="G101" s="535" t="n"/>
      <c r="H101" s="535" t="n"/>
      <c r="I101" s="535" t="n"/>
      <c r="J101" s="535" t="n"/>
      <c r="K101" s="535" t="n"/>
      <c r="L101" s="535" t="n"/>
      <c r="M101" s="535" t="n"/>
      <c r="N101" s="535" t="n"/>
      <c r="O101" s="535" t="n"/>
      <c r="P101" s="535" t="n"/>
      <c r="Q101" s="535" t="n"/>
      <c r="R101" s="535" t="n"/>
      <c r="S101" s="535" t="n"/>
      <c r="T101" s="535" t="n"/>
      <c r="U101" s="535" t="n"/>
      <c r="V101" s="535" t="n"/>
      <c r="W101" s="535" t="n"/>
      <c r="X101" s="535" t="n"/>
      <c r="Y101" s="535" t="n"/>
      <c r="Z101" s="535" t="n"/>
      <c r="AA101" s="535" t="n"/>
      <c r="AB101" s="535" t="n"/>
      <c r="AC101" s="535" t="n"/>
      <c r="AD101" s="535" t="n"/>
      <c r="AE101" s="535" t="n"/>
      <c r="AF101" s="535" t="n"/>
      <c r="AG101" s="535" t="n"/>
      <c r="AH101" s="535" t="n"/>
      <c r="AI101" s="535" t="n"/>
      <c r="AJ101" s="535" t="n"/>
      <c r="AK101" s="535" t="n"/>
      <c r="AL101" s="535" t="n"/>
      <c r="AM101" s="535" t="n"/>
      <c r="AN101" s="535" t="n"/>
      <c r="AO101" s="535" t="n"/>
      <c r="AP101" s="535" t="n"/>
      <c r="AQ101" s="535" t="n"/>
      <c r="AR101" s="535" t="n"/>
      <c r="AS101" s="535" t="n"/>
      <c r="AT101" s="535" t="n"/>
      <c r="AU101" s="535" t="n"/>
      <c r="AV101" s="535" t="n"/>
      <c r="AW101" s="535" t="n"/>
      <c r="AX101" s="535" t="n"/>
      <c r="AY101" s="535" t="n"/>
      <c r="AZ101" s="535" t="n"/>
    </row>
    <row r="102" ht="15" customFormat="1" customHeight="1" s="381">
      <c r="B102" s="535" t="n"/>
      <c r="C102" s="535" t="n"/>
      <c r="D102" s="535" t="n"/>
      <c r="E102" s="535" t="n"/>
      <c r="F102" s="535" t="n"/>
      <c r="G102" s="535" t="n"/>
      <c r="H102" s="535" t="n"/>
      <c r="I102" s="535" t="n"/>
      <c r="J102" s="535" t="n"/>
      <c r="K102" s="535" t="n"/>
      <c r="L102" s="535" t="n"/>
      <c r="M102" s="535" t="n"/>
      <c r="N102" s="535" t="n"/>
      <c r="O102" s="535" t="n"/>
      <c r="P102" s="535" t="n"/>
      <c r="Q102" s="535" t="n"/>
      <c r="R102" s="535" t="n"/>
      <c r="S102" s="535" t="n"/>
      <c r="T102" s="535" t="n"/>
      <c r="U102" s="535" t="n"/>
      <c r="V102" s="535" t="n"/>
      <c r="W102" s="535" t="n"/>
      <c r="X102" s="535" t="n"/>
      <c r="Y102" s="535" t="n"/>
      <c r="Z102" s="535" t="n"/>
      <c r="AA102" s="535" t="n"/>
      <c r="AB102" s="535" t="n"/>
      <c r="AC102" s="535" t="n"/>
      <c r="AD102" s="535" t="n"/>
      <c r="AE102" s="535" t="n"/>
      <c r="AF102" s="535" t="n"/>
      <c r="AG102" s="535" t="n"/>
      <c r="AH102" s="535" t="n"/>
      <c r="AI102" s="535" t="n"/>
      <c r="AJ102" s="535" t="n"/>
      <c r="AK102" s="535" t="n"/>
      <c r="AL102" s="535" t="n"/>
      <c r="AM102" s="535" t="n"/>
      <c r="AN102" s="535" t="n"/>
      <c r="AO102" s="535" t="n"/>
      <c r="AP102" s="535" t="n"/>
      <c r="AQ102" s="535" t="n"/>
      <c r="AR102" s="535" t="n"/>
      <c r="AS102" s="535" t="n"/>
      <c r="AT102" s="535" t="n"/>
      <c r="AU102" s="535" t="n"/>
      <c r="AV102" s="535" t="n"/>
      <c r="AW102" s="535" t="n"/>
      <c r="AX102" s="535" t="n"/>
      <c r="AY102" s="535" t="n"/>
      <c r="AZ102" s="535" t="n"/>
    </row>
    <row r="103" ht="15" customFormat="1" customHeight="1" s="381">
      <c r="B103" s="535" t="n"/>
      <c r="C103" s="535" t="n"/>
      <c r="D103" s="535" t="n"/>
      <c r="E103" s="535" t="n"/>
      <c r="F103" s="535" t="n"/>
      <c r="G103" s="535" t="n"/>
      <c r="H103" s="535" t="n"/>
      <c r="I103" s="535" t="n"/>
      <c r="J103" s="535" t="n"/>
      <c r="K103" s="535" t="n"/>
      <c r="L103" s="535" t="n"/>
      <c r="M103" s="535" t="n"/>
      <c r="N103" s="535" t="n"/>
      <c r="O103" s="535" t="n"/>
      <c r="P103" s="535" t="n"/>
      <c r="Q103" s="535" t="n"/>
      <c r="R103" s="535" t="n"/>
      <c r="S103" s="535" t="n"/>
      <c r="T103" s="535" t="n"/>
      <c r="U103" s="535" t="n"/>
      <c r="V103" s="535" t="n"/>
      <c r="W103" s="535" t="n"/>
      <c r="X103" s="535" t="n"/>
      <c r="Y103" s="535" t="n"/>
      <c r="Z103" s="535" t="n"/>
      <c r="AA103" s="535" t="n"/>
      <c r="AB103" s="535" t="n"/>
      <c r="AC103" s="535" t="n"/>
      <c r="AD103" s="535" t="n"/>
      <c r="AE103" s="535" t="n"/>
      <c r="AF103" s="535" t="n"/>
      <c r="AG103" s="535" t="n"/>
      <c r="AH103" s="535" t="n"/>
      <c r="AI103" s="535" t="n"/>
      <c r="AJ103" s="535" t="n"/>
      <c r="AK103" s="535" t="n"/>
      <c r="AL103" s="535" t="n"/>
      <c r="AM103" s="535" t="n"/>
      <c r="AN103" s="535" t="n"/>
      <c r="AO103" s="535" t="n"/>
      <c r="AP103" s="535" t="n"/>
      <c r="AQ103" s="535" t="n"/>
      <c r="AR103" s="535" t="n"/>
      <c r="AS103" s="535" t="n"/>
      <c r="AT103" s="535" t="n"/>
      <c r="AU103" s="535" t="n"/>
      <c r="AV103" s="535" t="n"/>
      <c r="AW103" s="535" t="n"/>
      <c r="AX103" s="535" t="n"/>
      <c r="AY103" s="535" t="n"/>
      <c r="AZ103" s="535" t="n"/>
    </row>
    <row r="104" ht="15" customFormat="1" customHeight="1" s="381">
      <c r="B104" s="535" t="n"/>
      <c r="C104" s="535" t="n"/>
      <c r="D104" s="535" t="n"/>
      <c r="E104" s="535" t="n"/>
      <c r="F104" s="535" t="n"/>
      <c r="G104" s="535" t="n"/>
      <c r="H104" s="535" t="n"/>
      <c r="I104" s="535" t="n"/>
      <c r="J104" s="535" t="n"/>
      <c r="K104" s="535" t="n"/>
      <c r="L104" s="535" t="n"/>
      <c r="M104" s="535" t="n"/>
      <c r="N104" s="535" t="n"/>
      <c r="O104" s="535" t="n"/>
      <c r="P104" s="535" t="n"/>
      <c r="Q104" s="535" t="n"/>
      <c r="R104" s="535" t="n"/>
      <c r="S104" s="535" t="n"/>
      <c r="T104" s="535" t="n"/>
      <c r="U104" s="535" t="n"/>
      <c r="V104" s="535" t="n"/>
      <c r="W104" s="535" t="n"/>
      <c r="X104" s="535" t="n"/>
      <c r="Y104" s="535" t="n"/>
      <c r="Z104" s="535" t="n"/>
      <c r="AA104" s="535" t="n"/>
      <c r="AB104" s="535" t="n"/>
      <c r="AC104" s="535" t="n"/>
      <c r="AD104" s="535" t="n"/>
      <c r="AE104" s="535" t="n"/>
      <c r="AF104" s="535" t="n"/>
      <c r="AG104" s="535" t="n"/>
      <c r="AH104" s="535" t="n"/>
      <c r="AI104" s="535" t="n"/>
      <c r="AJ104" s="535" t="n"/>
      <c r="AK104" s="535" t="n"/>
      <c r="AL104" s="535" t="n"/>
      <c r="AM104" s="535" t="n"/>
      <c r="AN104" s="535" t="n"/>
      <c r="AO104" s="535" t="n"/>
      <c r="AP104" s="535" t="n"/>
      <c r="AQ104" s="535" t="n"/>
      <c r="AR104" s="535" t="n"/>
      <c r="AS104" s="535" t="n"/>
      <c r="AT104" s="535" t="n"/>
      <c r="AU104" s="535" t="n"/>
      <c r="AV104" s="535" t="n"/>
      <c r="AW104" s="535" t="n"/>
      <c r="AX104" s="535" t="n"/>
      <c r="AY104" s="535" t="n"/>
      <c r="AZ104" s="535" t="n"/>
    </row>
    <row r="105" ht="15" customFormat="1" customHeight="1" s="381">
      <c r="B105" s="535" t="n"/>
      <c r="C105" s="535" t="n"/>
      <c r="D105" s="535" t="n"/>
      <c r="E105" s="535" t="n"/>
      <c r="F105" s="535" t="n"/>
      <c r="G105" s="535" t="n"/>
      <c r="H105" s="535" t="n"/>
      <c r="I105" s="535" t="n"/>
      <c r="J105" s="535" t="n"/>
      <c r="K105" s="535" t="n"/>
      <c r="L105" s="535" t="n"/>
      <c r="M105" s="535" t="n"/>
      <c r="N105" s="535" t="n"/>
      <c r="O105" s="535" t="n"/>
      <c r="P105" s="535" t="n"/>
      <c r="Q105" s="535" t="n"/>
      <c r="R105" s="535" t="n"/>
      <c r="S105" s="535" t="n"/>
      <c r="T105" s="535" t="n"/>
      <c r="U105" s="535" t="n"/>
      <c r="V105" s="535" t="n"/>
      <c r="W105" s="535" t="n"/>
      <c r="X105" s="535" t="n"/>
      <c r="Y105" s="535" t="n"/>
      <c r="Z105" s="535" t="n"/>
      <c r="AA105" s="535" t="n"/>
      <c r="AB105" s="535" t="n"/>
      <c r="AC105" s="535" t="n"/>
      <c r="AD105" s="535" t="n"/>
      <c r="AE105" s="535" t="n"/>
      <c r="AF105" s="535" t="n"/>
      <c r="AG105" s="535" t="n"/>
      <c r="AH105" s="535" t="n"/>
      <c r="AI105" s="535" t="n"/>
      <c r="AJ105" s="535" t="n"/>
      <c r="AK105" s="535" t="n"/>
      <c r="AL105" s="535" t="n"/>
      <c r="AM105" s="535" t="n"/>
      <c r="AN105" s="535" t="n"/>
      <c r="AO105" s="535" t="n"/>
      <c r="AP105" s="535" t="n"/>
      <c r="AQ105" s="535" t="n"/>
      <c r="AR105" s="535" t="n"/>
      <c r="AS105" s="535" t="n"/>
      <c r="AT105" s="535" t="n"/>
      <c r="AU105" s="535" t="n"/>
      <c r="AV105" s="535" t="n"/>
      <c r="AW105" s="535" t="n"/>
      <c r="AX105" s="535" t="n"/>
      <c r="AY105" s="535" t="n"/>
      <c r="AZ105" s="535" t="n"/>
    </row>
    <row r="106" ht="15" customFormat="1" customHeight="1" s="381">
      <c r="B106" s="535" t="n"/>
      <c r="C106" s="535" t="n"/>
      <c r="D106" s="535" t="n"/>
      <c r="E106" s="535" t="n"/>
      <c r="F106" s="535" t="n"/>
      <c r="G106" s="535" t="n"/>
      <c r="H106" s="535" t="n"/>
      <c r="I106" s="535" t="n"/>
      <c r="J106" s="535" t="n"/>
      <c r="K106" s="535" t="n"/>
      <c r="L106" s="535" t="n"/>
      <c r="M106" s="535" t="n"/>
      <c r="N106" s="535" t="n"/>
      <c r="O106" s="535" t="n"/>
      <c r="P106" s="535" t="n"/>
      <c r="Q106" s="535" t="n"/>
      <c r="R106" s="535" t="n"/>
      <c r="S106" s="535" t="n"/>
      <c r="T106" s="535" t="n"/>
      <c r="U106" s="535" t="n"/>
      <c r="V106" s="535" t="n"/>
      <c r="W106" s="535" t="n"/>
      <c r="X106" s="535" t="n"/>
      <c r="Y106" s="535" t="n"/>
      <c r="Z106" s="535" t="n"/>
      <c r="AA106" s="535" t="n"/>
      <c r="AB106" s="535" t="n"/>
      <c r="AC106" s="535" t="n"/>
      <c r="AD106" s="535" t="n"/>
      <c r="AE106" s="535" t="n"/>
      <c r="AF106" s="535" t="n"/>
      <c r="AG106" s="535" t="n"/>
      <c r="AH106" s="535" t="n"/>
      <c r="AI106" s="535" t="n"/>
      <c r="AJ106" s="535" t="n"/>
      <c r="AK106" s="535" t="n"/>
      <c r="AL106" s="535" t="n"/>
      <c r="AM106" s="535" t="n"/>
      <c r="AN106" s="535" t="n"/>
      <c r="AO106" s="535" t="n"/>
      <c r="AP106" s="535" t="n"/>
      <c r="AQ106" s="535" t="n"/>
      <c r="AR106" s="535" t="n"/>
      <c r="AS106" s="535" t="n"/>
      <c r="AT106" s="535" t="n"/>
      <c r="AU106" s="535" t="n"/>
      <c r="AV106" s="535" t="n"/>
      <c r="AW106" s="535" t="n"/>
      <c r="AX106" s="535" t="n"/>
      <c r="AY106" s="535" t="n"/>
      <c r="AZ106" s="535" t="n"/>
    </row>
    <row r="107" ht="15" customFormat="1" customHeight="1" s="381">
      <c r="B107" s="535" t="n"/>
      <c r="C107" s="535" t="n"/>
      <c r="D107" s="535" t="n"/>
      <c r="E107" s="535" t="n"/>
      <c r="F107" s="535" t="n"/>
      <c r="G107" s="535" t="n"/>
      <c r="H107" s="535" t="n"/>
      <c r="I107" s="535" t="n"/>
      <c r="J107" s="535" t="n"/>
      <c r="K107" s="535" t="n"/>
      <c r="L107" s="535" t="n"/>
      <c r="M107" s="535" t="n"/>
      <c r="N107" s="535" t="n"/>
      <c r="O107" s="535" t="n"/>
      <c r="P107" s="535" t="n"/>
      <c r="Q107" s="535" t="n"/>
      <c r="R107" s="535" t="n"/>
      <c r="S107" s="535" t="n"/>
      <c r="T107" s="535" t="n"/>
      <c r="U107" s="535" t="n"/>
      <c r="V107" s="535" t="n"/>
      <c r="W107" s="535" t="n"/>
      <c r="X107" s="535" t="n"/>
      <c r="Y107" s="535" t="n"/>
      <c r="Z107" s="535" t="n"/>
      <c r="AA107" s="535" t="n"/>
      <c r="AB107" s="535" t="n"/>
      <c r="AC107" s="535" t="n"/>
      <c r="AD107" s="535" t="n"/>
      <c r="AE107" s="535" t="n"/>
      <c r="AF107" s="535" t="n"/>
      <c r="AG107" s="535" t="n"/>
      <c r="AH107" s="535" t="n"/>
      <c r="AI107" s="535" t="n"/>
      <c r="AJ107" s="535" t="n"/>
      <c r="AK107" s="535" t="n"/>
      <c r="AL107" s="535" t="n"/>
      <c r="AM107" s="535" t="n"/>
      <c r="AN107" s="535" t="n"/>
      <c r="AO107" s="535" t="n"/>
      <c r="AP107" s="535" t="n"/>
      <c r="AQ107" s="535" t="n"/>
      <c r="AR107" s="535" t="n"/>
      <c r="AS107" s="535" t="n"/>
      <c r="AT107" s="535" t="n"/>
      <c r="AU107" s="535" t="n"/>
      <c r="AV107" s="535" t="n"/>
      <c r="AW107" s="535" t="n"/>
      <c r="AX107" s="535" t="n"/>
      <c r="AY107" s="535" t="n"/>
      <c r="AZ107" s="535" t="n"/>
    </row>
    <row r="108" ht="15" customFormat="1" customHeight="1" s="381">
      <c r="B108" s="535" t="n"/>
      <c r="C108" s="535" t="n"/>
      <c r="D108" s="535" t="n"/>
      <c r="E108" s="535" t="n"/>
      <c r="F108" s="535" t="n"/>
      <c r="G108" s="535" t="n"/>
      <c r="H108" s="535" t="n"/>
      <c r="I108" s="535" t="n"/>
      <c r="J108" s="535" t="n"/>
      <c r="K108" s="535" t="n"/>
      <c r="L108" s="535" t="n"/>
      <c r="M108" s="535" t="n"/>
      <c r="N108" s="535" t="n"/>
      <c r="O108" s="535" t="n"/>
      <c r="P108" s="535" t="n"/>
      <c r="Q108" s="535" t="n"/>
      <c r="R108" s="535" t="n"/>
      <c r="S108" s="535" t="n"/>
      <c r="T108" s="535" t="n"/>
      <c r="U108" s="535" t="n"/>
      <c r="V108" s="535" t="n"/>
      <c r="W108" s="535" t="n"/>
      <c r="X108" s="535" t="n"/>
      <c r="Y108" s="535" t="n"/>
      <c r="Z108" s="535" t="n"/>
      <c r="AA108" s="535" t="n"/>
      <c r="AB108" s="535" t="n"/>
      <c r="AC108" s="535" t="n"/>
      <c r="AD108" s="535" t="n"/>
      <c r="AE108" s="535" t="n"/>
      <c r="AF108" s="535" t="n"/>
      <c r="AG108" s="535" t="n"/>
      <c r="AH108" s="535" t="n"/>
      <c r="AI108" s="535" t="n"/>
      <c r="AJ108" s="535" t="n"/>
      <c r="AK108" s="535" t="n"/>
      <c r="AL108" s="535" t="n"/>
      <c r="AM108" s="535" t="n"/>
      <c r="AN108" s="535" t="n"/>
      <c r="AO108" s="535" t="n"/>
      <c r="AP108" s="535" t="n"/>
      <c r="AQ108" s="535" t="n"/>
      <c r="AR108" s="535" t="n"/>
      <c r="AS108" s="535" t="n"/>
      <c r="AT108" s="535" t="n"/>
      <c r="AU108" s="535" t="n"/>
      <c r="AV108" s="535" t="n"/>
      <c r="AW108" s="535" t="n"/>
      <c r="AX108" s="535" t="n"/>
      <c r="AY108" s="535" t="n"/>
      <c r="AZ108" s="535" t="n"/>
    </row>
    <row r="109" ht="15" customFormat="1" customHeight="1" s="381">
      <c r="B109" s="535" t="n"/>
      <c r="C109" s="535" t="n"/>
      <c r="D109" s="535" t="n"/>
      <c r="E109" s="535" t="n"/>
      <c r="F109" s="535" t="n"/>
      <c r="G109" s="535" t="n"/>
      <c r="H109" s="535" t="n"/>
      <c r="I109" s="535" t="n"/>
      <c r="J109" s="535" t="n"/>
      <c r="K109" s="535" t="n"/>
      <c r="L109" s="535" t="n"/>
      <c r="M109" s="535" t="n"/>
      <c r="N109" s="535" t="n"/>
      <c r="O109" s="535" t="n"/>
      <c r="P109" s="535" t="n"/>
      <c r="Q109" s="535" t="n"/>
      <c r="R109" s="535" t="n"/>
      <c r="S109" s="535" t="n"/>
      <c r="T109" s="535" t="n"/>
      <c r="U109" s="535" t="n"/>
      <c r="V109" s="535" t="n"/>
      <c r="W109" s="535" t="n"/>
      <c r="X109" s="535" t="n"/>
      <c r="Y109" s="535" t="n"/>
      <c r="Z109" s="535" t="n"/>
      <c r="AA109" s="535" t="n"/>
      <c r="AB109" s="535" t="n"/>
      <c r="AC109" s="535" t="n"/>
      <c r="AD109" s="535" t="n"/>
      <c r="AE109" s="535" t="n"/>
      <c r="AF109" s="535" t="n"/>
      <c r="AG109" s="535" t="n"/>
      <c r="AH109" s="535" t="n"/>
      <c r="AI109" s="535" t="n"/>
      <c r="AJ109" s="535" t="n"/>
      <c r="AK109" s="535" t="n"/>
      <c r="AL109" s="535" t="n"/>
      <c r="AM109" s="535" t="n"/>
      <c r="AN109" s="535" t="n"/>
      <c r="AO109" s="535" t="n"/>
      <c r="AP109" s="535" t="n"/>
      <c r="AQ109" s="535" t="n"/>
      <c r="AR109" s="535" t="n"/>
      <c r="AS109" s="535" t="n"/>
      <c r="AT109" s="535" t="n"/>
      <c r="AU109" s="535" t="n"/>
      <c r="AV109" s="535" t="n"/>
      <c r="AW109" s="535" t="n"/>
      <c r="AX109" s="535" t="n"/>
      <c r="AY109" s="535" t="n"/>
      <c r="AZ109" s="535" t="n"/>
    </row>
  </sheetData>
  <mergeCells count="13">
    <mergeCell ref="AD4:AG4"/>
    <mergeCell ref="B4:E4"/>
    <mergeCell ref="R4:U4"/>
    <mergeCell ref="AT4:AW4"/>
    <mergeCell ref="F4:I4"/>
    <mergeCell ref="V4:Y4"/>
    <mergeCell ref="J4:M4"/>
    <mergeCell ref="Z4:AC4"/>
    <mergeCell ref="N4:Q4"/>
    <mergeCell ref="AH4:AK4"/>
    <mergeCell ref="AL4:AO4"/>
    <mergeCell ref="AP4:AS4"/>
    <mergeCell ref="AX4:AZ4"/>
  </mergeCells>
  <conditionalFormatting sqref="D6:D94">
    <cfRule type="cellIs" rank="0" priority="2" equalAverage="0" operator="greaterThan" aboveAverage="0" dxfId="1" text="" percent="0" bottom="0">
      <formula>0</formula>
    </cfRule>
    <cfRule type="cellIs" rank="0" priority="3" equalAverage="0" operator="lessThan" aboveAverage="0" dxfId="2" text="" percent="0" bottom="0">
      <formula>0</formula>
    </cfRule>
  </conditionalFormatting>
  <conditionalFormatting sqref="H6:H94">
    <cfRule type="cellIs" rank="0" priority="4" equalAverage="0" operator="greaterThan" aboveAverage="0" dxfId="1" text="" percent="0" bottom="0">
      <formula>0</formula>
    </cfRule>
    <cfRule type="cellIs" rank="0" priority="5" equalAverage="0" operator="lessThan" aboveAverage="0" dxfId="2" text="" percent="0" bottom="0">
      <formula>0</formula>
    </cfRule>
  </conditionalFormatting>
  <conditionalFormatting sqref="L6:L94">
    <cfRule type="cellIs" rank="0" priority="6" equalAverage="0" operator="greaterThan" aboveAverage="0" dxfId="1" text="" percent="0" bottom="0">
      <formula>0</formula>
    </cfRule>
    <cfRule type="cellIs" rank="0" priority="7" equalAverage="0" operator="lessThan" aboveAverage="0" dxfId="2" text="" percent="0" bottom="0">
      <formula>0</formula>
    </cfRule>
  </conditionalFormatting>
  <conditionalFormatting sqref="P6:P94">
    <cfRule type="cellIs" rank="0" priority="8" equalAverage="0" operator="greaterThan" aboveAverage="0" dxfId="1" text="" percent="0" bottom="0">
      <formula>0</formula>
    </cfRule>
    <cfRule type="cellIs" rank="0" priority="9" equalAverage="0" operator="lessThan" aboveAverage="0" dxfId="2" text="" percent="0" bottom="0">
      <formula>0</formula>
    </cfRule>
  </conditionalFormatting>
  <conditionalFormatting sqref="T6:T94">
    <cfRule type="cellIs" rank="0" priority="10" equalAverage="0" operator="greaterThan" aboveAverage="0" dxfId="1" text="" percent="0" bottom="0">
      <formula>0</formula>
    </cfRule>
    <cfRule type="cellIs" rank="0" priority="11" equalAverage="0" operator="lessThan" aboveAverage="0" dxfId="2" text="" percent="0" bottom="0">
      <formula>0</formula>
    </cfRule>
  </conditionalFormatting>
  <conditionalFormatting sqref="X6:X94">
    <cfRule type="cellIs" rank="0" priority="12" equalAverage="0" operator="greaterThan" aboveAverage="0" dxfId="1" text="" percent="0" bottom="0">
      <formula>0</formula>
    </cfRule>
    <cfRule type="cellIs" rank="0" priority="13" equalAverage="0" operator="lessThan" aboveAverage="0" dxfId="2" text="" percent="0" bottom="0">
      <formula>0</formula>
    </cfRule>
  </conditionalFormatting>
  <conditionalFormatting sqref="AB6:AB94">
    <cfRule type="cellIs" rank="0" priority="14" equalAverage="0" operator="greaterThan" aboveAverage="0" dxfId="1" text="" percent="0" bottom="0">
      <formula>0</formula>
    </cfRule>
    <cfRule type="cellIs" rank="0" priority="15" equalAverage="0" operator="lessThan" aboveAverage="0" dxfId="2" text="" percent="0" bottom="0">
      <formula>0</formula>
    </cfRule>
  </conditionalFormatting>
  <conditionalFormatting sqref="AF6:AF94">
    <cfRule type="cellIs" rank="0" priority="16" equalAverage="0" operator="greaterThan" aboveAverage="0" dxfId="1" text="" percent="0" bottom="0">
      <formula>0</formula>
    </cfRule>
    <cfRule type="cellIs" rank="0" priority="17" equalAverage="0" operator="lessThan" aboveAverage="0" dxfId="2" text="" percent="0" bottom="0">
      <formula>0</formula>
    </cfRule>
  </conditionalFormatting>
  <conditionalFormatting sqref="AJ6:AJ94">
    <cfRule type="cellIs" rank="0" priority="18" equalAverage="0" operator="greaterThan" aboveAverage="0" dxfId="1" text="" percent="0" bottom="0">
      <formula>0</formula>
    </cfRule>
    <cfRule type="cellIs" rank="0" priority="19" equalAverage="0" operator="lessThan" aboveAverage="0" dxfId="2" text="" percent="0" bottom="0">
      <formula>0</formula>
    </cfRule>
  </conditionalFormatting>
  <conditionalFormatting sqref="AN6:AN94">
    <cfRule type="cellIs" rank="0" priority="20" equalAverage="0" operator="greaterThan" aboveAverage="0" dxfId="1" text="" percent="0" bottom="0">
      <formula>0</formula>
    </cfRule>
    <cfRule type="cellIs" rank="0" priority="21" equalAverage="0" operator="lessThan" aboveAverage="0" dxfId="2" text="" percent="0" bottom="0">
      <formula>0</formula>
    </cfRule>
  </conditionalFormatting>
  <conditionalFormatting sqref="AR6:AR94">
    <cfRule type="cellIs" rank="0" priority="22" equalAverage="0" operator="greaterThan" aboveAverage="0" dxfId="1" text="" percent="0" bottom="0">
      <formula>0</formula>
    </cfRule>
    <cfRule type="cellIs" rank="0" priority="23" equalAverage="0" operator="lessThan" aboveAverage="0" dxfId="2" text="" percent="0" bottom="0">
      <formula>0</formula>
    </cfRule>
  </conditionalFormatting>
  <conditionalFormatting sqref="AV6:AV94">
    <cfRule type="cellIs" rank="0" priority="24" equalAverage="0" operator="greaterThan" aboveAverage="0" dxfId="1" text="" percent="0" bottom="0">
      <formula>0</formula>
    </cfRule>
    <cfRule type="cellIs" rank="0" priority="25" equalAverage="0" operator="lessThan" aboveAverage="0" dxfId="2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122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8" customWidth="1" style="381" min="1" max="1"/>
    <col width="13" customWidth="1" style="381" min="3" max="14"/>
  </cols>
  <sheetData>
    <row r="1" ht="15" customFormat="1" customHeight="1" s="381">
      <c r="A1" s="477" t="inlineStr">
        <is>
          <t>BUDGET — approved November 2025</t>
        </is>
      </c>
    </row>
    <row r="2" ht="15" customFormat="1" customHeight="1" s="381">
      <c r="A2" s="453" t="inlineStr">
        <is>
          <t>Anchor for budget-vs-actual reporting. Mapped from the November 2025 consolidated projection model. Do not edit.</t>
        </is>
      </c>
      <c r="C2" s="494" t="n">
        <v>46023</v>
      </c>
      <c r="D2" s="494" t="n">
        <v>46054</v>
      </c>
      <c r="E2" s="494" t="n">
        <v>46082</v>
      </c>
      <c r="F2" s="494" t="n">
        <v>46113</v>
      </c>
      <c r="G2" s="494" t="n">
        <v>46143</v>
      </c>
      <c r="H2" s="494" t="n">
        <v>46174</v>
      </c>
      <c r="I2" s="494" t="n">
        <v>46204</v>
      </c>
      <c r="J2" s="494" t="n">
        <v>46235</v>
      </c>
      <c r="K2" s="494" t="n">
        <v>46266</v>
      </c>
      <c r="L2" s="494" t="n">
        <v>46296</v>
      </c>
      <c r="M2" s="494" t="n">
        <v>46327</v>
      </c>
      <c r="N2" s="494" t="n">
        <v>46357</v>
      </c>
    </row>
    <row r="3" ht="15" customFormat="1" customHeight="1" s="381">
      <c r="A3" s="381" t="inlineStr">
        <is>
          <t>Month #</t>
        </is>
      </c>
      <c r="C3" s="479" t="n">
        <v>-2</v>
      </c>
      <c r="D3" s="479" t="n">
        <v>-1</v>
      </c>
      <c r="E3" s="479" t="n">
        <v>0</v>
      </c>
      <c r="F3" s="479" t="n">
        <v>1</v>
      </c>
      <c r="G3" s="479" t="n">
        <v>2</v>
      </c>
      <c r="H3" s="479" t="n">
        <v>3</v>
      </c>
      <c r="I3" s="479" t="n">
        <v>4</v>
      </c>
      <c r="J3" s="479" t="n">
        <v>5</v>
      </c>
      <c r="K3" s="479" t="n">
        <v>6</v>
      </c>
      <c r="L3" s="479" t="n">
        <v>7</v>
      </c>
      <c r="M3" s="479" t="n">
        <v>8</v>
      </c>
      <c r="N3" s="479" t="n">
        <v>9</v>
      </c>
    </row>
    <row r="8" ht="15" customFormat="1" customHeight="1" s="381">
      <c r="A8" s="536" t="inlineStr">
        <is>
          <t>Other GC Income</t>
        </is>
      </c>
      <c r="C8" s="537" t="n">
        <v>189686.63</v>
      </c>
      <c r="D8" s="537" t="n">
        <v>189686.63</v>
      </c>
      <c r="E8" s="537" t="n">
        <v>189686.63</v>
      </c>
      <c r="F8" s="537" t="n">
        <v>189686.63</v>
      </c>
      <c r="G8" s="537" t="n">
        <v>293206.86</v>
      </c>
      <c r="H8" s="537" t="n">
        <v>293206.86</v>
      </c>
      <c r="I8" s="537" t="n">
        <v>293206.86</v>
      </c>
      <c r="J8" s="537" t="n">
        <v>293206.86</v>
      </c>
      <c r="K8" s="537" t="n">
        <v>293206.86</v>
      </c>
      <c r="L8" s="537" t="n">
        <v>293206.86</v>
      </c>
      <c r="M8" s="537" t="n">
        <v>293206.86</v>
      </c>
      <c r="N8" s="537" t="n">
        <v>260706.85</v>
      </c>
    </row>
    <row r="9" ht="15" customFormat="1" customHeight="1" s="381">
      <c r="A9" s="528" t="inlineStr">
        <is>
          <t>Project Supervision Revenue</t>
        </is>
      </c>
      <c r="C9" s="537" t="n">
        <v>0</v>
      </c>
      <c r="D9" s="537" t="n">
        <v>0</v>
      </c>
      <c r="E9" s="537" t="n">
        <v>0</v>
      </c>
      <c r="F9" s="537" t="n">
        <v>0</v>
      </c>
      <c r="G9" s="537" t="n">
        <v>0</v>
      </c>
      <c r="H9" s="537" t="n">
        <v>0</v>
      </c>
      <c r="I9" s="537" t="n">
        <v>0</v>
      </c>
      <c r="J9" s="537" t="n">
        <v>0</v>
      </c>
      <c r="K9" s="537" t="n">
        <v>0</v>
      </c>
      <c r="L9" s="537" t="n">
        <v>0</v>
      </c>
      <c r="M9" s="537" t="n">
        <v>0</v>
      </c>
      <c r="N9" s="537" t="n">
        <v>0</v>
      </c>
    </row>
    <row r="10" ht="15" customFormat="1" customHeight="1" s="381">
      <c r="A10" s="528" t="inlineStr">
        <is>
          <t>GC-CM Fee Revenue</t>
        </is>
      </c>
      <c r="C10" s="537" t="n">
        <v>134573.26</v>
      </c>
      <c r="D10" s="537" t="n">
        <v>149817.92</v>
      </c>
      <c r="E10" s="537" t="n">
        <v>164993.33</v>
      </c>
      <c r="F10" s="537" t="n">
        <v>179495.73</v>
      </c>
      <c r="G10" s="537" t="n">
        <v>230135.69</v>
      </c>
      <c r="H10" s="537" t="n">
        <v>246811.27</v>
      </c>
      <c r="I10" s="537" t="n">
        <v>261045.09</v>
      </c>
      <c r="J10" s="537" t="n">
        <v>272157.23</v>
      </c>
      <c r="K10" s="537" t="n">
        <v>279616.59</v>
      </c>
      <c r="L10" s="537" t="n">
        <v>283097.52</v>
      </c>
      <c r="M10" s="537" t="n">
        <v>282514.62</v>
      </c>
      <c r="N10" s="537" t="n">
        <v>266132.31</v>
      </c>
    </row>
    <row r="11" ht="15" customFormat="1" customHeight="1" s="381">
      <c r="A11" s="528" t="inlineStr">
        <is>
          <t>Project Administration Revenue</t>
        </is>
      </c>
      <c r="C11" s="537" t="n">
        <v>0</v>
      </c>
      <c r="D11" s="537" t="n">
        <v>0</v>
      </c>
      <c r="E11" s="537" t="n">
        <v>0</v>
      </c>
      <c r="F11" s="537" t="n">
        <v>0</v>
      </c>
      <c r="G11" s="537" t="n">
        <v>0</v>
      </c>
      <c r="H11" s="537" t="n">
        <v>0</v>
      </c>
      <c r="I11" s="537" t="n">
        <v>0</v>
      </c>
      <c r="J11" s="537" t="n">
        <v>0</v>
      </c>
      <c r="K11" s="537" t="n">
        <v>0</v>
      </c>
      <c r="L11" s="537" t="n">
        <v>0</v>
      </c>
      <c r="M11" s="537" t="n">
        <v>0</v>
      </c>
      <c r="N11" s="537" t="n">
        <v>0</v>
      </c>
    </row>
    <row r="12" ht="15" customFormat="1" customHeight="1" s="381">
      <c r="A12" s="536" t="inlineStr">
        <is>
          <t>Trades and Site Cost Billing</t>
        </is>
      </c>
      <c r="C12" s="537" t="n">
        <v>2653995.85</v>
      </c>
      <c r="D12" s="537" t="n">
        <v>2933528.7</v>
      </c>
      <c r="E12" s="537" t="n">
        <v>3209528.94</v>
      </c>
      <c r="F12" s="537" t="n">
        <v>3471205.82</v>
      </c>
      <c r="G12" s="537" t="n">
        <v>4411909.08</v>
      </c>
      <c r="H12" s="537" t="n">
        <v>4713320.79</v>
      </c>
      <c r="I12" s="537" t="n">
        <v>4969335.52</v>
      </c>
      <c r="J12" s="537" t="n">
        <v>5167809.94</v>
      </c>
      <c r="K12" s="537" t="n">
        <v>5299239.86</v>
      </c>
      <c r="L12" s="537" t="n">
        <v>5357779.86</v>
      </c>
      <c r="M12" s="537" t="n">
        <v>5341883.63</v>
      </c>
      <c r="N12" s="537" t="n">
        <v>4998563.51</v>
      </c>
    </row>
    <row r="13" ht="15" customFormat="1" customHeight="1" s="381">
      <c r="A13" s="502" t="inlineStr">
        <is>
          <t>Total Revenues</t>
        </is>
      </c>
      <c r="C13" s="537" t="n">
        <v>2978255.74</v>
      </c>
      <c r="D13" s="537" t="n">
        <v>3273033.25</v>
      </c>
      <c r="E13" s="537" t="n">
        <v>3564208.9</v>
      </c>
      <c r="F13" s="537" t="n">
        <v>3840388.18</v>
      </c>
      <c r="G13" s="537" t="n">
        <v>4935251.63</v>
      </c>
      <c r="H13" s="537" t="n">
        <v>5253338.92</v>
      </c>
      <c r="I13" s="537" t="n">
        <v>5523587.47</v>
      </c>
      <c r="J13" s="537" t="n">
        <v>5733174.03</v>
      </c>
      <c r="K13" s="537" t="n">
        <v>5872063.31</v>
      </c>
      <c r="L13" s="537" t="n">
        <v>5934084.24</v>
      </c>
      <c r="M13" s="537" t="n">
        <v>5917605.11</v>
      </c>
      <c r="N13" s="537" t="n">
        <v>5525402.67</v>
      </c>
    </row>
    <row r="14" ht="15" customFormat="1" customHeight="1" s="381">
      <c r="A14" s="505" t="inlineStr">
        <is>
          <t>COGS — Trades &amp; Site Costs</t>
        </is>
      </c>
      <c r="C14" s="537" t="n">
        <v>-2653995.85</v>
      </c>
      <c r="D14" s="537" t="n">
        <v>-2933528.7</v>
      </c>
      <c r="E14" s="537" t="n">
        <v>-3209528.94</v>
      </c>
      <c r="F14" s="537" t="n">
        <v>-3471205.82</v>
      </c>
      <c r="G14" s="537" t="n">
        <v>-4411909.08</v>
      </c>
      <c r="H14" s="537" t="n">
        <v>-4713320.79</v>
      </c>
      <c r="I14" s="537" t="n">
        <v>-4969335.52</v>
      </c>
      <c r="J14" s="537" t="n">
        <v>-5167809.94</v>
      </c>
      <c r="K14" s="537" t="n">
        <v>-5299239.86</v>
      </c>
      <c r="L14" s="537" t="n">
        <v>-5357779.86</v>
      </c>
      <c r="M14" s="537" t="n">
        <v>-5341883.63</v>
      </c>
      <c r="N14" s="537" t="n">
        <v>-4998563.51</v>
      </c>
    </row>
    <row r="15" ht="15" customFormat="1" customHeight="1" s="381">
      <c r="A15" s="528" t="inlineStr">
        <is>
          <t>Bonding Revenue</t>
        </is>
      </c>
      <c r="C15" s="537" t="n">
        <v>0</v>
      </c>
      <c r="D15" s="537" t="n">
        <v>0</v>
      </c>
      <c r="E15" s="537" t="n">
        <v>0</v>
      </c>
      <c r="F15" s="537" t="n">
        <v>0</v>
      </c>
      <c r="G15" s="537" t="n">
        <v>0</v>
      </c>
      <c r="H15" s="537" t="n">
        <v>0</v>
      </c>
      <c r="I15" s="537" t="n">
        <v>0</v>
      </c>
      <c r="J15" s="537" t="n">
        <v>0</v>
      </c>
      <c r="K15" s="537" t="n">
        <v>0</v>
      </c>
      <c r="L15" s="537" t="n">
        <v>0</v>
      </c>
      <c r="M15" s="537" t="n">
        <v>0</v>
      </c>
      <c r="N15" s="537" t="n">
        <v>0</v>
      </c>
    </row>
    <row r="16" ht="15" customFormat="1" customHeight="1" s="381">
      <c r="A16" s="528" t="inlineStr">
        <is>
          <t>Bonding Costs</t>
        </is>
      </c>
      <c r="C16" s="537" t="n">
        <v>0</v>
      </c>
      <c r="D16" s="537" t="n">
        <v>0</v>
      </c>
      <c r="E16" s="537" t="n">
        <v>0</v>
      </c>
      <c r="F16" s="537" t="n">
        <v>0</v>
      </c>
      <c r="G16" s="537" t="n">
        <v>0</v>
      </c>
      <c r="H16" s="537" t="n">
        <v>0</v>
      </c>
      <c r="I16" s="537" t="n">
        <v>0</v>
      </c>
      <c r="J16" s="537" t="n">
        <v>0</v>
      </c>
      <c r="K16" s="537" t="n">
        <v>0</v>
      </c>
      <c r="L16" s="537" t="n">
        <v>0</v>
      </c>
      <c r="M16" s="537" t="n">
        <v>0</v>
      </c>
      <c r="N16" s="537" t="n">
        <v>0</v>
      </c>
    </row>
    <row r="17" ht="15" customFormat="1" customHeight="1" s="381">
      <c r="A17" s="502" t="inlineStr">
        <is>
          <t>Gross Profit</t>
        </is>
      </c>
      <c r="C17" s="537" t="n">
        <v>324259.89</v>
      </c>
      <c r="D17" s="537" t="n">
        <v>339504.55</v>
      </c>
      <c r="E17" s="537" t="n">
        <v>354679.96</v>
      </c>
      <c r="F17" s="537" t="n">
        <v>369182.36</v>
      </c>
      <c r="G17" s="537" t="n">
        <v>523342.55</v>
      </c>
      <c r="H17" s="537" t="n">
        <v>540018.13</v>
      </c>
      <c r="I17" s="537" t="n">
        <v>554251.95</v>
      </c>
      <c r="J17" s="537" t="n">
        <v>565364.09</v>
      </c>
      <c r="K17" s="537" t="n">
        <v>572823.45</v>
      </c>
      <c r="L17" s="537" t="n">
        <v>576304.38</v>
      </c>
      <c r="M17" s="537" t="n">
        <v>575721.48</v>
      </c>
      <c r="N17" s="537" t="n">
        <v>526839.16</v>
      </c>
    </row>
    <row r="18" ht="15" customFormat="1" customHeight="1" s="381">
      <c r="A18" s="536" t="inlineStr">
        <is>
          <t>GC Gross Profit Margin %</t>
        </is>
      </c>
      <c r="C18" s="538" t="n">
        <v>0.11</v>
      </c>
      <c r="D18" s="538" t="n">
        <v>0.1</v>
      </c>
      <c r="E18" s="538" t="n">
        <v>0.1</v>
      </c>
      <c r="F18" s="538" t="n">
        <v>0.1</v>
      </c>
      <c r="G18" s="538" t="n">
        <v>0.11</v>
      </c>
      <c r="H18" s="538" t="n">
        <v>0.1</v>
      </c>
      <c r="I18" s="538" t="n">
        <v>0.1</v>
      </c>
      <c r="J18" s="538" t="n">
        <v>0.1</v>
      </c>
      <c r="K18" s="538" t="n">
        <v>0.1</v>
      </c>
      <c r="L18" s="538" t="n">
        <v>0.1</v>
      </c>
      <c r="M18" s="538" t="n">
        <v>0.1</v>
      </c>
      <c r="N18" s="538" t="n">
        <v>0.1</v>
      </c>
    </row>
    <row r="21" ht="15" customFormat="1" customHeight="1" s="381">
      <c r="A21" s="528" t="inlineStr">
        <is>
          <t>5000-1000 Payroll</t>
        </is>
      </c>
      <c r="C21" s="537" t="n">
        <v>-176250.01</v>
      </c>
      <c r="D21" s="537" t="n">
        <v>-176250.01</v>
      </c>
      <c r="E21" s="537" t="n">
        <v>-176250.01</v>
      </c>
      <c r="F21" s="537" t="n">
        <v>-176250.01</v>
      </c>
      <c r="G21" s="537" t="n">
        <v>-176250.01</v>
      </c>
      <c r="H21" s="537" t="n">
        <v>-176250.01</v>
      </c>
      <c r="I21" s="537" t="n">
        <v>-176250.01</v>
      </c>
      <c r="J21" s="537" t="n">
        <v>-176250.01</v>
      </c>
      <c r="K21" s="537" t="n">
        <v>-176250.01</v>
      </c>
      <c r="L21" s="537" t="n">
        <v>-176250.01</v>
      </c>
      <c r="M21" s="537" t="n">
        <v>-176250.01</v>
      </c>
      <c r="N21" s="537" t="n">
        <v>-176250.01</v>
      </c>
    </row>
    <row r="22" ht="15" customFormat="1" customHeight="1" s="381">
      <c r="A22" s="528" t="inlineStr">
        <is>
          <t>5000-1001 Payroll Taxes</t>
        </is>
      </c>
      <c r="C22" s="537" t="n">
        <v>-26437.5</v>
      </c>
      <c r="D22" s="537" t="n">
        <v>-26437.5</v>
      </c>
      <c r="E22" s="537" t="n">
        <v>-26437.5</v>
      </c>
      <c r="F22" s="537" t="n">
        <v>-26437.5</v>
      </c>
      <c r="G22" s="537" t="n">
        <v>-26437.5</v>
      </c>
      <c r="H22" s="537" t="n">
        <v>-26437.5</v>
      </c>
      <c r="I22" s="537" t="n">
        <v>-26437.5</v>
      </c>
      <c r="J22" s="537" t="n">
        <v>-26437.5</v>
      </c>
      <c r="K22" s="537" t="n">
        <v>-26437.5</v>
      </c>
      <c r="L22" s="537" t="n">
        <v>-26437.5</v>
      </c>
      <c r="M22" s="537" t="n">
        <v>-26437.5</v>
      </c>
      <c r="N22" s="537" t="n">
        <v>-26437.5</v>
      </c>
    </row>
    <row r="23" ht="15" customFormat="1" customHeight="1" s="381">
      <c r="A23" s="528" t="inlineStr">
        <is>
          <t>SP Allocated to LV</t>
        </is>
      </c>
      <c r="C23" s="537" t="n">
        <v>-58683.33</v>
      </c>
      <c r="D23" s="537" t="n">
        <v>-58683.33</v>
      </c>
      <c r="E23" s="537" t="n">
        <v>-58683.33</v>
      </c>
      <c r="F23" s="537" t="n">
        <v>-58683.33</v>
      </c>
      <c r="G23" s="537" t="n">
        <v>-58683.33</v>
      </c>
      <c r="H23" s="537" t="n">
        <v>-58683.33</v>
      </c>
      <c r="I23" s="537" t="n">
        <v>-58683.33</v>
      </c>
      <c r="J23" s="537" t="n">
        <v>-58683.33</v>
      </c>
      <c r="K23" s="537" t="n">
        <v>-58683.33</v>
      </c>
      <c r="L23" s="537" t="n">
        <v>-58683.33</v>
      </c>
      <c r="M23" s="537" t="n">
        <v>-58683.33</v>
      </c>
      <c r="N23" s="537" t="n">
        <v>-58683.33</v>
      </c>
    </row>
    <row r="24" ht="15" customFormat="1" customHeight="1" s="381">
      <c r="A24" s="528" t="inlineStr">
        <is>
          <t>5000-1002 Employee Benefits</t>
        </is>
      </c>
      <c r="C24" s="537" t="n">
        <v>-25071.7</v>
      </c>
      <c r="D24" s="537" t="n">
        <v>-25071.7</v>
      </c>
      <c r="E24" s="537" t="n">
        <v>-25071.7</v>
      </c>
      <c r="F24" s="537" t="n">
        <v>-25071.7</v>
      </c>
      <c r="G24" s="537" t="n">
        <v>-25071.7</v>
      </c>
      <c r="H24" s="537" t="n">
        <v>-25071.7</v>
      </c>
      <c r="I24" s="537" t="n">
        <v>-25071.7</v>
      </c>
      <c r="J24" s="537" t="n">
        <v>-25071.7</v>
      </c>
      <c r="K24" s="537" t="n">
        <v>-25071.7</v>
      </c>
      <c r="L24" s="537" t="n">
        <v>-25071.7</v>
      </c>
      <c r="M24" s="537" t="n">
        <v>-25071.7</v>
      </c>
      <c r="N24" s="537" t="n">
        <v>-25071.7</v>
      </c>
    </row>
    <row r="25" ht="15" customFormat="1" customHeight="1" s="381">
      <c r="A25" s="528" t="inlineStr">
        <is>
          <t>5000-1003 Workers Comp</t>
        </is>
      </c>
      <c r="C25" s="537" t="n">
        <v>-1731.41</v>
      </c>
      <c r="D25" s="537" t="n">
        <v>-1731.41</v>
      </c>
      <c r="E25" s="537" t="n">
        <v>-1731.41</v>
      </c>
      <c r="F25" s="537" t="n">
        <v>-1731.41</v>
      </c>
      <c r="G25" s="537" t="n">
        <v>-1731.41</v>
      </c>
      <c r="H25" s="537" t="n">
        <v>-1731.41</v>
      </c>
      <c r="I25" s="537" t="n">
        <v>-1731.41</v>
      </c>
      <c r="J25" s="537" t="n">
        <v>-1731.41</v>
      </c>
      <c r="K25" s="537" t="n">
        <v>-1731.41</v>
      </c>
      <c r="L25" s="537" t="n">
        <v>-1731.41</v>
      </c>
      <c r="M25" s="537" t="n">
        <v>-1731.41</v>
      </c>
      <c r="N25" s="537" t="n">
        <v>-1731.41</v>
      </c>
    </row>
    <row r="26" ht="15" customFormat="1" customHeight="1" s="381">
      <c r="A26" s="528" t="inlineStr">
        <is>
          <t>5000-1005 Payroll Servicing Fees</t>
        </is>
      </c>
      <c r="C26" s="537" t="n">
        <v>-1008</v>
      </c>
      <c r="D26" s="537" t="n">
        <v>-1008</v>
      </c>
      <c r="E26" s="537" t="n">
        <v>-1008</v>
      </c>
      <c r="F26" s="537" t="n">
        <v>-1008</v>
      </c>
      <c r="G26" s="537" t="n">
        <v>-1008</v>
      </c>
      <c r="H26" s="537" t="n">
        <v>-1008</v>
      </c>
      <c r="I26" s="537" t="n">
        <v>-1008</v>
      </c>
      <c r="J26" s="537" t="n">
        <v>-1008</v>
      </c>
      <c r="K26" s="537" t="n">
        <v>-1008</v>
      </c>
      <c r="L26" s="537" t="n">
        <v>-1008</v>
      </c>
      <c r="M26" s="537" t="n">
        <v>-1008</v>
      </c>
      <c r="N26" s="537" t="n">
        <v>-1008</v>
      </c>
    </row>
    <row r="27" ht="15" customFormat="1" customHeight="1" s="381">
      <c r="A27" s="528" t="inlineStr">
        <is>
          <t>5000-1007 Payroll - Consultants</t>
        </is>
      </c>
      <c r="C27" s="537" t="n">
        <v>0</v>
      </c>
      <c r="D27" s="537" t="n">
        <v>0</v>
      </c>
      <c r="E27" s="537" t="n">
        <v>0</v>
      </c>
      <c r="F27" s="537" t="n">
        <v>0</v>
      </c>
      <c r="G27" s="537" t="n">
        <v>0</v>
      </c>
      <c r="H27" s="537" t="n">
        <v>0</v>
      </c>
      <c r="I27" s="537" t="n">
        <v>0</v>
      </c>
      <c r="J27" s="537" t="n">
        <v>0</v>
      </c>
      <c r="K27" s="537" t="n">
        <v>0</v>
      </c>
      <c r="L27" s="537" t="n">
        <v>0</v>
      </c>
      <c r="M27" s="537" t="n">
        <v>0</v>
      </c>
      <c r="N27" s="537" t="n">
        <v>0</v>
      </c>
    </row>
    <row r="28" ht="15" customFormat="1" customHeight="1" s="381">
      <c r="A28" s="528" t="inlineStr">
        <is>
          <t>5000-1018 Payroll - Self Performed Trades</t>
        </is>
      </c>
      <c r="C28" s="537" t="n">
        <v>0</v>
      </c>
      <c r="D28" s="537" t="n">
        <v>0</v>
      </c>
      <c r="E28" s="537" t="n">
        <v>0</v>
      </c>
      <c r="F28" s="537" t="n">
        <v>0</v>
      </c>
      <c r="G28" s="537" t="n">
        <v>0</v>
      </c>
      <c r="H28" s="537" t="n">
        <v>0</v>
      </c>
      <c r="I28" s="537" t="n">
        <v>0</v>
      </c>
      <c r="J28" s="537" t="n">
        <v>0</v>
      </c>
      <c r="K28" s="537" t="n">
        <v>0</v>
      </c>
      <c r="L28" s="537" t="n">
        <v>0</v>
      </c>
      <c r="M28" s="537" t="n">
        <v>0</v>
      </c>
      <c r="N28" s="537" t="n">
        <v>0</v>
      </c>
    </row>
    <row r="29" ht="15" customFormat="1" customHeight="1" s="381">
      <c r="A29" s="528" t="inlineStr">
        <is>
          <t>5100-1000 Rent Expense</t>
        </is>
      </c>
      <c r="C29" s="537" t="n">
        <v>-10000</v>
      </c>
      <c r="D29" s="537" t="n">
        <v>-10000</v>
      </c>
      <c r="E29" s="537" t="n">
        <v>-10000</v>
      </c>
      <c r="F29" s="537" t="n">
        <v>-10000</v>
      </c>
      <c r="G29" s="537" t="n">
        <v>-10000</v>
      </c>
      <c r="H29" s="537" t="n">
        <v>-10000</v>
      </c>
      <c r="I29" s="537" t="n">
        <v>-10200</v>
      </c>
      <c r="J29" s="537" t="n">
        <v>-10200</v>
      </c>
      <c r="K29" s="537" t="n">
        <v>-10200</v>
      </c>
      <c r="L29" s="537" t="n">
        <v>-10200</v>
      </c>
      <c r="M29" s="537" t="n">
        <v>-10200</v>
      </c>
      <c r="N29" s="537" t="n">
        <v>-10200</v>
      </c>
    </row>
    <row r="30" ht="15" customFormat="1" customHeight="1" s="381">
      <c r="A30" s="528" t="inlineStr">
        <is>
          <t>5200-1000 Office Supplies and Expenses</t>
        </is>
      </c>
      <c r="C30" s="537" t="n">
        <v>-2800</v>
      </c>
      <c r="D30" s="537" t="n">
        <v>-2800</v>
      </c>
      <c r="E30" s="537" t="n">
        <v>-2800</v>
      </c>
      <c r="F30" s="537" t="n">
        <v>-2800</v>
      </c>
      <c r="G30" s="537" t="n">
        <v>-2800</v>
      </c>
      <c r="H30" s="537" t="n">
        <v>-2800</v>
      </c>
      <c r="I30" s="537" t="n">
        <v>-2856</v>
      </c>
      <c r="J30" s="537" t="n">
        <v>-2856</v>
      </c>
      <c r="K30" s="537" t="n">
        <v>-2856</v>
      </c>
      <c r="L30" s="537" t="n">
        <v>-2856</v>
      </c>
      <c r="M30" s="537" t="n">
        <v>-2856</v>
      </c>
      <c r="N30" s="537" t="n">
        <v>-2856</v>
      </c>
    </row>
    <row r="31" ht="15" customFormat="1" customHeight="1" s="381">
      <c r="A31" s="528" t="inlineStr">
        <is>
          <t>5200-1002 Printing and Reproduction</t>
        </is>
      </c>
      <c r="C31" s="537" t="n">
        <v>0</v>
      </c>
      <c r="D31" s="537" t="n">
        <v>0</v>
      </c>
      <c r="E31" s="537" t="n">
        <v>0</v>
      </c>
      <c r="F31" s="537" t="n">
        <v>0</v>
      </c>
      <c r="G31" s="537" t="n">
        <v>0</v>
      </c>
      <c r="H31" s="537" t="n">
        <v>0</v>
      </c>
      <c r="I31" s="537" t="n">
        <v>0</v>
      </c>
      <c r="J31" s="537" t="n">
        <v>0</v>
      </c>
      <c r="K31" s="537" t="n">
        <v>0</v>
      </c>
      <c r="L31" s="537" t="n">
        <v>0</v>
      </c>
      <c r="M31" s="537" t="n">
        <v>0</v>
      </c>
      <c r="N31" s="537" t="n">
        <v>0</v>
      </c>
    </row>
    <row r="32" ht="15" customFormat="1" customHeight="1" s="381">
      <c r="A32" s="536" t="inlineStr">
        <is>
          <t>5200-1050 Computer and IT Expenses</t>
        </is>
      </c>
      <c r="C32" s="537" t="n">
        <v>-3300</v>
      </c>
      <c r="D32" s="537" t="n">
        <v>-3300</v>
      </c>
      <c r="E32" s="537" t="n">
        <v>-3300</v>
      </c>
      <c r="F32" s="537" t="n">
        <v>-3300</v>
      </c>
      <c r="G32" s="537" t="n">
        <v>-3300</v>
      </c>
      <c r="H32" s="537" t="n">
        <v>-3300</v>
      </c>
      <c r="I32" s="537" t="n">
        <v>-3366</v>
      </c>
      <c r="J32" s="537" t="n">
        <v>-3366</v>
      </c>
      <c r="K32" s="537" t="n">
        <v>-3366</v>
      </c>
      <c r="L32" s="537" t="n">
        <v>-3366</v>
      </c>
      <c r="M32" s="537" t="n">
        <v>-3366</v>
      </c>
      <c r="N32" s="537" t="n">
        <v>-3366</v>
      </c>
    </row>
    <row r="33" ht="15" customFormat="1" customHeight="1" s="381">
      <c r="A33" s="528" t="inlineStr">
        <is>
          <t>5200-1053 IT Software and Subscriptions</t>
        </is>
      </c>
      <c r="C33" s="537" t="n">
        <v>0</v>
      </c>
      <c r="D33" s="537" t="n">
        <v>0</v>
      </c>
      <c r="E33" s="537" t="n">
        <v>0</v>
      </c>
      <c r="F33" s="537" t="n">
        <v>0</v>
      </c>
      <c r="G33" s="537" t="n">
        <v>0</v>
      </c>
      <c r="H33" s="537" t="n">
        <v>0</v>
      </c>
      <c r="I33" s="537" t="n">
        <v>0</v>
      </c>
      <c r="J33" s="537" t="n">
        <v>0</v>
      </c>
      <c r="K33" s="537" t="n">
        <v>0</v>
      </c>
      <c r="L33" s="537" t="n">
        <v>0</v>
      </c>
      <c r="M33" s="537" t="n">
        <v>0</v>
      </c>
      <c r="N33" s="537" t="n">
        <v>0</v>
      </c>
    </row>
    <row r="34" ht="15" customFormat="1" customHeight="1" s="381">
      <c r="A34" s="528" t="inlineStr">
        <is>
          <t>5200-1054 Telephone Expenses</t>
        </is>
      </c>
      <c r="C34" s="537" t="n">
        <v>-300</v>
      </c>
      <c r="D34" s="537" t="n">
        <v>-300</v>
      </c>
      <c r="E34" s="537" t="n">
        <v>-300</v>
      </c>
      <c r="F34" s="537" t="n">
        <v>-300</v>
      </c>
      <c r="G34" s="537" t="n">
        <v>-300</v>
      </c>
      <c r="H34" s="537" t="n">
        <v>-300</v>
      </c>
      <c r="I34" s="537" t="n">
        <v>-306</v>
      </c>
      <c r="J34" s="537" t="n">
        <v>-306</v>
      </c>
      <c r="K34" s="537" t="n">
        <v>-306</v>
      </c>
      <c r="L34" s="537" t="n">
        <v>-306</v>
      </c>
      <c r="M34" s="537" t="n">
        <v>-306</v>
      </c>
      <c r="N34" s="537" t="n">
        <v>-306</v>
      </c>
    </row>
    <row r="35" ht="15" customFormat="1" customHeight="1" s="381">
      <c r="A35" s="528" t="inlineStr">
        <is>
          <t>5300-1050 Meals and Entertainment</t>
        </is>
      </c>
      <c r="C35" s="537" t="n">
        <v>-1500</v>
      </c>
      <c r="D35" s="537" t="n">
        <v>-1500</v>
      </c>
      <c r="E35" s="537" t="n">
        <v>-1500</v>
      </c>
      <c r="F35" s="537" t="n">
        <v>-1500</v>
      </c>
      <c r="G35" s="537" t="n">
        <v>-1500</v>
      </c>
      <c r="H35" s="537" t="n">
        <v>-1500</v>
      </c>
      <c r="I35" s="537" t="n">
        <v>-1530</v>
      </c>
      <c r="J35" s="537" t="n">
        <v>-1530</v>
      </c>
      <c r="K35" s="537" t="n">
        <v>-1530</v>
      </c>
      <c r="L35" s="537" t="n">
        <v>-1530</v>
      </c>
      <c r="M35" s="537" t="n">
        <v>-1530</v>
      </c>
      <c r="N35" s="537" t="n">
        <v>-1530</v>
      </c>
    </row>
    <row r="36" ht="15" customFormat="1" customHeight="1" s="381">
      <c r="A36" s="528" t="inlineStr">
        <is>
          <t>5500-1000 Legal and Professional Fees</t>
        </is>
      </c>
      <c r="C36" s="537" t="n">
        <v>-1000</v>
      </c>
      <c r="D36" s="537" t="n">
        <v>-1000</v>
      </c>
      <c r="E36" s="537" t="n">
        <v>-1000</v>
      </c>
      <c r="F36" s="537" t="n">
        <v>-1000</v>
      </c>
      <c r="G36" s="537" t="n">
        <v>-1000</v>
      </c>
      <c r="H36" s="537" t="n">
        <v>-1000</v>
      </c>
      <c r="I36" s="537" t="n">
        <v>-1020</v>
      </c>
      <c r="J36" s="537" t="n">
        <v>-1020</v>
      </c>
      <c r="K36" s="537" t="n">
        <v>-1020</v>
      </c>
      <c r="L36" s="537" t="n">
        <v>-1020</v>
      </c>
      <c r="M36" s="537" t="n">
        <v>-1020</v>
      </c>
      <c r="N36" s="537" t="n">
        <v>-1020</v>
      </c>
    </row>
    <row r="37" ht="15" customFormat="1" customHeight="1" s="381">
      <c r="A37" s="528" t="inlineStr">
        <is>
          <t>5500-1002 Accounting Consulting and Overhead</t>
        </is>
      </c>
      <c r="C37" s="537" t="n">
        <v>-1000</v>
      </c>
      <c r="D37" s="537" t="n">
        <v>-1000</v>
      </c>
      <c r="E37" s="537" t="n">
        <v>-1000</v>
      </c>
      <c r="F37" s="537" t="n">
        <v>-1000</v>
      </c>
      <c r="G37" s="537" t="n">
        <v>-1000</v>
      </c>
      <c r="H37" s="537" t="n">
        <v>-1000</v>
      </c>
      <c r="I37" s="537" t="n">
        <v>-1020</v>
      </c>
      <c r="J37" s="537" t="n">
        <v>-1020</v>
      </c>
      <c r="K37" s="537" t="n">
        <v>-1020</v>
      </c>
      <c r="L37" s="537" t="n">
        <v>-1020</v>
      </c>
      <c r="M37" s="537" t="n">
        <v>-1020</v>
      </c>
      <c r="N37" s="537" t="n">
        <v>-1020</v>
      </c>
    </row>
    <row r="38" ht="15" customFormat="1" customHeight="1" s="381">
      <c r="A38" s="528" t="inlineStr">
        <is>
          <t>5500-1004 Consultants and Other Professional Expenses</t>
        </is>
      </c>
      <c r="C38" s="537" t="n">
        <v>0</v>
      </c>
      <c r="D38" s="537" t="n">
        <v>0</v>
      </c>
      <c r="E38" s="537" t="n">
        <v>0</v>
      </c>
      <c r="F38" s="537" t="n">
        <v>0</v>
      </c>
      <c r="G38" s="537" t="n">
        <v>0</v>
      </c>
      <c r="H38" s="537" t="n">
        <v>0</v>
      </c>
      <c r="I38" s="537" t="n">
        <v>0</v>
      </c>
      <c r="J38" s="537" t="n">
        <v>0</v>
      </c>
      <c r="K38" s="537" t="n">
        <v>0</v>
      </c>
      <c r="L38" s="537" t="n">
        <v>0</v>
      </c>
      <c r="M38" s="537" t="n">
        <v>0</v>
      </c>
      <c r="N38" s="537" t="n">
        <v>0</v>
      </c>
    </row>
    <row r="39" ht="15" customFormat="1" customHeight="1" s="381">
      <c r="A39" s="528" t="inlineStr">
        <is>
          <t>5500-1050 General Insurance</t>
        </is>
      </c>
      <c r="C39" s="537" t="n">
        <v>-1666.67</v>
      </c>
      <c r="D39" s="537" t="n">
        <v>-1666.67</v>
      </c>
      <c r="E39" s="537" t="n">
        <v>-1666.67</v>
      </c>
      <c r="F39" s="537" t="n">
        <v>-1666.67</v>
      </c>
      <c r="G39" s="537" t="n">
        <v>-1666.67</v>
      </c>
      <c r="H39" s="537" t="n">
        <v>-1666.67</v>
      </c>
      <c r="I39" s="537" t="n">
        <v>-1700</v>
      </c>
      <c r="J39" s="537" t="n">
        <v>-1700</v>
      </c>
      <c r="K39" s="537" t="n">
        <v>-1700</v>
      </c>
      <c r="L39" s="537" t="n">
        <v>-1700</v>
      </c>
      <c r="M39" s="537" t="n">
        <v>-1700</v>
      </c>
      <c r="N39" s="537" t="n">
        <v>-1700</v>
      </c>
    </row>
    <row r="40" ht="15" customFormat="1" customHeight="1" s="381">
      <c r="A40" s="528" t="inlineStr">
        <is>
          <t>5700-1003 Other Utilities</t>
        </is>
      </c>
      <c r="C40" s="537" t="n">
        <v>-1000</v>
      </c>
      <c r="D40" s="537" t="n">
        <v>-1000</v>
      </c>
      <c r="E40" s="537" t="n">
        <v>-1000</v>
      </c>
      <c r="F40" s="537" t="n">
        <v>-1000</v>
      </c>
      <c r="G40" s="537" t="n">
        <v>-1000</v>
      </c>
      <c r="H40" s="537" t="n">
        <v>-1000</v>
      </c>
      <c r="I40" s="537" t="n">
        <v>-1020</v>
      </c>
      <c r="J40" s="537" t="n">
        <v>-1020</v>
      </c>
      <c r="K40" s="537" t="n">
        <v>-1020</v>
      </c>
      <c r="L40" s="537" t="n">
        <v>-1020</v>
      </c>
      <c r="M40" s="537" t="n">
        <v>-1020</v>
      </c>
      <c r="N40" s="537" t="n">
        <v>-1020</v>
      </c>
    </row>
    <row r="41" ht="15" customFormat="1" customHeight="1" s="381">
      <c r="A41" s="528" t="inlineStr">
        <is>
          <t>5800-1003 Consulting Fee</t>
        </is>
      </c>
      <c r="C41" s="537" t="n">
        <v>0</v>
      </c>
      <c r="D41" s="537" t="n">
        <v>0</v>
      </c>
      <c r="E41" s="537" t="n">
        <v>0</v>
      </c>
      <c r="F41" s="537" t="n">
        <v>0</v>
      </c>
      <c r="G41" s="537" t="n">
        <v>0</v>
      </c>
      <c r="H41" s="537" t="n">
        <v>0</v>
      </c>
      <c r="I41" s="537" t="n">
        <v>0</v>
      </c>
      <c r="J41" s="537" t="n">
        <v>0</v>
      </c>
      <c r="K41" s="537" t="n">
        <v>0</v>
      </c>
      <c r="L41" s="537" t="n">
        <v>0</v>
      </c>
      <c r="M41" s="537" t="n">
        <v>0</v>
      </c>
      <c r="N41" s="537" t="n">
        <v>0</v>
      </c>
    </row>
    <row r="42" ht="15" customFormat="1" customHeight="1" s="381">
      <c r="A42" s="528" t="inlineStr">
        <is>
          <t>5900-1000 Security Monitoring</t>
        </is>
      </c>
      <c r="C42" s="537" t="n">
        <v>0</v>
      </c>
      <c r="D42" s="537" t="n">
        <v>0</v>
      </c>
      <c r="E42" s="537" t="n">
        <v>0</v>
      </c>
      <c r="F42" s="537" t="n">
        <v>0</v>
      </c>
      <c r="G42" s="537" t="n">
        <v>0</v>
      </c>
      <c r="H42" s="537" t="n">
        <v>0</v>
      </c>
      <c r="I42" s="537" t="n">
        <v>0</v>
      </c>
      <c r="J42" s="537" t="n">
        <v>0</v>
      </c>
      <c r="K42" s="537" t="n">
        <v>0</v>
      </c>
      <c r="L42" s="537" t="n">
        <v>0</v>
      </c>
      <c r="M42" s="537" t="n">
        <v>0</v>
      </c>
      <c r="N42" s="537" t="n">
        <v>0</v>
      </c>
    </row>
    <row r="43" ht="15" customFormat="1" customHeight="1" s="381">
      <c r="A43" s="528" t="inlineStr">
        <is>
          <t>5900-1002 Repairs and Maintenance</t>
        </is>
      </c>
      <c r="C43" s="537" t="n">
        <v>0</v>
      </c>
      <c r="D43" s="537" t="n">
        <v>0</v>
      </c>
      <c r="E43" s="537" t="n">
        <v>0</v>
      </c>
      <c r="F43" s="537" t="n">
        <v>0</v>
      </c>
      <c r="G43" s="537" t="n">
        <v>0</v>
      </c>
      <c r="H43" s="537" t="n">
        <v>0</v>
      </c>
      <c r="I43" s="537" t="n">
        <v>0</v>
      </c>
      <c r="J43" s="537" t="n">
        <v>0</v>
      </c>
      <c r="K43" s="537" t="n">
        <v>0</v>
      </c>
      <c r="L43" s="537" t="n">
        <v>0</v>
      </c>
      <c r="M43" s="537" t="n">
        <v>0</v>
      </c>
      <c r="N43" s="537" t="n">
        <v>0</v>
      </c>
    </row>
    <row r="44" ht="15" customFormat="1" customHeight="1" s="381">
      <c r="A44" s="528" t="inlineStr">
        <is>
          <t>5900-1003 Janitorial and Cleaning Expenses</t>
        </is>
      </c>
      <c r="C44" s="537" t="n">
        <v>0</v>
      </c>
      <c r="D44" s="537" t="n">
        <v>0</v>
      </c>
      <c r="E44" s="537" t="n">
        <v>0</v>
      </c>
      <c r="F44" s="537" t="n">
        <v>0</v>
      </c>
      <c r="G44" s="537" t="n">
        <v>0</v>
      </c>
      <c r="H44" s="537" t="n">
        <v>0</v>
      </c>
      <c r="I44" s="537" t="n">
        <v>0</v>
      </c>
      <c r="J44" s="537" t="n">
        <v>0</v>
      </c>
      <c r="K44" s="537" t="n">
        <v>0</v>
      </c>
      <c r="L44" s="537" t="n">
        <v>0</v>
      </c>
      <c r="M44" s="537" t="n">
        <v>0</v>
      </c>
      <c r="N44" s="537" t="n">
        <v>0</v>
      </c>
    </row>
    <row r="45" ht="15" customFormat="1" customHeight="1" s="381">
      <c r="A45" s="536" t="inlineStr">
        <is>
          <t>5900-1005 Supplies and Other Job Site Overhead</t>
        </is>
      </c>
      <c r="C45" s="537" t="n">
        <v>-4166.67</v>
      </c>
      <c r="D45" s="537" t="n">
        <v>-4166.67</v>
      </c>
      <c r="E45" s="537" t="n">
        <v>-4166.67</v>
      </c>
      <c r="F45" s="537" t="n">
        <v>-4166.67</v>
      </c>
      <c r="G45" s="537" t="n">
        <v>-4166.67</v>
      </c>
      <c r="H45" s="537" t="n">
        <v>-4166.67</v>
      </c>
      <c r="I45" s="537" t="n">
        <v>-4250</v>
      </c>
      <c r="J45" s="537" t="n">
        <v>-4250</v>
      </c>
      <c r="K45" s="537" t="n">
        <v>-4250</v>
      </c>
      <c r="L45" s="537" t="n">
        <v>-4250</v>
      </c>
      <c r="M45" s="537" t="n">
        <v>-4250</v>
      </c>
      <c r="N45" s="537" t="n">
        <v>-4250</v>
      </c>
    </row>
    <row r="46" ht="15" customFormat="1" customHeight="1" s="381">
      <c r="A46" s="536" t="inlineStr">
        <is>
          <t>5900-1006 Auto and Truck Expense</t>
        </is>
      </c>
      <c r="C46" s="537" t="n">
        <v>-1000</v>
      </c>
      <c r="D46" s="537" t="n">
        <v>-1000</v>
      </c>
      <c r="E46" s="537" t="n">
        <v>-1000</v>
      </c>
      <c r="F46" s="537" t="n">
        <v>-1000</v>
      </c>
      <c r="G46" s="537" t="n">
        <v>-1000</v>
      </c>
      <c r="H46" s="537" t="n">
        <v>-1000</v>
      </c>
      <c r="I46" s="537" t="n">
        <v>-1020</v>
      </c>
      <c r="J46" s="537" t="n">
        <v>-1020</v>
      </c>
      <c r="K46" s="537" t="n">
        <v>-1020</v>
      </c>
      <c r="L46" s="537" t="n">
        <v>-1020</v>
      </c>
      <c r="M46" s="537" t="n">
        <v>-1020</v>
      </c>
      <c r="N46" s="537" t="n">
        <v>-1020</v>
      </c>
    </row>
    <row r="47" ht="15" customFormat="1" customHeight="1" s="381">
      <c r="A47" s="536" t="inlineStr">
        <is>
          <t>5900-1007 Landscaping</t>
        </is>
      </c>
      <c r="C47" s="537" t="n">
        <v>0</v>
      </c>
      <c r="D47" s="537" t="n">
        <v>0</v>
      </c>
      <c r="E47" s="537" t="n">
        <v>0</v>
      </c>
      <c r="F47" s="537" t="n">
        <v>0</v>
      </c>
      <c r="G47" s="537" t="n">
        <v>0</v>
      </c>
      <c r="H47" s="537" t="n">
        <v>0</v>
      </c>
      <c r="I47" s="537" t="n">
        <v>0</v>
      </c>
      <c r="J47" s="537" t="n">
        <v>0</v>
      </c>
      <c r="K47" s="537" t="n">
        <v>0</v>
      </c>
      <c r="L47" s="537" t="n">
        <v>0</v>
      </c>
      <c r="M47" s="537" t="n">
        <v>0</v>
      </c>
      <c r="N47" s="537" t="n">
        <v>0</v>
      </c>
    </row>
    <row r="48" ht="15" customFormat="1" customHeight="1" s="381">
      <c r="A48" s="536" t="inlineStr">
        <is>
          <t>5900-1040 Warranty and Other Job Adjustments</t>
        </is>
      </c>
      <c r="C48" s="537" t="n">
        <v>-4166.67</v>
      </c>
      <c r="D48" s="537" t="n">
        <v>-4166.67</v>
      </c>
      <c r="E48" s="537" t="n">
        <v>-4166.67</v>
      </c>
      <c r="F48" s="537" t="n">
        <v>-4166.67</v>
      </c>
      <c r="G48" s="537" t="n">
        <v>-4166.67</v>
      </c>
      <c r="H48" s="537" t="n">
        <v>-4166.67</v>
      </c>
      <c r="I48" s="537" t="n">
        <v>-4250</v>
      </c>
      <c r="J48" s="537" t="n">
        <v>-4250</v>
      </c>
      <c r="K48" s="537" t="n">
        <v>-4250</v>
      </c>
      <c r="L48" s="537" t="n">
        <v>-4250</v>
      </c>
      <c r="M48" s="537" t="n">
        <v>-4250</v>
      </c>
      <c r="N48" s="537" t="n">
        <v>-4250</v>
      </c>
    </row>
    <row r="49" ht="15" customFormat="1" customHeight="1" s="381">
      <c r="A49" s="536" t="inlineStr">
        <is>
          <t>5900-1075 Miscellaneous Expense</t>
        </is>
      </c>
      <c r="C49" s="537" t="n">
        <v>0</v>
      </c>
      <c r="D49" s="537" t="n">
        <v>0</v>
      </c>
      <c r="E49" s="537" t="n">
        <v>0</v>
      </c>
      <c r="F49" s="537" t="n">
        <v>0</v>
      </c>
      <c r="G49" s="537" t="n">
        <v>0</v>
      </c>
      <c r="H49" s="537" t="n">
        <v>0</v>
      </c>
      <c r="I49" s="537" t="n">
        <v>0</v>
      </c>
      <c r="J49" s="537" t="n">
        <v>0</v>
      </c>
      <c r="K49" s="537" t="n">
        <v>0</v>
      </c>
      <c r="L49" s="537" t="n">
        <v>0</v>
      </c>
      <c r="M49" s="537" t="n">
        <v>0</v>
      </c>
      <c r="N49" s="537" t="n">
        <v>0</v>
      </c>
    </row>
    <row r="50" ht="15" customFormat="1" customHeight="1" s="381">
      <c r="A50" s="536" t="inlineStr">
        <is>
          <t>5900-1080 Bank Service Charges</t>
        </is>
      </c>
      <c r="C50" s="537" t="n">
        <v>-166.67</v>
      </c>
      <c r="D50" s="537" t="n">
        <v>-166.67</v>
      </c>
      <c r="E50" s="537" t="n">
        <v>-166.67</v>
      </c>
      <c r="F50" s="537" t="n">
        <v>-166.67</v>
      </c>
      <c r="G50" s="537" t="n">
        <v>-166.67</v>
      </c>
      <c r="H50" s="537" t="n">
        <v>-166.67</v>
      </c>
      <c r="I50" s="537" t="n">
        <v>-170</v>
      </c>
      <c r="J50" s="537" t="n">
        <v>-170</v>
      </c>
      <c r="K50" s="537" t="n">
        <v>-170</v>
      </c>
      <c r="L50" s="537" t="n">
        <v>-170</v>
      </c>
      <c r="M50" s="537" t="n">
        <v>-170</v>
      </c>
      <c r="N50" s="537" t="n">
        <v>-170</v>
      </c>
    </row>
    <row r="51" ht="15" customFormat="1" customHeight="1" s="381">
      <c r="A51" s="536" t="inlineStr">
        <is>
          <t>5900-3000 Charitable Contribution</t>
        </is>
      </c>
      <c r="C51" s="537" t="n">
        <v>0</v>
      </c>
      <c r="D51" s="537" t="n">
        <v>0</v>
      </c>
      <c r="E51" s="537" t="n">
        <v>0</v>
      </c>
      <c r="F51" s="537" t="n">
        <v>0</v>
      </c>
      <c r="G51" s="537" t="n">
        <v>0</v>
      </c>
      <c r="H51" s="537" t="n">
        <v>0</v>
      </c>
      <c r="I51" s="537" t="n">
        <v>0</v>
      </c>
      <c r="J51" s="537" t="n">
        <v>0</v>
      </c>
      <c r="K51" s="537" t="n">
        <v>0</v>
      </c>
      <c r="L51" s="537" t="n">
        <v>0</v>
      </c>
      <c r="M51" s="537" t="n">
        <v>0</v>
      </c>
      <c r="N51" s="537" t="n">
        <v>0</v>
      </c>
    </row>
    <row r="52" ht="15" customFormat="1" customHeight="1" s="381">
      <c r="A52" s="505" t="inlineStr">
        <is>
          <t>BD Commission</t>
        </is>
      </c>
      <c r="C52" s="537" t="n">
        <v>0</v>
      </c>
      <c r="D52" s="537" t="n">
        <v>0</v>
      </c>
      <c r="E52" s="537" t="n">
        <v>0</v>
      </c>
      <c r="F52" s="537" t="n">
        <v>0</v>
      </c>
      <c r="G52" s="537" t="n">
        <v>0</v>
      </c>
      <c r="H52" s="537" t="n">
        <v>0</v>
      </c>
      <c r="I52" s="537" t="n">
        <v>0</v>
      </c>
      <c r="J52" s="537" t="n">
        <v>0</v>
      </c>
      <c r="K52" s="537" t="n">
        <v>0</v>
      </c>
      <c r="L52" s="537" t="n">
        <v>0</v>
      </c>
      <c r="M52" s="537" t="n">
        <v>0</v>
      </c>
      <c r="N52" s="537" t="n">
        <v>0</v>
      </c>
    </row>
    <row r="53" ht="15" customFormat="1" customHeight="1" s="381">
      <c r="A53" s="539" t="inlineStr">
        <is>
          <t>8200-2000 State Tax and Fees</t>
        </is>
      </c>
      <c r="C53" s="537" t="n">
        <v>-416.67</v>
      </c>
      <c r="D53" s="537" t="n">
        <v>-416.67</v>
      </c>
      <c r="E53" s="537" t="n">
        <v>-416.67</v>
      </c>
      <c r="F53" s="537" t="n">
        <v>-416.67</v>
      </c>
      <c r="G53" s="537" t="n">
        <v>-416.67</v>
      </c>
      <c r="H53" s="537" t="n">
        <v>-416.67</v>
      </c>
      <c r="I53" s="537" t="n">
        <v>-425</v>
      </c>
      <c r="J53" s="537" t="n">
        <v>-425</v>
      </c>
      <c r="K53" s="537" t="n">
        <v>-425</v>
      </c>
      <c r="L53" s="537" t="n">
        <v>-425</v>
      </c>
      <c r="M53" s="537" t="n">
        <v>-425</v>
      </c>
      <c r="N53" s="537" t="n">
        <v>-425</v>
      </c>
    </row>
    <row r="54" ht="15" customFormat="1" customHeight="1" s="381">
      <c r="A54" s="539" t="inlineStr">
        <is>
          <t>GC Placeholder — Future Cost C</t>
        </is>
      </c>
      <c r="C54" s="537" t="n">
        <v>0</v>
      </c>
      <c r="D54" s="537" t="n">
        <v>0</v>
      </c>
      <c r="E54" s="537" t="n">
        <v>0</v>
      </c>
      <c r="F54" s="537" t="n">
        <v>0</v>
      </c>
      <c r="G54" s="537" t="n">
        <v>0</v>
      </c>
      <c r="H54" s="537" t="n">
        <v>0</v>
      </c>
      <c r="I54" s="537" t="n">
        <v>0</v>
      </c>
      <c r="J54" s="537" t="n">
        <v>0</v>
      </c>
      <c r="K54" s="537" t="n">
        <v>0</v>
      </c>
      <c r="L54" s="537" t="n">
        <v>0</v>
      </c>
      <c r="M54" s="537" t="n">
        <v>0</v>
      </c>
      <c r="N54" s="537" t="n">
        <v>0</v>
      </c>
    </row>
    <row r="55" ht="15" customFormat="1" customHeight="1" s="381">
      <c r="A55" s="502" t="inlineStr">
        <is>
          <t>Total GC Costs</t>
        </is>
      </c>
      <c r="C55" s="537" t="n">
        <v>-321665.3</v>
      </c>
      <c r="D55" s="537" t="n">
        <v>-321665.3</v>
      </c>
      <c r="E55" s="537" t="n">
        <v>-321665.3</v>
      </c>
      <c r="F55" s="537" t="n">
        <v>-321665.3</v>
      </c>
      <c r="G55" s="537" t="n">
        <v>-321665.3</v>
      </c>
      <c r="H55" s="537" t="n">
        <v>-321665.3</v>
      </c>
      <c r="I55" s="537" t="n">
        <v>-322314.95</v>
      </c>
      <c r="J55" s="537" t="n">
        <v>-322314.95</v>
      </c>
      <c r="K55" s="537" t="n">
        <v>-322314.95</v>
      </c>
      <c r="L55" s="537" t="n">
        <v>-322314.95</v>
      </c>
      <c r="M55" s="537" t="n">
        <v>-322314.95</v>
      </c>
      <c r="N55" s="537" t="n">
        <v>-322314.95</v>
      </c>
    </row>
    <row r="57" ht="15" customFormat="1" customHeight="1" s="381">
      <c r="A57" s="505" t="inlineStr">
        <is>
          <t>GC Net Income</t>
        </is>
      </c>
      <c r="C57" s="537" t="n">
        <v>2594.59</v>
      </c>
      <c r="D57" s="537" t="n">
        <v>17839.25</v>
      </c>
      <c r="E57" s="537" t="n">
        <v>33014.66</v>
      </c>
      <c r="F57" s="537" t="n">
        <v>47517.06</v>
      </c>
      <c r="G57" s="537" t="n">
        <v>201677.25</v>
      </c>
      <c r="H57" s="537" t="n">
        <v>218352.83</v>
      </c>
      <c r="I57" s="537" t="n">
        <v>231937</v>
      </c>
      <c r="J57" s="537" t="n">
        <v>243049.14</v>
      </c>
      <c r="K57" s="537" t="n">
        <v>250508.5</v>
      </c>
      <c r="L57" s="537" t="n">
        <v>253989.43</v>
      </c>
      <c r="M57" s="537" t="n">
        <v>253406.53</v>
      </c>
      <c r="N57" s="537" t="n">
        <v>204524.21</v>
      </c>
    </row>
    <row r="58" ht="15" customFormat="1" customHeight="1" s="381">
      <c r="A58" s="536" t="inlineStr">
        <is>
          <t>GC Net Profit Margin %</t>
        </is>
      </c>
      <c r="C58" s="538" t="n">
        <v>0</v>
      </c>
      <c r="D58" s="538" t="n">
        <v>0.01</v>
      </c>
      <c r="E58" s="538" t="n">
        <v>0.01</v>
      </c>
      <c r="F58" s="538" t="n">
        <v>0.01</v>
      </c>
      <c r="G58" s="538" t="n">
        <v>0.04</v>
      </c>
      <c r="H58" s="538" t="n">
        <v>0.04</v>
      </c>
      <c r="I58" s="538" t="n">
        <v>0.04</v>
      </c>
      <c r="J58" s="538" t="n">
        <v>0.04</v>
      </c>
      <c r="K58" s="538" t="n">
        <v>0.04</v>
      </c>
      <c r="L58" s="538" t="n">
        <v>0.04</v>
      </c>
      <c r="M58" s="538" t="n">
        <v>0.04</v>
      </c>
      <c r="N58" s="538" t="n">
        <v>0.04</v>
      </c>
    </row>
    <row r="63" ht="15" customFormat="1" customHeight="1" s="381">
      <c r="A63" s="528" t="inlineStr">
        <is>
          <t>Non-Cash Revenue Items</t>
        </is>
      </c>
      <c r="C63" s="537" t="n">
        <v>0</v>
      </c>
      <c r="D63" s="537" t="n">
        <v>0</v>
      </c>
      <c r="E63" s="537" t="n">
        <v>0</v>
      </c>
      <c r="F63" s="537" t="n">
        <v>0</v>
      </c>
      <c r="G63" s="537" t="n">
        <v>0</v>
      </c>
      <c r="H63" s="537" t="n">
        <v>0</v>
      </c>
      <c r="I63" s="537" t="n">
        <v>0</v>
      </c>
      <c r="J63" s="537" t="n">
        <v>0</v>
      </c>
      <c r="K63" s="537" t="n">
        <v>0</v>
      </c>
      <c r="L63" s="537" t="n">
        <v>0</v>
      </c>
      <c r="M63" s="537" t="n">
        <v>0</v>
      </c>
      <c r="N63" s="537" t="n">
        <v>0</v>
      </c>
    </row>
    <row r="64" ht="15" customFormat="1" customHeight="1" s="381">
      <c r="A64" s="528" t="inlineStr">
        <is>
          <t>Edgemont Management Fee</t>
        </is>
      </c>
      <c r="C64" s="537" t="n">
        <v>833.33</v>
      </c>
      <c r="D64" s="537" t="n">
        <v>833.33</v>
      </c>
      <c r="E64" s="537" t="n">
        <v>833.33</v>
      </c>
      <c r="F64" s="537" t="n">
        <v>833.33</v>
      </c>
      <c r="G64" s="537" t="n">
        <v>833.33</v>
      </c>
      <c r="H64" s="537" t="n">
        <v>833.33</v>
      </c>
      <c r="I64" s="537" t="n">
        <v>833.33</v>
      </c>
      <c r="J64" s="537" t="n">
        <v>833.33</v>
      </c>
      <c r="K64" s="537" t="n">
        <v>833.33</v>
      </c>
      <c r="L64" s="537" t="n">
        <v>833.33</v>
      </c>
      <c r="M64" s="537" t="n">
        <v>833.33</v>
      </c>
      <c r="N64" s="537" t="n">
        <v>833.33</v>
      </c>
    </row>
    <row r="65" ht="15" customFormat="1" customHeight="1" s="381">
      <c r="A65" s="528" t="inlineStr">
        <is>
          <t>Ramsgate Dev Fee - Construction</t>
        </is>
      </c>
      <c r="C65" s="537" t="n">
        <v>36538.46</v>
      </c>
      <c r="D65" s="537" t="n">
        <v>36538.46</v>
      </c>
      <c r="E65" s="537" t="n">
        <v>36538.46</v>
      </c>
      <c r="F65" s="537" t="n">
        <v>36538.46</v>
      </c>
      <c r="G65" s="537" t="n">
        <v>36538.46</v>
      </c>
      <c r="H65" s="537" t="n">
        <v>36538.46</v>
      </c>
      <c r="I65" s="537" t="n">
        <v>36538.46</v>
      </c>
      <c r="J65" s="537" t="n">
        <v>36538.46</v>
      </c>
      <c r="K65" s="537" t="n">
        <v>36538.46</v>
      </c>
      <c r="L65" s="537" t="n">
        <v>36538.46</v>
      </c>
      <c r="M65" s="537" t="n">
        <v>36538.46</v>
      </c>
      <c r="N65" s="537" t="n">
        <v>36538.46</v>
      </c>
    </row>
    <row r="66" ht="15" customFormat="1" customHeight="1" s="381">
      <c r="A66" s="528" t="inlineStr">
        <is>
          <t>Ramsgate Dev Fee - 20% Occ</t>
        </is>
      </c>
      <c r="C66" s="537" t="n">
        <v>0</v>
      </c>
      <c r="D66" s="537" t="n">
        <v>0</v>
      </c>
      <c r="E66" s="537" t="n">
        <v>0</v>
      </c>
      <c r="F66" s="537" t="n">
        <v>0</v>
      </c>
      <c r="G66" s="537" t="n">
        <v>0</v>
      </c>
      <c r="H66" s="537" t="n">
        <v>0</v>
      </c>
      <c r="I66" s="537" t="n">
        <v>0</v>
      </c>
      <c r="J66" s="537" t="n">
        <v>0</v>
      </c>
      <c r="K66" s="537" t="n">
        <v>0</v>
      </c>
      <c r="L66" s="537" t="n">
        <v>0</v>
      </c>
      <c r="M66" s="537" t="n">
        <v>0</v>
      </c>
      <c r="N66" s="537" t="n">
        <v>0</v>
      </c>
    </row>
    <row r="67" ht="15" customFormat="1" customHeight="1" s="381">
      <c r="A67" s="528" t="inlineStr">
        <is>
          <t>Ramsgate Dev Fee - 50% Occ</t>
        </is>
      </c>
      <c r="C67" s="537" t="n">
        <v>0</v>
      </c>
      <c r="D67" s="537" t="n">
        <v>0</v>
      </c>
      <c r="E67" s="537" t="n">
        <v>0</v>
      </c>
      <c r="F67" s="537" t="n">
        <v>0</v>
      </c>
      <c r="G67" s="537" t="n">
        <v>0</v>
      </c>
      <c r="H67" s="537" t="n">
        <v>0</v>
      </c>
      <c r="I67" s="537" t="n">
        <v>0</v>
      </c>
      <c r="J67" s="537" t="n">
        <v>0</v>
      </c>
      <c r="K67" s="537" t="n">
        <v>0</v>
      </c>
      <c r="L67" s="537" t="n">
        <v>0</v>
      </c>
      <c r="M67" s="537" t="n">
        <v>0</v>
      </c>
      <c r="N67" s="537" t="n">
        <v>0</v>
      </c>
    </row>
    <row r="68" ht="15" customFormat="1" customHeight="1" s="381">
      <c r="A68" s="528" t="inlineStr">
        <is>
          <t>Ramsgate Dev Fee - 90% Occ</t>
        </is>
      </c>
      <c r="C68" s="537" t="n">
        <v>0</v>
      </c>
      <c r="D68" s="537" t="n">
        <v>0</v>
      </c>
      <c r="E68" s="537" t="n">
        <v>0</v>
      </c>
      <c r="F68" s="537" t="n">
        <v>0</v>
      </c>
      <c r="G68" s="537" t="n">
        <v>0</v>
      </c>
      <c r="H68" s="537" t="n">
        <v>0</v>
      </c>
      <c r="I68" s="537" t="n">
        <v>0</v>
      </c>
      <c r="J68" s="537" t="n">
        <v>0</v>
      </c>
      <c r="K68" s="537" t="n">
        <v>0</v>
      </c>
      <c r="L68" s="537" t="n">
        <v>0</v>
      </c>
      <c r="M68" s="537" t="n">
        <v>0</v>
      </c>
      <c r="N68" s="537" t="n">
        <v>0</v>
      </c>
    </row>
    <row r="69" ht="15" customFormat="1" customHeight="1" s="381">
      <c r="A69" s="528" t="inlineStr">
        <is>
          <t>Crenshaw Development Fee</t>
        </is>
      </c>
      <c r="C69" s="537" t="n">
        <v>10227.27</v>
      </c>
      <c r="D69" s="537" t="n">
        <v>10227.27</v>
      </c>
      <c r="E69" s="537" t="n">
        <v>10227.27</v>
      </c>
      <c r="F69" s="537" t="n">
        <v>10227.27</v>
      </c>
      <c r="G69" s="537" t="n">
        <v>10227.27</v>
      </c>
      <c r="H69" s="537" t="n">
        <v>10227.27</v>
      </c>
      <c r="I69" s="537" t="n">
        <v>10227.27</v>
      </c>
      <c r="J69" s="537" t="n">
        <v>10227.27</v>
      </c>
      <c r="K69" s="537" t="n">
        <v>10227.27</v>
      </c>
      <c r="L69" s="537" t="n">
        <v>0</v>
      </c>
      <c r="M69" s="537" t="n">
        <v>0</v>
      </c>
      <c r="N69" s="537" t="n">
        <v>0</v>
      </c>
    </row>
    <row r="70" ht="15" customFormat="1" customHeight="1" s="381">
      <c r="A70" s="528" t="inlineStr">
        <is>
          <t>12th &amp; Fir Developer Fee</t>
        </is>
      </c>
      <c r="C70" s="537" t="n">
        <v>0</v>
      </c>
      <c r="D70" s="537" t="n">
        <v>0</v>
      </c>
      <c r="E70" s="537" t="n">
        <v>0</v>
      </c>
      <c r="F70" s="537" t="n">
        <v>11875</v>
      </c>
      <c r="G70" s="537" t="n">
        <v>11875</v>
      </c>
      <c r="H70" s="537" t="n">
        <v>11875</v>
      </c>
      <c r="I70" s="537" t="n">
        <v>11875</v>
      </c>
      <c r="J70" s="537" t="n">
        <v>11875</v>
      </c>
      <c r="K70" s="537" t="n">
        <v>11875</v>
      </c>
      <c r="L70" s="537" t="n">
        <v>11875</v>
      </c>
      <c r="M70" s="537" t="n">
        <v>11875</v>
      </c>
      <c r="N70" s="537" t="n">
        <v>11875</v>
      </c>
    </row>
    <row r="71" ht="15" customFormat="1" customHeight="1" s="381">
      <c r="A71" s="528" t="inlineStr">
        <is>
          <t>Klump Accounting Fee</t>
        </is>
      </c>
      <c r="C71" s="537" t="n">
        <v>0</v>
      </c>
      <c r="D71" s="537" t="n">
        <v>0</v>
      </c>
      <c r="E71" s="537" t="n">
        <v>0</v>
      </c>
      <c r="F71" s="537" t="n">
        <v>0</v>
      </c>
      <c r="G71" s="537" t="n">
        <v>0</v>
      </c>
      <c r="H71" s="537" t="n">
        <v>0</v>
      </c>
      <c r="I71" s="537" t="n">
        <v>0</v>
      </c>
      <c r="J71" s="537" t="n">
        <v>0</v>
      </c>
      <c r="K71" s="537" t="n">
        <v>0</v>
      </c>
      <c r="L71" s="537" t="n">
        <v>0</v>
      </c>
      <c r="M71" s="537" t="n">
        <v>0</v>
      </c>
      <c r="N71" s="537" t="n">
        <v>0</v>
      </c>
    </row>
    <row r="72" ht="15" customFormat="1" customHeight="1" s="381">
      <c r="A72" s="528" t="inlineStr">
        <is>
          <t>Klump Developer Fee</t>
        </is>
      </c>
      <c r="C72" s="537" t="n">
        <v>0</v>
      </c>
      <c r="D72" s="537" t="n">
        <v>0</v>
      </c>
      <c r="E72" s="537" t="n">
        <v>0</v>
      </c>
      <c r="F72" s="537" t="n">
        <v>0</v>
      </c>
      <c r="G72" s="537" t="n">
        <v>0</v>
      </c>
      <c r="H72" s="537" t="n">
        <v>0</v>
      </c>
      <c r="I72" s="537" t="n">
        <v>0</v>
      </c>
      <c r="J72" s="537" t="n">
        <v>0</v>
      </c>
      <c r="K72" s="537" t="n">
        <v>0</v>
      </c>
      <c r="L72" s="537" t="n">
        <v>0</v>
      </c>
      <c r="M72" s="537" t="n">
        <v>0</v>
      </c>
      <c r="N72" s="537" t="n">
        <v>0</v>
      </c>
    </row>
    <row r="73" ht="15" customFormat="1" customHeight="1" s="381">
      <c r="A73" s="528" t="inlineStr">
        <is>
          <t>Klump Guarantee Fee</t>
        </is>
      </c>
      <c r="C73" s="537" t="n">
        <v>0</v>
      </c>
      <c r="D73" s="537" t="n">
        <v>0</v>
      </c>
      <c r="E73" s="537" t="n">
        <v>0</v>
      </c>
      <c r="F73" s="537" t="n">
        <v>0</v>
      </c>
      <c r="G73" s="537" t="n">
        <v>0</v>
      </c>
      <c r="H73" s="537" t="n">
        <v>0</v>
      </c>
      <c r="I73" s="537" t="n">
        <v>0</v>
      </c>
      <c r="J73" s="537" t="n">
        <v>0</v>
      </c>
      <c r="K73" s="537" t="n">
        <v>0</v>
      </c>
      <c r="L73" s="537" t="n">
        <v>0</v>
      </c>
      <c r="M73" s="537" t="n">
        <v>0</v>
      </c>
      <c r="N73" s="537" t="n">
        <v>0</v>
      </c>
    </row>
    <row r="74" ht="15" customFormat="1" customHeight="1" s="381">
      <c r="A74" s="528" t="inlineStr">
        <is>
          <t>Scott Accounting Fee</t>
        </is>
      </c>
      <c r="C74" s="537" t="n">
        <v>0</v>
      </c>
      <c r="D74" s="537" t="n">
        <v>0</v>
      </c>
      <c r="E74" s="537" t="n">
        <v>0</v>
      </c>
      <c r="F74" s="537" t="n">
        <v>0</v>
      </c>
      <c r="G74" s="537" t="n">
        <v>0</v>
      </c>
      <c r="H74" s="537" t="n">
        <v>0</v>
      </c>
      <c r="I74" s="537" t="n">
        <v>0</v>
      </c>
      <c r="J74" s="537" t="n">
        <v>0</v>
      </c>
      <c r="K74" s="537" t="n">
        <v>0</v>
      </c>
      <c r="L74" s="537" t="n">
        <v>0</v>
      </c>
      <c r="M74" s="537" t="n">
        <v>0</v>
      </c>
      <c r="N74" s="537" t="n">
        <v>0</v>
      </c>
    </row>
    <row r="75" ht="15" customFormat="1" customHeight="1" s="381">
      <c r="A75" s="528" t="inlineStr">
        <is>
          <t>Scott Developer Fee</t>
        </is>
      </c>
      <c r="C75" s="537" t="n">
        <v>0</v>
      </c>
      <c r="D75" s="537" t="n">
        <v>0</v>
      </c>
      <c r="E75" s="537" t="n">
        <v>0</v>
      </c>
      <c r="F75" s="537" t="n">
        <v>0</v>
      </c>
      <c r="G75" s="537" t="n">
        <v>0</v>
      </c>
      <c r="H75" s="537" t="n">
        <v>0</v>
      </c>
      <c r="I75" s="537" t="n">
        <v>0</v>
      </c>
      <c r="J75" s="537" t="n">
        <v>0</v>
      </c>
      <c r="K75" s="537" t="n">
        <v>0</v>
      </c>
      <c r="L75" s="537" t="n">
        <v>0</v>
      </c>
      <c r="M75" s="537" t="n">
        <v>0</v>
      </c>
      <c r="N75" s="537" t="n">
        <v>0</v>
      </c>
    </row>
    <row r="76" ht="15" customFormat="1" customHeight="1" s="381">
      <c r="A76" s="528" t="inlineStr">
        <is>
          <t>Scott Guarantee Fee</t>
        </is>
      </c>
      <c r="C76" s="537" t="n">
        <v>0</v>
      </c>
      <c r="D76" s="537" t="n">
        <v>0</v>
      </c>
      <c r="E76" s="537" t="n">
        <v>0</v>
      </c>
      <c r="F76" s="537" t="n">
        <v>0</v>
      </c>
      <c r="G76" s="537" t="n">
        <v>0</v>
      </c>
      <c r="H76" s="537" t="n">
        <v>0</v>
      </c>
      <c r="I76" s="537" t="n">
        <v>0</v>
      </c>
      <c r="J76" s="537" t="n">
        <v>0</v>
      </c>
      <c r="K76" s="537" t="n">
        <v>0</v>
      </c>
      <c r="L76" s="537" t="n">
        <v>0</v>
      </c>
      <c r="M76" s="537" t="n">
        <v>0</v>
      </c>
      <c r="N76" s="537" t="n">
        <v>0</v>
      </c>
    </row>
    <row r="77" ht="15" customFormat="1" customHeight="1" s="381">
      <c r="A77" s="528" t="inlineStr">
        <is>
          <t>Francis LIHTC Revenue (SP Share)</t>
        </is>
      </c>
      <c r="C77" s="537" t="n">
        <v>0</v>
      </c>
      <c r="D77" s="537" t="n">
        <v>0</v>
      </c>
      <c r="E77" s="537" t="n">
        <v>0</v>
      </c>
      <c r="F77" s="537" t="n">
        <v>0</v>
      </c>
      <c r="G77" s="537" t="n">
        <v>0</v>
      </c>
      <c r="H77" s="537" t="n">
        <v>0</v>
      </c>
      <c r="I77" s="537" t="n">
        <v>0</v>
      </c>
      <c r="J77" s="537" t="n">
        <v>0</v>
      </c>
      <c r="K77" s="537" t="n">
        <v>0</v>
      </c>
      <c r="L77" s="537" t="n">
        <v>0</v>
      </c>
      <c r="M77" s="537" t="n">
        <v>0</v>
      </c>
      <c r="N77" s="537" t="n">
        <v>0</v>
      </c>
    </row>
    <row r="78" ht="15" customFormat="1" customHeight="1" s="381">
      <c r="A78" s="528" t="inlineStr">
        <is>
          <t>Reseda LIHTC Revenue (SP Share)</t>
        </is>
      </c>
      <c r="C78" s="537" t="n">
        <v>0</v>
      </c>
      <c r="D78" s="537" t="n">
        <v>0</v>
      </c>
      <c r="E78" s="537" t="n">
        <v>0</v>
      </c>
      <c r="F78" s="537" t="n">
        <v>0</v>
      </c>
      <c r="G78" s="537" t="n">
        <v>0</v>
      </c>
      <c r="H78" s="537" t="n">
        <v>0</v>
      </c>
      <c r="I78" s="537" t="n">
        <v>0</v>
      </c>
      <c r="J78" s="537" t="n">
        <v>0</v>
      </c>
      <c r="K78" s="537" t="n">
        <v>0</v>
      </c>
      <c r="L78" s="537" t="n">
        <v>0</v>
      </c>
      <c r="M78" s="537" t="n">
        <v>0</v>
      </c>
      <c r="N78" s="537" t="n">
        <v>0</v>
      </c>
    </row>
    <row r="79" ht="15" customFormat="1" customHeight="1" s="381">
      <c r="A79" s="528" t="inlineStr">
        <is>
          <t>3rd St LIHTC Revenue (SP Share)</t>
        </is>
      </c>
      <c r="C79" s="537" t="n">
        <v>0</v>
      </c>
      <c r="D79" s="537" t="n">
        <v>0</v>
      </c>
      <c r="E79" s="537" t="n">
        <v>0</v>
      </c>
      <c r="F79" s="537" t="n">
        <v>0</v>
      </c>
      <c r="G79" s="537" t="n">
        <v>0</v>
      </c>
      <c r="H79" s="537" t="n">
        <v>0</v>
      </c>
      <c r="I79" s="537" t="n">
        <v>0</v>
      </c>
      <c r="J79" s="537" t="n">
        <v>0</v>
      </c>
      <c r="K79" s="537" t="n">
        <v>0</v>
      </c>
      <c r="L79" s="537" t="n">
        <v>0</v>
      </c>
      <c r="M79" s="537" t="n">
        <v>0</v>
      </c>
      <c r="N79" s="537" t="n">
        <v>0</v>
      </c>
    </row>
    <row r="80" ht="15" customFormat="1" customHeight="1" s="381">
      <c r="A80" s="528" t="inlineStr">
        <is>
          <t>Uplifters Total to SP</t>
        </is>
      </c>
      <c r="C80" s="537" t="n">
        <v>0</v>
      </c>
      <c r="D80" s="537" t="n">
        <v>0</v>
      </c>
      <c r="E80" s="537" t="n">
        <v>0</v>
      </c>
      <c r="F80" s="537" t="n">
        <v>0</v>
      </c>
      <c r="G80" s="537" t="n">
        <v>0</v>
      </c>
      <c r="H80" s="537" t="n">
        <v>0</v>
      </c>
      <c r="I80" s="537" t="n">
        <v>0</v>
      </c>
      <c r="J80" s="537" t="n">
        <v>0</v>
      </c>
      <c r="K80" s="537" t="n">
        <v>0</v>
      </c>
      <c r="L80" s="537" t="n">
        <v>0</v>
      </c>
      <c r="M80" s="537" t="n">
        <v>0</v>
      </c>
      <c r="N80" s="537" t="n">
        <v>0</v>
      </c>
    </row>
    <row r="81" ht="15" customFormat="1" customHeight="1" s="381">
      <c r="A81" s="502" t="inlineStr">
        <is>
          <t>Total Six Peak Revenue</t>
        </is>
      </c>
      <c r="C81" s="537" t="n">
        <v>47599.06</v>
      </c>
      <c r="D81" s="537" t="n">
        <v>47599.06</v>
      </c>
      <c r="E81" s="537" t="n">
        <v>47599.06</v>
      </c>
      <c r="F81" s="537" t="n">
        <v>59474.06</v>
      </c>
      <c r="G81" s="537" t="n">
        <v>59474.06</v>
      </c>
      <c r="H81" s="537" t="n">
        <v>59474.06</v>
      </c>
      <c r="I81" s="537" t="n">
        <v>59474.06</v>
      </c>
      <c r="J81" s="537" t="n">
        <v>59474.06</v>
      </c>
      <c r="K81" s="537" t="n">
        <v>59474.06</v>
      </c>
      <c r="L81" s="537" t="n">
        <v>49246.79</v>
      </c>
      <c r="M81" s="537" t="n">
        <v>49246.79</v>
      </c>
      <c r="N81" s="537" t="n">
        <v>49246.79</v>
      </c>
    </row>
    <row r="83" ht="15" customFormat="1" customHeight="1" s="381">
      <c r="A83" s="528" t="inlineStr">
        <is>
          <t>5000-1000 Payroll</t>
        </is>
      </c>
      <c r="C83" s="537" t="n">
        <v>-90233.32000000001</v>
      </c>
      <c r="D83" s="537" t="n">
        <v>-90233.32000000001</v>
      </c>
      <c r="E83" s="537" t="n">
        <v>-90233.32000000001</v>
      </c>
      <c r="F83" s="537" t="n">
        <v>-90233.32000000001</v>
      </c>
      <c r="G83" s="537" t="n">
        <v>-90233.32000000001</v>
      </c>
      <c r="H83" s="537" t="n">
        <v>-90233.32000000001</v>
      </c>
      <c r="I83" s="537" t="n">
        <v>-89059.64999999999</v>
      </c>
      <c r="J83" s="537" t="n">
        <v>-89059.64999999999</v>
      </c>
      <c r="K83" s="537" t="n">
        <v>-89059.64999999999</v>
      </c>
      <c r="L83" s="537" t="n">
        <v>-89059.64999999999</v>
      </c>
      <c r="M83" s="537" t="n">
        <v>-89059.64999999999</v>
      </c>
      <c r="N83" s="537" t="n">
        <v>-89059.64999999999</v>
      </c>
    </row>
    <row r="84" ht="15" customFormat="1" customHeight="1" s="381">
      <c r="A84" s="528" t="inlineStr">
        <is>
          <t>5000-1001 Payroll Taxes</t>
        </is>
      </c>
      <c r="C84" s="537" t="n">
        <v>-8125</v>
      </c>
      <c r="D84" s="537" t="n">
        <v>-8125</v>
      </c>
      <c r="E84" s="537" t="n">
        <v>-8125</v>
      </c>
      <c r="F84" s="537" t="n">
        <v>-8125</v>
      </c>
      <c r="G84" s="537" t="n">
        <v>-8125</v>
      </c>
      <c r="H84" s="537" t="n">
        <v>-8125</v>
      </c>
      <c r="I84" s="537" t="n">
        <v>-8125</v>
      </c>
      <c r="J84" s="537" t="n">
        <v>-8125</v>
      </c>
      <c r="K84" s="537" t="n">
        <v>-8125</v>
      </c>
      <c r="L84" s="537" t="n">
        <v>-8125</v>
      </c>
      <c r="M84" s="537" t="n">
        <v>-8125</v>
      </c>
      <c r="N84" s="537" t="n">
        <v>-8125</v>
      </c>
    </row>
    <row r="85" ht="15" customFormat="1" customHeight="1" s="381">
      <c r="A85" s="528" t="inlineStr">
        <is>
          <t>5000-1002 Employee Benefits</t>
        </is>
      </c>
      <c r="C85" s="537" t="n">
        <v>-6554.17</v>
      </c>
      <c r="D85" s="537" t="n">
        <v>-6554.17</v>
      </c>
      <c r="E85" s="537" t="n">
        <v>-6554.17</v>
      </c>
      <c r="F85" s="537" t="n">
        <v>-6554.17</v>
      </c>
      <c r="G85" s="537" t="n">
        <v>-6554.17</v>
      </c>
      <c r="H85" s="537" t="n">
        <v>-6554.17</v>
      </c>
      <c r="I85" s="537" t="n">
        <v>-6554.17</v>
      </c>
      <c r="J85" s="537" t="n">
        <v>-6554.17</v>
      </c>
      <c r="K85" s="537" t="n">
        <v>-6554.17</v>
      </c>
      <c r="L85" s="537" t="n">
        <v>-6554.17</v>
      </c>
      <c r="M85" s="537" t="n">
        <v>-6554.17</v>
      </c>
      <c r="N85" s="537" t="n">
        <v>-6554.17</v>
      </c>
    </row>
    <row r="86" ht="15" customFormat="1" customHeight="1" s="381">
      <c r="A86" s="528" t="inlineStr">
        <is>
          <t>5000-1003 Workers Comp</t>
        </is>
      </c>
      <c r="C86" s="537" t="n">
        <v>-487.5</v>
      </c>
      <c r="D86" s="537" t="n">
        <v>-487.5</v>
      </c>
      <c r="E86" s="537" t="n">
        <v>-487.5</v>
      </c>
      <c r="F86" s="537" t="n">
        <v>-487.5</v>
      </c>
      <c r="G86" s="537" t="n">
        <v>-487.5</v>
      </c>
      <c r="H86" s="537" t="n">
        <v>-487.5</v>
      </c>
      <c r="I86" s="537" t="n">
        <v>-487.5</v>
      </c>
      <c r="J86" s="537" t="n">
        <v>-487.5</v>
      </c>
      <c r="K86" s="537" t="n">
        <v>-487.5</v>
      </c>
      <c r="L86" s="537" t="n">
        <v>-487.5</v>
      </c>
      <c r="M86" s="537" t="n">
        <v>-487.5</v>
      </c>
      <c r="N86" s="537" t="n">
        <v>-487.5</v>
      </c>
    </row>
    <row r="87" ht="15" customFormat="1" customHeight="1" s="381">
      <c r="A87" s="528" t="inlineStr">
        <is>
          <t>5000-1005 Payroll Servicing Fees</t>
        </is>
      </c>
      <c r="C87" s="537" t="n">
        <v>-270.83</v>
      </c>
      <c r="D87" s="537" t="n">
        <v>-270.83</v>
      </c>
      <c r="E87" s="537" t="n">
        <v>-270.83</v>
      </c>
      <c r="F87" s="537" t="n">
        <v>-270.83</v>
      </c>
      <c r="G87" s="537" t="n">
        <v>-270.83</v>
      </c>
      <c r="H87" s="537" t="n">
        <v>-270.83</v>
      </c>
      <c r="I87" s="537" t="n">
        <v>-270.83</v>
      </c>
      <c r="J87" s="537" t="n">
        <v>-270.83</v>
      </c>
      <c r="K87" s="537" t="n">
        <v>-270.83</v>
      </c>
      <c r="L87" s="537" t="n">
        <v>-270.83</v>
      </c>
      <c r="M87" s="537" t="n">
        <v>-270.83</v>
      </c>
      <c r="N87" s="537" t="n">
        <v>-270.83</v>
      </c>
    </row>
    <row r="88" ht="15" customFormat="1" customHeight="1" s="381">
      <c r="A88" s="528" t="inlineStr">
        <is>
          <t>5100-1000 Rent Expense</t>
        </is>
      </c>
      <c r="C88" s="537" t="n">
        <v>-8000</v>
      </c>
      <c r="D88" s="537" t="n">
        <v>-8000</v>
      </c>
      <c r="E88" s="537" t="n">
        <v>-8000</v>
      </c>
      <c r="F88" s="537" t="n">
        <v>-8000</v>
      </c>
      <c r="G88" s="537" t="n">
        <v>-8000</v>
      </c>
      <c r="H88" s="537" t="n">
        <v>-8000</v>
      </c>
      <c r="I88" s="537" t="n">
        <v>-8160</v>
      </c>
      <c r="J88" s="537" t="n">
        <v>-8160</v>
      </c>
      <c r="K88" s="537" t="n">
        <v>-8160</v>
      </c>
      <c r="L88" s="537" t="n">
        <v>-8160</v>
      </c>
      <c r="M88" s="537" t="n">
        <v>-8160</v>
      </c>
      <c r="N88" s="537" t="n">
        <v>-8160</v>
      </c>
    </row>
    <row r="89" ht="15" customFormat="1" customHeight="1" s="381">
      <c r="A89" s="528" t="inlineStr">
        <is>
          <t>5200-1000 Office Supplies and Expenses</t>
        </is>
      </c>
      <c r="C89" s="537" t="n">
        <v>-183.33</v>
      </c>
      <c r="D89" s="537" t="n">
        <v>-183.33</v>
      </c>
      <c r="E89" s="537" t="n">
        <v>-183.33</v>
      </c>
      <c r="F89" s="537" t="n">
        <v>-183.33</v>
      </c>
      <c r="G89" s="537" t="n">
        <v>-183.33</v>
      </c>
      <c r="H89" s="537" t="n">
        <v>-183.33</v>
      </c>
      <c r="I89" s="537" t="n">
        <v>-187</v>
      </c>
      <c r="J89" s="537" t="n">
        <v>-187</v>
      </c>
      <c r="K89" s="537" t="n">
        <v>-187</v>
      </c>
      <c r="L89" s="537" t="n">
        <v>-187</v>
      </c>
      <c r="M89" s="537" t="n">
        <v>-187</v>
      </c>
      <c r="N89" s="537" t="n">
        <v>-187</v>
      </c>
    </row>
    <row r="90" ht="15" customFormat="1" customHeight="1" s="381">
      <c r="A90" s="528" t="inlineStr">
        <is>
          <t>5200-1053 IT Software and Subscriptions</t>
        </is>
      </c>
      <c r="C90" s="537" t="n">
        <v>-3000</v>
      </c>
      <c r="D90" s="537" t="n">
        <v>-3000</v>
      </c>
      <c r="E90" s="537" t="n">
        <v>-3000</v>
      </c>
      <c r="F90" s="537" t="n">
        <v>-3000</v>
      </c>
      <c r="G90" s="537" t="n">
        <v>-3000</v>
      </c>
      <c r="H90" s="537" t="n">
        <v>-3000</v>
      </c>
      <c r="I90" s="537" t="n">
        <v>-3060</v>
      </c>
      <c r="J90" s="537" t="n">
        <v>-3060</v>
      </c>
      <c r="K90" s="537" t="n">
        <v>-3060</v>
      </c>
      <c r="L90" s="537" t="n">
        <v>-3060</v>
      </c>
      <c r="M90" s="537" t="n">
        <v>-3060</v>
      </c>
      <c r="N90" s="537" t="n">
        <v>-3060</v>
      </c>
    </row>
    <row r="91" ht="15" customFormat="1" customHeight="1" s="381">
      <c r="A91" s="528" t="inlineStr">
        <is>
          <t>5200-1060 Website Design</t>
        </is>
      </c>
      <c r="C91" s="537" t="n">
        <v>0</v>
      </c>
      <c r="D91" s="537" t="n">
        <v>0</v>
      </c>
      <c r="E91" s="537" t="n">
        <v>0</v>
      </c>
      <c r="F91" s="537" t="n">
        <v>0</v>
      </c>
      <c r="G91" s="537" t="n">
        <v>0</v>
      </c>
      <c r="H91" s="537" t="n">
        <v>0</v>
      </c>
      <c r="I91" s="537" t="n">
        <v>0</v>
      </c>
      <c r="J91" s="537" t="n">
        <v>0</v>
      </c>
      <c r="K91" s="537" t="n">
        <v>0</v>
      </c>
      <c r="L91" s="537" t="n">
        <v>0</v>
      </c>
      <c r="M91" s="537" t="n">
        <v>0</v>
      </c>
      <c r="N91" s="537" t="n">
        <v>0</v>
      </c>
    </row>
    <row r="92" ht="15" customFormat="1" customHeight="1" s="381">
      <c r="A92" s="536" t="inlineStr">
        <is>
          <t>5200-1061 Website Hosting</t>
        </is>
      </c>
      <c r="C92" s="537" t="n">
        <v>0</v>
      </c>
      <c r="D92" s="537" t="n">
        <v>0</v>
      </c>
      <c r="E92" s="537" t="n">
        <v>0</v>
      </c>
      <c r="F92" s="537" t="n">
        <v>0</v>
      </c>
      <c r="G92" s="537" t="n">
        <v>0</v>
      </c>
      <c r="H92" s="537" t="n">
        <v>0</v>
      </c>
      <c r="I92" s="537" t="n">
        <v>0</v>
      </c>
      <c r="J92" s="537" t="n">
        <v>0</v>
      </c>
      <c r="K92" s="537" t="n">
        <v>0</v>
      </c>
      <c r="L92" s="537" t="n">
        <v>0</v>
      </c>
      <c r="M92" s="537" t="n">
        <v>0</v>
      </c>
      <c r="N92" s="537" t="n">
        <v>0</v>
      </c>
    </row>
    <row r="93" ht="15" customFormat="1" customHeight="1" s="381">
      <c r="A93" s="536" t="inlineStr">
        <is>
          <t>5300-1000 Travel and Lodging</t>
        </is>
      </c>
      <c r="C93" s="537" t="n">
        <v>-3000</v>
      </c>
      <c r="D93" s="537" t="n">
        <v>-3000</v>
      </c>
      <c r="E93" s="537" t="n">
        <v>-3000</v>
      </c>
      <c r="F93" s="537" t="n">
        <v>-3000</v>
      </c>
      <c r="G93" s="537" t="n">
        <v>-3000</v>
      </c>
      <c r="H93" s="537" t="n">
        <v>-3000</v>
      </c>
      <c r="I93" s="537" t="n">
        <v>-3060</v>
      </c>
      <c r="J93" s="537" t="n">
        <v>-3060</v>
      </c>
      <c r="K93" s="537" t="n">
        <v>-3060</v>
      </c>
      <c r="L93" s="537" t="n">
        <v>-3060</v>
      </c>
      <c r="M93" s="537" t="n">
        <v>-3060</v>
      </c>
      <c r="N93" s="537" t="n">
        <v>-3060</v>
      </c>
    </row>
    <row r="94" ht="15" customFormat="1" customHeight="1" s="381">
      <c r="A94" s="536" t="inlineStr">
        <is>
          <t>5300-1001 Public Transportation</t>
        </is>
      </c>
      <c r="C94" s="537" t="n">
        <v>-833.33</v>
      </c>
      <c r="D94" s="537" t="n">
        <v>-833.33</v>
      </c>
      <c r="E94" s="537" t="n">
        <v>-833.33</v>
      </c>
      <c r="F94" s="537" t="n">
        <v>-833.33</v>
      </c>
      <c r="G94" s="537" t="n">
        <v>-833.33</v>
      </c>
      <c r="H94" s="537" t="n">
        <v>-833.33</v>
      </c>
      <c r="I94" s="537" t="n">
        <v>-850</v>
      </c>
      <c r="J94" s="537" t="n">
        <v>-850</v>
      </c>
      <c r="K94" s="537" t="n">
        <v>-850</v>
      </c>
      <c r="L94" s="537" t="n">
        <v>-850</v>
      </c>
      <c r="M94" s="537" t="n">
        <v>-850</v>
      </c>
      <c r="N94" s="537" t="n">
        <v>-850</v>
      </c>
    </row>
    <row r="95" ht="15" customFormat="1" customHeight="1" s="381">
      <c r="A95" s="536" t="inlineStr">
        <is>
          <t>5300-1002 Parking</t>
        </is>
      </c>
      <c r="C95" s="537" t="n">
        <v>0</v>
      </c>
      <c r="D95" s="537" t="n">
        <v>0</v>
      </c>
      <c r="E95" s="537" t="n">
        <v>0</v>
      </c>
      <c r="F95" s="537" t="n">
        <v>0</v>
      </c>
      <c r="G95" s="537" t="n">
        <v>0</v>
      </c>
      <c r="H95" s="537" t="n">
        <v>0</v>
      </c>
      <c r="I95" s="537" t="n">
        <v>0</v>
      </c>
      <c r="J95" s="537" t="n">
        <v>0</v>
      </c>
      <c r="K95" s="537" t="n">
        <v>0</v>
      </c>
      <c r="L95" s="537" t="n">
        <v>0</v>
      </c>
      <c r="M95" s="537" t="n">
        <v>0</v>
      </c>
      <c r="N95" s="537" t="n">
        <v>0</v>
      </c>
    </row>
    <row r="96" ht="15" customFormat="1" customHeight="1" s="381">
      <c r="A96" s="536" t="inlineStr">
        <is>
          <t>5300-1050 Meals and Entertainment</t>
        </is>
      </c>
      <c r="C96" s="537" t="n">
        <v>-3000</v>
      </c>
      <c r="D96" s="537" t="n">
        <v>-3000</v>
      </c>
      <c r="E96" s="537" t="n">
        <v>-3000</v>
      </c>
      <c r="F96" s="537" t="n">
        <v>-3000</v>
      </c>
      <c r="G96" s="537" t="n">
        <v>-3000</v>
      </c>
      <c r="H96" s="537" t="n">
        <v>-3000</v>
      </c>
      <c r="I96" s="537" t="n">
        <v>-3060</v>
      </c>
      <c r="J96" s="537" t="n">
        <v>-3060</v>
      </c>
      <c r="K96" s="537" t="n">
        <v>-3060</v>
      </c>
      <c r="L96" s="537" t="n">
        <v>-3060</v>
      </c>
      <c r="M96" s="537" t="n">
        <v>-3060</v>
      </c>
      <c r="N96" s="537" t="n">
        <v>-3060</v>
      </c>
    </row>
    <row r="97" ht="15" customFormat="1" customHeight="1" s="381">
      <c r="A97" s="536" t="inlineStr">
        <is>
          <t>5500-1000 Legal and Professional Fees</t>
        </is>
      </c>
      <c r="C97" s="537" t="n">
        <v>-500</v>
      </c>
      <c r="D97" s="537" t="n">
        <v>-500</v>
      </c>
      <c r="E97" s="537" t="n">
        <v>-500</v>
      </c>
      <c r="F97" s="537" t="n">
        <v>-500</v>
      </c>
      <c r="G97" s="537" t="n">
        <v>-500</v>
      </c>
      <c r="H97" s="537" t="n">
        <v>-500</v>
      </c>
      <c r="I97" s="537" t="n">
        <v>-510</v>
      </c>
      <c r="J97" s="537" t="n">
        <v>-510</v>
      </c>
      <c r="K97" s="537" t="n">
        <v>-510</v>
      </c>
      <c r="L97" s="537" t="n">
        <v>-510</v>
      </c>
      <c r="M97" s="537" t="n">
        <v>-510</v>
      </c>
      <c r="N97" s="537" t="n">
        <v>-510</v>
      </c>
    </row>
    <row r="98" ht="15" customFormat="1" customHeight="1" s="381">
      <c r="A98" s="528" t="inlineStr">
        <is>
          <t>5500-1002 Accounting Consulting and Overhead</t>
        </is>
      </c>
      <c r="C98" s="537" t="n">
        <v>-5500</v>
      </c>
      <c r="D98" s="537" t="n">
        <v>-5500</v>
      </c>
      <c r="E98" s="537" t="n">
        <v>-5500</v>
      </c>
      <c r="F98" s="537" t="n">
        <v>-5500</v>
      </c>
      <c r="G98" s="537" t="n">
        <v>-5500</v>
      </c>
      <c r="H98" s="537" t="n">
        <v>-5500</v>
      </c>
      <c r="I98" s="537" t="n">
        <v>-5610</v>
      </c>
      <c r="J98" s="537" t="n">
        <v>-5610</v>
      </c>
      <c r="K98" s="537" t="n">
        <v>-5610</v>
      </c>
      <c r="L98" s="537" t="n">
        <v>-5610</v>
      </c>
      <c r="M98" s="537" t="n">
        <v>-5610</v>
      </c>
      <c r="N98" s="537" t="n">
        <v>-5610</v>
      </c>
    </row>
    <row r="99" ht="15" customFormat="1" customHeight="1" s="381">
      <c r="A99" s="528" t="inlineStr">
        <is>
          <t>5500-1004 Consultants and Other Professional Expenses</t>
        </is>
      </c>
      <c r="C99" s="537" t="n">
        <v>-2083.33</v>
      </c>
      <c r="D99" s="537" t="n">
        <v>-2083.33</v>
      </c>
      <c r="E99" s="537" t="n">
        <v>-2083.33</v>
      </c>
      <c r="F99" s="537" t="n">
        <v>-2083.33</v>
      </c>
      <c r="G99" s="537" t="n">
        <v>-2083.33</v>
      </c>
      <c r="H99" s="537" t="n">
        <v>-2083.33</v>
      </c>
      <c r="I99" s="537" t="n">
        <v>-2125</v>
      </c>
      <c r="J99" s="537" t="n">
        <v>-2125</v>
      </c>
      <c r="K99" s="537" t="n">
        <v>-2125</v>
      </c>
      <c r="L99" s="537" t="n">
        <v>-2125</v>
      </c>
      <c r="M99" s="537" t="n">
        <v>-2125</v>
      </c>
      <c r="N99" s="537" t="n">
        <v>-2125</v>
      </c>
    </row>
    <row r="100" ht="15" customFormat="1" customHeight="1" s="381">
      <c r="A100" s="536" t="inlineStr">
        <is>
          <t>5500-1007 Dues and Subscriptions</t>
        </is>
      </c>
      <c r="C100" s="537" t="n">
        <v>-500</v>
      </c>
      <c r="D100" s="537" t="n">
        <v>-500</v>
      </c>
      <c r="E100" s="537" t="n">
        <v>-500</v>
      </c>
      <c r="F100" s="537" t="n">
        <v>-500</v>
      </c>
      <c r="G100" s="537" t="n">
        <v>-500</v>
      </c>
      <c r="H100" s="537" t="n">
        <v>-500</v>
      </c>
      <c r="I100" s="537" t="n">
        <v>-510</v>
      </c>
      <c r="J100" s="537" t="n">
        <v>-510</v>
      </c>
      <c r="K100" s="537" t="n">
        <v>-510</v>
      </c>
      <c r="L100" s="537" t="n">
        <v>-510</v>
      </c>
      <c r="M100" s="537" t="n">
        <v>-510</v>
      </c>
      <c r="N100" s="537" t="n">
        <v>-510</v>
      </c>
    </row>
    <row r="101" ht="15" customFormat="1" customHeight="1" s="381">
      <c r="A101" s="536" t="inlineStr">
        <is>
          <t>5500-1009 Entity Filing and Formation Fees</t>
        </is>
      </c>
      <c r="C101" s="537" t="n">
        <v>-2000</v>
      </c>
      <c r="D101" s="537" t="n">
        <v>-2000</v>
      </c>
      <c r="E101" s="537" t="n">
        <v>-2000</v>
      </c>
      <c r="F101" s="537" t="n">
        <v>-2000</v>
      </c>
      <c r="G101" s="537" t="n">
        <v>-2000</v>
      </c>
      <c r="H101" s="537" t="n">
        <v>-2000</v>
      </c>
      <c r="I101" s="537" t="n">
        <v>-2040</v>
      </c>
      <c r="J101" s="537" t="n">
        <v>-2040</v>
      </c>
      <c r="K101" s="537" t="n">
        <v>-2040</v>
      </c>
      <c r="L101" s="537" t="n">
        <v>-2040</v>
      </c>
      <c r="M101" s="537" t="n">
        <v>-2040</v>
      </c>
      <c r="N101" s="537" t="n">
        <v>-2040</v>
      </c>
    </row>
    <row r="102" ht="15" customFormat="1" customHeight="1" s="381">
      <c r="A102" s="539" t="inlineStr">
        <is>
          <t>5500-1010 Investment Management Software</t>
        </is>
      </c>
      <c r="C102" s="537" t="n">
        <v>-1541.67</v>
      </c>
      <c r="D102" s="537" t="n">
        <v>-1541.67</v>
      </c>
      <c r="E102" s="537" t="n">
        <v>-1541.67</v>
      </c>
      <c r="F102" s="537" t="n">
        <v>-1541.67</v>
      </c>
      <c r="G102" s="537" t="n">
        <v>-1541.67</v>
      </c>
      <c r="H102" s="537" t="n">
        <v>-1541.67</v>
      </c>
      <c r="I102" s="537" t="n">
        <v>-1572.5</v>
      </c>
      <c r="J102" s="537" t="n">
        <v>-1572.5</v>
      </c>
      <c r="K102" s="537" t="n">
        <v>-1572.5</v>
      </c>
      <c r="L102" s="537" t="n">
        <v>-1572.5</v>
      </c>
      <c r="M102" s="537" t="n">
        <v>-1572.5</v>
      </c>
      <c r="N102" s="537" t="n">
        <v>-1572.5</v>
      </c>
    </row>
    <row r="103" ht="15" customFormat="1" customHeight="1" s="381">
      <c r="A103" s="539" t="inlineStr">
        <is>
          <t>5500-1053 E&amp;O/D&amp;O Insurance</t>
        </is>
      </c>
      <c r="C103" s="537" t="n">
        <v>-2100</v>
      </c>
      <c r="D103" s="537" t="n">
        <v>-2100</v>
      </c>
      <c r="E103" s="537" t="n">
        <v>-2100</v>
      </c>
      <c r="F103" s="537" t="n">
        <v>-2100</v>
      </c>
      <c r="G103" s="537" t="n">
        <v>-2100</v>
      </c>
      <c r="H103" s="537" t="n">
        <v>-2100</v>
      </c>
      <c r="I103" s="537" t="n">
        <v>-2142</v>
      </c>
      <c r="J103" s="537" t="n">
        <v>-2142</v>
      </c>
      <c r="K103" s="537" t="n">
        <v>-2142</v>
      </c>
      <c r="L103" s="537" t="n">
        <v>-2142</v>
      </c>
      <c r="M103" s="537" t="n">
        <v>-2142</v>
      </c>
      <c r="N103" s="537" t="n">
        <v>-2142</v>
      </c>
    </row>
    <row r="104" ht="15" customFormat="1" customHeight="1" s="381">
      <c r="A104" s="539" t="inlineStr">
        <is>
          <t>5800-1003 Consulting Fee</t>
        </is>
      </c>
      <c r="C104" s="537" t="n">
        <v>0</v>
      </c>
      <c r="D104" s="537" t="n">
        <v>0</v>
      </c>
      <c r="E104" s="537" t="n">
        <v>0</v>
      </c>
      <c r="F104" s="537" t="n">
        <v>0</v>
      </c>
      <c r="G104" s="537" t="n">
        <v>0</v>
      </c>
      <c r="H104" s="537" t="n">
        <v>0</v>
      </c>
      <c r="I104" s="537" t="n">
        <v>0</v>
      </c>
      <c r="J104" s="537" t="n">
        <v>0</v>
      </c>
      <c r="K104" s="537" t="n">
        <v>0</v>
      </c>
      <c r="L104" s="537" t="n">
        <v>0</v>
      </c>
      <c r="M104" s="537" t="n">
        <v>0</v>
      </c>
      <c r="N104" s="537" t="n">
        <v>0</v>
      </c>
    </row>
    <row r="105" ht="15" customFormat="1" customHeight="1" s="381">
      <c r="A105" s="528" t="inlineStr">
        <is>
          <t>5900-1075 Miscellaneous Expense</t>
        </is>
      </c>
      <c r="C105" s="537" t="n">
        <v>0</v>
      </c>
      <c r="D105" s="537" t="n">
        <v>0</v>
      </c>
      <c r="E105" s="537" t="n">
        <v>0</v>
      </c>
      <c r="F105" s="537" t="n">
        <v>0</v>
      </c>
      <c r="G105" s="537" t="n">
        <v>0</v>
      </c>
      <c r="H105" s="537" t="n">
        <v>0</v>
      </c>
      <c r="I105" s="537" t="n">
        <v>0</v>
      </c>
      <c r="J105" s="537" t="n">
        <v>0</v>
      </c>
      <c r="K105" s="537" t="n">
        <v>0</v>
      </c>
      <c r="L105" s="537" t="n">
        <v>0</v>
      </c>
      <c r="M105" s="537" t="n">
        <v>0</v>
      </c>
      <c r="N105" s="537" t="n">
        <v>0</v>
      </c>
    </row>
    <row r="106" ht="15" customFormat="1" customHeight="1" s="381">
      <c r="A106" s="528" t="inlineStr">
        <is>
          <t>5900-1080 Bank Service Charges</t>
        </is>
      </c>
      <c r="C106" s="537" t="n">
        <v>-500</v>
      </c>
      <c r="D106" s="537" t="n">
        <v>-500</v>
      </c>
      <c r="E106" s="537" t="n">
        <v>-500</v>
      </c>
      <c r="F106" s="537" t="n">
        <v>-500</v>
      </c>
      <c r="G106" s="537" t="n">
        <v>-500</v>
      </c>
      <c r="H106" s="537" t="n">
        <v>-500</v>
      </c>
      <c r="I106" s="537" t="n">
        <v>-510</v>
      </c>
      <c r="J106" s="537" t="n">
        <v>-510</v>
      </c>
      <c r="K106" s="537" t="n">
        <v>-510</v>
      </c>
      <c r="L106" s="537" t="n">
        <v>-510</v>
      </c>
      <c r="M106" s="537" t="n">
        <v>-510</v>
      </c>
      <c r="N106" s="537" t="n">
        <v>-510</v>
      </c>
    </row>
    <row r="107" ht="15" customFormat="1" customHeight="1" s="381">
      <c r="A107" s="528" t="inlineStr">
        <is>
          <t>Steyn Group Guaranty Fee</t>
        </is>
      </c>
      <c r="C107" s="537" t="n">
        <v>0</v>
      </c>
      <c r="D107" s="537" t="n">
        <v>0</v>
      </c>
      <c r="E107" s="537" t="n">
        <v>0</v>
      </c>
      <c r="F107" s="537" t="n">
        <v>0</v>
      </c>
      <c r="G107" s="537" t="n">
        <v>0</v>
      </c>
      <c r="H107" s="537" t="n">
        <v>0</v>
      </c>
      <c r="I107" s="537" t="n">
        <v>0</v>
      </c>
      <c r="J107" s="537" t="n">
        <v>0</v>
      </c>
      <c r="K107" s="537" t="n">
        <v>0</v>
      </c>
      <c r="L107" s="537" t="n">
        <v>0</v>
      </c>
      <c r="M107" s="537" t="n">
        <v>0</v>
      </c>
      <c r="N107" s="537" t="n">
        <v>0</v>
      </c>
    </row>
    <row r="108" ht="15" customFormat="1" customHeight="1" s="381">
      <c r="A108" s="528" t="inlineStr">
        <is>
          <t>Steyn Liquidity Guarantee Fee</t>
        </is>
      </c>
      <c r="C108" s="537" t="n">
        <v>0</v>
      </c>
      <c r="D108" s="537" t="n">
        <v>0</v>
      </c>
      <c r="E108" s="537" t="n">
        <v>0</v>
      </c>
      <c r="F108" s="537" t="n">
        <v>0</v>
      </c>
      <c r="G108" s="537" t="n">
        <v>0</v>
      </c>
      <c r="H108" s="537" t="n">
        <v>0</v>
      </c>
      <c r="I108" s="537" t="n">
        <v>0</v>
      </c>
      <c r="J108" s="537" t="n">
        <v>0</v>
      </c>
      <c r="K108" s="537" t="n">
        <v>0</v>
      </c>
      <c r="L108" s="537" t="n">
        <v>0</v>
      </c>
      <c r="M108" s="537" t="n">
        <v>0</v>
      </c>
      <c r="N108" s="537" t="n">
        <v>0</v>
      </c>
    </row>
    <row r="109" ht="15" customFormat="1" customHeight="1" s="381">
      <c r="A109" s="528" t="inlineStr">
        <is>
          <t>Francis Steyn Fee + PIK (from LIHTC Revenue)</t>
        </is>
      </c>
      <c r="C109" s="537" t="n">
        <v>0</v>
      </c>
      <c r="D109" s="537" t="n">
        <v>0</v>
      </c>
      <c r="E109" s="537" t="n">
        <v>0</v>
      </c>
      <c r="F109" s="537" t="n">
        <v>0</v>
      </c>
      <c r="G109" s="537" t="n">
        <v>0</v>
      </c>
      <c r="H109" s="537" t="n">
        <v>0</v>
      </c>
      <c r="I109" s="537" t="n">
        <v>0</v>
      </c>
      <c r="J109" s="537" t="n">
        <v>0</v>
      </c>
      <c r="K109" s="537" t="n">
        <v>0</v>
      </c>
      <c r="L109" s="537" t="n">
        <v>0</v>
      </c>
      <c r="M109" s="537" t="n">
        <v>0</v>
      </c>
      <c r="N109" s="537" t="n">
        <v>0</v>
      </c>
    </row>
    <row r="110" ht="15" customFormat="1" customHeight="1" s="381">
      <c r="A110" s="528" t="inlineStr">
        <is>
          <t>Reseda Steyn Fee + PIK (from LIHTC Revenue)</t>
        </is>
      </c>
      <c r="C110" s="537" t="n">
        <v>0</v>
      </c>
      <c r="D110" s="537" t="n">
        <v>0</v>
      </c>
      <c r="E110" s="537" t="n">
        <v>0</v>
      </c>
      <c r="F110" s="537" t="n">
        <v>0</v>
      </c>
      <c r="G110" s="537" t="n">
        <v>0</v>
      </c>
      <c r="H110" s="537" t="n">
        <v>0</v>
      </c>
      <c r="I110" s="537" t="n">
        <v>0</v>
      </c>
      <c r="J110" s="537" t="n">
        <v>0</v>
      </c>
      <c r="K110" s="537" t="n">
        <v>0</v>
      </c>
      <c r="L110" s="537" t="n">
        <v>0</v>
      </c>
      <c r="M110" s="537" t="n">
        <v>0</v>
      </c>
      <c r="N110" s="537" t="n">
        <v>0</v>
      </c>
    </row>
    <row r="111" ht="15" customFormat="1" customHeight="1" s="381">
      <c r="A111" s="528" t="inlineStr">
        <is>
          <t>3rd St Steyn Fee + PIK (from LIHTC Revenue)</t>
        </is>
      </c>
      <c r="C111" s="537" t="n">
        <v>0</v>
      </c>
      <c r="D111" s="537" t="n">
        <v>0</v>
      </c>
      <c r="E111" s="537" t="n">
        <v>0</v>
      </c>
      <c r="F111" s="537" t="n">
        <v>0</v>
      </c>
      <c r="G111" s="537" t="n">
        <v>0</v>
      </c>
      <c r="H111" s="537" t="n">
        <v>0</v>
      </c>
      <c r="I111" s="537" t="n">
        <v>0</v>
      </c>
      <c r="J111" s="537" t="n">
        <v>0</v>
      </c>
      <c r="K111" s="537" t="n">
        <v>0</v>
      </c>
      <c r="L111" s="537" t="n">
        <v>0</v>
      </c>
      <c r="M111" s="537" t="n">
        <v>0</v>
      </c>
      <c r="N111" s="537" t="n">
        <v>0</v>
      </c>
    </row>
    <row r="112" ht="15" customFormat="1" customHeight="1" s="381">
      <c r="A112" s="502" t="inlineStr">
        <is>
          <t>Total Six Peak Expenses</t>
        </is>
      </c>
      <c r="C112" s="537" t="n">
        <v>-138412.48</v>
      </c>
      <c r="D112" s="537" t="n">
        <v>-138412.48</v>
      </c>
      <c r="E112" s="537" t="n">
        <v>-138412.48</v>
      </c>
      <c r="F112" s="537" t="n">
        <v>-138412.48</v>
      </c>
      <c r="G112" s="537" t="n">
        <v>-138412.48</v>
      </c>
      <c r="H112" s="537" t="n">
        <v>-138412.48</v>
      </c>
      <c r="I112" s="537" t="n">
        <v>-137893.65</v>
      </c>
      <c r="J112" s="537" t="n">
        <v>-137893.65</v>
      </c>
      <c r="K112" s="537" t="n">
        <v>-137893.65</v>
      </c>
      <c r="L112" s="537" t="n">
        <v>-137893.65</v>
      </c>
      <c r="M112" s="537" t="n">
        <v>-137893.65</v>
      </c>
      <c r="N112" s="537" t="n">
        <v>-137893.65</v>
      </c>
    </row>
    <row r="114" ht="15" customFormat="1" customHeight="1" s="381">
      <c r="A114" s="505" t="inlineStr">
        <is>
          <t>Six Peak Net Income</t>
        </is>
      </c>
      <c r="C114" s="537" t="n">
        <v>-90813.42</v>
      </c>
      <c r="D114" s="537" t="n">
        <v>-90813.42</v>
      </c>
      <c r="E114" s="537" t="n">
        <v>-90813.42</v>
      </c>
      <c r="F114" s="537" t="n">
        <v>-78938.42</v>
      </c>
      <c r="G114" s="537" t="n">
        <v>-78938.42</v>
      </c>
      <c r="H114" s="537" t="n">
        <v>-78938.42</v>
      </c>
      <c r="I114" s="537" t="n">
        <v>-78419.59</v>
      </c>
      <c r="J114" s="537" t="n">
        <v>-78419.59</v>
      </c>
      <c r="K114" s="537" t="n">
        <v>-78419.59</v>
      </c>
      <c r="L114" s="537" t="n">
        <v>-88646.86</v>
      </c>
      <c r="M114" s="537" t="n">
        <v>-88646.86</v>
      </c>
      <c r="N114" s="537" t="n">
        <v>-88646.86</v>
      </c>
    </row>
    <row r="117" ht="19.5" customFormat="1" customHeight="1" s="381">
      <c r="A117" s="540" t="inlineStr">
        <is>
          <t>KNOWN VARIANCE FROM SOURCE — documented, not corrected</t>
        </is>
      </c>
    </row>
    <row r="118" ht="45.75" customFormat="1" customHeight="1" s="381">
      <c r="A118" s="541" t="inlineStr">
        <is>
          <t>Finding: in the November 2025 budget model the Six Peak-to-LV payroll allocation does not net to zero on consolidation. LV is charged $704,200 for 2026 while Six Peak credits $711,242, a difference of $7,042.</t>
        </is>
      </c>
    </row>
    <row r="119" ht="45.75" customFormat="1" customHeight="1" s="381">
      <c r="A119" s="541" t="inlineStr">
        <is>
          <t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      </is>
      </c>
    </row>
    <row r="120" ht="45.75" customFormat="1" customHeight="1" s="381">
      <c r="A120" s="541" t="inlineStr">
        <is>
          <t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      </is>
      </c>
    </row>
    <row r="121" ht="45.75" customFormat="1" customHeight="1" s="381">
      <c r="A121" s="541" t="inlineStr">
        <is>
          <t>Decision (C. Aiello, 8/13/2026): do not restate. The budget is an approved, frozen anchor and its value depends on not moving. The gap is 0.74% of budgeted consolidated net income of $947,956 and does not affect entity-level reporting.</t>
        </is>
      </c>
    </row>
    <row r="122" ht="45.75" customFormat="1" customHeight="1" s="381">
      <c r="A122" s="541" t="inlineStr">
        <is>
          <t>Action for the FY 2027 budget build: drive the allocation from a single input referenced by both entities so an escalation cannot be applied to one side alone.</t>
        </is>
      </c>
    </row>
  </sheetData>
  <mergeCells count="6">
    <mergeCell ref="A120:N120"/>
    <mergeCell ref="A122:N122"/>
    <mergeCell ref="A121:N121"/>
    <mergeCell ref="A117:N117"/>
    <mergeCell ref="A119:N119"/>
    <mergeCell ref="A118:N1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F11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S35" activeCellId="0" sqref="S35"/>
    </sheetView>
  </sheetViews>
  <sheetFormatPr baseColWidth="8" defaultColWidth="8.71875" defaultRowHeight="15" zeroHeight="0" outlineLevelRow="0"/>
  <cols>
    <col width="38" customWidth="1" style="381" min="1" max="1"/>
    <col width="13" customWidth="1" style="381" min="2" max="110"/>
  </cols>
  <sheetData>
    <row r="1" ht="17.25" customFormat="1" customHeight="1" s="381">
      <c r="A1" s="477" t="inlineStr">
        <is>
          <t>REFORECAST Q1 2026 — frozen v26 forecast snapshot</t>
        </is>
      </c>
    </row>
    <row r="2" ht="15" customFormat="1" customHeight="1" s="381">
      <c r="A2" s="453" t="inlineStr">
        <is>
          <t>Static reforecast struck with Q1 2026 actuals loaded. Anchor for reforecast-vs-actual reporting. Do not edit.</t>
        </is>
      </c>
      <c r="C2" s="478" t="n">
        <v>46023</v>
      </c>
      <c r="D2" s="478" t="n">
        <v>46054</v>
      </c>
      <c r="E2" s="478" t="n">
        <v>46082</v>
      </c>
      <c r="F2" s="478" t="n">
        <v>46113</v>
      </c>
      <c r="G2" s="478" t="n">
        <v>46143</v>
      </c>
      <c r="H2" s="478" t="n">
        <v>46174</v>
      </c>
      <c r="I2" s="478" t="n">
        <v>46204</v>
      </c>
      <c r="J2" s="478" t="n">
        <v>46235</v>
      </c>
      <c r="K2" s="478" t="n">
        <v>46266</v>
      </c>
      <c r="L2" s="478" t="n">
        <v>46296</v>
      </c>
      <c r="M2" s="478" t="n">
        <v>46327</v>
      </c>
      <c r="N2" s="478" t="n">
        <v>46357</v>
      </c>
      <c r="O2" s="478" t="n">
        <v>46388</v>
      </c>
      <c r="P2" s="478" t="n">
        <v>46419</v>
      </c>
      <c r="Q2" s="478" t="n">
        <v>46447</v>
      </c>
      <c r="R2" s="478" t="n">
        <v>46478</v>
      </c>
      <c r="S2" s="478" t="n">
        <v>46508</v>
      </c>
      <c r="T2" s="478" t="n">
        <v>46539</v>
      </c>
      <c r="U2" s="478" t="n">
        <v>46569</v>
      </c>
      <c r="V2" s="478" t="n">
        <v>46600</v>
      </c>
      <c r="W2" s="478" t="n">
        <v>46631</v>
      </c>
      <c r="X2" s="478" t="n">
        <v>46661</v>
      </c>
      <c r="Y2" s="478" t="n">
        <v>46692</v>
      </c>
      <c r="Z2" s="478" t="n">
        <v>46722</v>
      </c>
      <c r="AA2" s="478" t="n">
        <v>46753</v>
      </c>
      <c r="AB2" s="478" t="n">
        <v>46784</v>
      </c>
      <c r="AC2" s="478" t="n">
        <v>46813</v>
      </c>
      <c r="AD2" s="478" t="n">
        <v>46844</v>
      </c>
      <c r="AE2" s="478" t="n">
        <v>46874</v>
      </c>
      <c r="AF2" s="478" t="n">
        <v>46905</v>
      </c>
      <c r="AG2" s="478" t="n">
        <v>46935</v>
      </c>
      <c r="AH2" s="478" t="n">
        <v>46966</v>
      </c>
      <c r="AI2" s="478" t="n">
        <v>46997</v>
      </c>
      <c r="AJ2" s="478" t="n">
        <v>47027</v>
      </c>
      <c r="AK2" s="478" t="n">
        <v>47058</v>
      </c>
      <c r="AL2" s="478" t="n">
        <v>47088</v>
      </c>
      <c r="AM2" s="478" t="n">
        <v>47119</v>
      </c>
      <c r="AN2" s="478" t="n">
        <v>47150</v>
      </c>
      <c r="AO2" s="478" t="n">
        <v>47178</v>
      </c>
      <c r="AP2" s="478" t="n">
        <v>47209</v>
      </c>
      <c r="AQ2" s="478" t="n">
        <v>47239</v>
      </c>
      <c r="AR2" s="478" t="n">
        <v>47270</v>
      </c>
      <c r="AS2" s="478" t="n">
        <v>47300</v>
      </c>
      <c r="AT2" s="478" t="n">
        <v>47331</v>
      </c>
      <c r="AU2" s="478" t="n">
        <v>47362</v>
      </c>
      <c r="AV2" s="478" t="n">
        <v>47392</v>
      </c>
      <c r="AW2" s="478" t="n">
        <v>47423</v>
      </c>
      <c r="AX2" s="478" t="n">
        <v>47453</v>
      </c>
      <c r="AY2" s="478" t="n">
        <v>47484</v>
      </c>
      <c r="AZ2" s="478" t="n">
        <v>47515</v>
      </c>
      <c r="BA2" s="478" t="n">
        <v>47543</v>
      </c>
      <c r="BB2" s="478" t="n">
        <v>47574</v>
      </c>
      <c r="BC2" s="478" t="n">
        <v>47604</v>
      </c>
      <c r="BD2" s="478" t="n">
        <v>47635</v>
      </c>
      <c r="BE2" s="478" t="n">
        <v>47665</v>
      </c>
      <c r="BF2" s="478" t="n">
        <v>47696</v>
      </c>
      <c r="BG2" s="478" t="n">
        <v>47727</v>
      </c>
      <c r="BH2" s="478" t="n">
        <v>47757</v>
      </c>
      <c r="BI2" s="478" t="n">
        <v>47788</v>
      </c>
      <c r="BJ2" s="478" t="n">
        <v>47818</v>
      </c>
      <c r="BK2" s="478" t="n">
        <v>47849</v>
      </c>
      <c r="BL2" s="478" t="n">
        <v>47880</v>
      </c>
      <c r="BM2" s="478" t="n">
        <v>47908</v>
      </c>
      <c r="BN2" s="478" t="n">
        <v>47939</v>
      </c>
      <c r="BO2" s="478" t="n">
        <v>47969</v>
      </c>
      <c r="BP2" s="478" t="n">
        <v>48000</v>
      </c>
      <c r="BQ2" s="478" t="n">
        <v>48030</v>
      </c>
      <c r="BR2" s="478" t="n">
        <v>48061</v>
      </c>
      <c r="BS2" s="478" t="n">
        <v>48092</v>
      </c>
      <c r="BT2" s="478" t="n">
        <v>48122</v>
      </c>
      <c r="BU2" s="478" t="n">
        <v>48153</v>
      </c>
      <c r="BV2" s="478" t="n">
        <v>48183</v>
      </c>
      <c r="BW2" s="478" t="n">
        <v>48214</v>
      </c>
      <c r="BX2" s="478" t="n">
        <v>48245</v>
      </c>
      <c r="BY2" s="478" t="n">
        <v>48274</v>
      </c>
      <c r="BZ2" s="478" t="n">
        <v>48305</v>
      </c>
      <c r="CA2" s="478" t="n">
        <v>48335</v>
      </c>
      <c r="CB2" s="478" t="n">
        <v>48366</v>
      </c>
      <c r="CC2" s="478" t="n">
        <v>48396</v>
      </c>
      <c r="CD2" s="478" t="n">
        <v>48427</v>
      </c>
      <c r="CE2" s="478" t="n">
        <v>48458</v>
      </c>
      <c r="CF2" s="478" t="n">
        <v>48488</v>
      </c>
      <c r="CG2" s="478" t="n">
        <v>48519</v>
      </c>
      <c r="CH2" s="478" t="n">
        <v>48549</v>
      </c>
      <c r="CI2" s="478" t="n">
        <v>48580</v>
      </c>
      <c r="CJ2" s="478" t="n">
        <v>48611</v>
      </c>
      <c r="CK2" s="478" t="n">
        <v>48639</v>
      </c>
      <c r="CL2" s="478" t="n">
        <v>48670</v>
      </c>
      <c r="CM2" s="478" t="n">
        <v>48700</v>
      </c>
      <c r="CN2" s="478" t="n">
        <v>48731</v>
      </c>
      <c r="CO2" s="478" t="n">
        <v>48761</v>
      </c>
      <c r="CP2" s="478" t="n">
        <v>48792</v>
      </c>
      <c r="CQ2" s="478" t="n">
        <v>48823</v>
      </c>
      <c r="CR2" s="478" t="n">
        <v>48853</v>
      </c>
      <c r="CS2" s="478" t="n">
        <v>48884</v>
      </c>
      <c r="CT2" s="478" t="n">
        <v>48914</v>
      </c>
      <c r="CU2" s="478" t="n">
        <v>48945</v>
      </c>
      <c r="CV2" s="478" t="n">
        <v>48976</v>
      </c>
      <c r="CW2" s="478" t="n">
        <v>49004</v>
      </c>
      <c r="CX2" s="478" t="n">
        <v>49035</v>
      </c>
      <c r="CY2" s="478" t="n">
        <v>49065</v>
      </c>
      <c r="CZ2" s="478" t="n">
        <v>49096</v>
      </c>
      <c r="DA2" s="478" t="n">
        <v>49126</v>
      </c>
      <c r="DB2" s="478" t="n">
        <v>49157</v>
      </c>
      <c r="DC2" s="478" t="n">
        <v>49188</v>
      </c>
      <c r="DD2" s="478" t="n">
        <v>49218</v>
      </c>
      <c r="DE2" s="478" t="n">
        <v>49249</v>
      </c>
      <c r="DF2" s="478" t="n">
        <v>49279</v>
      </c>
    </row>
    <row r="3" ht="15" customFormat="1" customHeight="1" s="381">
      <c r="A3" s="542" t="inlineStr">
        <is>
          <t>Month #</t>
        </is>
      </c>
      <c r="C3" s="542" t="n">
        <v>-2</v>
      </c>
      <c r="D3" s="542" t="n">
        <v>-1</v>
      </c>
      <c r="E3" s="542" t="n">
        <v>0</v>
      </c>
      <c r="F3" s="542" t="n">
        <v>1</v>
      </c>
      <c r="G3" s="542" t="n">
        <v>2</v>
      </c>
      <c r="H3" s="542" t="n">
        <v>3</v>
      </c>
      <c r="I3" s="542" t="n">
        <v>4</v>
      </c>
      <c r="J3" s="542" t="n">
        <v>5</v>
      </c>
      <c r="K3" s="542" t="n">
        <v>6</v>
      </c>
      <c r="L3" s="542" t="n">
        <v>7</v>
      </c>
      <c r="M3" s="542" t="n">
        <v>8</v>
      </c>
      <c r="N3" s="542" t="n">
        <v>9</v>
      </c>
      <c r="O3" s="542" t="n">
        <v>10</v>
      </c>
      <c r="P3" s="542" t="n">
        <v>11</v>
      </c>
      <c r="Q3" s="542" t="n">
        <v>12</v>
      </c>
      <c r="R3" s="542" t="n">
        <v>13</v>
      </c>
      <c r="S3" s="542" t="n">
        <v>14</v>
      </c>
      <c r="T3" s="542" t="n">
        <v>15</v>
      </c>
      <c r="U3" s="542" t="n">
        <v>16</v>
      </c>
      <c r="V3" s="542" t="n">
        <v>17</v>
      </c>
      <c r="W3" s="542" t="n">
        <v>18</v>
      </c>
      <c r="X3" s="542" t="n">
        <v>19</v>
      </c>
      <c r="Y3" s="542" t="n">
        <v>20</v>
      </c>
      <c r="Z3" s="542" t="n">
        <v>21</v>
      </c>
      <c r="AA3" s="542" t="n">
        <v>22</v>
      </c>
      <c r="AB3" s="542" t="n">
        <v>23</v>
      </c>
      <c r="AC3" s="542" t="n">
        <v>24</v>
      </c>
      <c r="AD3" s="542" t="n">
        <v>25</v>
      </c>
      <c r="AE3" s="542" t="n">
        <v>26</v>
      </c>
      <c r="AF3" s="542" t="n">
        <v>27</v>
      </c>
      <c r="AG3" s="542" t="n">
        <v>28</v>
      </c>
      <c r="AH3" s="542" t="n">
        <v>29</v>
      </c>
      <c r="AI3" s="542" t="n">
        <v>30</v>
      </c>
      <c r="AJ3" s="542" t="n">
        <v>31</v>
      </c>
      <c r="AK3" s="542" t="n">
        <v>32</v>
      </c>
      <c r="AL3" s="542" t="n">
        <v>33</v>
      </c>
      <c r="AM3" s="542" t="n">
        <v>34</v>
      </c>
      <c r="AN3" s="542" t="n">
        <v>35</v>
      </c>
      <c r="AO3" s="542" t="n">
        <v>36</v>
      </c>
      <c r="AP3" s="542" t="n">
        <v>37</v>
      </c>
      <c r="AQ3" s="542" t="n">
        <v>38</v>
      </c>
      <c r="AR3" s="542" t="n">
        <v>39</v>
      </c>
      <c r="AS3" s="542" t="n">
        <v>40</v>
      </c>
      <c r="AT3" s="542" t="n">
        <v>41</v>
      </c>
      <c r="AU3" s="542" t="n">
        <v>42</v>
      </c>
      <c r="AV3" s="542" t="n">
        <v>43</v>
      </c>
      <c r="AW3" s="542" t="n">
        <v>44</v>
      </c>
      <c r="AX3" s="542" t="n">
        <v>45</v>
      </c>
      <c r="AY3" s="542" t="n">
        <v>46</v>
      </c>
      <c r="AZ3" s="542" t="n">
        <v>47</v>
      </c>
      <c r="BA3" s="542" t="n">
        <v>48</v>
      </c>
      <c r="BB3" s="542" t="n">
        <v>49</v>
      </c>
      <c r="BC3" s="542" t="n">
        <v>50</v>
      </c>
      <c r="BD3" s="542" t="n">
        <v>51</v>
      </c>
      <c r="BE3" s="542" t="n">
        <v>52</v>
      </c>
      <c r="BF3" s="542" t="n">
        <v>53</v>
      </c>
      <c r="BG3" s="542" t="n">
        <v>54</v>
      </c>
      <c r="BH3" s="542" t="n">
        <v>55</v>
      </c>
      <c r="BI3" s="542" t="n">
        <v>56</v>
      </c>
      <c r="BJ3" s="542" t="n">
        <v>57</v>
      </c>
      <c r="BK3" s="542" t="n">
        <v>58</v>
      </c>
      <c r="BL3" s="542" t="n">
        <v>59</v>
      </c>
      <c r="BM3" s="542" t="n">
        <v>60</v>
      </c>
      <c r="BN3" s="542" t="n">
        <v>61</v>
      </c>
      <c r="BO3" s="542" t="n">
        <v>62</v>
      </c>
      <c r="BP3" s="542" t="n">
        <v>63</v>
      </c>
      <c r="BQ3" s="542" t="n">
        <v>64</v>
      </c>
      <c r="BR3" s="542" t="n">
        <v>65</v>
      </c>
      <c r="BS3" s="542" t="n">
        <v>66</v>
      </c>
      <c r="BT3" s="542" t="n">
        <v>67</v>
      </c>
      <c r="BU3" s="542" t="n">
        <v>68</v>
      </c>
      <c r="BV3" s="542" t="n">
        <v>69</v>
      </c>
      <c r="BW3" s="542" t="n">
        <v>70</v>
      </c>
      <c r="BX3" s="542" t="n">
        <v>71</v>
      </c>
      <c r="BY3" s="542" t="n">
        <v>72</v>
      </c>
      <c r="BZ3" s="542" t="n">
        <v>73</v>
      </c>
      <c r="CA3" s="542" t="n">
        <v>74</v>
      </c>
      <c r="CB3" s="542" t="n">
        <v>75</v>
      </c>
      <c r="CC3" s="542" t="n">
        <v>76</v>
      </c>
      <c r="CD3" s="542" t="n">
        <v>77</v>
      </c>
      <c r="CE3" s="542" t="n">
        <v>78</v>
      </c>
      <c r="CF3" s="542" t="n">
        <v>79</v>
      </c>
      <c r="CG3" s="542" t="n">
        <v>80</v>
      </c>
      <c r="CH3" s="542" t="n">
        <v>81</v>
      </c>
      <c r="CI3" s="542" t="n">
        <v>82</v>
      </c>
      <c r="CJ3" s="542" t="n">
        <v>83</v>
      </c>
      <c r="CK3" s="542" t="n">
        <v>84</v>
      </c>
      <c r="CL3" s="542" t="n">
        <v>85</v>
      </c>
      <c r="CM3" s="542" t="n">
        <v>86</v>
      </c>
      <c r="CN3" s="542" t="n">
        <v>87</v>
      </c>
      <c r="CO3" s="542" t="n">
        <v>88</v>
      </c>
      <c r="CP3" s="542" t="n">
        <v>89</v>
      </c>
      <c r="CQ3" s="542" t="n">
        <v>90</v>
      </c>
      <c r="CR3" s="542" t="n">
        <v>91</v>
      </c>
      <c r="CS3" s="542" t="n">
        <v>92</v>
      </c>
      <c r="CT3" s="542" t="n">
        <v>93</v>
      </c>
      <c r="CU3" s="542" t="n">
        <v>94</v>
      </c>
      <c r="CV3" s="542" t="n">
        <v>95</v>
      </c>
      <c r="CW3" s="542" t="n">
        <v>96</v>
      </c>
      <c r="CX3" s="542" t="n">
        <v>97</v>
      </c>
      <c r="CY3" s="542" t="n">
        <v>98</v>
      </c>
      <c r="CZ3" s="542" t="n">
        <v>99</v>
      </c>
      <c r="DA3" s="542" t="n">
        <v>100</v>
      </c>
      <c r="DB3" s="542" t="n">
        <v>101</v>
      </c>
      <c r="DC3" s="542" t="n">
        <v>102</v>
      </c>
      <c r="DD3" s="542" t="n">
        <v>103</v>
      </c>
      <c r="DE3" s="542" t="n">
        <v>104</v>
      </c>
      <c r="DF3" s="542" t="n">
        <v>105</v>
      </c>
    </row>
    <row r="7" ht="15" customFormat="1" customHeight="1" s="381">
      <c r="A7" s="472" t="n"/>
      <c r="C7" s="486" t="n"/>
      <c r="D7" s="486" t="n"/>
      <c r="E7" s="486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3" t="n"/>
      <c r="BU7" s="543" t="n"/>
      <c r="BV7" s="543" t="n"/>
      <c r="BW7" s="543" t="n"/>
      <c r="BX7" s="543" t="n"/>
      <c r="BY7" s="543" t="n"/>
      <c r="BZ7" s="543" t="n"/>
      <c r="CA7" s="543" t="n"/>
      <c r="CB7" s="543" t="n"/>
      <c r="CC7" s="543" t="n"/>
      <c r="CD7" s="543" t="n"/>
      <c r="CE7" s="543" t="n"/>
      <c r="CF7" s="543" t="n"/>
      <c r="CG7" s="543" t="n"/>
      <c r="CH7" s="543" t="n"/>
      <c r="CI7" s="543" t="n"/>
      <c r="CJ7" s="543" t="n"/>
      <c r="CK7" s="543" t="n"/>
      <c r="CL7" s="543" t="n"/>
      <c r="CM7" s="543" t="n"/>
      <c r="CN7" s="543" t="n"/>
      <c r="CO7" s="543" t="n"/>
      <c r="CP7" s="543" t="n"/>
      <c r="CQ7" s="543" t="n"/>
      <c r="CR7" s="543" t="n"/>
      <c r="CS7" s="543" t="n"/>
      <c r="CT7" s="543" t="n"/>
      <c r="CU7" s="543" t="n"/>
      <c r="CV7" s="543" t="n"/>
      <c r="CW7" s="543" t="n"/>
      <c r="CX7" s="543" t="n"/>
      <c r="CY7" s="543" t="n"/>
      <c r="CZ7" s="543" t="n"/>
      <c r="DA7" s="543" t="n"/>
      <c r="DB7" s="543" t="n"/>
      <c r="DC7" s="543" t="n"/>
      <c r="DD7" s="543" t="n"/>
      <c r="DE7" s="543" t="n"/>
      <c r="DF7" s="543" t="n"/>
    </row>
    <row r="8" ht="15" customFormat="1" customHeight="1" s="381">
      <c r="A8" s="482" t="inlineStr">
        <is>
          <t>Other GC Income</t>
        </is>
      </c>
      <c r="C8" s="544" t="n">
        <v>116363.3</v>
      </c>
      <c r="D8" s="544" t="n">
        <v>138801.52</v>
      </c>
      <c r="E8" s="544" t="n">
        <v>219366.88</v>
      </c>
      <c r="F8" s="545" t="n">
        <v>267934.879957489</v>
      </c>
      <c r="G8" s="545" t="n">
        <v>267934.879957489</v>
      </c>
      <c r="H8" s="545" t="n">
        <v>267934.879957489</v>
      </c>
      <c r="I8" s="545" t="n">
        <v>361542.001995889</v>
      </c>
      <c r="J8" s="545" t="n">
        <v>361542.001995889</v>
      </c>
      <c r="K8" s="545" t="n">
        <v>361542.001995889</v>
      </c>
      <c r="L8" s="545" t="n">
        <v>442929.46088908</v>
      </c>
      <c r="M8" s="545" t="n">
        <v>525344.508604757</v>
      </c>
      <c r="N8" s="545" t="n">
        <v>442616.790480539</v>
      </c>
      <c r="O8" s="545" t="n">
        <v>442616.790480539</v>
      </c>
      <c r="P8" s="545" t="n">
        <v>442616.790480539</v>
      </c>
      <c r="Q8" s="545" t="n">
        <v>442616.790480539</v>
      </c>
      <c r="R8" s="545" t="n">
        <v>541230.826148622</v>
      </c>
      <c r="S8" s="545" t="n">
        <v>541230.826148622</v>
      </c>
      <c r="T8" s="545" t="n">
        <v>631894.944867622</v>
      </c>
      <c r="U8" s="545" t="n">
        <v>495791.549552305</v>
      </c>
      <c r="V8" s="545" t="n">
        <v>343974.804822852</v>
      </c>
      <c r="W8" s="545" t="n">
        <v>343974.804822852</v>
      </c>
      <c r="X8" s="545" t="n">
        <v>356437.861811602</v>
      </c>
      <c r="Y8" s="545" t="n">
        <v>331511.747834102</v>
      </c>
      <c r="Z8" s="545" t="n">
        <v>331511.747834102</v>
      </c>
      <c r="AA8" s="545" t="n">
        <v>331511.747834102</v>
      </c>
      <c r="AB8" s="545" t="n">
        <v>331511.747834102</v>
      </c>
      <c r="AC8" s="545" t="n">
        <v>331511.747834102</v>
      </c>
      <c r="AD8" s="545" t="n">
        <v>378380.997071102</v>
      </c>
      <c r="AE8" s="545" t="n">
        <v>284642.498597102</v>
      </c>
      <c r="AF8" s="545" t="n">
        <v>374733.909031035</v>
      </c>
      <c r="AG8" s="545" t="n">
        <v>374733.909031035</v>
      </c>
      <c r="AH8" s="545" t="n">
        <v>374733.909031035</v>
      </c>
      <c r="AI8" s="545" t="n">
        <v>374733.909031035</v>
      </c>
      <c r="AJ8" s="545" t="n">
        <v>447874.706379785</v>
      </c>
      <c r="AK8" s="545" t="n">
        <v>316830.777796608</v>
      </c>
      <c r="AL8" s="545" t="n">
        <v>464631.496804608</v>
      </c>
      <c r="AM8" s="545" t="n">
        <v>223223.655758208</v>
      </c>
      <c r="AN8" s="545" t="n">
        <v>223223.655758208</v>
      </c>
      <c r="AO8" s="545" t="n">
        <v>277726.092057458</v>
      </c>
      <c r="AP8" s="545" t="n">
        <v>188705.446102017</v>
      </c>
      <c r="AQ8" s="545" t="n">
        <v>188705.446102017</v>
      </c>
      <c r="AR8" s="545" t="n">
        <v>188705.446102017</v>
      </c>
      <c r="AS8" s="545" t="n">
        <v>188705.446102017</v>
      </c>
      <c r="AT8" s="545" t="n">
        <v>188705.446102017</v>
      </c>
      <c r="AU8" s="545" t="n">
        <v>344411.818209517</v>
      </c>
      <c r="AV8" s="545" t="n">
        <v>90091.4104339333</v>
      </c>
      <c r="AW8" s="545" t="n">
        <v>90091.4104339333</v>
      </c>
      <c r="AX8" s="545" t="n">
        <v>90091.4104339333</v>
      </c>
      <c r="AY8" s="545" t="n">
        <v>90091.4104339333</v>
      </c>
      <c r="AZ8" s="545" t="n">
        <v>90091.4104339333</v>
      </c>
      <c r="BA8" s="545" t="n">
        <v>90091.4104339333</v>
      </c>
      <c r="BB8" s="545" t="n">
        <v>90091.4104339333</v>
      </c>
      <c r="BC8" s="545" t="n">
        <v>90091.4104339333</v>
      </c>
      <c r="BD8" s="545" t="n">
        <v>90091.4104339333</v>
      </c>
      <c r="BE8" s="545" t="n">
        <v>90091.4104339333</v>
      </c>
      <c r="BF8" s="545" t="n">
        <v>90091.4104339333</v>
      </c>
      <c r="BG8" s="545" t="n">
        <v>90091.4104339333</v>
      </c>
      <c r="BH8" s="545" t="n">
        <v>90091.4104339333</v>
      </c>
      <c r="BI8" s="545" t="n">
        <v>232341.005855933</v>
      </c>
      <c r="BJ8" s="545" t="n">
        <v>0</v>
      </c>
      <c r="BK8" s="545" t="n">
        <v>0</v>
      </c>
      <c r="BL8" s="545" t="n">
        <v>0</v>
      </c>
      <c r="BM8" s="545" t="n">
        <v>0</v>
      </c>
      <c r="BN8" s="545" t="n">
        <v>0</v>
      </c>
      <c r="BO8" s="545" t="n">
        <v>0</v>
      </c>
      <c r="BP8" s="545" t="n">
        <v>0</v>
      </c>
      <c r="BQ8" s="545" t="n">
        <v>0</v>
      </c>
      <c r="BR8" s="545" t="n">
        <v>0</v>
      </c>
      <c r="BS8" s="545" t="n">
        <v>0</v>
      </c>
      <c r="BT8" s="545" t="n">
        <v>0</v>
      </c>
      <c r="BU8" s="545" t="n">
        <v>0</v>
      </c>
      <c r="BV8" s="545" t="n">
        <v>0</v>
      </c>
      <c r="BW8" s="545" t="n">
        <v>0</v>
      </c>
      <c r="BX8" s="545" t="n">
        <v>0</v>
      </c>
      <c r="BY8" s="545" t="n">
        <v>0</v>
      </c>
      <c r="BZ8" s="545" t="n">
        <v>0</v>
      </c>
      <c r="CA8" s="545" t="n">
        <v>0</v>
      </c>
      <c r="CB8" s="545" t="n">
        <v>0</v>
      </c>
      <c r="CC8" s="545" t="n">
        <v>0</v>
      </c>
      <c r="CD8" s="545" t="n">
        <v>0</v>
      </c>
      <c r="CE8" s="545" t="n">
        <v>0</v>
      </c>
      <c r="CF8" s="545" t="n">
        <v>0</v>
      </c>
      <c r="CG8" s="545" t="n">
        <v>0</v>
      </c>
      <c r="CH8" s="545" t="n">
        <v>0</v>
      </c>
      <c r="CI8" s="545" t="n">
        <v>0</v>
      </c>
      <c r="CJ8" s="545" t="n">
        <v>0</v>
      </c>
      <c r="CK8" s="545" t="n">
        <v>0</v>
      </c>
      <c r="CL8" s="545" t="n">
        <v>0</v>
      </c>
      <c r="CM8" s="545" t="n">
        <v>0</v>
      </c>
      <c r="CN8" s="545" t="n">
        <v>0</v>
      </c>
      <c r="CO8" s="545" t="n">
        <v>0</v>
      </c>
      <c r="CP8" s="545" t="n">
        <v>0</v>
      </c>
      <c r="CQ8" s="545" t="n">
        <v>0</v>
      </c>
      <c r="CR8" s="545" t="n">
        <v>0</v>
      </c>
      <c r="CS8" s="545" t="n">
        <v>0</v>
      </c>
      <c r="CT8" s="545" t="n">
        <v>0</v>
      </c>
      <c r="CU8" s="545" t="n">
        <v>0</v>
      </c>
      <c r="CV8" s="545" t="n">
        <v>0</v>
      </c>
      <c r="CW8" s="545" t="n">
        <v>0</v>
      </c>
      <c r="CX8" s="545" t="n">
        <v>0</v>
      </c>
      <c r="CY8" s="545" t="n">
        <v>0</v>
      </c>
      <c r="CZ8" s="545" t="n">
        <v>0</v>
      </c>
      <c r="DA8" s="545" t="n">
        <v>0</v>
      </c>
      <c r="DB8" s="545" t="n">
        <v>0</v>
      </c>
      <c r="DC8" s="545" t="n">
        <v>0</v>
      </c>
      <c r="DD8" s="545" t="n">
        <v>0</v>
      </c>
      <c r="DE8" s="545" t="n">
        <v>0</v>
      </c>
      <c r="DF8" s="545" t="n">
        <v>0</v>
      </c>
    </row>
    <row r="9" ht="15" customFormat="1" customHeight="1" s="381">
      <c r="A9" s="472" t="inlineStr">
        <is>
          <t>Project Supervision Revenue</t>
        </is>
      </c>
      <c r="C9" s="486" t="n">
        <v>0</v>
      </c>
      <c r="D9" s="486" t="n">
        <v>0</v>
      </c>
      <c r="E9" s="486" t="n">
        <v>0</v>
      </c>
      <c r="F9" s="543" t="n">
        <v>0</v>
      </c>
      <c r="G9" s="543" t="n">
        <v>0</v>
      </c>
      <c r="H9" s="543" t="n">
        <v>0</v>
      </c>
      <c r="I9" s="543" t="n">
        <v>0</v>
      </c>
      <c r="J9" s="543" t="n">
        <v>0</v>
      </c>
      <c r="K9" s="543" t="n">
        <v>0</v>
      </c>
      <c r="L9" s="543" t="n">
        <v>0</v>
      </c>
      <c r="M9" s="543" t="n">
        <v>0</v>
      </c>
      <c r="N9" s="543" t="n">
        <v>0</v>
      </c>
      <c r="O9" s="543" t="n">
        <v>0</v>
      </c>
      <c r="P9" s="543" t="n">
        <v>0</v>
      </c>
      <c r="Q9" s="543" t="n">
        <v>0</v>
      </c>
      <c r="R9" s="543" t="n">
        <v>0</v>
      </c>
      <c r="S9" s="543" t="n">
        <v>0</v>
      </c>
      <c r="T9" s="543" t="n">
        <v>0</v>
      </c>
      <c r="U9" s="543" t="n">
        <v>0</v>
      </c>
      <c r="V9" s="543" t="n">
        <v>0</v>
      </c>
      <c r="W9" s="543" t="n">
        <v>0</v>
      </c>
      <c r="X9" s="543" t="n">
        <v>0</v>
      </c>
      <c r="Y9" s="543" t="n">
        <v>0</v>
      </c>
      <c r="Z9" s="543" t="n">
        <v>0</v>
      </c>
      <c r="AA9" s="543" t="n">
        <v>0</v>
      </c>
      <c r="AB9" s="543" t="n">
        <v>0</v>
      </c>
      <c r="AC9" s="543" t="n">
        <v>0</v>
      </c>
      <c r="AD9" s="543" t="n">
        <v>0</v>
      </c>
      <c r="AE9" s="543" t="n">
        <v>0</v>
      </c>
      <c r="AF9" s="543" t="n">
        <v>0</v>
      </c>
      <c r="AG9" s="543" t="n">
        <v>0</v>
      </c>
      <c r="AH9" s="543" t="n">
        <v>0</v>
      </c>
      <c r="AI9" s="543" t="n">
        <v>0</v>
      </c>
      <c r="AJ9" s="543" t="n">
        <v>0</v>
      </c>
      <c r="AK9" s="543" t="n">
        <v>0</v>
      </c>
      <c r="AL9" s="543" t="n">
        <v>0</v>
      </c>
      <c r="AM9" s="543" t="n">
        <v>0</v>
      </c>
      <c r="AN9" s="543" t="n">
        <v>0</v>
      </c>
      <c r="AO9" s="543" t="n">
        <v>0</v>
      </c>
      <c r="AP9" s="543" t="n">
        <v>0</v>
      </c>
      <c r="AQ9" s="543" t="n">
        <v>0</v>
      </c>
      <c r="AR9" s="543" t="n">
        <v>0</v>
      </c>
      <c r="AS9" s="543" t="n">
        <v>0</v>
      </c>
      <c r="AT9" s="543" t="n">
        <v>0</v>
      </c>
      <c r="AU9" s="543" t="n">
        <v>0</v>
      </c>
      <c r="AV9" s="543" t="n">
        <v>0</v>
      </c>
      <c r="AW9" s="543" t="n">
        <v>0</v>
      </c>
      <c r="AX9" s="543" t="n">
        <v>0</v>
      </c>
      <c r="AY9" s="543" t="n">
        <v>0</v>
      </c>
      <c r="AZ9" s="543" t="n">
        <v>0</v>
      </c>
      <c r="BA9" s="543" t="n">
        <v>0</v>
      </c>
      <c r="BB9" s="543" t="n">
        <v>0</v>
      </c>
      <c r="BC9" s="543" t="n">
        <v>0</v>
      </c>
      <c r="BD9" s="543" t="n">
        <v>0</v>
      </c>
      <c r="BE9" s="543" t="n">
        <v>0</v>
      </c>
      <c r="BF9" s="543" t="n">
        <v>0</v>
      </c>
      <c r="BG9" s="543" t="n">
        <v>0</v>
      </c>
      <c r="BH9" s="543" t="n">
        <v>0</v>
      </c>
      <c r="BI9" s="543" t="n">
        <v>0</v>
      </c>
      <c r="BJ9" s="543" t="n">
        <v>0</v>
      </c>
      <c r="BK9" s="543" t="n">
        <v>0</v>
      </c>
      <c r="BL9" s="543" t="n">
        <v>0</v>
      </c>
      <c r="BM9" s="543" t="n">
        <v>0</v>
      </c>
      <c r="BN9" s="543" t="n">
        <v>0</v>
      </c>
      <c r="BO9" s="543" t="n">
        <v>0</v>
      </c>
      <c r="BP9" s="543" t="n">
        <v>0</v>
      </c>
      <c r="BQ9" s="543" t="n">
        <v>0</v>
      </c>
      <c r="BR9" s="543" t="n">
        <v>0</v>
      </c>
      <c r="BS9" s="543" t="n">
        <v>0</v>
      </c>
      <c r="BT9" s="543" t="n">
        <v>0</v>
      </c>
      <c r="BU9" s="543" t="n">
        <v>0</v>
      </c>
      <c r="BV9" s="543" t="n">
        <v>0</v>
      </c>
      <c r="BW9" s="543" t="n">
        <v>0</v>
      </c>
      <c r="BX9" s="543" t="n">
        <v>0</v>
      </c>
      <c r="BY9" s="543" t="n">
        <v>0</v>
      </c>
      <c r="BZ9" s="543" t="n">
        <v>0</v>
      </c>
      <c r="CA9" s="543" t="n">
        <v>0</v>
      </c>
      <c r="CB9" s="543" t="n">
        <v>0</v>
      </c>
      <c r="CC9" s="543" t="n">
        <v>0</v>
      </c>
      <c r="CD9" s="543" t="n">
        <v>0</v>
      </c>
      <c r="CE9" s="543" t="n">
        <v>0</v>
      </c>
      <c r="CF9" s="543" t="n">
        <v>0</v>
      </c>
      <c r="CG9" s="543" t="n">
        <v>0</v>
      </c>
      <c r="CH9" s="543" t="n">
        <v>0</v>
      </c>
      <c r="CI9" s="543" t="n">
        <v>0</v>
      </c>
      <c r="CJ9" s="543" t="n">
        <v>0</v>
      </c>
      <c r="CK9" s="543" t="n">
        <v>0</v>
      </c>
      <c r="CL9" s="543" t="n">
        <v>0</v>
      </c>
      <c r="CM9" s="543" t="n">
        <v>0</v>
      </c>
      <c r="CN9" s="543" t="n">
        <v>0</v>
      </c>
      <c r="CO9" s="543" t="n">
        <v>0</v>
      </c>
      <c r="CP9" s="543" t="n">
        <v>0</v>
      </c>
      <c r="CQ9" s="543" t="n">
        <v>0</v>
      </c>
      <c r="CR9" s="543" t="n">
        <v>0</v>
      </c>
      <c r="CS9" s="543" t="n">
        <v>0</v>
      </c>
      <c r="CT9" s="543" t="n">
        <v>0</v>
      </c>
      <c r="CU9" s="543" t="n">
        <v>0</v>
      </c>
      <c r="CV9" s="543" t="n">
        <v>0</v>
      </c>
      <c r="CW9" s="543" t="n">
        <v>0</v>
      </c>
      <c r="CX9" s="543" t="n">
        <v>0</v>
      </c>
      <c r="CY9" s="543" t="n">
        <v>0</v>
      </c>
      <c r="CZ9" s="543" t="n">
        <v>0</v>
      </c>
      <c r="DA9" s="543" t="n">
        <v>0</v>
      </c>
      <c r="DB9" s="543" t="n">
        <v>0</v>
      </c>
      <c r="DC9" s="543" t="n">
        <v>0</v>
      </c>
      <c r="DD9" s="543" t="n">
        <v>0</v>
      </c>
      <c r="DE9" s="543" t="n">
        <v>0</v>
      </c>
      <c r="DF9" s="543" t="n">
        <v>0</v>
      </c>
    </row>
    <row r="10" ht="15" customFormat="1" customHeight="1" s="381">
      <c r="A10" s="472" t="inlineStr">
        <is>
          <t>GC-CM Fee Revenue</t>
        </is>
      </c>
      <c r="C10" s="486" t="n">
        <v>95370.25</v>
      </c>
      <c r="D10" s="486" t="n">
        <v>173282.89</v>
      </c>
      <c r="E10" s="486" t="n">
        <v>50438.85</v>
      </c>
      <c r="F10" s="543" t="n">
        <v>200950.186296774</v>
      </c>
      <c r="G10" s="543" t="n">
        <v>200950.186296774</v>
      </c>
      <c r="H10" s="543" t="n">
        <v>200950.186296774</v>
      </c>
      <c r="I10" s="543" t="n">
        <v>271155.187658694</v>
      </c>
      <c r="J10" s="543" t="n">
        <v>271155.187658694</v>
      </c>
      <c r="K10" s="543" t="n">
        <v>271155.187658694</v>
      </c>
      <c r="L10" s="543" t="n">
        <v>332195.486067781</v>
      </c>
      <c r="M10" s="543" t="n">
        <v>394006.472359489</v>
      </c>
      <c r="N10" s="543" t="n">
        <v>331960.984397614</v>
      </c>
      <c r="O10" s="543" t="n">
        <v>331960.984397614</v>
      </c>
      <c r="P10" s="543" t="n">
        <v>331960.984397614</v>
      </c>
      <c r="Q10" s="543" t="n">
        <v>331960.984397614</v>
      </c>
      <c r="R10" s="543" t="n">
        <v>405921.152786748</v>
      </c>
      <c r="S10" s="543" t="n">
        <v>405921.152786748</v>
      </c>
      <c r="T10" s="543" t="n">
        <v>473918.912353948</v>
      </c>
      <c r="U10" s="543" t="n">
        <v>371841.860465161</v>
      </c>
      <c r="V10" s="543" t="n">
        <v>257979.853617848</v>
      </c>
      <c r="W10" s="543" t="n">
        <v>257979.853617848</v>
      </c>
      <c r="X10" s="543" t="n">
        <v>267327.101068848</v>
      </c>
      <c r="Y10" s="543" t="n">
        <v>248632.606166848</v>
      </c>
      <c r="Z10" s="543" t="n">
        <v>248632.606166848</v>
      </c>
      <c r="AA10" s="543" t="n">
        <v>248632.606166848</v>
      </c>
      <c r="AB10" s="543" t="n">
        <v>248632.606166848</v>
      </c>
      <c r="AC10" s="543" t="n">
        <v>248632.606166848</v>
      </c>
      <c r="AD10" s="543" t="n">
        <v>283784.372772448</v>
      </c>
      <c r="AE10" s="543" t="n">
        <v>213480.839561248</v>
      </c>
      <c r="AF10" s="543" t="n">
        <v>281049.069995862</v>
      </c>
      <c r="AG10" s="543" t="n">
        <v>281049.069995862</v>
      </c>
      <c r="AH10" s="543" t="n">
        <v>281049.069995862</v>
      </c>
      <c r="AI10" s="543" t="n">
        <v>281049.069995862</v>
      </c>
      <c r="AJ10" s="543" t="n">
        <v>335904.402214862</v>
      </c>
      <c r="AK10" s="543" t="n">
        <v>237621.931989153</v>
      </c>
      <c r="AL10" s="543" t="n">
        <v>348471.934139553</v>
      </c>
      <c r="AM10" s="543" t="n">
        <v>167416.930627233</v>
      </c>
      <c r="AN10" s="543" t="n">
        <v>167416.930627233</v>
      </c>
      <c r="AO10" s="543" t="n">
        <v>208293.559790633</v>
      </c>
      <c r="AP10" s="543" t="n">
        <v>141528.398823747</v>
      </c>
      <c r="AQ10" s="543" t="n">
        <v>141528.398823747</v>
      </c>
      <c r="AR10" s="543" t="n">
        <v>141528.398823747</v>
      </c>
      <c r="AS10" s="543" t="n">
        <v>141528.398823747</v>
      </c>
      <c r="AT10" s="543" t="n">
        <v>141528.398823747</v>
      </c>
      <c r="AU10" s="543" t="n">
        <v>258307.612069747</v>
      </c>
      <c r="AV10" s="543" t="n">
        <v>67568.2304346134</v>
      </c>
      <c r="AW10" s="543" t="n">
        <v>67568.2304346134</v>
      </c>
      <c r="AX10" s="543" t="n">
        <v>67568.2304346134</v>
      </c>
      <c r="AY10" s="543" t="n">
        <v>67568.2304346134</v>
      </c>
      <c r="AZ10" s="543" t="n">
        <v>67568.2304346134</v>
      </c>
      <c r="BA10" s="543" t="n">
        <v>67568.2304346134</v>
      </c>
      <c r="BB10" s="543" t="n">
        <v>67568.2304346134</v>
      </c>
      <c r="BC10" s="543" t="n">
        <v>67568.2304346134</v>
      </c>
      <c r="BD10" s="543" t="n">
        <v>67568.2304346134</v>
      </c>
      <c r="BE10" s="543" t="n">
        <v>67568.2304346134</v>
      </c>
      <c r="BF10" s="543" t="n">
        <v>67568.2304346134</v>
      </c>
      <c r="BG10" s="543" t="n">
        <v>67568.2304346134</v>
      </c>
      <c r="BH10" s="543" t="n">
        <v>67568.2304346134</v>
      </c>
      <c r="BI10" s="543" t="n">
        <v>174254.910068213</v>
      </c>
      <c r="BJ10" s="543" t="n">
        <v>0</v>
      </c>
      <c r="BK10" s="543" t="n">
        <v>0</v>
      </c>
      <c r="BL10" s="543" t="n">
        <v>0</v>
      </c>
      <c r="BM10" s="543" t="n">
        <v>0</v>
      </c>
      <c r="BN10" s="543" t="n">
        <v>0</v>
      </c>
      <c r="BO10" s="543" t="n">
        <v>0</v>
      </c>
      <c r="BP10" s="543" t="n">
        <v>0</v>
      </c>
      <c r="BQ10" s="543" t="n">
        <v>0</v>
      </c>
      <c r="BR10" s="543" t="n">
        <v>0</v>
      </c>
      <c r="BS10" s="543" t="n">
        <v>0</v>
      </c>
      <c r="BT10" s="543" t="n">
        <v>0</v>
      </c>
      <c r="BU10" s="543" t="n">
        <v>0</v>
      </c>
      <c r="BV10" s="543" t="n">
        <v>0</v>
      </c>
      <c r="BW10" s="543" t="n">
        <v>0</v>
      </c>
      <c r="BX10" s="543" t="n">
        <v>0</v>
      </c>
      <c r="BY10" s="543" t="n">
        <v>0</v>
      </c>
      <c r="BZ10" s="543" t="n">
        <v>0</v>
      </c>
      <c r="CA10" s="543" t="n">
        <v>0</v>
      </c>
      <c r="CB10" s="543" t="n">
        <v>0</v>
      </c>
      <c r="CC10" s="543" t="n">
        <v>0</v>
      </c>
      <c r="CD10" s="543" t="n">
        <v>0</v>
      </c>
      <c r="CE10" s="543" t="n">
        <v>0</v>
      </c>
      <c r="CF10" s="543" t="n">
        <v>0</v>
      </c>
      <c r="CG10" s="543" t="n">
        <v>0</v>
      </c>
      <c r="CH10" s="543" t="n">
        <v>0</v>
      </c>
      <c r="CI10" s="543" t="n">
        <v>0</v>
      </c>
      <c r="CJ10" s="543" t="n">
        <v>0</v>
      </c>
      <c r="CK10" s="543" t="n">
        <v>0</v>
      </c>
      <c r="CL10" s="543" t="n">
        <v>0</v>
      </c>
      <c r="CM10" s="543" t="n">
        <v>0</v>
      </c>
      <c r="CN10" s="543" t="n">
        <v>0</v>
      </c>
      <c r="CO10" s="543" t="n">
        <v>0</v>
      </c>
      <c r="CP10" s="543" t="n">
        <v>0</v>
      </c>
      <c r="CQ10" s="543" t="n">
        <v>0</v>
      </c>
      <c r="CR10" s="543" t="n">
        <v>0</v>
      </c>
      <c r="CS10" s="543" t="n">
        <v>0</v>
      </c>
      <c r="CT10" s="543" t="n">
        <v>0</v>
      </c>
      <c r="CU10" s="543" t="n">
        <v>0</v>
      </c>
      <c r="CV10" s="543" t="n">
        <v>0</v>
      </c>
      <c r="CW10" s="543" t="n">
        <v>0</v>
      </c>
      <c r="CX10" s="543" t="n">
        <v>0</v>
      </c>
      <c r="CY10" s="543" t="n">
        <v>0</v>
      </c>
      <c r="CZ10" s="543" t="n">
        <v>0</v>
      </c>
      <c r="DA10" s="543" t="n">
        <v>0</v>
      </c>
      <c r="DB10" s="543" t="n">
        <v>0</v>
      </c>
      <c r="DC10" s="543" t="n">
        <v>0</v>
      </c>
      <c r="DD10" s="543" t="n">
        <v>0</v>
      </c>
      <c r="DE10" s="543" t="n">
        <v>0</v>
      </c>
      <c r="DF10" s="543" t="n">
        <v>0</v>
      </c>
    </row>
    <row r="11" ht="15" customFormat="1" customHeight="1" s="381">
      <c r="A11" s="472" t="inlineStr">
        <is>
          <t>Project Administration Revenue</t>
        </is>
      </c>
      <c r="C11" s="546" t="n">
        <v>0</v>
      </c>
      <c r="D11" s="546" t="n">
        <v>0</v>
      </c>
      <c r="E11" s="546" t="n">
        <v>0</v>
      </c>
      <c r="F11" s="543" t="n">
        <v>0</v>
      </c>
      <c r="G11" s="543" t="n">
        <v>0</v>
      </c>
      <c r="H11" s="543" t="n">
        <v>0</v>
      </c>
      <c r="I11" s="543" t="n">
        <v>0</v>
      </c>
      <c r="J11" s="543" t="n">
        <v>0</v>
      </c>
      <c r="K11" s="543" t="n">
        <v>0</v>
      </c>
      <c r="L11" s="543" t="n">
        <v>0</v>
      </c>
      <c r="M11" s="543" t="n">
        <v>0</v>
      </c>
      <c r="N11" s="543" t="n">
        <v>0</v>
      </c>
      <c r="O11" s="543" t="n">
        <v>0</v>
      </c>
      <c r="P11" s="543" t="n">
        <v>0</v>
      </c>
      <c r="Q11" s="543" t="n">
        <v>0</v>
      </c>
      <c r="R11" s="543" t="n">
        <v>0</v>
      </c>
      <c r="S11" s="543" t="n">
        <v>0</v>
      </c>
      <c r="T11" s="543" t="n">
        <v>0</v>
      </c>
      <c r="U11" s="543" t="n">
        <v>0</v>
      </c>
      <c r="V11" s="543" t="n">
        <v>0</v>
      </c>
      <c r="W11" s="543" t="n">
        <v>0</v>
      </c>
      <c r="X11" s="543" t="n">
        <v>0</v>
      </c>
      <c r="Y11" s="543" t="n">
        <v>0</v>
      </c>
      <c r="Z11" s="543" t="n">
        <v>0</v>
      </c>
      <c r="AA11" s="543" t="n">
        <v>0</v>
      </c>
      <c r="AB11" s="543" t="n">
        <v>0</v>
      </c>
      <c r="AC11" s="543" t="n">
        <v>0</v>
      </c>
      <c r="AD11" s="543" t="n">
        <v>0</v>
      </c>
      <c r="AE11" s="543" t="n">
        <v>0</v>
      </c>
      <c r="AF11" s="543" t="n">
        <v>0</v>
      </c>
      <c r="AG11" s="543" t="n">
        <v>0</v>
      </c>
      <c r="AH11" s="543" t="n">
        <v>0</v>
      </c>
      <c r="AI11" s="543" t="n">
        <v>0</v>
      </c>
      <c r="AJ11" s="543" t="n">
        <v>0</v>
      </c>
      <c r="AK11" s="543" t="n">
        <v>0</v>
      </c>
      <c r="AL11" s="543" t="n">
        <v>0</v>
      </c>
      <c r="AM11" s="543" t="n">
        <v>0</v>
      </c>
      <c r="AN11" s="543" t="n">
        <v>0</v>
      </c>
      <c r="AO11" s="543" t="n">
        <v>0</v>
      </c>
      <c r="AP11" s="543" t="n">
        <v>0</v>
      </c>
      <c r="AQ11" s="543" t="n">
        <v>0</v>
      </c>
      <c r="AR11" s="543" t="n">
        <v>0</v>
      </c>
      <c r="AS11" s="543" t="n">
        <v>0</v>
      </c>
      <c r="AT11" s="543" t="n">
        <v>0</v>
      </c>
      <c r="AU11" s="543" t="n">
        <v>0</v>
      </c>
      <c r="AV11" s="543" t="n">
        <v>0</v>
      </c>
      <c r="AW11" s="543" t="n">
        <v>0</v>
      </c>
      <c r="AX11" s="543" t="n">
        <v>0</v>
      </c>
      <c r="AY11" s="543" t="n">
        <v>0</v>
      </c>
      <c r="AZ11" s="543" t="n">
        <v>0</v>
      </c>
      <c r="BA11" s="543" t="n">
        <v>0</v>
      </c>
      <c r="BB11" s="543" t="n">
        <v>0</v>
      </c>
      <c r="BC11" s="543" t="n">
        <v>0</v>
      </c>
      <c r="BD11" s="543" t="n">
        <v>0</v>
      </c>
      <c r="BE11" s="543" t="n">
        <v>0</v>
      </c>
      <c r="BF11" s="543" t="n">
        <v>0</v>
      </c>
      <c r="BG11" s="543" t="n">
        <v>0</v>
      </c>
      <c r="BH11" s="543" t="n">
        <v>0</v>
      </c>
      <c r="BI11" s="543" t="n">
        <v>0</v>
      </c>
      <c r="BJ11" s="543" t="n">
        <v>0</v>
      </c>
      <c r="BK11" s="543" t="n">
        <v>0</v>
      </c>
      <c r="BL11" s="543" t="n">
        <v>0</v>
      </c>
      <c r="BM11" s="543" t="n">
        <v>0</v>
      </c>
      <c r="BN11" s="543" t="n">
        <v>0</v>
      </c>
      <c r="BO11" s="543" t="n">
        <v>0</v>
      </c>
      <c r="BP11" s="543" t="n">
        <v>0</v>
      </c>
      <c r="BQ11" s="543" t="n">
        <v>0</v>
      </c>
      <c r="BR11" s="543" t="n">
        <v>0</v>
      </c>
      <c r="BS11" s="543" t="n">
        <v>0</v>
      </c>
      <c r="BT11" s="543" t="n">
        <v>0</v>
      </c>
      <c r="BU11" s="543" t="n">
        <v>0</v>
      </c>
      <c r="BV11" s="543" t="n">
        <v>0</v>
      </c>
      <c r="BW11" s="543" t="n">
        <v>0</v>
      </c>
      <c r="BX11" s="543" t="n">
        <v>0</v>
      </c>
      <c r="BY11" s="543" t="n">
        <v>0</v>
      </c>
      <c r="BZ11" s="543" t="n">
        <v>0</v>
      </c>
      <c r="CA11" s="543" t="n">
        <v>0</v>
      </c>
      <c r="CB11" s="543" t="n">
        <v>0</v>
      </c>
      <c r="CC11" s="543" t="n">
        <v>0</v>
      </c>
      <c r="CD11" s="543" t="n">
        <v>0</v>
      </c>
      <c r="CE11" s="543" t="n">
        <v>0</v>
      </c>
      <c r="CF11" s="543" t="n">
        <v>0</v>
      </c>
      <c r="CG11" s="543" t="n">
        <v>0</v>
      </c>
      <c r="CH11" s="543" t="n">
        <v>0</v>
      </c>
      <c r="CI11" s="543" t="n">
        <v>0</v>
      </c>
      <c r="CJ11" s="543" t="n">
        <v>0</v>
      </c>
      <c r="CK11" s="543" t="n">
        <v>0</v>
      </c>
      <c r="CL11" s="543" t="n">
        <v>0</v>
      </c>
      <c r="CM11" s="543" t="n">
        <v>0</v>
      </c>
      <c r="CN11" s="543" t="n">
        <v>0</v>
      </c>
      <c r="CO11" s="543" t="n">
        <v>0</v>
      </c>
      <c r="CP11" s="543" t="n">
        <v>0</v>
      </c>
      <c r="CQ11" s="543" t="n">
        <v>0</v>
      </c>
      <c r="CR11" s="543" t="n">
        <v>0</v>
      </c>
      <c r="CS11" s="543" t="n">
        <v>0</v>
      </c>
      <c r="CT11" s="543" t="n">
        <v>0</v>
      </c>
      <c r="CU11" s="543" t="n">
        <v>0</v>
      </c>
      <c r="CV11" s="543" t="n">
        <v>0</v>
      </c>
      <c r="CW11" s="543" t="n">
        <v>0</v>
      </c>
      <c r="CX11" s="543" t="n">
        <v>0</v>
      </c>
      <c r="CY11" s="543" t="n">
        <v>0</v>
      </c>
      <c r="CZ11" s="543" t="n">
        <v>0</v>
      </c>
      <c r="DA11" s="543" t="n">
        <v>0</v>
      </c>
      <c r="DB11" s="543" t="n">
        <v>0</v>
      </c>
      <c r="DC11" s="543" t="n">
        <v>0</v>
      </c>
      <c r="DD11" s="543" t="n">
        <v>0</v>
      </c>
      <c r="DE11" s="543" t="n">
        <v>0</v>
      </c>
      <c r="DF11" s="543" t="n">
        <v>0</v>
      </c>
    </row>
    <row r="12" ht="15" customFormat="1" customHeight="1" s="381">
      <c r="A12" s="482" t="inlineStr">
        <is>
          <t>Trades and Site Cost Billing</t>
        </is>
      </c>
      <c r="C12" s="544" t="n">
        <v>1242053.19</v>
      </c>
      <c r="D12" s="544" t="n">
        <v>2710434.48</v>
      </c>
      <c r="E12" s="544" t="n">
        <v>2402410.43</v>
      </c>
      <c r="F12" s="544" t="n">
        <v>3985482.58</v>
      </c>
      <c r="G12" s="544" t="n">
        <v>4178441.93</v>
      </c>
      <c r="H12" s="544" t="n">
        <v>4314673.98</v>
      </c>
      <c r="I12" s="544" t="n">
        <v>5100719.4</v>
      </c>
      <c r="J12" s="544" t="n">
        <v>5260214.26</v>
      </c>
      <c r="K12" s="544" t="n">
        <v>5352854.32</v>
      </c>
      <c r="L12" s="544" t="n">
        <v>5849570.15</v>
      </c>
      <c r="M12" s="544" t="n">
        <v>6345476.13</v>
      </c>
      <c r="N12" s="544" t="n">
        <v>6208239.26</v>
      </c>
      <c r="O12" s="544" t="n">
        <v>6395725.66</v>
      </c>
      <c r="P12" s="544" t="n">
        <v>6526715.61</v>
      </c>
      <c r="Q12" s="544" t="n">
        <v>6598279.77</v>
      </c>
      <c r="R12" s="544" t="n">
        <v>7163160.25</v>
      </c>
      <c r="S12" s="544" t="n">
        <v>7214523.9</v>
      </c>
      <c r="T12" s="544" t="n">
        <v>7044289.83</v>
      </c>
      <c r="U12" s="544" t="n">
        <v>6558946.87</v>
      </c>
      <c r="V12" s="544" t="n">
        <v>6351724.99</v>
      </c>
      <c r="W12" s="544" t="n">
        <v>6350910.58</v>
      </c>
      <c r="X12" s="544" t="n">
        <v>6231956.53</v>
      </c>
      <c r="Y12" s="544" t="n">
        <v>6016281.88</v>
      </c>
      <c r="Z12" s="544" t="n">
        <v>5778039.55</v>
      </c>
      <c r="AA12" s="544" t="n">
        <v>5481055.51</v>
      </c>
      <c r="AB12" s="544" t="n">
        <v>5142476.89</v>
      </c>
      <c r="AC12" s="544" t="n">
        <v>4779056.04</v>
      </c>
      <c r="AD12" s="544" t="n">
        <v>4323487.76</v>
      </c>
      <c r="AE12" s="544" t="n">
        <v>3830756.31</v>
      </c>
      <c r="AF12" s="544" t="n">
        <v>3598719.36</v>
      </c>
      <c r="AG12" s="544" t="n">
        <v>2781458.46</v>
      </c>
      <c r="AH12" s="544" t="n">
        <v>2827130.02</v>
      </c>
      <c r="AI12" s="544" t="n">
        <v>2855162.63</v>
      </c>
      <c r="AJ12" s="544" t="n">
        <v>2738010.36</v>
      </c>
      <c r="AK12" s="544" t="n">
        <v>2961685.5</v>
      </c>
      <c r="AL12" s="544" t="n">
        <v>2681612.9</v>
      </c>
      <c r="AM12" s="544" t="n">
        <v>3067683.88</v>
      </c>
      <c r="AN12" s="544" t="n">
        <v>3017131.53</v>
      </c>
      <c r="AO12" s="544" t="n">
        <v>2857832.82</v>
      </c>
      <c r="AP12" s="544" t="n">
        <v>2717434.99</v>
      </c>
      <c r="AQ12" s="544" t="n">
        <v>2661368.69</v>
      </c>
      <c r="AR12" s="544" t="n">
        <v>2590847.28</v>
      </c>
      <c r="AS12" s="544" t="n">
        <v>2506479.9</v>
      </c>
      <c r="AT12" s="544" t="n">
        <v>2409088.63</v>
      </c>
      <c r="AU12" s="544" t="n">
        <v>2027193.27</v>
      </c>
      <c r="AV12" s="544" t="n">
        <v>1724513.73</v>
      </c>
      <c r="AW12" s="544" t="n">
        <v>1687294.56</v>
      </c>
      <c r="AX12" s="544" t="n">
        <v>1632789.15</v>
      </c>
      <c r="AY12" s="544" t="n">
        <v>1562651.7</v>
      </c>
      <c r="AZ12" s="544" t="n">
        <v>1478825.86</v>
      </c>
      <c r="BA12" s="544" t="n">
        <v>1383586.14</v>
      </c>
      <c r="BB12" s="544" t="n">
        <v>1279496.53</v>
      </c>
      <c r="BC12" s="544" t="n">
        <v>1169079.66</v>
      </c>
      <c r="BD12" s="544" t="n">
        <v>1054982.23</v>
      </c>
      <c r="BE12" s="544" t="n">
        <v>939685.52</v>
      </c>
      <c r="BF12" s="544" t="n">
        <v>825464.03</v>
      </c>
      <c r="BG12" s="544" t="n">
        <v>714385.48</v>
      </c>
      <c r="BH12" s="544" t="n">
        <v>608145.4300000001</v>
      </c>
      <c r="BI12" s="544" t="n">
        <v>259255.01</v>
      </c>
      <c r="BJ12" s="544" t="n">
        <v>0</v>
      </c>
      <c r="BK12" s="544" t="n">
        <v>0</v>
      </c>
      <c r="BL12" s="544" t="n">
        <v>0</v>
      </c>
      <c r="BM12" s="544" t="n">
        <v>0</v>
      </c>
      <c r="BN12" s="544" t="n">
        <v>0</v>
      </c>
      <c r="BO12" s="544" t="n">
        <v>0</v>
      </c>
      <c r="BP12" s="544" t="n">
        <v>0</v>
      </c>
      <c r="BQ12" s="544" t="n">
        <v>0</v>
      </c>
      <c r="BR12" s="544" t="n">
        <v>0</v>
      </c>
      <c r="BS12" s="544" t="n">
        <v>0</v>
      </c>
      <c r="BT12" s="544" t="n">
        <v>0</v>
      </c>
      <c r="BU12" s="544" t="n">
        <v>0</v>
      </c>
      <c r="BV12" s="544" t="n">
        <v>0</v>
      </c>
      <c r="BW12" s="544" t="n">
        <v>0</v>
      </c>
      <c r="BX12" s="544" t="n">
        <v>0</v>
      </c>
      <c r="BY12" s="544" t="n">
        <v>0</v>
      </c>
      <c r="BZ12" s="544" t="n">
        <v>0</v>
      </c>
      <c r="CA12" s="544" t="n">
        <v>0</v>
      </c>
      <c r="CB12" s="544" t="n">
        <v>0</v>
      </c>
      <c r="CC12" s="544" t="n">
        <v>0</v>
      </c>
      <c r="CD12" s="544" t="n">
        <v>0</v>
      </c>
      <c r="CE12" s="544" t="n">
        <v>0</v>
      </c>
      <c r="CF12" s="544" t="n">
        <v>0</v>
      </c>
      <c r="CG12" s="544" t="n">
        <v>0</v>
      </c>
      <c r="CH12" s="544" t="n">
        <v>0</v>
      </c>
      <c r="CI12" s="544" t="n">
        <v>0</v>
      </c>
      <c r="CJ12" s="544" t="n">
        <v>0</v>
      </c>
      <c r="CK12" s="544" t="n">
        <v>0</v>
      </c>
      <c r="CL12" s="544" t="n">
        <v>0</v>
      </c>
      <c r="CM12" s="544" t="n">
        <v>0</v>
      </c>
      <c r="CN12" s="544" t="n">
        <v>0</v>
      </c>
      <c r="CO12" s="544" t="n">
        <v>0</v>
      </c>
      <c r="CP12" s="544" t="n">
        <v>0</v>
      </c>
      <c r="CQ12" s="544" t="n">
        <v>0</v>
      </c>
      <c r="CR12" s="544" t="n">
        <v>0</v>
      </c>
      <c r="CS12" s="544" t="n">
        <v>0</v>
      </c>
      <c r="CT12" s="544" t="n">
        <v>0</v>
      </c>
      <c r="CU12" s="544" t="n">
        <v>0</v>
      </c>
      <c r="CV12" s="544" t="n">
        <v>0</v>
      </c>
      <c r="CW12" s="544" t="n">
        <v>0</v>
      </c>
      <c r="CX12" s="544" t="n">
        <v>0</v>
      </c>
      <c r="CY12" s="544" t="n">
        <v>0</v>
      </c>
      <c r="CZ12" s="544" t="n">
        <v>0</v>
      </c>
      <c r="DA12" s="544" t="n">
        <v>0</v>
      </c>
      <c r="DB12" s="544" t="n">
        <v>0</v>
      </c>
      <c r="DC12" s="544" t="n">
        <v>0</v>
      </c>
      <c r="DD12" s="544" t="n">
        <v>0</v>
      </c>
      <c r="DE12" s="544" t="n">
        <v>0</v>
      </c>
      <c r="DF12" s="544" t="n">
        <v>0</v>
      </c>
    </row>
    <row r="13" ht="15" customFormat="1" customHeight="1" s="381">
      <c r="A13" s="477" t="inlineStr">
        <is>
          <t>Total Revenues</t>
        </is>
      </c>
      <c r="C13" s="547">
        <f>C8+C10+C12</f>
        <v>1453786.74</v>
      </c>
      <c r="D13" s="547">
        <f>D8+D10+D12</f>
        <v>3022518.89</v>
      </c>
      <c r="E13" s="547">
        <f>E8+E10+E12</f>
        <v>2672216.16</v>
      </c>
      <c r="F13" s="547">
        <f>F8+F10+F12</f>
        <v>4454367.64625426</v>
      </c>
      <c r="G13" s="547">
        <f>G8+G10+G12</f>
        <v>4647326.99625426</v>
      </c>
      <c r="H13" s="547">
        <f>H8+H10+H12</f>
        <v>4783559.04625426</v>
      </c>
      <c r="I13" s="547">
        <f>I8+I10+I12</f>
        <v>5733416.58965458</v>
      </c>
      <c r="J13" s="547">
        <f>J8+J10+J12</f>
        <v>5892911.44965458</v>
      </c>
      <c r="K13" s="547">
        <f>K8+K10+K12</f>
        <v>5985551.50965458</v>
      </c>
      <c r="L13" s="547">
        <f>L8+L10+L12</f>
        <v>6624695.09695686</v>
      </c>
      <c r="M13" s="547">
        <f>M8+M10+M12</f>
        <v>7264827.11096425</v>
      </c>
      <c r="N13" s="547">
        <f>N8+N10+N12</f>
        <v>6982817.03487815</v>
      </c>
      <c r="O13" s="547">
        <f>O8+O10+O12</f>
        <v>7170303.43487815</v>
      </c>
      <c r="P13" s="547">
        <f>P8+P10+P12</f>
        <v>7301293.38487815</v>
      </c>
      <c r="Q13" s="547">
        <f>Q8+Q10+Q12</f>
        <v>7372857.54487815</v>
      </c>
      <c r="R13" s="547">
        <f>R8+R10+R12</f>
        <v>8110312.22893537</v>
      </c>
      <c r="S13" s="547">
        <f>S8+S10+S12</f>
        <v>8161675.87893537</v>
      </c>
      <c r="T13" s="547">
        <f>T8+T10+T12</f>
        <v>8150103.68722157</v>
      </c>
      <c r="U13" s="547">
        <f>U8+U10+U12</f>
        <v>7426580.28001747</v>
      </c>
      <c r="V13" s="547">
        <f>V8+V10+V12</f>
        <v>6953679.6484407</v>
      </c>
      <c r="W13" s="547">
        <f>W8+W10+W12</f>
        <v>6952865.2384407</v>
      </c>
      <c r="X13" s="547">
        <f>X8+X10+X12</f>
        <v>6855721.49288045</v>
      </c>
      <c r="Y13" s="547">
        <f>Y8+Y10+Y12</f>
        <v>6596426.23400095</v>
      </c>
      <c r="Z13" s="547">
        <f>Z8+Z10+Z12</f>
        <v>6358183.90400095</v>
      </c>
      <c r="AA13" s="547">
        <f>AA8+AA10+AA12</f>
        <v>6061199.86400095</v>
      </c>
      <c r="AB13" s="547">
        <f>AB8+AB10+AB12</f>
        <v>5722621.24400095</v>
      </c>
      <c r="AC13" s="547">
        <f>AC8+AC10+AC12</f>
        <v>5359200.39400095</v>
      </c>
      <c r="AD13" s="547">
        <f>AD8+AD10+AD12</f>
        <v>4985653.12984355</v>
      </c>
      <c r="AE13" s="547">
        <f>AE8+AE10+AE12</f>
        <v>4328879.64815835</v>
      </c>
      <c r="AF13" s="547">
        <f>AF8+AF10+AF12</f>
        <v>4254502.3390269</v>
      </c>
      <c r="AG13" s="547">
        <f>AG8+AG10+AG12</f>
        <v>3437241.4390269</v>
      </c>
      <c r="AH13" s="547">
        <f>AH8+AH10+AH12</f>
        <v>3482912.9990269</v>
      </c>
      <c r="AI13" s="547">
        <f>AI8+AI10+AI12</f>
        <v>3510945.6090269</v>
      </c>
      <c r="AJ13" s="547">
        <f>AJ8+AJ10+AJ12</f>
        <v>3521789.46859465</v>
      </c>
      <c r="AK13" s="547">
        <f>AK8+AK10+AK12</f>
        <v>3516138.20978576</v>
      </c>
      <c r="AL13" s="547">
        <f>AL8+AL10+AL12</f>
        <v>3494716.33094416</v>
      </c>
      <c r="AM13" s="547">
        <f>AM8+AM10+AM12</f>
        <v>3458324.46638544</v>
      </c>
      <c r="AN13" s="547">
        <f>AN8+AN10+AN12</f>
        <v>3407772.11638544</v>
      </c>
      <c r="AO13" s="547">
        <f>AO8+AO10+AO12</f>
        <v>3343852.47184809</v>
      </c>
      <c r="AP13" s="547">
        <f>AP8+AP10+AP12</f>
        <v>3047668.83492576</v>
      </c>
      <c r="AQ13" s="547">
        <f>AQ8+AQ10+AQ12</f>
        <v>2991602.53492576</v>
      </c>
      <c r="AR13" s="547">
        <f>AR8+AR10+AR12</f>
        <v>2921081.12492576</v>
      </c>
      <c r="AS13" s="547">
        <f>AS8+AS10+AS12</f>
        <v>2836713.74492576</v>
      </c>
      <c r="AT13" s="547">
        <f>AT8+AT10+AT12</f>
        <v>2739322.47492576</v>
      </c>
      <c r="AU13" s="547">
        <f>AU8+AU10+AU12</f>
        <v>2629912.70027926</v>
      </c>
      <c r="AV13" s="547">
        <f>AV8+AV10+AV12</f>
        <v>1882173.37086855</v>
      </c>
      <c r="AW13" s="547">
        <f>AW8+AW10+AW12</f>
        <v>1844954.20086855</v>
      </c>
      <c r="AX13" s="547">
        <f>AX8+AX10+AX12</f>
        <v>1790448.79086855</v>
      </c>
      <c r="AY13" s="547">
        <f>AY8+AY10+AY12</f>
        <v>1720311.34086855</v>
      </c>
      <c r="AZ13" s="547">
        <f>AZ8+AZ10+AZ12</f>
        <v>1636485.50086855</v>
      </c>
      <c r="BA13" s="547">
        <f>BA8+BA10+BA12</f>
        <v>1541245.78086855</v>
      </c>
      <c r="BB13" s="547">
        <f>BB8+BB10+BB12</f>
        <v>1437156.17086855</v>
      </c>
      <c r="BC13" s="547">
        <f>BC8+BC10+BC12</f>
        <v>1326739.30086855</v>
      </c>
      <c r="BD13" s="547">
        <f>BD8+BD10+BD12</f>
        <v>1212641.87086855</v>
      </c>
      <c r="BE13" s="547">
        <f>BE8+BE10+BE12</f>
        <v>1097345.16086855</v>
      </c>
      <c r="BF13" s="547">
        <f>BF8+BF10+BF12</f>
        <v>983123.670868547</v>
      </c>
      <c r="BG13" s="547">
        <f>BG8+BG10+BG12</f>
        <v>872045.120868547</v>
      </c>
      <c r="BH13" s="547">
        <f>BH8+BH10+BH12</f>
        <v>765805.070868547</v>
      </c>
      <c r="BI13" s="547">
        <f>BI8+BI10+BI12</f>
        <v>665850.925924146</v>
      </c>
      <c r="BJ13" s="547">
        <f>BJ8+BJ10+BJ12</f>
        <v>0</v>
      </c>
      <c r="BK13" s="547">
        <f>BK8+BK10+BK12</f>
        <v>0</v>
      </c>
      <c r="BL13" s="547">
        <f>BL8+BL10+BL12</f>
        <v>0</v>
      </c>
      <c r="BM13" s="547">
        <f>BM8+BM10+BM12</f>
        <v>0</v>
      </c>
      <c r="BN13" s="547">
        <f>BN8+BN10+BN12</f>
        <v>0</v>
      </c>
      <c r="BO13" s="547">
        <f>BO8+BO10+BO12</f>
        <v>0</v>
      </c>
      <c r="BP13" s="547">
        <f>BP8+BP10+BP12</f>
        <v>0</v>
      </c>
      <c r="BQ13" s="547">
        <f>BQ8+BQ10+BQ12</f>
        <v>0</v>
      </c>
      <c r="BR13" s="547">
        <f>BR8+BR10+BR12</f>
        <v>0</v>
      </c>
      <c r="BS13" s="547">
        <f>BS8+BS10+BS12</f>
        <v>0</v>
      </c>
      <c r="BT13" s="547">
        <f>BT8+BT10+BT12</f>
        <v>0</v>
      </c>
      <c r="BU13" s="547">
        <f>BU8+BU10+BU12</f>
        <v>0</v>
      </c>
      <c r="BV13" s="547">
        <f>BV8+BV10+BV12</f>
        <v>0</v>
      </c>
      <c r="BW13" s="547">
        <f>BW8+BW10+BW12</f>
        <v>0</v>
      </c>
      <c r="BX13" s="547">
        <f>BX8+BX10+BX12</f>
        <v>0</v>
      </c>
      <c r="BY13" s="547">
        <f>BY8+BY10+BY12</f>
        <v>0</v>
      </c>
      <c r="BZ13" s="547">
        <f>BZ8+BZ10+BZ12</f>
        <v>0</v>
      </c>
      <c r="CA13" s="547">
        <f>CA8+CA10+CA12</f>
        <v>0</v>
      </c>
      <c r="CB13" s="547">
        <f>CB8+CB10+CB12</f>
        <v>0</v>
      </c>
      <c r="CC13" s="547">
        <f>CC8+CC10+CC12</f>
        <v>0</v>
      </c>
      <c r="CD13" s="547">
        <f>CD8+CD10+CD12</f>
        <v>0</v>
      </c>
      <c r="CE13" s="547">
        <f>CE8+CE10+CE12</f>
        <v>0</v>
      </c>
      <c r="CF13" s="547">
        <f>CF8+CF10+CF12</f>
        <v>0</v>
      </c>
      <c r="CG13" s="547">
        <f>CG8+CG10+CG12</f>
        <v>0</v>
      </c>
      <c r="CH13" s="547">
        <f>CH8+CH10+CH12</f>
        <v>0</v>
      </c>
      <c r="CI13" s="547">
        <f>CI8+CI10+CI12</f>
        <v>0</v>
      </c>
      <c r="CJ13" s="547">
        <f>CJ8+CJ10+CJ12</f>
        <v>0</v>
      </c>
      <c r="CK13" s="547">
        <f>CK8+CK10+CK12</f>
        <v>0</v>
      </c>
      <c r="CL13" s="547">
        <f>CL8+CL10+CL12</f>
        <v>0</v>
      </c>
      <c r="CM13" s="547">
        <f>CM8+CM10+CM12</f>
        <v>0</v>
      </c>
      <c r="CN13" s="547">
        <f>CN8+CN10+CN12</f>
        <v>0</v>
      </c>
      <c r="CO13" s="547">
        <f>CO8+CO10+CO12</f>
        <v>0</v>
      </c>
      <c r="CP13" s="547">
        <f>CP8+CP10+CP12</f>
        <v>0</v>
      </c>
      <c r="CQ13" s="547">
        <f>CQ8+CQ10+CQ12</f>
        <v>0</v>
      </c>
      <c r="CR13" s="547">
        <f>CR8+CR10+CR12</f>
        <v>0</v>
      </c>
      <c r="CS13" s="547">
        <f>CS8+CS10+CS12</f>
        <v>0</v>
      </c>
      <c r="CT13" s="547">
        <f>CT8+CT10+CT12</f>
        <v>0</v>
      </c>
      <c r="CU13" s="547">
        <f>CU8+CU10+CU12</f>
        <v>0</v>
      </c>
      <c r="CV13" s="547">
        <f>CV8+CV10+CV12</f>
        <v>0</v>
      </c>
      <c r="CW13" s="547">
        <f>CW8+CW10+CW12</f>
        <v>0</v>
      </c>
      <c r="CX13" s="547">
        <f>CX8+CX10+CX12</f>
        <v>0</v>
      </c>
      <c r="CY13" s="547">
        <f>CY8+CY10+CY12</f>
        <v>0</v>
      </c>
      <c r="CZ13" s="547">
        <f>CZ8+CZ10+CZ12</f>
        <v>0</v>
      </c>
      <c r="DA13" s="547">
        <f>DA8+DA10+DA12</f>
        <v>0</v>
      </c>
      <c r="DB13" s="547">
        <f>DB8+DB10+DB12</f>
        <v>0</v>
      </c>
      <c r="DC13" s="547">
        <f>DC8+DC10+DC12</f>
        <v>0</v>
      </c>
      <c r="DD13" s="547">
        <f>DD8+DD10+DD12</f>
        <v>0</v>
      </c>
      <c r="DE13" s="547">
        <f>DE8+DE10+DE12</f>
        <v>0</v>
      </c>
      <c r="DF13" s="547">
        <f>DF8+DF10+DF12</f>
        <v>0</v>
      </c>
    </row>
    <row r="14" ht="15" customFormat="1" customHeight="1" s="381">
      <c r="A14" s="452" t="inlineStr">
        <is>
          <t>COGS — Trades &amp; Site Costs</t>
        </is>
      </c>
      <c r="C14" s="546" t="n">
        <v>-1233067.43</v>
      </c>
      <c r="D14" s="546" t="n">
        <v>-3073522.36</v>
      </c>
      <c r="E14" s="546" t="n">
        <v>-2078031.64</v>
      </c>
      <c r="F14" s="548" t="n">
        <v>-3985482.58403402</v>
      </c>
      <c r="G14" s="548" t="n">
        <v>-4178441.93467641</v>
      </c>
      <c r="H14" s="548" t="n">
        <v>-4314673.98179329</v>
      </c>
      <c r="I14" s="548" t="n">
        <v>-5100719.40418529</v>
      </c>
      <c r="J14" s="548" t="n">
        <v>-5260214.25623971</v>
      </c>
      <c r="K14" s="548" t="n">
        <v>-5352854.31833945</v>
      </c>
      <c r="L14" s="548" t="n">
        <v>-5849570.14613038</v>
      </c>
      <c r="M14" s="548" t="n">
        <v>-6345476.13239193</v>
      </c>
      <c r="N14" s="548" t="n">
        <v>-6208239.26255321</v>
      </c>
      <c r="O14" s="548" t="n">
        <v>-6395725.66434017</v>
      </c>
      <c r="P14" s="548" t="n">
        <v>-6526715.60885338</v>
      </c>
      <c r="Q14" s="548" t="n">
        <v>-6598279.76517372</v>
      </c>
      <c r="R14" s="548" t="n">
        <v>-7163160.25198472</v>
      </c>
      <c r="S14" s="548" t="n">
        <v>-7214523.89541135</v>
      </c>
      <c r="T14" s="548" t="n">
        <v>-7044289.82829815</v>
      </c>
      <c r="U14" s="548" t="n">
        <v>-6558946.86638782</v>
      </c>
      <c r="V14" s="548" t="n">
        <v>-6351724.9937303</v>
      </c>
      <c r="W14" s="548" t="n">
        <v>-6350910.5797313</v>
      </c>
      <c r="X14" s="548" t="n">
        <v>-6231956.52523155</v>
      </c>
      <c r="Y14" s="548" t="n">
        <v>-6016281.88355905</v>
      </c>
      <c r="Z14" s="548" t="n">
        <v>-5778039.55108905</v>
      </c>
      <c r="AA14" s="548" t="n">
        <v>-5481055.51416705</v>
      </c>
      <c r="AB14" s="548" t="n">
        <v>-5142476.88514805</v>
      </c>
      <c r="AC14" s="548" t="n">
        <v>-4779056.03641005</v>
      </c>
      <c r="AD14" s="548" t="n">
        <v>-4323487.76034045</v>
      </c>
      <c r="AE14" s="548" t="n">
        <v>-3830756.31368165</v>
      </c>
      <c r="AF14" s="548" t="n">
        <v>-3598719.3564371</v>
      </c>
      <c r="AG14" s="548" t="n">
        <v>-2781458.4577761</v>
      </c>
      <c r="AH14" s="548" t="n">
        <v>-2827130.0229831</v>
      </c>
      <c r="AI14" s="548" t="n">
        <v>-2855162.6339251</v>
      </c>
      <c r="AJ14" s="548" t="n">
        <v>-2738010.36288435</v>
      </c>
      <c r="AK14" s="548" t="n">
        <v>-2961685.49998524</v>
      </c>
      <c r="AL14" s="548" t="n">
        <v>-2681612.89887884</v>
      </c>
      <c r="AM14" s="548" t="n">
        <v>-3067683.88382956</v>
      </c>
      <c r="AN14" s="548" t="n">
        <v>-3017131.52805656</v>
      </c>
      <c r="AO14" s="548" t="n">
        <v>-2857832.82197891</v>
      </c>
      <c r="AP14" s="548" t="n">
        <v>-2717434.98835224</v>
      </c>
      <c r="AQ14" s="548" t="n">
        <v>-2661368.68946424</v>
      </c>
      <c r="AR14" s="548" t="n">
        <v>-2590847.27570024</v>
      </c>
      <c r="AS14" s="548" t="n">
        <v>-2506479.90028024</v>
      </c>
      <c r="AT14" s="548" t="n">
        <v>-2409088.63497424</v>
      </c>
      <c r="AU14" s="548" t="n">
        <v>-2027193.26653074</v>
      </c>
      <c r="AV14" s="548" t="n">
        <v>-1724513.72534745</v>
      </c>
      <c r="AW14" s="548" t="n">
        <v>-1687294.55654745</v>
      </c>
      <c r="AX14" s="548" t="n">
        <v>-1632789.15157145</v>
      </c>
      <c r="AY14" s="548" t="n">
        <v>-1562651.69569945</v>
      </c>
      <c r="AZ14" s="548" t="n">
        <v>-1478825.85663545</v>
      </c>
      <c r="BA14" s="548" t="n">
        <v>-1383586.13913945</v>
      </c>
      <c r="BB14" s="548" t="n">
        <v>-1279496.53039545</v>
      </c>
      <c r="BC14" s="548" t="n">
        <v>-1169079.66295545</v>
      </c>
      <c r="BD14" s="548" t="n">
        <v>-1054982.23326745</v>
      </c>
      <c r="BE14" s="548" t="n">
        <v>-939685.519251453</v>
      </c>
      <c r="BF14" s="548" t="n">
        <v>-825464.025667453</v>
      </c>
      <c r="BG14" s="548" t="n">
        <v>-714385.484115453</v>
      </c>
      <c r="BH14" s="548" t="n">
        <v>-608145.434507453</v>
      </c>
      <c r="BI14" s="548" t="n">
        <v>-259255.013907853</v>
      </c>
      <c r="BJ14" s="548" t="n">
        <v>0</v>
      </c>
      <c r="BK14" s="548" t="n">
        <v>0</v>
      </c>
      <c r="BL14" s="548" t="n">
        <v>0</v>
      </c>
      <c r="BM14" s="548" t="n">
        <v>0</v>
      </c>
      <c r="BN14" s="548" t="n">
        <v>0</v>
      </c>
      <c r="BO14" s="548" t="n">
        <v>0</v>
      </c>
      <c r="BP14" s="548" t="n">
        <v>0</v>
      </c>
      <c r="BQ14" s="548" t="n">
        <v>0</v>
      </c>
      <c r="BR14" s="548" t="n">
        <v>0</v>
      </c>
      <c r="BS14" s="548" t="n">
        <v>0</v>
      </c>
      <c r="BT14" s="548" t="n">
        <v>0</v>
      </c>
      <c r="BU14" s="548" t="n">
        <v>0</v>
      </c>
      <c r="BV14" s="548" t="n">
        <v>0</v>
      </c>
      <c r="BW14" s="548" t="n">
        <v>0</v>
      </c>
      <c r="BX14" s="548" t="n">
        <v>0</v>
      </c>
      <c r="BY14" s="548" t="n">
        <v>0</v>
      </c>
      <c r="BZ14" s="548" t="n">
        <v>0</v>
      </c>
      <c r="CA14" s="548" t="n">
        <v>0</v>
      </c>
      <c r="CB14" s="548" t="n">
        <v>0</v>
      </c>
      <c r="CC14" s="548" t="n">
        <v>0</v>
      </c>
      <c r="CD14" s="548" t="n">
        <v>0</v>
      </c>
      <c r="CE14" s="548" t="n">
        <v>0</v>
      </c>
      <c r="CF14" s="548" t="n">
        <v>0</v>
      </c>
      <c r="CG14" s="548" t="n">
        <v>0</v>
      </c>
      <c r="CH14" s="548" t="n">
        <v>0</v>
      </c>
      <c r="CI14" s="548" t="n">
        <v>0</v>
      </c>
      <c r="CJ14" s="548" t="n">
        <v>0</v>
      </c>
      <c r="CK14" s="548" t="n">
        <v>0</v>
      </c>
      <c r="CL14" s="548" t="n">
        <v>0</v>
      </c>
      <c r="CM14" s="548" t="n">
        <v>0</v>
      </c>
      <c r="CN14" s="548" t="n">
        <v>0</v>
      </c>
      <c r="CO14" s="548" t="n">
        <v>0</v>
      </c>
      <c r="CP14" s="548" t="n">
        <v>0</v>
      </c>
      <c r="CQ14" s="548" t="n">
        <v>0</v>
      </c>
      <c r="CR14" s="548" t="n">
        <v>0</v>
      </c>
      <c r="CS14" s="548" t="n">
        <v>0</v>
      </c>
      <c r="CT14" s="548" t="n">
        <v>0</v>
      </c>
      <c r="CU14" s="548" t="n">
        <v>0</v>
      </c>
      <c r="CV14" s="548" t="n">
        <v>0</v>
      </c>
      <c r="CW14" s="548" t="n">
        <v>0</v>
      </c>
      <c r="CX14" s="548" t="n">
        <v>0</v>
      </c>
      <c r="CY14" s="548" t="n">
        <v>0</v>
      </c>
      <c r="CZ14" s="548" t="n">
        <v>0</v>
      </c>
      <c r="DA14" s="548" t="n">
        <v>0</v>
      </c>
      <c r="DB14" s="548" t="n">
        <v>0</v>
      </c>
      <c r="DC14" s="548" t="n">
        <v>0</v>
      </c>
      <c r="DD14" s="548" t="n">
        <v>0</v>
      </c>
      <c r="DE14" s="548" t="n">
        <v>0</v>
      </c>
      <c r="DF14" s="548" t="n">
        <v>0</v>
      </c>
    </row>
    <row r="15" ht="15" customFormat="1" customHeight="1" s="381">
      <c r="A15" s="472" t="inlineStr">
        <is>
          <t>Bonding Revenue</t>
        </is>
      </c>
      <c r="C15" s="486" t="n">
        <v>0</v>
      </c>
      <c r="D15" s="486" t="n">
        <v>0</v>
      </c>
      <c r="E15" s="486" t="n">
        <v>0</v>
      </c>
      <c r="F15" s="543" t="n">
        <v>0</v>
      </c>
      <c r="G15" s="543" t="n">
        <v>0</v>
      </c>
      <c r="H15" s="543" t="n">
        <v>0</v>
      </c>
      <c r="I15" s="543" t="n">
        <v>644526.72</v>
      </c>
      <c r="J15" s="543" t="n">
        <v>0</v>
      </c>
      <c r="K15" s="543" t="n">
        <v>0</v>
      </c>
      <c r="L15" s="543" t="n">
        <v>442059.825</v>
      </c>
      <c r="M15" s="543" t="n">
        <v>318951.075</v>
      </c>
      <c r="N15" s="543" t="n">
        <v>0</v>
      </c>
      <c r="O15" s="543" t="n">
        <v>0</v>
      </c>
      <c r="P15" s="543" t="n">
        <v>0</v>
      </c>
      <c r="Q15" s="543" t="n">
        <v>0</v>
      </c>
      <c r="R15" s="543" t="n">
        <v>679001.55</v>
      </c>
      <c r="S15" s="543" t="n">
        <v>0</v>
      </c>
      <c r="T15" s="543" t="n">
        <v>0</v>
      </c>
      <c r="U15" s="543" t="n">
        <v>0</v>
      </c>
      <c r="V15" s="543" t="n">
        <v>0</v>
      </c>
      <c r="W15" s="543" t="n">
        <v>0</v>
      </c>
      <c r="X15" s="543" t="n">
        <v>0</v>
      </c>
      <c r="Y15" s="543" t="n">
        <v>0</v>
      </c>
      <c r="Z15" s="543" t="n">
        <v>0</v>
      </c>
      <c r="AA15" s="543" t="n">
        <v>0</v>
      </c>
      <c r="AB15" s="543" t="n">
        <v>0</v>
      </c>
      <c r="AC15" s="543" t="n">
        <v>0</v>
      </c>
      <c r="AD15" s="543" t="n">
        <v>0</v>
      </c>
      <c r="AE15" s="543" t="n">
        <v>0</v>
      </c>
      <c r="AF15" s="543" t="n">
        <v>620319.48</v>
      </c>
      <c r="AG15" s="543" t="n">
        <v>0</v>
      </c>
      <c r="AH15" s="543" t="n">
        <v>0</v>
      </c>
      <c r="AI15" s="543" t="n">
        <v>0</v>
      </c>
      <c r="AJ15" s="543" t="n">
        <v>0</v>
      </c>
      <c r="AK15" s="543" t="n">
        <v>0</v>
      </c>
      <c r="AL15" s="543" t="n">
        <v>0</v>
      </c>
      <c r="AM15" s="543" t="n">
        <v>0</v>
      </c>
      <c r="AN15" s="543" t="n">
        <v>0</v>
      </c>
      <c r="AO15" s="543" t="n">
        <v>0</v>
      </c>
      <c r="AP15" s="543" t="n">
        <v>0</v>
      </c>
      <c r="AQ15" s="543" t="n">
        <v>0</v>
      </c>
      <c r="AR15" s="543" t="n">
        <v>0</v>
      </c>
      <c r="AS15" s="543" t="n">
        <v>0</v>
      </c>
      <c r="AT15" s="543" t="n">
        <v>0</v>
      </c>
      <c r="AU15" s="543" t="n">
        <v>0</v>
      </c>
      <c r="AV15" s="543" t="n">
        <v>0</v>
      </c>
      <c r="AW15" s="543" t="n">
        <v>0</v>
      </c>
      <c r="AX15" s="543" t="n">
        <v>0</v>
      </c>
      <c r="AY15" s="543" t="n">
        <v>0</v>
      </c>
      <c r="AZ15" s="543" t="n">
        <v>0</v>
      </c>
      <c r="BA15" s="543" t="n">
        <v>0</v>
      </c>
      <c r="BB15" s="543" t="n">
        <v>0</v>
      </c>
      <c r="BC15" s="543" t="n">
        <v>0</v>
      </c>
      <c r="BD15" s="543" t="n">
        <v>0</v>
      </c>
      <c r="BE15" s="543" t="n">
        <v>0</v>
      </c>
      <c r="BF15" s="543" t="n">
        <v>0</v>
      </c>
      <c r="BG15" s="543" t="n">
        <v>0</v>
      </c>
      <c r="BH15" s="543" t="n">
        <v>0</v>
      </c>
      <c r="BI15" s="543" t="n">
        <v>0</v>
      </c>
      <c r="BJ15" s="543" t="n">
        <v>0</v>
      </c>
      <c r="BK15" s="543" t="n">
        <v>0</v>
      </c>
      <c r="BL15" s="543" t="n">
        <v>0</v>
      </c>
      <c r="BM15" s="543" t="n">
        <v>0</v>
      </c>
      <c r="BN15" s="543" t="n">
        <v>0</v>
      </c>
      <c r="BO15" s="543" t="n">
        <v>0</v>
      </c>
      <c r="BP15" s="543" t="n">
        <v>0</v>
      </c>
      <c r="BQ15" s="543" t="n">
        <v>0</v>
      </c>
      <c r="BR15" s="543" t="n">
        <v>0</v>
      </c>
      <c r="BS15" s="543" t="n">
        <v>0</v>
      </c>
      <c r="BT15" s="543" t="n">
        <v>0</v>
      </c>
      <c r="BU15" s="543" t="n">
        <v>0</v>
      </c>
      <c r="BV15" s="543" t="n">
        <v>0</v>
      </c>
      <c r="BW15" s="543" t="n">
        <v>0</v>
      </c>
      <c r="BX15" s="543" t="n">
        <v>0</v>
      </c>
      <c r="BY15" s="543" t="n">
        <v>0</v>
      </c>
      <c r="BZ15" s="543" t="n">
        <v>0</v>
      </c>
      <c r="CA15" s="543" t="n">
        <v>0</v>
      </c>
      <c r="CB15" s="543" t="n">
        <v>0</v>
      </c>
      <c r="CC15" s="543" t="n">
        <v>0</v>
      </c>
      <c r="CD15" s="543" t="n">
        <v>0</v>
      </c>
      <c r="CE15" s="543" t="n">
        <v>0</v>
      </c>
      <c r="CF15" s="543" t="n">
        <v>0</v>
      </c>
      <c r="CG15" s="543" t="n">
        <v>0</v>
      </c>
      <c r="CH15" s="543" t="n">
        <v>0</v>
      </c>
      <c r="CI15" s="543" t="n">
        <v>0</v>
      </c>
      <c r="CJ15" s="543" t="n">
        <v>0</v>
      </c>
      <c r="CK15" s="543" t="n">
        <v>0</v>
      </c>
      <c r="CL15" s="543" t="n">
        <v>0</v>
      </c>
      <c r="CM15" s="543" t="n">
        <v>0</v>
      </c>
      <c r="CN15" s="543" t="n">
        <v>0</v>
      </c>
      <c r="CO15" s="543" t="n">
        <v>0</v>
      </c>
      <c r="CP15" s="543" t="n">
        <v>0</v>
      </c>
      <c r="CQ15" s="543" t="n">
        <v>0</v>
      </c>
      <c r="CR15" s="543" t="n">
        <v>0</v>
      </c>
      <c r="CS15" s="543" t="n">
        <v>0</v>
      </c>
      <c r="CT15" s="543" t="n">
        <v>0</v>
      </c>
      <c r="CU15" s="543" t="n">
        <v>0</v>
      </c>
      <c r="CV15" s="543" t="n">
        <v>0</v>
      </c>
      <c r="CW15" s="543" t="n">
        <v>0</v>
      </c>
      <c r="CX15" s="543" t="n">
        <v>0</v>
      </c>
      <c r="CY15" s="543" t="n">
        <v>0</v>
      </c>
      <c r="CZ15" s="543" t="n">
        <v>0</v>
      </c>
      <c r="DA15" s="543" t="n">
        <v>0</v>
      </c>
      <c r="DB15" s="543" t="n">
        <v>0</v>
      </c>
      <c r="DC15" s="543" t="n">
        <v>0</v>
      </c>
      <c r="DD15" s="543" t="n">
        <v>0</v>
      </c>
      <c r="DE15" s="543" t="n">
        <v>0</v>
      </c>
      <c r="DF15" s="543" t="n">
        <v>0</v>
      </c>
    </row>
    <row r="16" ht="15" customFormat="1" customHeight="1" s="381">
      <c r="A16" s="472" t="inlineStr">
        <is>
          <t>Bonding Costs</t>
        </is>
      </c>
      <c r="C16" s="547" t="n">
        <v>-1966.5</v>
      </c>
      <c r="D16" s="547" t="n">
        <v>0</v>
      </c>
      <c r="E16" s="547" t="n">
        <v>0</v>
      </c>
      <c r="F16" s="543" t="n">
        <v>0</v>
      </c>
      <c r="G16" s="543" t="n">
        <v>0</v>
      </c>
      <c r="H16" s="543" t="n">
        <v>0</v>
      </c>
      <c r="I16" s="543" t="n">
        <v>-317966.5152</v>
      </c>
      <c r="J16" s="543" t="n">
        <v>0</v>
      </c>
      <c r="K16" s="543" t="n">
        <v>0</v>
      </c>
      <c r="L16" s="543" t="n">
        <v>-218082.847</v>
      </c>
      <c r="M16" s="543" t="n">
        <v>-157349.197</v>
      </c>
      <c r="N16" s="543" t="n">
        <v>0</v>
      </c>
      <c r="O16" s="543" t="n">
        <v>0</v>
      </c>
      <c r="P16" s="543" t="n">
        <v>0</v>
      </c>
      <c r="Q16" s="543" t="n">
        <v>0</v>
      </c>
      <c r="R16" s="543" t="n">
        <v>-1471170.025</v>
      </c>
      <c r="S16" s="543" t="n">
        <v>0</v>
      </c>
      <c r="T16" s="543" t="n">
        <v>0</v>
      </c>
      <c r="U16" s="543" t="n">
        <v>0</v>
      </c>
      <c r="V16" s="543" t="n">
        <v>0</v>
      </c>
      <c r="W16" s="543" t="n">
        <v>0</v>
      </c>
      <c r="X16" s="543" t="n">
        <v>0</v>
      </c>
      <c r="Y16" s="543" t="n">
        <v>0</v>
      </c>
      <c r="Z16" s="543" t="n">
        <v>0</v>
      </c>
      <c r="AA16" s="543" t="n">
        <v>0</v>
      </c>
      <c r="AB16" s="543" t="n">
        <v>0</v>
      </c>
      <c r="AC16" s="543" t="n">
        <v>0</v>
      </c>
      <c r="AD16" s="543" t="n">
        <v>0</v>
      </c>
      <c r="AE16" s="543" t="n">
        <v>0</v>
      </c>
      <c r="AF16" s="543" t="n">
        <v>-1344025.54</v>
      </c>
      <c r="AG16" s="543" t="n">
        <v>0</v>
      </c>
      <c r="AH16" s="543" t="n">
        <v>0</v>
      </c>
      <c r="AI16" s="543" t="n">
        <v>0</v>
      </c>
      <c r="AJ16" s="543" t="n">
        <v>0</v>
      </c>
      <c r="AK16" s="543" t="n">
        <v>0</v>
      </c>
      <c r="AL16" s="543" t="n">
        <v>0</v>
      </c>
      <c r="AM16" s="543" t="n">
        <v>0</v>
      </c>
      <c r="AN16" s="543" t="n">
        <v>0</v>
      </c>
      <c r="AO16" s="543" t="n">
        <v>0</v>
      </c>
      <c r="AP16" s="543" t="n">
        <v>0</v>
      </c>
      <c r="AQ16" s="543" t="n">
        <v>0</v>
      </c>
      <c r="AR16" s="543" t="n">
        <v>0</v>
      </c>
      <c r="AS16" s="543" t="n">
        <v>0</v>
      </c>
      <c r="AT16" s="543" t="n">
        <v>0</v>
      </c>
      <c r="AU16" s="543" t="n">
        <v>0</v>
      </c>
      <c r="AV16" s="543" t="n">
        <v>0</v>
      </c>
      <c r="AW16" s="543" t="n">
        <v>0</v>
      </c>
      <c r="AX16" s="543" t="n">
        <v>0</v>
      </c>
      <c r="AY16" s="543" t="n">
        <v>0</v>
      </c>
      <c r="AZ16" s="543" t="n">
        <v>0</v>
      </c>
      <c r="BA16" s="543" t="n">
        <v>0</v>
      </c>
      <c r="BB16" s="543" t="n">
        <v>0</v>
      </c>
      <c r="BC16" s="543" t="n">
        <v>0</v>
      </c>
      <c r="BD16" s="543" t="n">
        <v>0</v>
      </c>
      <c r="BE16" s="543" t="n">
        <v>0</v>
      </c>
      <c r="BF16" s="543" t="n">
        <v>0</v>
      </c>
      <c r="BG16" s="543" t="n">
        <v>0</v>
      </c>
      <c r="BH16" s="543" t="n">
        <v>0</v>
      </c>
      <c r="BI16" s="543" t="n">
        <v>0</v>
      </c>
      <c r="BJ16" s="543" t="n">
        <v>0</v>
      </c>
      <c r="BK16" s="543" t="n">
        <v>0</v>
      </c>
      <c r="BL16" s="543" t="n">
        <v>0</v>
      </c>
      <c r="BM16" s="543" t="n">
        <v>0</v>
      </c>
      <c r="BN16" s="543" t="n">
        <v>0</v>
      </c>
      <c r="BO16" s="543" t="n">
        <v>0</v>
      </c>
      <c r="BP16" s="543" t="n">
        <v>0</v>
      </c>
      <c r="BQ16" s="543" t="n">
        <v>0</v>
      </c>
      <c r="BR16" s="543" t="n">
        <v>0</v>
      </c>
      <c r="BS16" s="543" t="n">
        <v>0</v>
      </c>
      <c r="BT16" s="543" t="n">
        <v>0</v>
      </c>
      <c r="BU16" s="543" t="n">
        <v>0</v>
      </c>
      <c r="BV16" s="543" t="n">
        <v>0</v>
      </c>
      <c r="BW16" s="543" t="n">
        <v>0</v>
      </c>
      <c r="BX16" s="543" t="n">
        <v>0</v>
      </c>
      <c r="BY16" s="543" t="n">
        <v>0</v>
      </c>
      <c r="BZ16" s="543" t="n">
        <v>0</v>
      </c>
      <c r="CA16" s="543" t="n">
        <v>0</v>
      </c>
      <c r="CB16" s="543" t="n">
        <v>0</v>
      </c>
      <c r="CC16" s="543" t="n">
        <v>0</v>
      </c>
      <c r="CD16" s="543" t="n">
        <v>0</v>
      </c>
      <c r="CE16" s="543" t="n">
        <v>0</v>
      </c>
      <c r="CF16" s="543" t="n">
        <v>0</v>
      </c>
      <c r="CG16" s="543" t="n">
        <v>0</v>
      </c>
      <c r="CH16" s="543" t="n">
        <v>0</v>
      </c>
      <c r="CI16" s="543" t="n">
        <v>0</v>
      </c>
      <c r="CJ16" s="543" t="n">
        <v>0</v>
      </c>
      <c r="CK16" s="543" t="n">
        <v>0</v>
      </c>
      <c r="CL16" s="543" t="n">
        <v>0</v>
      </c>
      <c r="CM16" s="543" t="n">
        <v>0</v>
      </c>
      <c r="CN16" s="543" t="n">
        <v>0</v>
      </c>
      <c r="CO16" s="543" t="n">
        <v>0</v>
      </c>
      <c r="CP16" s="543" t="n">
        <v>0</v>
      </c>
      <c r="CQ16" s="543" t="n">
        <v>0</v>
      </c>
      <c r="CR16" s="543" t="n">
        <v>0</v>
      </c>
      <c r="CS16" s="543" t="n">
        <v>0</v>
      </c>
      <c r="CT16" s="543" t="n">
        <v>0</v>
      </c>
      <c r="CU16" s="543" t="n">
        <v>0</v>
      </c>
      <c r="CV16" s="543" t="n">
        <v>0</v>
      </c>
      <c r="CW16" s="543" t="n">
        <v>0</v>
      </c>
      <c r="CX16" s="543" t="n">
        <v>0</v>
      </c>
      <c r="CY16" s="543" t="n">
        <v>0</v>
      </c>
      <c r="CZ16" s="543" t="n">
        <v>0</v>
      </c>
      <c r="DA16" s="543" t="n">
        <v>0</v>
      </c>
      <c r="DB16" s="543" t="n">
        <v>0</v>
      </c>
      <c r="DC16" s="543" t="n">
        <v>0</v>
      </c>
      <c r="DD16" s="543" t="n">
        <v>0</v>
      </c>
      <c r="DE16" s="543" t="n">
        <v>0</v>
      </c>
      <c r="DF16" s="543" t="n">
        <v>0</v>
      </c>
    </row>
    <row r="17" ht="15" customFormat="1" customHeight="1" s="381">
      <c r="A17" s="477" t="inlineStr">
        <is>
          <t>Gross Profit</t>
        </is>
      </c>
      <c r="C17" s="547">
        <f>C8+C9+C10+C11+C12+C14+C15+C16</f>
        <v>218752.81</v>
      </c>
      <c r="D17" s="547">
        <f>D8+D9+D10+D11+D12+D14+D15+D16</f>
        <v>-51003.4699999997</v>
      </c>
      <c r="E17" s="547">
        <f>E8+E9+E10+E11+E12+E14+E15+E16</f>
        <v>594184.52</v>
      </c>
      <c r="F17" s="549">
        <f>F8+F9+F10+F11+F12+F14+F15+F16</f>
        <v>468885.062220243</v>
      </c>
      <c r="G17" s="549">
        <f>G8+G9+G10+G11+G12+G14+G15+G16</f>
        <v>468885.061577853</v>
      </c>
      <c r="H17" s="549">
        <f>H8+H9+H10+H11+H12+H14+H15+H16</f>
        <v>468885.064460973</v>
      </c>
      <c r="I17" s="549">
        <f>I8+I9+I10+I11+I12+I14+I15+I16</f>
        <v>959257.390269293</v>
      </c>
      <c r="J17" s="549">
        <f>J8+J9+J10+J11+J12+J14+J15+J16</f>
        <v>632697.193414873</v>
      </c>
      <c r="K17" s="549">
        <f>K8+K9+K10+K11+K12+K14+K15+K16</f>
        <v>632697.191315133</v>
      </c>
      <c r="L17" s="549">
        <f>L8+L9+L10+L11+L12+L14+L15+L16</f>
        <v>999101.928826481</v>
      </c>
      <c r="M17" s="549">
        <f>M8+M9+M10+M11+M12+M14+M15+M16</f>
        <v>1080952.85657232</v>
      </c>
      <c r="N17" s="549">
        <f>N8+N9+N10+N11+N12+N14+N15+N16</f>
        <v>774577.772324943</v>
      </c>
      <c r="O17" s="549">
        <f>O8+O9+O10+O11+O12+O14+O15+O16</f>
        <v>774577.770537984</v>
      </c>
      <c r="P17" s="549">
        <f>P8+P9+P10+P11+P12+P14+P15+P16</f>
        <v>774577.776024773</v>
      </c>
      <c r="Q17" s="549">
        <f>Q8+Q9+Q10+Q11+Q12+Q14+Q15+Q16</f>
        <v>774577.779704433</v>
      </c>
      <c r="R17" s="549">
        <f>R8+R9+R10+R11+R12+R14+R15+R16</f>
        <v>154983.50195065</v>
      </c>
      <c r="S17" s="549">
        <f>S8+S9+S10+S11+S12+S14+S15+S16</f>
        <v>947151.983524021</v>
      </c>
      <c r="T17" s="549">
        <f>T8+T9+T10+T11+T12+T14+T15+T16</f>
        <v>1105813.85892342</v>
      </c>
      <c r="U17" s="549">
        <f>U8+U9+U10+U11+U12+U14+U15+U16</f>
        <v>867633.413629646</v>
      </c>
      <c r="V17" s="549">
        <f>V8+V9+V10+V11+V12+V14+V15+V16</f>
        <v>601954.6547104</v>
      </c>
      <c r="W17" s="549">
        <f>W8+W9+W10+W11+W12+W14+W15+W16</f>
        <v>601954.6587094</v>
      </c>
      <c r="X17" s="549">
        <f>X8+X9+X10+X11+X12+X14+X15+X16</f>
        <v>623764.9676489</v>
      </c>
      <c r="Y17" s="549">
        <f>Y8+Y9+Y10+Y11+Y12+Y14+Y15+Y16</f>
        <v>580144.3504419</v>
      </c>
      <c r="Z17" s="549">
        <f>Z8+Z9+Z10+Z11+Z12+Z14+Z15+Z16</f>
        <v>580144.3529119</v>
      </c>
      <c r="AA17" s="549">
        <f>AA8+AA9+AA10+AA11+AA12+AA14+AA15+AA16</f>
        <v>580144.3498339</v>
      </c>
      <c r="AB17" s="549">
        <f>AB8+AB9+AB10+AB11+AB12+AB14+AB15+AB16</f>
        <v>580144.3588529</v>
      </c>
      <c r="AC17" s="549">
        <f>AC8+AC9+AC10+AC11+AC12+AC14+AC15+AC16</f>
        <v>580144.357590901</v>
      </c>
      <c r="AD17" s="549">
        <f>AD8+AD9+AD10+AD11+AD12+AD14+AD15+AD16</f>
        <v>662165.3695031</v>
      </c>
      <c r="AE17" s="549">
        <f>AE8+AE9+AE10+AE11+AE12+AE14+AE15+AE16</f>
        <v>498123.3344767</v>
      </c>
      <c r="AF17" s="549">
        <f>AF8+AF9+AF10+AF11+AF12+AF14+AF15+AF16</f>
        <v>-67923.0774102029</v>
      </c>
      <c r="AG17" s="549">
        <f>AG8+AG9+AG10+AG11+AG12+AG14+AG15+AG16</f>
        <v>655782.981250797</v>
      </c>
      <c r="AH17" s="549">
        <f>AH8+AH9+AH10+AH11+AH12+AH14+AH15+AH16</f>
        <v>655782.976043797</v>
      </c>
      <c r="AI17" s="549">
        <f>AI8+AI9+AI10+AI11+AI12+AI14+AI15+AI16</f>
        <v>655782.975101797</v>
      </c>
      <c r="AJ17" s="549">
        <f>AJ8+AJ9+AJ10+AJ11+AJ12+AJ14+AJ15+AJ16</f>
        <v>783779.105710297</v>
      </c>
      <c r="AK17" s="549">
        <f>AK8+AK9+AK10+AK11+AK12+AK14+AK15+AK16</f>
        <v>554452.709800521</v>
      </c>
      <c r="AL17" s="549">
        <f>AL8+AL9+AL10+AL11+AL12+AL14+AL15+AL16</f>
        <v>813103.432065321</v>
      </c>
      <c r="AM17" s="549">
        <f>AM8+AM9+AM10+AM11+AM12+AM14+AM15+AM16</f>
        <v>390640.582555881</v>
      </c>
      <c r="AN17" s="549">
        <f>AN8+AN9+AN10+AN11+AN12+AN14+AN15+AN16</f>
        <v>390640.588328881</v>
      </c>
      <c r="AO17" s="549">
        <f>AO8+AO9+AO10+AO11+AO12+AO14+AO15+AO16</f>
        <v>486019.649869181</v>
      </c>
      <c r="AP17" s="549">
        <f>AP8+AP9+AP10+AP11+AP12+AP14+AP15+AP16</f>
        <v>330233.846573524</v>
      </c>
      <c r="AQ17" s="549">
        <f>AQ8+AQ9+AQ10+AQ11+AQ12+AQ14+AQ15+AQ16</f>
        <v>330233.845461524</v>
      </c>
      <c r="AR17" s="549">
        <f>AR8+AR9+AR10+AR11+AR12+AR14+AR15+AR16</f>
        <v>330233.849225524</v>
      </c>
      <c r="AS17" s="549">
        <f>AS8+AS9+AS10+AS11+AS12+AS14+AS15+AS16</f>
        <v>330233.844645524</v>
      </c>
      <c r="AT17" s="549">
        <f>AT8+AT9+AT10+AT11+AT12+AT14+AT15+AT16</f>
        <v>330233.839951524</v>
      </c>
      <c r="AU17" s="549">
        <f>AU8+AU9+AU10+AU11+AU12+AU14+AU15+AU16</f>
        <v>602719.433748524</v>
      </c>
      <c r="AV17" s="549">
        <f>AV8+AV9+AV10+AV11+AV12+AV14+AV15+AV16</f>
        <v>157659.645521097</v>
      </c>
      <c r="AW17" s="549">
        <f>AW8+AW9+AW10+AW11+AW12+AW14+AW15+AW16</f>
        <v>157659.644321097</v>
      </c>
      <c r="AX17" s="549">
        <f>AX8+AX9+AX10+AX11+AX12+AX14+AX15+AX16</f>
        <v>157659.639297097</v>
      </c>
      <c r="AY17" s="549">
        <f>AY8+AY9+AY10+AY11+AY12+AY14+AY15+AY16</f>
        <v>157659.645169097</v>
      </c>
      <c r="AZ17" s="549">
        <f>AZ8+AZ9+AZ10+AZ11+AZ12+AZ14+AZ15+AZ16</f>
        <v>157659.644233097</v>
      </c>
      <c r="BA17" s="549">
        <f>BA8+BA9+BA10+BA11+BA12+BA14+BA15+BA16</f>
        <v>157659.641729097</v>
      </c>
      <c r="BB17" s="549">
        <f>BB8+BB9+BB10+BB11+BB12+BB14+BB15+BB16</f>
        <v>157659.640473097</v>
      </c>
      <c r="BC17" s="549">
        <f>BC8+BC9+BC10+BC11+BC12+BC14+BC15+BC16</f>
        <v>157659.637913097</v>
      </c>
      <c r="BD17" s="549">
        <f>BD8+BD9+BD10+BD11+BD12+BD14+BD15+BD16</f>
        <v>157659.637601097</v>
      </c>
      <c r="BE17" s="549">
        <f>BE8+BE9+BE10+BE11+BE12+BE14+BE15+BE16</f>
        <v>157659.641617094</v>
      </c>
      <c r="BF17" s="549">
        <f>BF8+BF9+BF10+BF11+BF12+BF14+BF15+BF16</f>
        <v>157659.645201094</v>
      </c>
      <c r="BG17" s="549">
        <f>BG8+BG9+BG10+BG11+BG12+BG14+BG15+BG16</f>
        <v>157659.636753094</v>
      </c>
      <c r="BH17" s="549">
        <f>BH8+BH9+BH10+BH11+BH12+BH14+BH15+BH16</f>
        <v>157659.636361094</v>
      </c>
      <c r="BI17" s="549">
        <f>BI8+BI9+BI10+BI11+BI12+BI14+BI15+BI16</f>
        <v>406595.912016293</v>
      </c>
      <c r="BJ17" s="549">
        <f>BJ8+BJ9+BJ10+BJ11+BJ12+BJ14+BJ15+BJ16</f>
        <v>0</v>
      </c>
      <c r="BK17" s="549">
        <f>BK8+BK9+BK10+BK11+BK12+BK14+BK15+BK16</f>
        <v>0</v>
      </c>
      <c r="BL17" s="549">
        <f>BL8+BL9+BL10+BL11+BL12+BL14+BL15+BL16</f>
        <v>0</v>
      </c>
      <c r="BM17" s="549">
        <f>BM8+BM9+BM10+BM11+BM12+BM14+BM15+BM16</f>
        <v>0</v>
      </c>
      <c r="BN17" s="549">
        <f>BN8+BN9+BN10+BN11+BN12+BN14+BN15+BN16</f>
        <v>0</v>
      </c>
      <c r="BO17" s="549">
        <f>BO8+BO9+BO10+BO11+BO12+BO14+BO15+BO16</f>
        <v>0</v>
      </c>
      <c r="BP17" s="549">
        <f>BP8+BP9+BP10+BP11+BP12+BP14+BP15+BP16</f>
        <v>0</v>
      </c>
      <c r="BQ17" s="549">
        <f>BQ8+BQ9+BQ10+BQ11+BQ12+BQ14+BQ15+BQ16</f>
        <v>0</v>
      </c>
      <c r="BR17" s="549">
        <f>BR8+BR9+BR10+BR11+BR12+BR14+BR15+BR16</f>
        <v>0</v>
      </c>
      <c r="BS17" s="549">
        <f>BS8+BS9+BS10+BS11+BS12+BS14+BS15+BS16</f>
        <v>0</v>
      </c>
      <c r="BT17" s="549">
        <f>BT8+BT9+BT10+BT11+BT12+BT14+BT15+BT16</f>
        <v>0</v>
      </c>
      <c r="BU17" s="549">
        <f>BU8+BU9+BU10+BU11+BU12+BU14+BU15+BU16</f>
        <v>0</v>
      </c>
      <c r="BV17" s="549">
        <f>BV8+BV9+BV10+BV11+BV12+BV14+BV15+BV16</f>
        <v>0</v>
      </c>
      <c r="BW17" s="549">
        <f>BW8+BW9+BW10+BW11+BW12+BW14+BW15+BW16</f>
        <v>0</v>
      </c>
      <c r="BX17" s="549">
        <f>BX8+BX9+BX10+BX11+BX12+BX14+BX15+BX16</f>
        <v>0</v>
      </c>
      <c r="BY17" s="549">
        <f>BY8+BY9+BY10+BY11+BY12+BY14+BY15+BY16</f>
        <v>0</v>
      </c>
      <c r="BZ17" s="549">
        <f>BZ8+BZ9+BZ10+BZ11+BZ12+BZ14+BZ15+BZ16</f>
        <v>0</v>
      </c>
      <c r="CA17" s="549">
        <f>CA8+CA9+CA10+CA11+CA12+CA14+CA15+CA16</f>
        <v>0</v>
      </c>
      <c r="CB17" s="549">
        <f>CB8+CB9+CB10+CB11+CB12+CB14+CB15+CB16</f>
        <v>0</v>
      </c>
      <c r="CC17" s="549">
        <f>CC8+CC9+CC10+CC11+CC12+CC14+CC15+CC16</f>
        <v>0</v>
      </c>
      <c r="CD17" s="549">
        <f>CD8+CD9+CD10+CD11+CD12+CD14+CD15+CD16</f>
        <v>0</v>
      </c>
      <c r="CE17" s="549">
        <f>CE8+CE9+CE10+CE11+CE12+CE14+CE15+CE16</f>
        <v>0</v>
      </c>
      <c r="CF17" s="549">
        <f>CF8+CF9+CF10+CF11+CF12+CF14+CF15+CF16</f>
        <v>0</v>
      </c>
      <c r="CG17" s="549">
        <f>CG8+CG9+CG10+CG11+CG12+CG14+CG15+CG16</f>
        <v>0</v>
      </c>
      <c r="CH17" s="549">
        <f>CH8+CH9+CH10+CH11+CH12+CH14+CH15+CH16</f>
        <v>0</v>
      </c>
      <c r="CI17" s="549">
        <f>CI8+CI9+CI10+CI11+CI12+CI14+CI15+CI16</f>
        <v>0</v>
      </c>
      <c r="CJ17" s="549">
        <f>CJ8+CJ9+CJ10+CJ11+CJ12+CJ14+CJ15+CJ16</f>
        <v>0</v>
      </c>
      <c r="CK17" s="549">
        <f>CK8+CK9+CK10+CK11+CK12+CK14+CK15+CK16</f>
        <v>0</v>
      </c>
      <c r="CL17" s="549">
        <f>CL8+CL9+CL10+CL11+CL12+CL14+CL15+CL16</f>
        <v>0</v>
      </c>
      <c r="CM17" s="549">
        <f>CM8+CM9+CM10+CM11+CM12+CM14+CM15+CM16</f>
        <v>0</v>
      </c>
      <c r="CN17" s="549">
        <f>CN8+CN9+CN10+CN11+CN12+CN14+CN15+CN16</f>
        <v>0</v>
      </c>
      <c r="CO17" s="549">
        <f>CO8+CO9+CO10+CO11+CO12+CO14+CO15+CO16</f>
        <v>0</v>
      </c>
      <c r="CP17" s="549">
        <f>CP8+CP9+CP10+CP11+CP12+CP14+CP15+CP16</f>
        <v>0</v>
      </c>
      <c r="CQ17" s="549">
        <f>CQ8+CQ9+CQ10+CQ11+CQ12+CQ14+CQ15+CQ16</f>
        <v>0</v>
      </c>
      <c r="CR17" s="549">
        <f>CR8+CR9+CR10+CR11+CR12+CR14+CR15+CR16</f>
        <v>0</v>
      </c>
      <c r="CS17" s="549">
        <f>CS8+CS9+CS10+CS11+CS12+CS14+CS15+CS16</f>
        <v>0</v>
      </c>
      <c r="CT17" s="549">
        <f>CT8+CT9+CT10+CT11+CT12+CT14+CT15+CT16</f>
        <v>0</v>
      </c>
      <c r="CU17" s="549">
        <f>CU8+CU9+CU10+CU11+CU12+CU14+CU15+CU16</f>
        <v>0</v>
      </c>
      <c r="CV17" s="549">
        <f>CV8+CV9+CV10+CV11+CV12+CV14+CV15+CV16</f>
        <v>0</v>
      </c>
      <c r="CW17" s="549">
        <f>CW8+CW9+CW10+CW11+CW12+CW14+CW15+CW16</f>
        <v>0</v>
      </c>
      <c r="CX17" s="549">
        <f>CX8+CX9+CX10+CX11+CX12+CX14+CX15+CX16</f>
        <v>0</v>
      </c>
      <c r="CY17" s="549">
        <f>CY8+CY9+CY10+CY11+CY12+CY14+CY15+CY16</f>
        <v>0</v>
      </c>
      <c r="CZ17" s="549">
        <f>CZ8+CZ9+CZ10+CZ11+CZ12+CZ14+CZ15+CZ16</f>
        <v>0</v>
      </c>
      <c r="DA17" s="549">
        <f>DA8+DA9+DA10+DA11+DA12+DA14+DA15+DA16</f>
        <v>0</v>
      </c>
      <c r="DB17" s="549">
        <f>DB8+DB9+DB10+DB11+DB12+DB14+DB15+DB16</f>
        <v>0</v>
      </c>
      <c r="DC17" s="549">
        <f>DC8+DC9+DC10+DC11+DC12+DC14+DC15+DC16</f>
        <v>0</v>
      </c>
      <c r="DD17" s="549">
        <f>DD8+DD9+DD10+DD11+DD12+DD14+DD15+DD16</f>
        <v>0</v>
      </c>
      <c r="DE17" s="549">
        <f>DE8+DE9+DE10+DE11+DE12+DE14+DE15+DE16</f>
        <v>0</v>
      </c>
      <c r="DF17" s="549">
        <f>DF8+DF9+DF10+DF11+DF12+DF14+DF15+DF16</f>
        <v>0</v>
      </c>
    </row>
    <row r="18" ht="15" customFormat="1" customHeight="1" s="381">
      <c r="A18" s="482" t="inlineStr">
        <is>
          <t>GC Gross Profit Margin %</t>
        </is>
      </c>
      <c r="C18" s="550">
        <f>IFERROR(C17/C13,0)</f>
        <v>0.150471045017236</v>
      </c>
      <c r="D18" s="550">
        <f>IFERROR(D17/D13,0)</f>
        <v>-0.0168744917256745</v>
      </c>
      <c r="E18" s="550">
        <f>IFERROR(E17/E13,0)</f>
        <v>0.222356457869786</v>
      </c>
      <c r="F18" s="550">
        <f>IFERROR(F17/F13,0)</f>
        <v>0.105264113664828</v>
      </c>
      <c r="G18" s="550">
        <f>IFERROR(G17/G13,0)</f>
        <v>0.100893494681087</v>
      </c>
      <c r="H18" s="550">
        <f>IFERROR(H17/H13,0)</f>
        <v>0.0980201268401047</v>
      </c>
      <c r="I18" s="550">
        <f>IFERROR(I17/I13,0)</f>
        <v>0.167309905929422</v>
      </c>
      <c r="J18" s="550">
        <f>IFERROR(J17/J13,0)</f>
        <v>0.107365807007325</v>
      </c>
      <c r="K18" s="550">
        <f>IFERROR(K17/K13,0)</f>
        <v>0.105704075939302</v>
      </c>
      <c r="L18" s="550">
        <f>IFERROR(L17/L13,0)</f>
        <v>0.150814779277228</v>
      </c>
      <c r="M18" s="550">
        <f>IFERROR(M17/M13,0)</f>
        <v>0.148792647101115</v>
      </c>
      <c r="N18" s="550">
        <f>IFERROR(N17/N13,0)</f>
        <v>0.110926259195399</v>
      </c>
      <c r="O18" s="550">
        <f>IFERROR(O17/O13,0)</f>
        <v>0.108025800800876</v>
      </c>
      <c r="P18" s="550">
        <f>IFERROR(P17/P13,0)</f>
        <v>0.106087748456871</v>
      </c>
      <c r="Q18" s="550">
        <f>IFERROR(Q17/Q13,0)</f>
        <v>0.105058015157573</v>
      </c>
      <c r="R18" s="550">
        <f>IFERROR(R17/R13,0)</f>
        <v>0.0191094371678703</v>
      </c>
      <c r="S18" s="550">
        <f>IFERROR(S17/S13,0)</f>
        <v>0.116048713226721</v>
      </c>
      <c r="T18" s="550">
        <f>IFERROR(T17/T13,0)</f>
        <v>0.135680955894734</v>
      </c>
      <c r="U18" s="550">
        <f>IFERROR(U17/U13,0)</f>
        <v>0.11682812020011</v>
      </c>
      <c r="V18" s="550">
        <f>IFERROR(V17/V13,0)</f>
        <v>0.0865663483426912</v>
      </c>
      <c r="W18" s="550">
        <f>IFERROR(W17/W13,0)</f>
        <v>0.0865764886943788</v>
      </c>
      <c r="X18" s="550">
        <f>IFERROR(X17/X13,0)</f>
        <v>0.0909845839415544</v>
      </c>
      <c r="Y18" s="550">
        <f>IFERROR(Y17/Y13,0)</f>
        <v>0.0879482813665944</v>
      </c>
      <c r="Z18" s="550">
        <f>IFERROR(Z17/Z13,0)</f>
        <v>0.0912437201677728</v>
      </c>
      <c r="AA18" s="550">
        <f>IFERROR(AA17/AA13,0)</f>
        <v>0.0957144398553047</v>
      </c>
      <c r="AB18" s="550">
        <f>IFERROR(AB17/AB13,0)</f>
        <v>0.101377381818003</v>
      </c>
      <c r="AC18" s="550">
        <f>IFERROR(AC17/AC13,0)</f>
        <v>0.10825203667329</v>
      </c>
      <c r="AD18" s="550">
        <f>IFERROR(AD17/AD13,0)</f>
        <v>0.132814167423613</v>
      </c>
      <c r="AE18" s="550">
        <f>IFERROR(AE17/AE13,0)</f>
        <v>0.115069804421248</v>
      </c>
      <c r="AF18" s="550">
        <f>IFERROR(AF17/AF13,0)</f>
        <v>-0.0159649876760295</v>
      </c>
      <c r="AG18" s="550">
        <f>IFERROR(AG17/AG13,0)</f>
        <v>0.190787581519573</v>
      </c>
      <c r="AH18" s="550">
        <f>IFERROR(AH17/AH13,0)</f>
        <v>0.188285775793716</v>
      </c>
      <c r="AI18" s="550">
        <f>IFERROR(AI17/AI13,0)</f>
        <v>0.186782436451232</v>
      </c>
      <c r="AJ18" s="550">
        <f>IFERROR(AJ17/AJ13,0)</f>
        <v>0.222551379831078</v>
      </c>
      <c r="AK18" s="550">
        <f>IFERROR(AK17/AK13,0)</f>
        <v>0.157687973771174</v>
      </c>
      <c r="AL18" s="550">
        <f>IFERROR(AL17/AL13,0)</f>
        <v>0.232666504249759</v>
      </c>
      <c r="AM18" s="550">
        <f>IFERROR(AM17/AM13,0)</f>
        <v>0.11295660264179</v>
      </c>
      <c r="AN18" s="550">
        <f>IFERROR(AN17/AN13,0)</f>
        <v>0.114632250921528</v>
      </c>
      <c r="AO18" s="550">
        <f>IFERROR(AO17/AO13,0)</f>
        <v>0.145347216709165</v>
      </c>
      <c r="AP18" s="550">
        <f>IFERROR(AP17/AP13,0)</f>
        <v>0.108356210750033</v>
      </c>
      <c r="AQ18" s="550">
        <f>IFERROR(AQ17/AQ13,0)</f>
        <v>0.110386938641138</v>
      </c>
      <c r="AR18" s="550">
        <f>IFERROR(AR17/AR13,0)</f>
        <v>0.113051926701939</v>
      </c>
      <c r="AS18" s="550">
        <f>IFERROR(AS17/AS13,0)</f>
        <v>0.116414229400565</v>
      </c>
      <c r="AT18" s="550">
        <f>IFERROR(AT17/AT13,0)</f>
        <v>0.12055310865161</v>
      </c>
      <c r="AU18" s="550">
        <f>IFERROR(AU17/AU13,0)</f>
        <v>0.229178494664299</v>
      </c>
      <c r="AV18" s="550">
        <f>IFERROR(AV17/AV13,0)</f>
        <v>0.0837646775590833</v>
      </c>
      <c r="AW18" s="550">
        <f>IFERROR(AW17/AW13,0)</f>
        <v>0.0854545030152378</v>
      </c>
      <c r="AX18" s="550">
        <f>IFERROR(AX17/AX13,0)</f>
        <v>0.0880559332951466</v>
      </c>
      <c r="AY18" s="550">
        <f>IFERROR(AY17/AY13,0)</f>
        <v>0.0916459953635472</v>
      </c>
      <c r="AZ18" s="550">
        <f>IFERROR(AZ17/AZ13,0)</f>
        <v>0.0963403856309272</v>
      </c>
      <c r="BA18" s="550">
        <f>IFERROR(BA17/BA13,0)</f>
        <v>0.102293640434331</v>
      </c>
      <c r="BB18" s="550">
        <f>IFERROR(BB17/BB13,0)</f>
        <v>0.109702510881483</v>
      </c>
      <c r="BC18" s="550">
        <f>IFERROR(BC17/BC13,0)</f>
        <v>0.118832417046729</v>
      </c>
      <c r="BD18" s="550">
        <f>IFERROR(BD17/BD13,0)</f>
        <v>0.130013354633857</v>
      </c>
      <c r="BE18" s="550">
        <f>IFERROR(BE17/BE13,0)</f>
        <v>0.143673701984803</v>
      </c>
      <c r="BF18" s="550">
        <f>IFERROR(BF17/BF13,0)</f>
        <v>0.160366035192509</v>
      </c>
      <c r="BG18" s="550">
        <f>IFERROR(BG17/BG13,0)</f>
        <v>0.180792980753182</v>
      </c>
      <c r="BH18" s="550">
        <f>IFERROR(BH17/BH13,0)</f>
        <v>0.205874369808341</v>
      </c>
      <c r="BI18" s="550">
        <f>IFERROR(BI17/BI13,0)</f>
        <v>0.610641055206121</v>
      </c>
      <c r="BJ18" s="550">
        <f>IFERROR(BJ17/BJ13,0)</f>
        <v>0</v>
      </c>
      <c r="BK18" s="550">
        <f>IFERROR(BK17/BK13,0)</f>
        <v>0</v>
      </c>
      <c r="BL18" s="550">
        <f>IFERROR(BL17/BL13,0)</f>
        <v>0</v>
      </c>
      <c r="BM18" s="550">
        <f>IFERROR(BM17/BM13,0)</f>
        <v>0</v>
      </c>
      <c r="BN18" s="550">
        <f>IFERROR(BN17/BN13,0)</f>
        <v>0</v>
      </c>
      <c r="BO18" s="550">
        <f>IFERROR(BO17/BO13,0)</f>
        <v>0</v>
      </c>
      <c r="BP18" s="550">
        <f>IFERROR(BP17/BP13,0)</f>
        <v>0</v>
      </c>
      <c r="BQ18" s="550">
        <f>IFERROR(BQ17/BQ13,0)</f>
        <v>0</v>
      </c>
      <c r="BR18" s="550">
        <f>IFERROR(BR17/BR13,0)</f>
        <v>0</v>
      </c>
      <c r="BS18" s="550">
        <f>IFERROR(BS17/BS13,0)</f>
        <v>0</v>
      </c>
      <c r="BT18" s="550">
        <f>IFERROR(BT17/BT13,0)</f>
        <v>0</v>
      </c>
      <c r="BU18" s="550">
        <f>IFERROR(BU17/BU13,0)</f>
        <v>0</v>
      </c>
      <c r="BV18" s="550">
        <f>IFERROR(BV17/BV13,0)</f>
        <v>0</v>
      </c>
      <c r="BW18" s="550">
        <f>IFERROR(BW17/BW13,0)</f>
        <v>0</v>
      </c>
      <c r="BX18" s="550">
        <f>IFERROR(BX17/BX13,0)</f>
        <v>0</v>
      </c>
      <c r="BY18" s="550">
        <f>IFERROR(BY17/BY13,0)</f>
        <v>0</v>
      </c>
      <c r="BZ18" s="550">
        <f>IFERROR(BZ17/BZ13,0)</f>
        <v>0</v>
      </c>
      <c r="CA18" s="550">
        <f>IFERROR(CA17/CA13,0)</f>
        <v>0</v>
      </c>
      <c r="CB18" s="550">
        <f>IFERROR(CB17/CB13,0)</f>
        <v>0</v>
      </c>
      <c r="CC18" s="550">
        <f>IFERROR(CC17/CC13,0)</f>
        <v>0</v>
      </c>
      <c r="CD18" s="550">
        <f>IFERROR(CD17/CD13,0)</f>
        <v>0</v>
      </c>
      <c r="CE18" s="550">
        <f>IFERROR(CE17/CE13,0)</f>
        <v>0</v>
      </c>
      <c r="CF18" s="550">
        <f>IFERROR(CF17/CF13,0)</f>
        <v>0</v>
      </c>
      <c r="CG18" s="550">
        <f>IFERROR(CG17/CG13,0)</f>
        <v>0</v>
      </c>
      <c r="CH18" s="550">
        <f>IFERROR(CH17/CH13,0)</f>
        <v>0</v>
      </c>
      <c r="CI18" s="550">
        <f>IFERROR(CI17/CI13,0)</f>
        <v>0</v>
      </c>
      <c r="CJ18" s="550">
        <f>IFERROR(CJ17/CJ13,0)</f>
        <v>0</v>
      </c>
      <c r="CK18" s="550">
        <f>IFERROR(CK17/CK13,0)</f>
        <v>0</v>
      </c>
      <c r="CL18" s="550">
        <f>IFERROR(CL17/CL13,0)</f>
        <v>0</v>
      </c>
      <c r="CM18" s="550">
        <f>IFERROR(CM17/CM13,0)</f>
        <v>0</v>
      </c>
      <c r="CN18" s="550">
        <f>IFERROR(CN17/CN13,0)</f>
        <v>0</v>
      </c>
      <c r="CO18" s="550">
        <f>IFERROR(CO17/CO13,0)</f>
        <v>0</v>
      </c>
      <c r="CP18" s="550">
        <f>IFERROR(CP17/CP13,0)</f>
        <v>0</v>
      </c>
      <c r="CQ18" s="550">
        <f>IFERROR(CQ17/CQ13,0)</f>
        <v>0</v>
      </c>
      <c r="CR18" s="550">
        <f>IFERROR(CR17/CR13,0)</f>
        <v>0</v>
      </c>
      <c r="CS18" s="550">
        <f>IFERROR(CS17/CS13,0)</f>
        <v>0</v>
      </c>
      <c r="CT18" s="550">
        <f>IFERROR(CT17/CT13,0)</f>
        <v>0</v>
      </c>
      <c r="CU18" s="550">
        <f>IFERROR(CU17/CU13,0)</f>
        <v>0</v>
      </c>
      <c r="CV18" s="550">
        <f>IFERROR(CV17/CV13,0)</f>
        <v>0</v>
      </c>
      <c r="CW18" s="550">
        <f>IFERROR(CW17/CW13,0)</f>
        <v>0</v>
      </c>
      <c r="CX18" s="550">
        <f>IFERROR(CX17/CX13,0)</f>
        <v>0</v>
      </c>
      <c r="CY18" s="550">
        <f>IFERROR(CY17/CY13,0)</f>
        <v>0</v>
      </c>
      <c r="CZ18" s="550">
        <f>IFERROR(CZ17/CZ13,0)</f>
        <v>0</v>
      </c>
      <c r="DA18" s="550">
        <f>IFERROR(DA17/DA13,0)</f>
        <v>0</v>
      </c>
      <c r="DB18" s="550">
        <f>IFERROR(DB17/DB13,0)</f>
        <v>0</v>
      </c>
      <c r="DC18" s="550">
        <f>IFERROR(DC17/DC13,0)</f>
        <v>0</v>
      </c>
      <c r="DD18" s="550">
        <f>IFERROR(DD17/DD13,0)</f>
        <v>0</v>
      </c>
      <c r="DE18" s="550">
        <f>IFERROR(DE17/DE13,0)</f>
        <v>0</v>
      </c>
      <c r="DF18" s="550">
        <f>IFERROR(DF17/DF13,0)</f>
        <v>0</v>
      </c>
    </row>
    <row r="19" ht="15" customFormat="1" customHeight="1" s="381">
      <c r="A19" s="472" t="n"/>
      <c r="C19" s="486" t="n"/>
      <c r="D19" s="486" t="n"/>
      <c r="E19" s="486" t="n"/>
      <c r="F19" s="543" t="n"/>
      <c r="G19" s="543" t="n"/>
      <c r="H19" s="543" t="n"/>
      <c r="I19" s="543" t="n"/>
      <c r="J19" s="543" t="n"/>
      <c r="K19" s="543" t="n"/>
      <c r="L19" s="543" t="n"/>
      <c r="M19" s="543" t="n"/>
      <c r="N19" s="543" t="n"/>
      <c r="O19" s="543" t="n"/>
      <c r="P19" s="543" t="n"/>
      <c r="Q19" s="543" t="n"/>
      <c r="R19" s="543" t="n"/>
      <c r="S19" s="543" t="n"/>
      <c r="T19" s="543" t="n"/>
      <c r="U19" s="543" t="n"/>
      <c r="V19" s="543" t="n"/>
      <c r="W19" s="543" t="n"/>
      <c r="X19" s="543" t="n"/>
      <c r="Y19" s="543" t="n"/>
      <c r="Z19" s="543" t="n"/>
      <c r="AA19" s="543" t="n"/>
      <c r="AB19" s="543" t="n"/>
      <c r="AC19" s="543" t="n"/>
      <c r="AD19" s="543" t="n"/>
      <c r="AE19" s="543" t="n"/>
      <c r="AF19" s="543" t="n"/>
      <c r="AG19" s="543" t="n"/>
      <c r="AH19" s="543" t="n"/>
      <c r="AI19" s="543" t="n"/>
      <c r="AJ19" s="543" t="n"/>
      <c r="AK19" s="543" t="n"/>
      <c r="AL19" s="543" t="n"/>
      <c r="AM19" s="543" t="n"/>
      <c r="AN19" s="543" t="n"/>
      <c r="AO19" s="543" t="n"/>
      <c r="AP19" s="543" t="n"/>
      <c r="AQ19" s="543" t="n"/>
      <c r="AR19" s="543" t="n"/>
      <c r="AS19" s="543" t="n"/>
      <c r="AT19" s="543" t="n"/>
      <c r="AU19" s="543" t="n"/>
      <c r="AV19" s="543" t="n"/>
      <c r="AW19" s="543" t="n"/>
      <c r="AX19" s="543" t="n"/>
      <c r="AY19" s="543" t="n"/>
      <c r="AZ19" s="543" t="n"/>
      <c r="BA19" s="543" t="n"/>
      <c r="BB19" s="543" t="n"/>
      <c r="BC19" s="543" t="n"/>
      <c r="BD19" s="543" t="n"/>
      <c r="BE19" s="543" t="n"/>
      <c r="BF19" s="543" t="n"/>
      <c r="BG19" s="543" t="n"/>
      <c r="BH19" s="543" t="n"/>
      <c r="BI19" s="543" t="n"/>
      <c r="BJ19" s="543" t="n"/>
      <c r="BK19" s="543" t="n"/>
      <c r="BL19" s="543" t="n"/>
      <c r="BM19" s="543" t="n"/>
      <c r="BN19" s="543" t="n"/>
      <c r="BO19" s="543" t="n"/>
      <c r="BP19" s="543" t="n"/>
      <c r="BQ19" s="543" t="n"/>
      <c r="BR19" s="543" t="n"/>
      <c r="BS19" s="543" t="n"/>
      <c r="BT19" s="543" t="n"/>
      <c r="BU19" s="543" t="n"/>
      <c r="BV19" s="543" t="n"/>
      <c r="BW19" s="543" t="n"/>
      <c r="BX19" s="543" t="n"/>
      <c r="BY19" s="543" t="n"/>
      <c r="BZ19" s="543" t="n"/>
      <c r="CA19" s="543" t="n"/>
      <c r="CB19" s="543" t="n"/>
      <c r="CC19" s="543" t="n"/>
      <c r="CD19" s="543" t="n"/>
      <c r="CE19" s="543" t="n"/>
      <c r="CF19" s="543" t="n"/>
      <c r="CG19" s="543" t="n"/>
      <c r="CH19" s="543" t="n"/>
      <c r="CI19" s="543" t="n"/>
      <c r="CJ19" s="543" t="n"/>
      <c r="CK19" s="543" t="n"/>
      <c r="CL19" s="543" t="n"/>
      <c r="CM19" s="543" t="n"/>
      <c r="CN19" s="543" t="n"/>
      <c r="CO19" s="543" t="n"/>
      <c r="CP19" s="543" t="n"/>
      <c r="CQ19" s="543" t="n"/>
      <c r="CR19" s="543" t="n"/>
      <c r="CS19" s="543" t="n"/>
      <c r="CT19" s="543" t="n"/>
      <c r="CU19" s="543" t="n"/>
      <c r="CV19" s="543" t="n"/>
      <c r="CW19" s="543" t="n"/>
      <c r="CX19" s="543" t="n"/>
      <c r="CY19" s="543" t="n"/>
      <c r="CZ19" s="543" t="n"/>
      <c r="DA19" s="543" t="n"/>
      <c r="DB19" s="543" t="n"/>
      <c r="DC19" s="543" t="n"/>
      <c r="DD19" s="543" t="n"/>
      <c r="DE19" s="543" t="n"/>
      <c r="DF19" s="543" t="n"/>
    </row>
    <row r="20" ht="15" customFormat="1" customHeight="1" s="381">
      <c r="A20" s="472" t="n"/>
      <c r="C20" s="486" t="n"/>
      <c r="D20" s="486" t="n"/>
      <c r="E20" s="486" t="n"/>
      <c r="F20" s="543" t="n"/>
      <c r="G20" s="543" t="n"/>
      <c r="H20" s="543" t="n"/>
      <c r="I20" s="543" t="n"/>
      <c r="J20" s="543" t="n"/>
      <c r="K20" s="543" t="n"/>
      <c r="L20" s="543" t="n"/>
      <c r="M20" s="543" t="n"/>
      <c r="N20" s="543" t="n"/>
      <c r="O20" s="543" t="n"/>
      <c r="P20" s="543" t="n"/>
      <c r="Q20" s="543" t="n"/>
      <c r="R20" s="543" t="n"/>
      <c r="S20" s="543" t="n"/>
      <c r="T20" s="543" t="n"/>
      <c r="U20" s="543" t="n"/>
      <c r="V20" s="543" t="n"/>
      <c r="W20" s="543" t="n"/>
      <c r="X20" s="543" t="n"/>
      <c r="Y20" s="543" t="n"/>
      <c r="Z20" s="543" t="n"/>
      <c r="AA20" s="543" t="n"/>
      <c r="AB20" s="543" t="n"/>
      <c r="AC20" s="543" t="n"/>
      <c r="AD20" s="543" t="n"/>
      <c r="AE20" s="543" t="n"/>
      <c r="AF20" s="543" t="n"/>
      <c r="AG20" s="543" t="n"/>
      <c r="AH20" s="543" t="n"/>
      <c r="AI20" s="543" t="n"/>
      <c r="AJ20" s="543" t="n"/>
      <c r="AK20" s="543" t="n"/>
      <c r="AL20" s="543" t="n"/>
      <c r="AM20" s="543" t="n"/>
      <c r="AN20" s="543" t="n"/>
      <c r="AO20" s="543" t="n"/>
      <c r="AP20" s="543" t="n"/>
      <c r="AQ20" s="543" t="n"/>
      <c r="AR20" s="543" t="n"/>
      <c r="AS20" s="543" t="n"/>
      <c r="AT20" s="543" t="n"/>
      <c r="AU20" s="543" t="n"/>
      <c r="AV20" s="543" t="n"/>
      <c r="AW20" s="543" t="n"/>
      <c r="AX20" s="543" t="n"/>
      <c r="AY20" s="543" t="n"/>
      <c r="AZ20" s="543" t="n"/>
      <c r="BA20" s="543" t="n"/>
      <c r="BB20" s="543" t="n"/>
      <c r="BC20" s="543" t="n"/>
      <c r="BD20" s="543" t="n"/>
      <c r="BE20" s="543" t="n"/>
      <c r="BF20" s="543" t="n"/>
      <c r="BG20" s="543" t="n"/>
      <c r="BH20" s="543" t="n"/>
      <c r="BI20" s="543" t="n"/>
      <c r="BJ20" s="543" t="n"/>
      <c r="BK20" s="543" t="n"/>
      <c r="BL20" s="543" t="n"/>
      <c r="BM20" s="543" t="n"/>
      <c r="BN20" s="543" t="n"/>
      <c r="BO20" s="543" t="n"/>
      <c r="BP20" s="543" t="n"/>
      <c r="BQ20" s="543" t="n"/>
      <c r="BR20" s="543" t="n"/>
      <c r="BS20" s="543" t="n"/>
      <c r="BT20" s="543" t="n"/>
      <c r="BU20" s="543" t="n"/>
      <c r="BV20" s="543" t="n"/>
      <c r="BW20" s="543" t="n"/>
      <c r="BX20" s="543" t="n"/>
      <c r="BY20" s="543" t="n"/>
      <c r="BZ20" s="543" t="n"/>
      <c r="CA20" s="543" t="n"/>
      <c r="CB20" s="543" t="n"/>
      <c r="CC20" s="543" t="n"/>
      <c r="CD20" s="543" t="n"/>
      <c r="CE20" s="543" t="n"/>
      <c r="CF20" s="543" t="n"/>
      <c r="CG20" s="543" t="n"/>
      <c r="CH20" s="543" t="n"/>
      <c r="CI20" s="543" t="n"/>
      <c r="CJ20" s="543" t="n"/>
      <c r="CK20" s="543" t="n"/>
      <c r="CL20" s="543" t="n"/>
      <c r="CM20" s="543" t="n"/>
      <c r="CN20" s="543" t="n"/>
      <c r="CO20" s="543" t="n"/>
      <c r="CP20" s="543" t="n"/>
      <c r="CQ20" s="543" t="n"/>
      <c r="CR20" s="543" t="n"/>
      <c r="CS20" s="543" t="n"/>
      <c r="CT20" s="543" t="n"/>
      <c r="CU20" s="543" t="n"/>
      <c r="CV20" s="543" t="n"/>
      <c r="CW20" s="543" t="n"/>
      <c r="CX20" s="543" t="n"/>
      <c r="CY20" s="543" t="n"/>
      <c r="CZ20" s="543" t="n"/>
      <c r="DA20" s="543" t="n"/>
      <c r="DB20" s="543" t="n"/>
      <c r="DC20" s="543" t="n"/>
      <c r="DD20" s="543" t="n"/>
      <c r="DE20" s="543" t="n"/>
      <c r="DF20" s="543" t="n"/>
    </row>
    <row r="21" ht="15" customFormat="1" customHeight="1" s="381">
      <c r="A21" s="472" t="inlineStr">
        <is>
          <t>5000-1000 Payroll</t>
        </is>
      </c>
      <c r="C21" s="486" t="n">
        <v>-144550.9</v>
      </c>
      <c r="D21" s="486" t="n">
        <v>-150672.84</v>
      </c>
      <c r="E21" s="486" t="n">
        <v>-178867.86</v>
      </c>
      <c r="F21" s="543" t="n">
        <v>-164791.666666667</v>
      </c>
      <c r="G21" s="543" t="n">
        <v>-189375</v>
      </c>
      <c r="H21" s="543" t="n">
        <v>-214375</v>
      </c>
      <c r="I21" s="543" t="n">
        <v>-225208.333333333</v>
      </c>
      <c r="J21" s="543" t="n">
        <v>-225208.333333333</v>
      </c>
      <c r="K21" s="543" t="n">
        <v>-225208.333333333</v>
      </c>
      <c r="L21" s="543" t="n">
        <v>-246041.666666667</v>
      </c>
      <c r="M21" s="543" t="n">
        <v>-276041.666666667</v>
      </c>
      <c r="N21" s="543" t="n">
        <v>-276041.666666667</v>
      </c>
      <c r="O21" s="543" t="n">
        <v>-276041.666666667</v>
      </c>
      <c r="P21" s="543" t="n">
        <v>-276041.666666667</v>
      </c>
      <c r="Q21" s="543" t="n">
        <v>-276041.666666667</v>
      </c>
      <c r="R21" s="543" t="n">
        <v>-295162.5</v>
      </c>
      <c r="S21" s="543" t="n">
        <v>-295162.5</v>
      </c>
      <c r="T21" s="543" t="n">
        <v>-295162.5</v>
      </c>
      <c r="U21" s="543" t="n">
        <v>-295162.5</v>
      </c>
      <c r="V21" s="543" t="n">
        <v>-295162.5</v>
      </c>
      <c r="W21" s="543" t="n">
        <v>-295162.5</v>
      </c>
      <c r="X21" s="543" t="n">
        <v>-295162.5</v>
      </c>
      <c r="Y21" s="543" t="n">
        <v>-295162.5</v>
      </c>
      <c r="Z21" s="543" t="n">
        <v>-295162.5</v>
      </c>
      <c r="AA21" s="543" t="n">
        <v>-295162.5</v>
      </c>
      <c r="AB21" s="543" t="n">
        <v>-295162.5</v>
      </c>
      <c r="AC21" s="543" t="n">
        <v>-295162.5</v>
      </c>
      <c r="AD21" s="543" t="n">
        <v>-301065.75</v>
      </c>
      <c r="AE21" s="543" t="n">
        <v>-301065.75</v>
      </c>
      <c r="AF21" s="543" t="n">
        <v>-301065.75</v>
      </c>
      <c r="AG21" s="543" t="n">
        <v>-301065.75</v>
      </c>
      <c r="AH21" s="543" t="n">
        <v>-301065.75</v>
      </c>
      <c r="AI21" s="543" t="n">
        <v>-301065.75</v>
      </c>
      <c r="AJ21" s="543" t="n">
        <v>-301065.75</v>
      </c>
      <c r="AK21" s="543" t="n">
        <v>-301065.75</v>
      </c>
      <c r="AL21" s="543" t="n">
        <v>-301065.75</v>
      </c>
      <c r="AM21" s="543" t="n">
        <v>-301065.75</v>
      </c>
      <c r="AN21" s="543" t="n">
        <v>-301065.75</v>
      </c>
      <c r="AO21" s="543" t="n">
        <v>-301065.75</v>
      </c>
      <c r="AP21" s="543" t="n">
        <v>-307087.065</v>
      </c>
      <c r="AQ21" s="543" t="n">
        <v>-307087.065</v>
      </c>
      <c r="AR21" s="543" t="n">
        <v>-307087.065</v>
      </c>
      <c r="AS21" s="543" t="n">
        <v>-307087.065</v>
      </c>
      <c r="AT21" s="543" t="n">
        <v>-307087.065</v>
      </c>
      <c r="AU21" s="543" t="n">
        <v>-307087.065</v>
      </c>
      <c r="AV21" s="543" t="n">
        <v>-307087.065</v>
      </c>
      <c r="AW21" s="543" t="n">
        <v>-307087.065</v>
      </c>
      <c r="AX21" s="543" t="n">
        <v>-307087.065</v>
      </c>
      <c r="AY21" s="543" t="n">
        <v>-307087.065</v>
      </c>
      <c r="AZ21" s="543" t="n">
        <v>-307087.065</v>
      </c>
      <c r="BA21" s="543" t="n">
        <v>-307087.065</v>
      </c>
      <c r="BB21" s="543" t="n">
        <v>-313228.8063</v>
      </c>
      <c r="BC21" s="543" t="n">
        <v>-313228.8063</v>
      </c>
      <c r="BD21" s="543" t="n">
        <v>-313228.8063</v>
      </c>
      <c r="BE21" s="543" t="n">
        <v>-313228.8063</v>
      </c>
      <c r="BF21" s="543" t="n">
        <v>-313228.8063</v>
      </c>
      <c r="BG21" s="543" t="n">
        <v>-313228.8063</v>
      </c>
      <c r="BH21" s="543" t="n">
        <v>-313228.8063</v>
      </c>
      <c r="BI21" s="543" t="n">
        <v>-313228.8063</v>
      </c>
      <c r="BJ21" s="543" t="n">
        <v>-313228.8063</v>
      </c>
      <c r="BK21" s="543" t="n">
        <v>-313228.8063</v>
      </c>
      <c r="BL21" s="543" t="n">
        <v>-313228.8063</v>
      </c>
      <c r="BM21" s="543" t="n">
        <v>-313228.8063</v>
      </c>
      <c r="BN21" s="543" t="n">
        <v>-319493.382426</v>
      </c>
      <c r="BO21" s="543" t="n">
        <v>-319493.382426</v>
      </c>
      <c r="BP21" s="543" t="n">
        <v>-319493.382426</v>
      </c>
      <c r="BQ21" s="543" t="n">
        <v>-319493.382426</v>
      </c>
      <c r="BR21" s="543" t="n">
        <v>-319493.382426</v>
      </c>
      <c r="BS21" s="543" t="n">
        <v>-319493.382426</v>
      </c>
      <c r="BT21" s="543" t="n">
        <v>-319493.382426</v>
      </c>
      <c r="BU21" s="543" t="n">
        <v>-319493.382426</v>
      </c>
      <c r="BV21" s="543" t="n">
        <v>-319493.382426</v>
      </c>
      <c r="BW21" s="543" t="n">
        <v>-319493.382426</v>
      </c>
      <c r="BX21" s="543" t="n">
        <v>-319493.382426</v>
      </c>
      <c r="BY21" s="543" t="n">
        <v>-319493.382426</v>
      </c>
      <c r="BZ21" s="543" t="n">
        <v>-325883.25007452</v>
      </c>
      <c r="CA21" s="543" t="n">
        <v>-325883.25007452</v>
      </c>
      <c r="CB21" s="543" t="n">
        <v>-325883.25007452</v>
      </c>
      <c r="CC21" s="543" t="n">
        <v>-325883.25007452</v>
      </c>
      <c r="CD21" s="543" t="n">
        <v>-325883.25007452</v>
      </c>
      <c r="CE21" s="543" t="n">
        <v>-325883.25007452</v>
      </c>
      <c r="CF21" s="543" t="n">
        <v>-325883.25007452</v>
      </c>
      <c r="CG21" s="543" t="n">
        <v>-325883.25007452</v>
      </c>
      <c r="CH21" s="543" t="n">
        <v>-325883.25007452</v>
      </c>
      <c r="CI21" s="543" t="n">
        <v>-325883.25007452</v>
      </c>
      <c r="CJ21" s="543" t="n">
        <v>-325883.25007452</v>
      </c>
      <c r="CK21" s="543" t="n">
        <v>-325883.25007452</v>
      </c>
      <c r="CL21" s="543" t="n">
        <v>-332400.91507601</v>
      </c>
      <c r="CM21" s="543" t="n">
        <v>-332400.91507601</v>
      </c>
      <c r="CN21" s="543" t="n">
        <v>-332400.91507601</v>
      </c>
      <c r="CO21" s="543" t="n">
        <v>-332400.91507601</v>
      </c>
      <c r="CP21" s="543" t="n">
        <v>-332400.91507601</v>
      </c>
      <c r="CQ21" s="543" t="n">
        <v>-332400.91507601</v>
      </c>
      <c r="CR21" s="543" t="n">
        <v>-332400.91507601</v>
      </c>
      <c r="CS21" s="543" t="n">
        <v>-332400.91507601</v>
      </c>
      <c r="CT21" s="543" t="n">
        <v>-332400.91507601</v>
      </c>
      <c r="CU21" s="543" t="n">
        <v>-332400.91507601</v>
      </c>
      <c r="CV21" s="543" t="n">
        <v>-332400.91507601</v>
      </c>
      <c r="CW21" s="543" t="n">
        <v>-332400.91507601</v>
      </c>
      <c r="CX21" s="543" t="n">
        <v>-339048.933377531</v>
      </c>
      <c r="CY21" s="543" t="n">
        <v>-339048.933377531</v>
      </c>
      <c r="CZ21" s="543" t="n">
        <v>-339048.933377531</v>
      </c>
      <c r="DA21" s="543" t="n">
        <v>-339048.933377531</v>
      </c>
      <c r="DB21" s="543" t="n">
        <v>-339048.933377531</v>
      </c>
      <c r="DC21" s="543" t="n">
        <v>-339048.933377531</v>
      </c>
      <c r="DD21" s="543" t="n">
        <v>-339048.933377531</v>
      </c>
      <c r="DE21" s="543" t="n">
        <v>-339048.933377531</v>
      </c>
      <c r="DF21" s="543" t="n">
        <v>-339048.933377531</v>
      </c>
    </row>
    <row r="22" ht="15" customFormat="1" customHeight="1" s="381">
      <c r="A22" s="472" t="inlineStr">
        <is>
          <t>5000-1001 Payroll Taxes</t>
        </is>
      </c>
      <c r="C22" s="486" t="n">
        <v>-7450.37</v>
      </c>
      <c r="D22" s="486" t="n">
        <v>-10567.2</v>
      </c>
      <c r="E22" s="486" t="n">
        <v>-17033.3</v>
      </c>
      <c r="F22" s="543" t="n">
        <v>-15327.0833333333</v>
      </c>
      <c r="G22" s="543" t="n">
        <v>-17047.9166666667</v>
      </c>
      <c r="H22" s="543" t="n">
        <v>-18797.9166666667</v>
      </c>
      <c r="I22" s="543" t="n">
        <v>-19556.25</v>
      </c>
      <c r="J22" s="543" t="n">
        <v>-19556.25</v>
      </c>
      <c r="K22" s="543" t="n">
        <v>-19556.25</v>
      </c>
      <c r="L22" s="543" t="n">
        <v>-21014.5833333333</v>
      </c>
      <c r="M22" s="543" t="n">
        <v>-23114.5833333333</v>
      </c>
      <c r="N22" s="543" t="n">
        <v>-23114.5833333333</v>
      </c>
      <c r="O22" s="543" t="n">
        <v>-23114.5833333333</v>
      </c>
      <c r="P22" s="543" t="n">
        <v>-23114.5833333333</v>
      </c>
      <c r="Q22" s="543" t="n">
        <v>-23114.5833333333</v>
      </c>
      <c r="R22" s="543" t="n">
        <v>-24528.875</v>
      </c>
      <c r="S22" s="543" t="n">
        <v>-24528.875</v>
      </c>
      <c r="T22" s="543" t="n">
        <v>-24528.875</v>
      </c>
      <c r="U22" s="543" t="n">
        <v>-24528.875</v>
      </c>
      <c r="V22" s="543" t="n">
        <v>-24528.875</v>
      </c>
      <c r="W22" s="543" t="n">
        <v>-24528.875</v>
      </c>
      <c r="X22" s="543" t="n">
        <v>-24528.875</v>
      </c>
      <c r="Y22" s="543" t="n">
        <v>-24528.875</v>
      </c>
      <c r="Z22" s="543" t="n">
        <v>-24528.875</v>
      </c>
      <c r="AA22" s="543" t="n">
        <v>-24528.875</v>
      </c>
      <c r="AB22" s="543" t="n">
        <v>-24528.875</v>
      </c>
      <c r="AC22" s="543" t="n">
        <v>-24528.875</v>
      </c>
      <c r="AD22" s="543" t="n">
        <v>-25019.4525</v>
      </c>
      <c r="AE22" s="543" t="n">
        <v>-25019.4525</v>
      </c>
      <c r="AF22" s="543" t="n">
        <v>-25019.4525</v>
      </c>
      <c r="AG22" s="543" t="n">
        <v>-25019.4525</v>
      </c>
      <c r="AH22" s="543" t="n">
        <v>-25019.4525</v>
      </c>
      <c r="AI22" s="543" t="n">
        <v>-25019.4525</v>
      </c>
      <c r="AJ22" s="543" t="n">
        <v>-25019.4525</v>
      </c>
      <c r="AK22" s="543" t="n">
        <v>-25019.4525</v>
      </c>
      <c r="AL22" s="543" t="n">
        <v>-25019.4525</v>
      </c>
      <c r="AM22" s="543" t="n">
        <v>-25019.4525</v>
      </c>
      <c r="AN22" s="543" t="n">
        <v>-25019.4525</v>
      </c>
      <c r="AO22" s="543" t="n">
        <v>-25019.4525</v>
      </c>
      <c r="AP22" s="543" t="n">
        <v>-25519.84155</v>
      </c>
      <c r="AQ22" s="543" t="n">
        <v>-25519.84155</v>
      </c>
      <c r="AR22" s="543" t="n">
        <v>-25519.84155</v>
      </c>
      <c r="AS22" s="543" t="n">
        <v>-25519.84155</v>
      </c>
      <c r="AT22" s="543" t="n">
        <v>-25519.84155</v>
      </c>
      <c r="AU22" s="543" t="n">
        <v>-25519.84155</v>
      </c>
      <c r="AV22" s="543" t="n">
        <v>-25519.84155</v>
      </c>
      <c r="AW22" s="543" t="n">
        <v>-25519.84155</v>
      </c>
      <c r="AX22" s="543" t="n">
        <v>-25519.84155</v>
      </c>
      <c r="AY22" s="543" t="n">
        <v>-25519.84155</v>
      </c>
      <c r="AZ22" s="543" t="n">
        <v>-25519.84155</v>
      </c>
      <c r="BA22" s="543" t="n">
        <v>-25519.84155</v>
      </c>
      <c r="BB22" s="543" t="n">
        <v>-26030.238381</v>
      </c>
      <c r="BC22" s="543" t="n">
        <v>-26030.238381</v>
      </c>
      <c r="BD22" s="543" t="n">
        <v>-26030.238381</v>
      </c>
      <c r="BE22" s="543" t="n">
        <v>-26030.238381</v>
      </c>
      <c r="BF22" s="543" t="n">
        <v>-26030.238381</v>
      </c>
      <c r="BG22" s="543" t="n">
        <v>-26030.238381</v>
      </c>
      <c r="BH22" s="543" t="n">
        <v>-26030.238381</v>
      </c>
      <c r="BI22" s="543" t="n">
        <v>-26030.238381</v>
      </c>
      <c r="BJ22" s="543" t="n">
        <v>-26030.238381</v>
      </c>
      <c r="BK22" s="543" t="n">
        <v>-26030.238381</v>
      </c>
      <c r="BL22" s="543" t="n">
        <v>-26030.238381</v>
      </c>
      <c r="BM22" s="543" t="n">
        <v>-26030.238381</v>
      </c>
      <c r="BN22" s="543" t="n">
        <v>-26550.84314862</v>
      </c>
      <c r="BO22" s="543" t="n">
        <v>-26550.84314862</v>
      </c>
      <c r="BP22" s="543" t="n">
        <v>-26550.84314862</v>
      </c>
      <c r="BQ22" s="543" t="n">
        <v>-26550.84314862</v>
      </c>
      <c r="BR22" s="543" t="n">
        <v>-26550.84314862</v>
      </c>
      <c r="BS22" s="543" t="n">
        <v>-26550.84314862</v>
      </c>
      <c r="BT22" s="543" t="n">
        <v>-26550.84314862</v>
      </c>
      <c r="BU22" s="543" t="n">
        <v>-26550.84314862</v>
      </c>
      <c r="BV22" s="543" t="n">
        <v>-26550.84314862</v>
      </c>
      <c r="BW22" s="543" t="n">
        <v>-26550.84314862</v>
      </c>
      <c r="BX22" s="543" t="n">
        <v>-26550.84314862</v>
      </c>
      <c r="BY22" s="543" t="n">
        <v>-26550.84314862</v>
      </c>
      <c r="BZ22" s="543" t="n">
        <v>-27081.8600115924</v>
      </c>
      <c r="CA22" s="543" t="n">
        <v>-27081.8600115924</v>
      </c>
      <c r="CB22" s="543" t="n">
        <v>-27081.8600115924</v>
      </c>
      <c r="CC22" s="543" t="n">
        <v>-27081.8600115924</v>
      </c>
      <c r="CD22" s="543" t="n">
        <v>-27081.8600115924</v>
      </c>
      <c r="CE22" s="543" t="n">
        <v>-27081.8600115924</v>
      </c>
      <c r="CF22" s="543" t="n">
        <v>-27081.8600115924</v>
      </c>
      <c r="CG22" s="543" t="n">
        <v>-27081.8600115924</v>
      </c>
      <c r="CH22" s="543" t="n">
        <v>-27081.8600115924</v>
      </c>
      <c r="CI22" s="543" t="n">
        <v>-27081.8600115924</v>
      </c>
      <c r="CJ22" s="543" t="n">
        <v>-27081.8600115924</v>
      </c>
      <c r="CK22" s="543" t="n">
        <v>-27081.8600115924</v>
      </c>
      <c r="CL22" s="543" t="n">
        <v>-27623.4972118242</v>
      </c>
      <c r="CM22" s="543" t="n">
        <v>-27623.4972118242</v>
      </c>
      <c r="CN22" s="543" t="n">
        <v>-27623.4972118242</v>
      </c>
      <c r="CO22" s="543" t="n">
        <v>-27623.4972118242</v>
      </c>
      <c r="CP22" s="543" t="n">
        <v>-27623.4972118242</v>
      </c>
      <c r="CQ22" s="543" t="n">
        <v>-27623.4972118242</v>
      </c>
      <c r="CR22" s="543" t="n">
        <v>-27623.4972118242</v>
      </c>
      <c r="CS22" s="543" t="n">
        <v>-27623.4972118242</v>
      </c>
      <c r="CT22" s="543" t="n">
        <v>-27623.4972118242</v>
      </c>
      <c r="CU22" s="543" t="n">
        <v>0</v>
      </c>
      <c r="CV22" s="543" t="n">
        <v>0</v>
      </c>
      <c r="CW22" s="543" t="n">
        <v>0</v>
      </c>
      <c r="CX22" s="543" t="n">
        <v>0</v>
      </c>
      <c r="CY22" s="543" t="n">
        <v>0</v>
      </c>
      <c r="CZ22" s="543" t="n">
        <v>0</v>
      </c>
      <c r="DA22" s="543" t="n">
        <v>0</v>
      </c>
      <c r="DB22" s="543" t="n">
        <v>0</v>
      </c>
      <c r="DC22" s="543" t="n">
        <v>0</v>
      </c>
      <c r="DD22" s="543" t="n">
        <v>0</v>
      </c>
      <c r="DE22" s="543" t="n">
        <v>0</v>
      </c>
      <c r="DF22" s="543" t="n">
        <v>0</v>
      </c>
    </row>
    <row r="23" ht="15" customFormat="1" customHeight="1" s="381">
      <c r="A23" s="472" t="inlineStr">
        <is>
          <t>SP Allocated to LV</t>
        </is>
      </c>
      <c r="C23" s="486" t="n">
        <v>0</v>
      </c>
      <c r="D23" s="486" t="n">
        <v>0</v>
      </c>
      <c r="E23" s="486" t="n">
        <v>0</v>
      </c>
      <c r="F23" s="543" t="n">
        <v>-103833.333333333</v>
      </c>
      <c r="G23" s="543" t="n">
        <v>-103833.333333333</v>
      </c>
      <c r="H23" s="543" t="n">
        <v>-103833.333333333</v>
      </c>
      <c r="I23" s="543" t="n">
        <v>-103833.333333333</v>
      </c>
      <c r="J23" s="543" t="n">
        <v>-103833.333333333</v>
      </c>
      <c r="K23" s="543" t="n">
        <v>-103833.333333333</v>
      </c>
      <c r="L23" s="543" t="n">
        <v>-103833.333333333</v>
      </c>
      <c r="M23" s="543" t="n">
        <v>-103833.333333333</v>
      </c>
      <c r="N23" s="543" t="n">
        <v>-103833.333333333</v>
      </c>
      <c r="O23" s="543" t="n">
        <v>-103833.333333333</v>
      </c>
      <c r="P23" s="543" t="n">
        <v>-103833.333333333</v>
      </c>
      <c r="Q23" s="543" t="n">
        <v>-103833.333333333</v>
      </c>
      <c r="R23" s="543" t="n">
        <v>-103833.333333333</v>
      </c>
      <c r="S23" s="543" t="n">
        <v>-103833.333333333</v>
      </c>
      <c r="T23" s="543" t="n">
        <v>-103833.333333333</v>
      </c>
      <c r="U23" s="543" t="n">
        <v>-103833.333333333</v>
      </c>
      <c r="V23" s="543" t="n">
        <v>-103833.333333333</v>
      </c>
      <c r="W23" s="543" t="n">
        <v>-103833.333333333</v>
      </c>
      <c r="X23" s="543" t="n">
        <v>-103833.333333333</v>
      </c>
      <c r="Y23" s="543" t="n">
        <v>-103833.333333333</v>
      </c>
      <c r="Z23" s="543" t="n">
        <v>-103833.333333333</v>
      </c>
      <c r="AA23" s="543" t="n">
        <v>-103833.333333333</v>
      </c>
      <c r="AB23" s="543" t="n">
        <v>-103833.333333333</v>
      </c>
      <c r="AC23" s="543" t="n">
        <v>-103833.333333333</v>
      </c>
      <c r="AD23" s="543" t="n">
        <v>-103833.333333333</v>
      </c>
      <c r="AE23" s="543" t="n">
        <v>-103833.333333333</v>
      </c>
      <c r="AF23" s="543" t="n">
        <v>-103833.333333333</v>
      </c>
      <c r="AG23" s="543" t="n">
        <v>-103833.333333333</v>
      </c>
      <c r="AH23" s="543" t="n">
        <v>-103833.333333333</v>
      </c>
      <c r="AI23" s="543" t="n">
        <v>-103833.333333333</v>
      </c>
      <c r="AJ23" s="543" t="n">
        <v>-103833.333333333</v>
      </c>
      <c r="AK23" s="543" t="n">
        <v>-103833.333333333</v>
      </c>
      <c r="AL23" s="543" t="n">
        <v>-103833.333333333</v>
      </c>
      <c r="AM23" s="543" t="n">
        <v>-103833.333333333</v>
      </c>
      <c r="AN23" s="543" t="n">
        <v>-103833.333333333</v>
      </c>
      <c r="AO23" s="543" t="n">
        <v>-103833.333333333</v>
      </c>
      <c r="AP23" s="543" t="n">
        <v>-103833.333333333</v>
      </c>
      <c r="AQ23" s="543" t="n">
        <v>-103833.333333333</v>
      </c>
      <c r="AR23" s="543" t="n">
        <v>-103833.333333333</v>
      </c>
      <c r="AS23" s="543" t="n">
        <v>-103833.333333333</v>
      </c>
      <c r="AT23" s="543" t="n">
        <v>-103833.333333333</v>
      </c>
      <c r="AU23" s="543" t="n">
        <v>-103833.333333333</v>
      </c>
      <c r="AV23" s="543" t="n">
        <v>-103833.333333333</v>
      </c>
      <c r="AW23" s="543" t="n">
        <v>-103833.333333333</v>
      </c>
      <c r="AX23" s="543" t="n">
        <v>-103833.333333333</v>
      </c>
      <c r="AY23" s="543" t="n">
        <v>-103833.333333333</v>
      </c>
      <c r="AZ23" s="543" t="n">
        <v>-103833.333333333</v>
      </c>
      <c r="BA23" s="543" t="n">
        <v>-103833.333333333</v>
      </c>
      <c r="BB23" s="543" t="n">
        <v>-103833.333333333</v>
      </c>
      <c r="BC23" s="543" t="n">
        <v>-103833.333333333</v>
      </c>
      <c r="BD23" s="543" t="n">
        <v>-103833.333333333</v>
      </c>
      <c r="BE23" s="543" t="n">
        <v>-103833.333333333</v>
      </c>
      <c r="BF23" s="543" t="n">
        <v>-103833.333333333</v>
      </c>
      <c r="BG23" s="543" t="n">
        <v>-103833.333333333</v>
      </c>
      <c r="BH23" s="543" t="n">
        <v>-103833.333333333</v>
      </c>
      <c r="BI23" s="543" t="n">
        <v>-103833.333333333</v>
      </c>
      <c r="BJ23" s="543" t="n">
        <v>-103833.333333333</v>
      </c>
      <c r="BK23" s="543" t="n">
        <v>-103833.333333333</v>
      </c>
      <c r="BL23" s="543" t="n">
        <v>-103833.333333333</v>
      </c>
      <c r="BM23" s="543" t="n">
        <v>-103833.333333333</v>
      </c>
      <c r="BN23" s="543" t="n">
        <v>-103833.333333333</v>
      </c>
      <c r="BO23" s="543" t="n">
        <v>-103833.333333333</v>
      </c>
      <c r="BP23" s="543" t="n">
        <v>-103833.333333333</v>
      </c>
      <c r="BQ23" s="543" t="n">
        <v>-103833.333333333</v>
      </c>
      <c r="BR23" s="543" t="n">
        <v>-103833.333333333</v>
      </c>
      <c r="BS23" s="543" t="n">
        <v>-103833.333333333</v>
      </c>
      <c r="BT23" s="543" t="n">
        <v>-103833.333333333</v>
      </c>
      <c r="BU23" s="543" t="n">
        <v>-103833.333333333</v>
      </c>
      <c r="BV23" s="543" t="n">
        <v>-103833.333333333</v>
      </c>
      <c r="BW23" s="543" t="n">
        <v>-103833.333333333</v>
      </c>
      <c r="BX23" s="543" t="n">
        <v>-103833.333333333</v>
      </c>
      <c r="BY23" s="543" t="n">
        <v>-103833.333333333</v>
      </c>
      <c r="BZ23" s="543" t="n">
        <v>-103833.333333333</v>
      </c>
      <c r="CA23" s="543" t="n">
        <v>-103833.333333333</v>
      </c>
      <c r="CB23" s="543" t="n">
        <v>-103833.333333333</v>
      </c>
      <c r="CC23" s="543" t="n">
        <v>-103833.333333333</v>
      </c>
      <c r="CD23" s="543" t="n">
        <v>-103833.333333333</v>
      </c>
      <c r="CE23" s="543" t="n">
        <v>-103833.333333333</v>
      </c>
      <c r="CF23" s="543" t="n">
        <v>-103833.333333333</v>
      </c>
      <c r="CG23" s="543" t="n">
        <v>-103833.333333333</v>
      </c>
      <c r="CH23" s="543" t="n">
        <v>-103833.333333333</v>
      </c>
      <c r="CI23" s="543" t="n">
        <v>-103833.333333333</v>
      </c>
      <c r="CJ23" s="543" t="n">
        <v>-103833.333333333</v>
      </c>
      <c r="CK23" s="543" t="n">
        <v>-103833.333333333</v>
      </c>
      <c r="CL23" s="543" t="n">
        <v>-103833.333333333</v>
      </c>
      <c r="CM23" s="543" t="n">
        <v>-103833.333333333</v>
      </c>
      <c r="CN23" s="543" t="n">
        <v>-103833.333333333</v>
      </c>
      <c r="CO23" s="543" t="n">
        <v>-103833.333333333</v>
      </c>
      <c r="CP23" s="543" t="n">
        <v>-103833.333333333</v>
      </c>
      <c r="CQ23" s="543" t="n">
        <v>-103833.333333333</v>
      </c>
      <c r="CR23" s="543" t="n">
        <v>-103833.333333333</v>
      </c>
      <c r="CS23" s="543" t="n">
        <v>-103833.333333333</v>
      </c>
      <c r="CT23" s="543" t="n">
        <v>-103833.333333333</v>
      </c>
      <c r="CU23" s="543" t="n">
        <v>-103833.333333333</v>
      </c>
      <c r="CV23" s="543" t="n">
        <v>-103833.333333333</v>
      </c>
      <c r="CW23" s="543" t="n">
        <v>-103833.333333333</v>
      </c>
      <c r="CX23" s="543" t="n">
        <v>-103833.333333333</v>
      </c>
      <c r="CY23" s="543" t="n">
        <v>-103833.333333333</v>
      </c>
      <c r="CZ23" s="543" t="n">
        <v>-103833.333333333</v>
      </c>
      <c r="DA23" s="543" t="n">
        <v>-103833.333333333</v>
      </c>
      <c r="DB23" s="543" t="n">
        <v>-103833.333333333</v>
      </c>
      <c r="DC23" s="543" t="n">
        <v>-103833.333333333</v>
      </c>
      <c r="DD23" s="543" t="n">
        <v>-103833.333333333</v>
      </c>
      <c r="DE23" s="543" t="n">
        <v>-103833.333333333</v>
      </c>
      <c r="DF23" s="543" t="n">
        <v>-103833.333333333</v>
      </c>
    </row>
    <row r="24" ht="15" customFormat="1" customHeight="1" s="381">
      <c r="A24" s="472" t="inlineStr">
        <is>
          <t>5000-1002 Employee Benefits</t>
        </is>
      </c>
      <c r="C24" s="486" t="n">
        <v>-9482.969999999999</v>
      </c>
      <c r="D24" s="486" t="n">
        <v>-10343.29</v>
      </c>
      <c r="E24" s="486" t="n">
        <v>-3729.48</v>
      </c>
      <c r="F24" s="543" t="n">
        <v>-10947.9166666667</v>
      </c>
      <c r="G24" s="543" t="n">
        <v>-12177.0833333333</v>
      </c>
      <c r="H24" s="543" t="n">
        <v>-13427.0833333333</v>
      </c>
      <c r="I24" s="543" t="n">
        <v>-13968.75</v>
      </c>
      <c r="J24" s="543" t="n">
        <v>-13968.75</v>
      </c>
      <c r="K24" s="543" t="n">
        <v>-13968.75</v>
      </c>
      <c r="L24" s="543" t="n">
        <v>-15010.4166666667</v>
      </c>
      <c r="M24" s="543" t="n">
        <v>-16510.4166666667</v>
      </c>
      <c r="N24" s="543" t="n">
        <v>-16510.4166666667</v>
      </c>
      <c r="O24" s="543" t="n">
        <v>-16510.4166666667</v>
      </c>
      <c r="P24" s="543" t="n">
        <v>-16510.4166666667</v>
      </c>
      <c r="Q24" s="543" t="n">
        <v>-16510.4166666667</v>
      </c>
      <c r="R24" s="543" t="n">
        <v>-17520.625</v>
      </c>
      <c r="S24" s="543" t="n">
        <v>-17520.625</v>
      </c>
      <c r="T24" s="543" t="n">
        <v>-17520.625</v>
      </c>
      <c r="U24" s="543" t="n">
        <v>-17520.625</v>
      </c>
      <c r="V24" s="543" t="n">
        <v>-17520.625</v>
      </c>
      <c r="W24" s="543" t="n">
        <v>-17520.625</v>
      </c>
      <c r="X24" s="543" t="n">
        <v>-17520.625</v>
      </c>
      <c r="Y24" s="543" t="n">
        <v>-17520.625</v>
      </c>
      <c r="Z24" s="543" t="n">
        <v>-17520.625</v>
      </c>
      <c r="AA24" s="543" t="n">
        <v>-17520.625</v>
      </c>
      <c r="AB24" s="543" t="n">
        <v>-17520.625</v>
      </c>
      <c r="AC24" s="543" t="n">
        <v>-17520.625</v>
      </c>
      <c r="AD24" s="543" t="n">
        <v>-17871.0375</v>
      </c>
      <c r="AE24" s="543" t="n">
        <v>-17871.0375</v>
      </c>
      <c r="AF24" s="543" t="n">
        <v>-17871.0375</v>
      </c>
      <c r="AG24" s="543" t="n">
        <v>-17871.0375</v>
      </c>
      <c r="AH24" s="543" t="n">
        <v>-17871.0375</v>
      </c>
      <c r="AI24" s="543" t="n">
        <v>-17871.0375</v>
      </c>
      <c r="AJ24" s="543" t="n">
        <v>-17871.0375</v>
      </c>
      <c r="AK24" s="543" t="n">
        <v>-17871.0375</v>
      </c>
      <c r="AL24" s="543" t="n">
        <v>-17871.0375</v>
      </c>
      <c r="AM24" s="543" t="n">
        <v>-17871.0375</v>
      </c>
      <c r="AN24" s="543" t="n">
        <v>-17871.0375</v>
      </c>
      <c r="AO24" s="543" t="n">
        <v>-17871.0375</v>
      </c>
      <c r="AP24" s="543" t="n">
        <v>-18228.45825</v>
      </c>
      <c r="AQ24" s="543" t="n">
        <v>-18228.45825</v>
      </c>
      <c r="AR24" s="543" t="n">
        <v>-18228.45825</v>
      </c>
      <c r="AS24" s="543" t="n">
        <v>-18228.45825</v>
      </c>
      <c r="AT24" s="543" t="n">
        <v>-18228.45825</v>
      </c>
      <c r="AU24" s="543" t="n">
        <v>-18228.45825</v>
      </c>
      <c r="AV24" s="543" t="n">
        <v>-18228.45825</v>
      </c>
      <c r="AW24" s="543" t="n">
        <v>-18228.45825</v>
      </c>
      <c r="AX24" s="543" t="n">
        <v>-18228.45825</v>
      </c>
      <c r="AY24" s="543" t="n">
        <v>-18228.45825</v>
      </c>
      <c r="AZ24" s="543" t="n">
        <v>-18228.45825</v>
      </c>
      <c r="BA24" s="543" t="n">
        <v>-18228.45825</v>
      </c>
      <c r="BB24" s="543" t="n">
        <v>-18593.027415</v>
      </c>
      <c r="BC24" s="543" t="n">
        <v>-18593.027415</v>
      </c>
      <c r="BD24" s="543" t="n">
        <v>-18593.027415</v>
      </c>
      <c r="BE24" s="543" t="n">
        <v>-18593.027415</v>
      </c>
      <c r="BF24" s="543" t="n">
        <v>-18593.027415</v>
      </c>
      <c r="BG24" s="543" t="n">
        <v>-18593.027415</v>
      </c>
      <c r="BH24" s="543" t="n">
        <v>-18593.027415</v>
      </c>
      <c r="BI24" s="543" t="n">
        <v>-18593.027415</v>
      </c>
      <c r="BJ24" s="543" t="n">
        <v>-18593.027415</v>
      </c>
      <c r="BK24" s="543" t="n">
        <v>-18593.027415</v>
      </c>
      <c r="BL24" s="543" t="n">
        <v>-18593.027415</v>
      </c>
      <c r="BM24" s="543" t="n">
        <v>-18593.027415</v>
      </c>
      <c r="BN24" s="543" t="n">
        <v>-18964.8879633</v>
      </c>
      <c r="BO24" s="543" t="n">
        <v>-18964.8879633</v>
      </c>
      <c r="BP24" s="543" t="n">
        <v>-18964.8879633</v>
      </c>
      <c r="BQ24" s="543" t="n">
        <v>-18964.8879633</v>
      </c>
      <c r="BR24" s="543" t="n">
        <v>-18964.8879633</v>
      </c>
      <c r="BS24" s="543" t="n">
        <v>-18964.8879633</v>
      </c>
      <c r="BT24" s="543" t="n">
        <v>-18964.8879633</v>
      </c>
      <c r="BU24" s="543" t="n">
        <v>-18964.8879633</v>
      </c>
      <c r="BV24" s="543" t="n">
        <v>-18964.8879633</v>
      </c>
      <c r="BW24" s="543" t="n">
        <v>-18964.8879633</v>
      </c>
      <c r="BX24" s="543" t="n">
        <v>-18964.8879633</v>
      </c>
      <c r="BY24" s="543" t="n">
        <v>-18964.8879633</v>
      </c>
      <c r="BZ24" s="543" t="n">
        <v>-19344.185722566</v>
      </c>
      <c r="CA24" s="543" t="n">
        <v>-19344.185722566</v>
      </c>
      <c r="CB24" s="543" t="n">
        <v>-19344.185722566</v>
      </c>
      <c r="CC24" s="543" t="n">
        <v>-19344.185722566</v>
      </c>
      <c r="CD24" s="543" t="n">
        <v>-19344.185722566</v>
      </c>
      <c r="CE24" s="543" t="n">
        <v>-19344.185722566</v>
      </c>
      <c r="CF24" s="543" t="n">
        <v>-19344.185722566</v>
      </c>
      <c r="CG24" s="543" t="n">
        <v>-19344.185722566</v>
      </c>
      <c r="CH24" s="543" t="n">
        <v>-19344.185722566</v>
      </c>
      <c r="CI24" s="543" t="n">
        <v>-19344.185722566</v>
      </c>
      <c r="CJ24" s="543" t="n">
        <v>-19344.185722566</v>
      </c>
      <c r="CK24" s="543" t="n">
        <v>-19344.185722566</v>
      </c>
      <c r="CL24" s="543" t="n">
        <v>-19731.0694370173</v>
      </c>
      <c r="CM24" s="543" t="n">
        <v>-19731.0694370173</v>
      </c>
      <c r="CN24" s="543" t="n">
        <v>-19731.0694370173</v>
      </c>
      <c r="CO24" s="543" t="n">
        <v>-19731.0694370173</v>
      </c>
      <c r="CP24" s="543" t="n">
        <v>-19731.0694370173</v>
      </c>
      <c r="CQ24" s="543" t="n">
        <v>-19731.0694370173</v>
      </c>
      <c r="CR24" s="543" t="n">
        <v>-19731.0694370173</v>
      </c>
      <c r="CS24" s="543" t="n">
        <v>-19731.0694370173</v>
      </c>
      <c r="CT24" s="543" t="n">
        <v>-19731.0694370173</v>
      </c>
      <c r="CU24" s="543" t="n">
        <v>0</v>
      </c>
      <c r="CV24" s="543" t="n">
        <v>0</v>
      </c>
      <c r="CW24" s="543" t="n">
        <v>0</v>
      </c>
      <c r="CX24" s="543" t="n">
        <v>0</v>
      </c>
      <c r="CY24" s="543" t="n">
        <v>0</v>
      </c>
      <c r="CZ24" s="543" t="n">
        <v>0</v>
      </c>
      <c r="DA24" s="543" t="n">
        <v>0</v>
      </c>
      <c r="DB24" s="543" t="n">
        <v>0</v>
      </c>
      <c r="DC24" s="543" t="n">
        <v>0</v>
      </c>
      <c r="DD24" s="543" t="n">
        <v>0</v>
      </c>
      <c r="DE24" s="543" t="n">
        <v>0</v>
      </c>
      <c r="DF24" s="543" t="n">
        <v>0</v>
      </c>
    </row>
    <row r="25" ht="15" customFormat="1" customHeight="1" s="381">
      <c r="A25" s="472" t="inlineStr">
        <is>
          <t>5000-1003 Workers Comp</t>
        </is>
      </c>
      <c r="C25" s="486" t="n">
        <v>-2542.47</v>
      </c>
      <c r="D25" s="486" t="n">
        <v>-1618.75</v>
      </c>
      <c r="E25" s="486" t="n">
        <v>3406.77</v>
      </c>
      <c r="F25" s="543" t="n">
        <v>-4379.16666666667</v>
      </c>
      <c r="G25" s="543" t="n">
        <v>-4870.83333333333</v>
      </c>
      <c r="H25" s="543" t="n">
        <v>-5370.83333333333</v>
      </c>
      <c r="I25" s="543" t="n">
        <v>-5587.5</v>
      </c>
      <c r="J25" s="543" t="n">
        <v>-5587.5</v>
      </c>
      <c r="K25" s="543" t="n">
        <v>-5587.5</v>
      </c>
      <c r="L25" s="543" t="n">
        <v>-6004.16666666667</v>
      </c>
      <c r="M25" s="543" t="n">
        <v>-6604.16666666666</v>
      </c>
      <c r="N25" s="543" t="n">
        <v>-6604.16666666666</v>
      </c>
      <c r="O25" s="543" t="n">
        <v>-6604.16666666666</v>
      </c>
      <c r="P25" s="543" t="n">
        <v>-6604.16666666666</v>
      </c>
      <c r="Q25" s="543" t="n">
        <v>-6604.16666666666</v>
      </c>
      <c r="R25" s="543" t="n">
        <v>-7008.25</v>
      </c>
      <c r="S25" s="543" t="n">
        <v>-7008.25</v>
      </c>
      <c r="T25" s="543" t="n">
        <v>-7008.25</v>
      </c>
      <c r="U25" s="543" t="n">
        <v>-7008.25</v>
      </c>
      <c r="V25" s="543" t="n">
        <v>-7008.25</v>
      </c>
      <c r="W25" s="543" t="n">
        <v>-7008.25</v>
      </c>
      <c r="X25" s="543" t="n">
        <v>-7008.25</v>
      </c>
      <c r="Y25" s="543" t="n">
        <v>-7008.25</v>
      </c>
      <c r="Z25" s="543" t="n">
        <v>-7008.25</v>
      </c>
      <c r="AA25" s="543" t="n">
        <v>-7008.25</v>
      </c>
      <c r="AB25" s="543" t="n">
        <v>-7008.25</v>
      </c>
      <c r="AC25" s="543" t="n">
        <v>-7008.25</v>
      </c>
      <c r="AD25" s="543" t="n">
        <v>-7148.415</v>
      </c>
      <c r="AE25" s="543" t="n">
        <v>-7148.415</v>
      </c>
      <c r="AF25" s="543" t="n">
        <v>-7148.415</v>
      </c>
      <c r="AG25" s="543" t="n">
        <v>-7148.415</v>
      </c>
      <c r="AH25" s="543" t="n">
        <v>-7148.415</v>
      </c>
      <c r="AI25" s="543" t="n">
        <v>-7148.415</v>
      </c>
      <c r="AJ25" s="543" t="n">
        <v>-7148.415</v>
      </c>
      <c r="AK25" s="543" t="n">
        <v>-7148.415</v>
      </c>
      <c r="AL25" s="543" t="n">
        <v>-7148.415</v>
      </c>
      <c r="AM25" s="543" t="n">
        <v>-7148.415</v>
      </c>
      <c r="AN25" s="543" t="n">
        <v>-7148.415</v>
      </c>
      <c r="AO25" s="543" t="n">
        <v>-7148.415</v>
      </c>
      <c r="AP25" s="543" t="n">
        <v>-7291.3833</v>
      </c>
      <c r="AQ25" s="543" t="n">
        <v>-7291.3833</v>
      </c>
      <c r="AR25" s="543" t="n">
        <v>-7291.3833</v>
      </c>
      <c r="AS25" s="543" t="n">
        <v>-7291.3833</v>
      </c>
      <c r="AT25" s="543" t="n">
        <v>-7291.3833</v>
      </c>
      <c r="AU25" s="543" t="n">
        <v>-7291.3833</v>
      </c>
      <c r="AV25" s="543" t="n">
        <v>-7291.3833</v>
      </c>
      <c r="AW25" s="543" t="n">
        <v>-7291.3833</v>
      </c>
      <c r="AX25" s="543" t="n">
        <v>-7291.3833</v>
      </c>
      <c r="AY25" s="543" t="n">
        <v>-7291.3833</v>
      </c>
      <c r="AZ25" s="543" t="n">
        <v>-7291.3833</v>
      </c>
      <c r="BA25" s="543" t="n">
        <v>-7291.3833</v>
      </c>
      <c r="BB25" s="543" t="n">
        <v>-7437.210966</v>
      </c>
      <c r="BC25" s="543" t="n">
        <v>-7437.210966</v>
      </c>
      <c r="BD25" s="543" t="n">
        <v>-7437.210966</v>
      </c>
      <c r="BE25" s="543" t="n">
        <v>-7437.210966</v>
      </c>
      <c r="BF25" s="543" t="n">
        <v>-7437.210966</v>
      </c>
      <c r="BG25" s="543" t="n">
        <v>-7437.210966</v>
      </c>
      <c r="BH25" s="543" t="n">
        <v>-7437.210966</v>
      </c>
      <c r="BI25" s="543" t="n">
        <v>-7437.210966</v>
      </c>
      <c r="BJ25" s="543" t="n">
        <v>-7437.210966</v>
      </c>
      <c r="BK25" s="543" t="n">
        <v>-7437.210966</v>
      </c>
      <c r="BL25" s="543" t="n">
        <v>-7437.210966</v>
      </c>
      <c r="BM25" s="543" t="n">
        <v>-7437.210966</v>
      </c>
      <c r="BN25" s="543" t="n">
        <v>-7585.95518532</v>
      </c>
      <c r="BO25" s="543" t="n">
        <v>-7585.95518532</v>
      </c>
      <c r="BP25" s="543" t="n">
        <v>-7585.95518532</v>
      </c>
      <c r="BQ25" s="543" t="n">
        <v>-7585.95518532</v>
      </c>
      <c r="BR25" s="543" t="n">
        <v>-7585.95518532</v>
      </c>
      <c r="BS25" s="543" t="n">
        <v>-7585.95518532</v>
      </c>
      <c r="BT25" s="543" t="n">
        <v>-7585.95518532</v>
      </c>
      <c r="BU25" s="543" t="n">
        <v>-7585.95518532</v>
      </c>
      <c r="BV25" s="543" t="n">
        <v>-7585.95518532</v>
      </c>
      <c r="BW25" s="543" t="n">
        <v>-7585.95518532</v>
      </c>
      <c r="BX25" s="543" t="n">
        <v>-7585.95518532</v>
      </c>
      <c r="BY25" s="543" t="n">
        <v>-7585.95518532</v>
      </c>
      <c r="BZ25" s="543" t="n">
        <v>-7737.6742890264</v>
      </c>
      <c r="CA25" s="543" t="n">
        <v>-7737.6742890264</v>
      </c>
      <c r="CB25" s="543" t="n">
        <v>-7737.6742890264</v>
      </c>
      <c r="CC25" s="543" t="n">
        <v>-7737.6742890264</v>
      </c>
      <c r="CD25" s="543" t="n">
        <v>-7737.6742890264</v>
      </c>
      <c r="CE25" s="543" t="n">
        <v>-7737.6742890264</v>
      </c>
      <c r="CF25" s="543" t="n">
        <v>-7737.6742890264</v>
      </c>
      <c r="CG25" s="543" t="n">
        <v>-7737.6742890264</v>
      </c>
      <c r="CH25" s="543" t="n">
        <v>-7737.6742890264</v>
      </c>
      <c r="CI25" s="543" t="n">
        <v>-7737.6742890264</v>
      </c>
      <c r="CJ25" s="543" t="n">
        <v>-7737.6742890264</v>
      </c>
      <c r="CK25" s="543" t="n">
        <v>-7737.6742890264</v>
      </c>
      <c r="CL25" s="543" t="n">
        <v>-7892.42777480693</v>
      </c>
      <c r="CM25" s="543" t="n">
        <v>-7892.42777480693</v>
      </c>
      <c r="CN25" s="543" t="n">
        <v>-7892.42777480693</v>
      </c>
      <c r="CO25" s="543" t="n">
        <v>-7892.42777480693</v>
      </c>
      <c r="CP25" s="543" t="n">
        <v>-7892.42777480693</v>
      </c>
      <c r="CQ25" s="543" t="n">
        <v>-7892.42777480693</v>
      </c>
      <c r="CR25" s="543" t="n">
        <v>-7892.42777480693</v>
      </c>
      <c r="CS25" s="543" t="n">
        <v>-7892.42777480693</v>
      </c>
      <c r="CT25" s="543" t="n">
        <v>-7892.42777480693</v>
      </c>
      <c r="CU25" s="543" t="n">
        <v>0</v>
      </c>
      <c r="CV25" s="543" t="n">
        <v>0</v>
      </c>
      <c r="CW25" s="543" t="n">
        <v>0</v>
      </c>
      <c r="CX25" s="543" t="n">
        <v>0</v>
      </c>
      <c r="CY25" s="543" t="n">
        <v>0</v>
      </c>
      <c r="CZ25" s="543" t="n">
        <v>0</v>
      </c>
      <c r="DA25" s="543" t="n">
        <v>0</v>
      </c>
      <c r="DB25" s="543" t="n">
        <v>0</v>
      </c>
      <c r="DC25" s="543" t="n">
        <v>0</v>
      </c>
      <c r="DD25" s="543" t="n">
        <v>0</v>
      </c>
      <c r="DE25" s="543" t="n">
        <v>0</v>
      </c>
      <c r="DF25" s="543" t="n">
        <v>0</v>
      </c>
    </row>
    <row r="26" ht="15" customFormat="1" customHeight="1" s="381">
      <c r="A26" s="472" t="inlineStr">
        <is>
          <t>5000-1005 Payroll Servicing Fees</t>
        </is>
      </c>
      <c r="C26" s="486" t="n">
        <v>-195</v>
      </c>
      <c r="D26" s="486" t="n">
        <v>-200</v>
      </c>
      <c r="E26" s="486" t="n">
        <v>0</v>
      </c>
      <c r="F26" s="543" t="n">
        <v>-1094.79166666667</v>
      </c>
      <c r="G26" s="543" t="n">
        <v>-1217.70833333333</v>
      </c>
      <c r="H26" s="543" t="n">
        <v>-1342.70833333333</v>
      </c>
      <c r="I26" s="543" t="n">
        <v>-1396.875</v>
      </c>
      <c r="J26" s="543" t="n">
        <v>-1396.875</v>
      </c>
      <c r="K26" s="543" t="n">
        <v>-1396.875</v>
      </c>
      <c r="L26" s="543" t="n">
        <v>-1501.04166666667</v>
      </c>
      <c r="M26" s="543" t="n">
        <v>-1651.04166666667</v>
      </c>
      <c r="N26" s="543" t="n">
        <v>-1651.04166666667</v>
      </c>
      <c r="O26" s="543" t="n">
        <v>-1651.04166666667</v>
      </c>
      <c r="P26" s="543" t="n">
        <v>-1651.04166666667</v>
      </c>
      <c r="Q26" s="543" t="n">
        <v>-1651.04166666667</v>
      </c>
      <c r="R26" s="543" t="n">
        <v>-1752.0625</v>
      </c>
      <c r="S26" s="543" t="n">
        <v>-1752.0625</v>
      </c>
      <c r="T26" s="543" t="n">
        <v>-1752.0625</v>
      </c>
      <c r="U26" s="543" t="n">
        <v>-1752.0625</v>
      </c>
      <c r="V26" s="543" t="n">
        <v>-1752.0625</v>
      </c>
      <c r="W26" s="543" t="n">
        <v>-1752.0625</v>
      </c>
      <c r="X26" s="543" t="n">
        <v>-1752.0625</v>
      </c>
      <c r="Y26" s="543" t="n">
        <v>-1752.0625</v>
      </c>
      <c r="Z26" s="543" t="n">
        <v>-1752.0625</v>
      </c>
      <c r="AA26" s="543" t="n">
        <v>-1752.0625</v>
      </c>
      <c r="AB26" s="543" t="n">
        <v>-1752.0625</v>
      </c>
      <c r="AC26" s="543" t="n">
        <v>-1752.0625</v>
      </c>
      <c r="AD26" s="543" t="n">
        <v>-1787.10375</v>
      </c>
      <c r="AE26" s="543" t="n">
        <v>-1787.10375</v>
      </c>
      <c r="AF26" s="543" t="n">
        <v>-1787.10375</v>
      </c>
      <c r="AG26" s="543" t="n">
        <v>-1787.10375</v>
      </c>
      <c r="AH26" s="543" t="n">
        <v>-1787.10375</v>
      </c>
      <c r="AI26" s="543" t="n">
        <v>-1787.10375</v>
      </c>
      <c r="AJ26" s="543" t="n">
        <v>-1787.10375</v>
      </c>
      <c r="AK26" s="543" t="n">
        <v>-1787.10375</v>
      </c>
      <c r="AL26" s="543" t="n">
        <v>-1787.10375</v>
      </c>
      <c r="AM26" s="543" t="n">
        <v>-1787.10375</v>
      </c>
      <c r="AN26" s="543" t="n">
        <v>-1787.10375</v>
      </c>
      <c r="AO26" s="543" t="n">
        <v>-1787.10375</v>
      </c>
      <c r="AP26" s="543" t="n">
        <v>-1822.845825</v>
      </c>
      <c r="AQ26" s="543" t="n">
        <v>-1822.845825</v>
      </c>
      <c r="AR26" s="543" t="n">
        <v>-1822.845825</v>
      </c>
      <c r="AS26" s="543" t="n">
        <v>-1822.845825</v>
      </c>
      <c r="AT26" s="543" t="n">
        <v>-1822.845825</v>
      </c>
      <c r="AU26" s="543" t="n">
        <v>-1822.845825</v>
      </c>
      <c r="AV26" s="543" t="n">
        <v>-1822.845825</v>
      </c>
      <c r="AW26" s="543" t="n">
        <v>-1822.845825</v>
      </c>
      <c r="AX26" s="543" t="n">
        <v>-1822.845825</v>
      </c>
      <c r="AY26" s="543" t="n">
        <v>-1822.845825</v>
      </c>
      <c r="AZ26" s="543" t="n">
        <v>-1822.845825</v>
      </c>
      <c r="BA26" s="543" t="n">
        <v>-1822.845825</v>
      </c>
      <c r="BB26" s="543" t="n">
        <v>-1859.3027415</v>
      </c>
      <c r="BC26" s="543" t="n">
        <v>-1859.3027415</v>
      </c>
      <c r="BD26" s="543" t="n">
        <v>-1859.3027415</v>
      </c>
      <c r="BE26" s="543" t="n">
        <v>-1859.3027415</v>
      </c>
      <c r="BF26" s="543" t="n">
        <v>-1859.3027415</v>
      </c>
      <c r="BG26" s="543" t="n">
        <v>-1859.3027415</v>
      </c>
      <c r="BH26" s="543" t="n">
        <v>-1859.3027415</v>
      </c>
      <c r="BI26" s="543" t="n">
        <v>-1859.3027415</v>
      </c>
      <c r="BJ26" s="543" t="n">
        <v>-1859.3027415</v>
      </c>
      <c r="BK26" s="543" t="n">
        <v>-1859.3027415</v>
      </c>
      <c r="BL26" s="543" t="n">
        <v>-1859.3027415</v>
      </c>
      <c r="BM26" s="543" t="n">
        <v>-1859.3027415</v>
      </c>
      <c r="BN26" s="543" t="n">
        <v>-1896.48879633</v>
      </c>
      <c r="BO26" s="543" t="n">
        <v>-1896.48879633</v>
      </c>
      <c r="BP26" s="543" t="n">
        <v>-1896.48879633</v>
      </c>
      <c r="BQ26" s="543" t="n">
        <v>-1896.48879633</v>
      </c>
      <c r="BR26" s="543" t="n">
        <v>-1896.48879633</v>
      </c>
      <c r="BS26" s="543" t="n">
        <v>-1896.48879633</v>
      </c>
      <c r="BT26" s="543" t="n">
        <v>-1896.48879633</v>
      </c>
      <c r="BU26" s="543" t="n">
        <v>-1896.48879633</v>
      </c>
      <c r="BV26" s="543" t="n">
        <v>-1896.48879633</v>
      </c>
      <c r="BW26" s="543" t="n">
        <v>-1896.48879633</v>
      </c>
      <c r="BX26" s="543" t="n">
        <v>-1896.48879633</v>
      </c>
      <c r="BY26" s="543" t="n">
        <v>-1896.48879633</v>
      </c>
      <c r="BZ26" s="543" t="n">
        <v>-1934.4185722566</v>
      </c>
      <c r="CA26" s="543" t="n">
        <v>-1934.4185722566</v>
      </c>
      <c r="CB26" s="543" t="n">
        <v>-1934.4185722566</v>
      </c>
      <c r="CC26" s="543" t="n">
        <v>-1934.4185722566</v>
      </c>
      <c r="CD26" s="543" t="n">
        <v>-1934.4185722566</v>
      </c>
      <c r="CE26" s="543" t="n">
        <v>-1934.4185722566</v>
      </c>
      <c r="CF26" s="543" t="n">
        <v>-1934.4185722566</v>
      </c>
      <c r="CG26" s="543" t="n">
        <v>-1934.4185722566</v>
      </c>
      <c r="CH26" s="543" t="n">
        <v>-1934.4185722566</v>
      </c>
      <c r="CI26" s="543" t="n">
        <v>-1934.4185722566</v>
      </c>
      <c r="CJ26" s="543" t="n">
        <v>-1934.4185722566</v>
      </c>
      <c r="CK26" s="543" t="n">
        <v>-1934.4185722566</v>
      </c>
      <c r="CL26" s="543" t="n">
        <v>-1973.10694370173</v>
      </c>
      <c r="CM26" s="543" t="n">
        <v>-1973.10694370173</v>
      </c>
      <c r="CN26" s="543" t="n">
        <v>-1973.10694370173</v>
      </c>
      <c r="CO26" s="543" t="n">
        <v>-1973.10694370173</v>
      </c>
      <c r="CP26" s="543" t="n">
        <v>-1973.10694370173</v>
      </c>
      <c r="CQ26" s="543" t="n">
        <v>-1973.10694370173</v>
      </c>
      <c r="CR26" s="543" t="n">
        <v>-1973.10694370173</v>
      </c>
      <c r="CS26" s="543" t="n">
        <v>-1973.10694370173</v>
      </c>
      <c r="CT26" s="543" t="n">
        <v>-1973.10694370173</v>
      </c>
      <c r="CU26" s="543" t="n">
        <v>0</v>
      </c>
      <c r="CV26" s="543" t="n">
        <v>0</v>
      </c>
      <c r="CW26" s="543" t="n">
        <v>0</v>
      </c>
      <c r="CX26" s="543" t="n">
        <v>0</v>
      </c>
      <c r="CY26" s="543" t="n">
        <v>0</v>
      </c>
      <c r="CZ26" s="543" t="n">
        <v>0</v>
      </c>
      <c r="DA26" s="543" t="n">
        <v>0</v>
      </c>
      <c r="DB26" s="543" t="n">
        <v>0</v>
      </c>
      <c r="DC26" s="543" t="n">
        <v>0</v>
      </c>
      <c r="DD26" s="543" t="n">
        <v>0</v>
      </c>
      <c r="DE26" s="543" t="n">
        <v>0</v>
      </c>
      <c r="DF26" s="543" t="n">
        <v>0</v>
      </c>
    </row>
    <row r="27" ht="15" customFormat="1" customHeight="1" s="381">
      <c r="A27" s="472" t="inlineStr">
        <is>
          <t>5000-1007 Payroll - Consultants</t>
        </is>
      </c>
      <c r="C27" s="486" t="n">
        <v>-33002.28</v>
      </c>
      <c r="D27" s="486" t="n">
        <v>-29166.66</v>
      </c>
      <c r="E27" s="486" t="n">
        <v>-41666.66</v>
      </c>
      <c r="F27" s="543" t="n">
        <v>-29166.66</v>
      </c>
      <c r="G27" s="543" t="n">
        <v>-29166.66</v>
      </c>
      <c r="H27" s="543" t="n">
        <v>-29166.66</v>
      </c>
      <c r="I27" s="543" t="n">
        <v>-29166.66</v>
      </c>
      <c r="J27" s="543" t="n">
        <v>-29166.66</v>
      </c>
      <c r="K27" s="543" t="n">
        <v>-29166.66</v>
      </c>
      <c r="L27" s="543" t="n">
        <v>-29166.66</v>
      </c>
      <c r="M27" s="543" t="n">
        <v>-29166.66</v>
      </c>
      <c r="N27" s="543" t="n">
        <v>-29166.66</v>
      </c>
      <c r="O27" s="543" t="n">
        <v>-29166.66</v>
      </c>
      <c r="P27" s="543" t="n">
        <v>-29166.66</v>
      </c>
      <c r="Q27" s="543" t="n">
        <v>-29166.66</v>
      </c>
      <c r="R27" s="543" t="n">
        <v>-29749.9932</v>
      </c>
      <c r="S27" s="543" t="n">
        <v>-29749.9932</v>
      </c>
      <c r="T27" s="543" t="n">
        <v>-29749.9932</v>
      </c>
      <c r="U27" s="543" t="n">
        <v>-29749.9932</v>
      </c>
      <c r="V27" s="543" t="n">
        <v>-29749.9932</v>
      </c>
      <c r="W27" s="543" t="n">
        <v>-29749.9932</v>
      </c>
      <c r="X27" s="543" t="n">
        <v>-29749.9932</v>
      </c>
      <c r="Y27" s="543" t="n">
        <v>-29749.9932</v>
      </c>
      <c r="Z27" s="543" t="n">
        <v>-29749.9932</v>
      </c>
      <c r="AA27" s="543" t="n">
        <v>-29749.9932</v>
      </c>
      <c r="AB27" s="543" t="n">
        <v>-29749.9932</v>
      </c>
      <c r="AC27" s="543" t="n">
        <v>-29749.9932</v>
      </c>
      <c r="AD27" s="543" t="n">
        <v>-30344.993064</v>
      </c>
      <c r="AE27" s="543" t="n">
        <v>-30344.993064</v>
      </c>
      <c r="AF27" s="543" t="n">
        <v>-30344.993064</v>
      </c>
      <c r="AG27" s="543" t="n">
        <v>-30344.993064</v>
      </c>
      <c r="AH27" s="543" t="n">
        <v>-30344.993064</v>
      </c>
      <c r="AI27" s="543" t="n">
        <v>-30344.993064</v>
      </c>
      <c r="AJ27" s="543" t="n">
        <v>-30344.993064</v>
      </c>
      <c r="AK27" s="543" t="n">
        <v>-30344.993064</v>
      </c>
      <c r="AL27" s="543" t="n">
        <v>-30344.993064</v>
      </c>
      <c r="AM27" s="543" t="n">
        <v>-30344.993064</v>
      </c>
      <c r="AN27" s="543" t="n">
        <v>-30344.993064</v>
      </c>
      <c r="AO27" s="543" t="n">
        <v>-30344.993064</v>
      </c>
      <c r="AP27" s="543" t="n">
        <v>-30951.89292528</v>
      </c>
      <c r="AQ27" s="543" t="n">
        <v>-30951.89292528</v>
      </c>
      <c r="AR27" s="543" t="n">
        <v>-30951.89292528</v>
      </c>
      <c r="AS27" s="543" t="n">
        <v>-30951.89292528</v>
      </c>
      <c r="AT27" s="543" t="n">
        <v>-30951.89292528</v>
      </c>
      <c r="AU27" s="543" t="n">
        <v>-30951.89292528</v>
      </c>
      <c r="AV27" s="543" t="n">
        <v>-30951.89292528</v>
      </c>
      <c r="AW27" s="543" t="n">
        <v>-30951.89292528</v>
      </c>
      <c r="AX27" s="543" t="n">
        <v>-30951.89292528</v>
      </c>
      <c r="AY27" s="543" t="n">
        <v>-30951.89292528</v>
      </c>
      <c r="AZ27" s="543" t="n">
        <v>-30951.89292528</v>
      </c>
      <c r="BA27" s="543" t="n">
        <v>-30951.89292528</v>
      </c>
      <c r="BB27" s="543" t="n">
        <v>-31570.9307837856</v>
      </c>
      <c r="BC27" s="543" t="n">
        <v>-31570.9307837856</v>
      </c>
      <c r="BD27" s="543" t="n">
        <v>-31570.9307837856</v>
      </c>
      <c r="BE27" s="543" t="n">
        <v>-31570.9307837856</v>
      </c>
      <c r="BF27" s="543" t="n">
        <v>-31570.9307837856</v>
      </c>
      <c r="BG27" s="543" t="n">
        <v>-31570.9307837856</v>
      </c>
      <c r="BH27" s="543" t="n">
        <v>-31570.9307837856</v>
      </c>
      <c r="BI27" s="543" t="n">
        <v>-31570.9307837856</v>
      </c>
      <c r="BJ27" s="543" t="n">
        <v>-31570.9307837856</v>
      </c>
      <c r="BK27" s="543" t="n">
        <v>-31570.9307837856</v>
      </c>
      <c r="BL27" s="543" t="n">
        <v>-31570.9307837856</v>
      </c>
      <c r="BM27" s="543" t="n">
        <v>-31570.9307837856</v>
      </c>
      <c r="BN27" s="543" t="n">
        <v>-32202.3493994613</v>
      </c>
      <c r="BO27" s="543" t="n">
        <v>-32202.3493994613</v>
      </c>
      <c r="BP27" s="543" t="n">
        <v>-32202.3493994613</v>
      </c>
      <c r="BQ27" s="543" t="n">
        <v>-32202.3493994613</v>
      </c>
      <c r="BR27" s="543" t="n">
        <v>-32202.3493994613</v>
      </c>
      <c r="BS27" s="543" t="n">
        <v>-32202.3493994613</v>
      </c>
      <c r="BT27" s="543" t="n">
        <v>-32202.3493994613</v>
      </c>
      <c r="BU27" s="543" t="n">
        <v>-32202.3493994613</v>
      </c>
      <c r="BV27" s="543" t="n">
        <v>-32202.3493994613</v>
      </c>
      <c r="BW27" s="543" t="n">
        <v>-32202.3493994613</v>
      </c>
      <c r="BX27" s="543" t="n">
        <v>-32202.3493994613</v>
      </c>
      <c r="BY27" s="543" t="n">
        <v>-32202.3493994613</v>
      </c>
      <c r="BZ27" s="543" t="n">
        <v>-32846.3963874505</v>
      </c>
      <c r="CA27" s="543" t="n">
        <v>-32846.3963874505</v>
      </c>
      <c r="CB27" s="543" t="n">
        <v>-32846.3963874505</v>
      </c>
      <c r="CC27" s="543" t="n">
        <v>-32846.3963874505</v>
      </c>
      <c r="CD27" s="543" t="n">
        <v>-32846.3963874505</v>
      </c>
      <c r="CE27" s="543" t="n">
        <v>-32846.3963874505</v>
      </c>
      <c r="CF27" s="543" t="n">
        <v>-32846.3963874505</v>
      </c>
      <c r="CG27" s="543" t="n">
        <v>-32846.3963874505</v>
      </c>
      <c r="CH27" s="543" t="n">
        <v>-32846.3963874505</v>
      </c>
      <c r="CI27" s="543" t="n">
        <v>-32846.3963874505</v>
      </c>
      <c r="CJ27" s="543" t="n">
        <v>-32846.3963874505</v>
      </c>
      <c r="CK27" s="543" t="n">
        <v>-32846.3963874505</v>
      </c>
      <c r="CL27" s="543" t="n">
        <v>-33503.3243151996</v>
      </c>
      <c r="CM27" s="543" t="n">
        <v>-33503.3243151996</v>
      </c>
      <c r="CN27" s="543" t="n">
        <v>-33503.3243151996</v>
      </c>
      <c r="CO27" s="543" t="n">
        <v>-33503.3243151996</v>
      </c>
      <c r="CP27" s="543" t="n">
        <v>-33503.3243151996</v>
      </c>
      <c r="CQ27" s="543" t="n">
        <v>-33503.3243151996</v>
      </c>
      <c r="CR27" s="543" t="n">
        <v>-33503.3243151996</v>
      </c>
      <c r="CS27" s="543" t="n">
        <v>-33503.3243151996</v>
      </c>
      <c r="CT27" s="543" t="n">
        <v>-33503.3243151996</v>
      </c>
      <c r="CU27" s="543" t="n">
        <v>-33503.3243151996</v>
      </c>
      <c r="CV27" s="543" t="n">
        <v>-33503.3243151996</v>
      </c>
      <c r="CW27" s="543" t="n">
        <v>-33503.3243151996</v>
      </c>
      <c r="CX27" s="543" t="n">
        <v>-34173.3908015035</v>
      </c>
      <c r="CY27" s="543" t="n">
        <v>-34173.3908015035</v>
      </c>
      <c r="CZ27" s="543" t="n">
        <v>-34173.3908015035</v>
      </c>
      <c r="DA27" s="543" t="n">
        <v>-34173.3908015035</v>
      </c>
      <c r="DB27" s="543" t="n">
        <v>-34173.3908015035</v>
      </c>
      <c r="DC27" s="543" t="n">
        <v>-34173.3908015035</v>
      </c>
      <c r="DD27" s="543" t="n">
        <v>-34173.3908015035</v>
      </c>
      <c r="DE27" s="543" t="n">
        <v>-34173.3908015035</v>
      </c>
      <c r="DF27" s="543" t="n">
        <v>-34173.3908015035</v>
      </c>
    </row>
    <row r="28" ht="15" customFormat="1" customHeight="1" s="381">
      <c r="A28" s="472" t="inlineStr">
        <is>
          <t>5000-1018 Payroll - Self Performed Trades</t>
        </is>
      </c>
      <c r="C28" s="486" t="n">
        <v>0</v>
      </c>
      <c r="D28" s="486" t="n">
        <v>0</v>
      </c>
      <c r="E28" s="486" t="n">
        <v>0</v>
      </c>
      <c r="F28" s="543" t="n">
        <v>0</v>
      </c>
      <c r="G28" s="543" t="n">
        <v>0</v>
      </c>
      <c r="H28" s="543" t="n">
        <v>0</v>
      </c>
      <c r="I28" s="543" t="n">
        <v>0</v>
      </c>
      <c r="J28" s="543" t="n">
        <v>0</v>
      </c>
      <c r="K28" s="543" t="n">
        <v>0</v>
      </c>
      <c r="L28" s="543" t="n">
        <v>0</v>
      </c>
      <c r="M28" s="543" t="n">
        <v>0</v>
      </c>
      <c r="N28" s="543" t="n">
        <v>0</v>
      </c>
      <c r="O28" s="543" t="n">
        <v>0</v>
      </c>
      <c r="P28" s="543" t="n">
        <v>0</v>
      </c>
      <c r="Q28" s="543" t="n">
        <v>0</v>
      </c>
      <c r="R28" s="543" t="n">
        <v>0</v>
      </c>
      <c r="S28" s="543" t="n">
        <v>0</v>
      </c>
      <c r="T28" s="543" t="n">
        <v>0</v>
      </c>
      <c r="U28" s="543" t="n">
        <v>0</v>
      </c>
      <c r="V28" s="543" t="n">
        <v>0</v>
      </c>
      <c r="W28" s="543" t="n">
        <v>0</v>
      </c>
      <c r="X28" s="543" t="n">
        <v>0</v>
      </c>
      <c r="Y28" s="543" t="n">
        <v>0</v>
      </c>
      <c r="Z28" s="543" t="n">
        <v>0</v>
      </c>
      <c r="AA28" s="543" t="n">
        <v>0</v>
      </c>
      <c r="AB28" s="543" t="n">
        <v>0</v>
      </c>
      <c r="AC28" s="543" t="n">
        <v>0</v>
      </c>
      <c r="AD28" s="543" t="n">
        <v>0</v>
      </c>
      <c r="AE28" s="543" t="n">
        <v>0</v>
      </c>
      <c r="AF28" s="543" t="n">
        <v>0</v>
      </c>
      <c r="AG28" s="543" t="n">
        <v>0</v>
      </c>
      <c r="AH28" s="543" t="n">
        <v>0</v>
      </c>
      <c r="AI28" s="543" t="n">
        <v>0</v>
      </c>
      <c r="AJ28" s="543" t="n">
        <v>0</v>
      </c>
      <c r="AK28" s="543" t="n">
        <v>0</v>
      </c>
      <c r="AL28" s="543" t="n">
        <v>0</v>
      </c>
      <c r="AM28" s="543" t="n">
        <v>0</v>
      </c>
      <c r="AN28" s="543" t="n">
        <v>0</v>
      </c>
      <c r="AO28" s="543" t="n">
        <v>0</v>
      </c>
      <c r="AP28" s="543" t="n">
        <v>0</v>
      </c>
      <c r="AQ28" s="543" t="n">
        <v>0</v>
      </c>
      <c r="AR28" s="543" t="n">
        <v>0</v>
      </c>
      <c r="AS28" s="543" t="n">
        <v>0</v>
      </c>
      <c r="AT28" s="543" t="n">
        <v>0</v>
      </c>
      <c r="AU28" s="543" t="n">
        <v>0</v>
      </c>
      <c r="AV28" s="543" t="n">
        <v>0</v>
      </c>
      <c r="AW28" s="543" t="n">
        <v>0</v>
      </c>
      <c r="AX28" s="543" t="n">
        <v>0</v>
      </c>
      <c r="AY28" s="543" t="n">
        <v>0</v>
      </c>
      <c r="AZ28" s="543" t="n">
        <v>0</v>
      </c>
      <c r="BA28" s="543" t="n">
        <v>0</v>
      </c>
      <c r="BB28" s="543" t="n">
        <v>0</v>
      </c>
      <c r="BC28" s="543" t="n">
        <v>0</v>
      </c>
      <c r="BD28" s="543" t="n">
        <v>0</v>
      </c>
      <c r="BE28" s="543" t="n">
        <v>0</v>
      </c>
      <c r="BF28" s="543" t="n">
        <v>0</v>
      </c>
      <c r="BG28" s="543" t="n">
        <v>0</v>
      </c>
      <c r="BH28" s="543" t="n">
        <v>0</v>
      </c>
      <c r="BI28" s="543" t="n">
        <v>0</v>
      </c>
      <c r="BJ28" s="543" t="n">
        <v>0</v>
      </c>
      <c r="BK28" s="543" t="n">
        <v>0</v>
      </c>
      <c r="BL28" s="543" t="n">
        <v>0</v>
      </c>
      <c r="BM28" s="543" t="n">
        <v>0</v>
      </c>
      <c r="BN28" s="543" t="n">
        <v>0</v>
      </c>
      <c r="BO28" s="543" t="n">
        <v>0</v>
      </c>
      <c r="BP28" s="543" t="n">
        <v>0</v>
      </c>
      <c r="BQ28" s="543" t="n">
        <v>0</v>
      </c>
      <c r="BR28" s="543" t="n">
        <v>0</v>
      </c>
      <c r="BS28" s="543" t="n">
        <v>0</v>
      </c>
      <c r="BT28" s="543" t="n">
        <v>0</v>
      </c>
      <c r="BU28" s="543" t="n">
        <v>0</v>
      </c>
      <c r="BV28" s="543" t="n">
        <v>0</v>
      </c>
      <c r="BW28" s="543" t="n">
        <v>0</v>
      </c>
      <c r="BX28" s="543" t="n">
        <v>0</v>
      </c>
      <c r="BY28" s="543" t="n">
        <v>0</v>
      </c>
      <c r="BZ28" s="543" t="n">
        <v>0</v>
      </c>
      <c r="CA28" s="543" t="n">
        <v>0</v>
      </c>
      <c r="CB28" s="543" t="n">
        <v>0</v>
      </c>
      <c r="CC28" s="543" t="n">
        <v>0</v>
      </c>
      <c r="CD28" s="543" t="n">
        <v>0</v>
      </c>
      <c r="CE28" s="543" t="n">
        <v>0</v>
      </c>
      <c r="CF28" s="543" t="n">
        <v>0</v>
      </c>
      <c r="CG28" s="543" t="n">
        <v>0</v>
      </c>
      <c r="CH28" s="543" t="n">
        <v>0</v>
      </c>
      <c r="CI28" s="543" t="n">
        <v>0</v>
      </c>
      <c r="CJ28" s="543" t="n">
        <v>0</v>
      </c>
      <c r="CK28" s="543" t="n">
        <v>0</v>
      </c>
      <c r="CL28" s="543" t="n">
        <v>0</v>
      </c>
      <c r="CM28" s="543" t="n">
        <v>0</v>
      </c>
      <c r="CN28" s="543" t="n">
        <v>0</v>
      </c>
      <c r="CO28" s="543" t="n">
        <v>0</v>
      </c>
      <c r="CP28" s="543" t="n">
        <v>0</v>
      </c>
      <c r="CQ28" s="543" t="n">
        <v>0</v>
      </c>
      <c r="CR28" s="543" t="n">
        <v>0</v>
      </c>
      <c r="CS28" s="543" t="n">
        <v>0</v>
      </c>
      <c r="CT28" s="543" t="n">
        <v>0</v>
      </c>
      <c r="CU28" s="543" t="n">
        <v>0</v>
      </c>
      <c r="CV28" s="543" t="n">
        <v>0</v>
      </c>
      <c r="CW28" s="543" t="n">
        <v>0</v>
      </c>
      <c r="CX28" s="543" t="n">
        <v>0</v>
      </c>
      <c r="CY28" s="543" t="n">
        <v>0</v>
      </c>
      <c r="CZ28" s="543" t="n">
        <v>0</v>
      </c>
      <c r="DA28" s="543" t="n">
        <v>0</v>
      </c>
      <c r="DB28" s="543" t="n">
        <v>0</v>
      </c>
      <c r="DC28" s="543" t="n">
        <v>0</v>
      </c>
      <c r="DD28" s="543" t="n">
        <v>0</v>
      </c>
      <c r="DE28" s="543" t="n">
        <v>0</v>
      </c>
      <c r="DF28" s="543" t="n">
        <v>0</v>
      </c>
    </row>
    <row r="29" ht="15" customFormat="1" customHeight="1" s="381">
      <c r="A29" s="472" t="inlineStr">
        <is>
          <t>5100-1000 Rent Expense</t>
        </is>
      </c>
      <c r="C29" s="486" t="n">
        <v>-10400</v>
      </c>
      <c r="D29" s="486" t="n">
        <v>-10400</v>
      </c>
      <c r="E29" s="486" t="n">
        <v>-400</v>
      </c>
      <c r="F29" s="543" t="n">
        <v>-10400</v>
      </c>
      <c r="G29" s="543" t="n">
        <v>-10400</v>
      </c>
      <c r="H29" s="543" t="n">
        <v>-10400</v>
      </c>
      <c r="I29" s="543" t="n">
        <v>-10400</v>
      </c>
      <c r="J29" s="543" t="n">
        <v>-10400</v>
      </c>
      <c r="K29" s="543" t="n">
        <v>-10400</v>
      </c>
      <c r="L29" s="543" t="n">
        <v>-10400</v>
      </c>
      <c r="M29" s="543" t="n">
        <v>-10400</v>
      </c>
      <c r="N29" s="543" t="n">
        <v>-10400</v>
      </c>
      <c r="O29" s="543" t="n">
        <v>-10400</v>
      </c>
      <c r="P29" s="543" t="n">
        <v>-10400</v>
      </c>
      <c r="Q29" s="543" t="n">
        <v>-10400</v>
      </c>
      <c r="R29" s="543" t="n">
        <v>-10608</v>
      </c>
      <c r="S29" s="543" t="n">
        <v>-10608</v>
      </c>
      <c r="T29" s="543" t="n">
        <v>-10608</v>
      </c>
      <c r="U29" s="543" t="n">
        <v>-10608</v>
      </c>
      <c r="V29" s="543" t="n">
        <v>-10608</v>
      </c>
      <c r="W29" s="543" t="n">
        <v>-10608</v>
      </c>
      <c r="X29" s="543" t="n">
        <v>-10608</v>
      </c>
      <c r="Y29" s="543" t="n">
        <v>-10608</v>
      </c>
      <c r="Z29" s="543" t="n">
        <v>-10608</v>
      </c>
      <c r="AA29" s="543" t="n">
        <v>-10608</v>
      </c>
      <c r="AB29" s="543" t="n">
        <v>-10608</v>
      </c>
      <c r="AC29" s="543" t="n">
        <v>-10608</v>
      </c>
      <c r="AD29" s="543" t="n">
        <v>-10820.16</v>
      </c>
      <c r="AE29" s="543" t="n">
        <v>-10820.16</v>
      </c>
      <c r="AF29" s="543" t="n">
        <v>-10820.16</v>
      </c>
      <c r="AG29" s="543" t="n">
        <v>-10820.16</v>
      </c>
      <c r="AH29" s="543" t="n">
        <v>-10820.16</v>
      </c>
      <c r="AI29" s="543" t="n">
        <v>-10820.16</v>
      </c>
      <c r="AJ29" s="543" t="n">
        <v>-10820.16</v>
      </c>
      <c r="AK29" s="543" t="n">
        <v>-10820.16</v>
      </c>
      <c r="AL29" s="543" t="n">
        <v>-10820.16</v>
      </c>
      <c r="AM29" s="543" t="n">
        <v>-10820.16</v>
      </c>
      <c r="AN29" s="543" t="n">
        <v>-10820.16</v>
      </c>
      <c r="AO29" s="543" t="n">
        <v>-10820.16</v>
      </c>
      <c r="AP29" s="543" t="n">
        <v>-11036.5632</v>
      </c>
      <c r="AQ29" s="543" t="n">
        <v>-11036.5632</v>
      </c>
      <c r="AR29" s="543" t="n">
        <v>-11036.5632</v>
      </c>
      <c r="AS29" s="543" t="n">
        <v>-11036.5632</v>
      </c>
      <c r="AT29" s="543" t="n">
        <v>-11036.5632</v>
      </c>
      <c r="AU29" s="543" t="n">
        <v>-11036.5632</v>
      </c>
      <c r="AV29" s="543" t="n">
        <v>-11036.5632</v>
      </c>
      <c r="AW29" s="543" t="n">
        <v>-11036.5632</v>
      </c>
      <c r="AX29" s="543" t="n">
        <v>-11036.5632</v>
      </c>
      <c r="AY29" s="543" t="n">
        <v>-11036.5632</v>
      </c>
      <c r="AZ29" s="543" t="n">
        <v>-11036.5632</v>
      </c>
      <c r="BA29" s="543" t="n">
        <v>-11036.5632</v>
      </c>
      <c r="BB29" s="543" t="n">
        <v>-11257.294464</v>
      </c>
      <c r="BC29" s="543" t="n">
        <v>-11257.294464</v>
      </c>
      <c r="BD29" s="543" t="n">
        <v>-11257.294464</v>
      </c>
      <c r="BE29" s="543" t="n">
        <v>-11257.294464</v>
      </c>
      <c r="BF29" s="543" t="n">
        <v>-11257.294464</v>
      </c>
      <c r="BG29" s="543" t="n">
        <v>-11257.294464</v>
      </c>
      <c r="BH29" s="543" t="n">
        <v>-11257.294464</v>
      </c>
      <c r="BI29" s="543" t="n">
        <v>-11257.294464</v>
      </c>
      <c r="BJ29" s="543" t="n">
        <v>-11257.294464</v>
      </c>
      <c r="BK29" s="543" t="n">
        <v>-11257.294464</v>
      </c>
      <c r="BL29" s="543" t="n">
        <v>-11257.294464</v>
      </c>
      <c r="BM29" s="543" t="n">
        <v>-11257.294464</v>
      </c>
      <c r="BN29" s="543" t="n">
        <v>-11482.44035328</v>
      </c>
      <c r="BO29" s="543" t="n">
        <v>-11482.44035328</v>
      </c>
      <c r="BP29" s="543" t="n">
        <v>-11482.44035328</v>
      </c>
      <c r="BQ29" s="543" t="n">
        <v>-11482.44035328</v>
      </c>
      <c r="BR29" s="543" t="n">
        <v>-11482.44035328</v>
      </c>
      <c r="BS29" s="543" t="n">
        <v>-11482.44035328</v>
      </c>
      <c r="BT29" s="543" t="n">
        <v>-11482.44035328</v>
      </c>
      <c r="BU29" s="543" t="n">
        <v>-11482.44035328</v>
      </c>
      <c r="BV29" s="543" t="n">
        <v>-11482.44035328</v>
      </c>
      <c r="BW29" s="543" t="n">
        <v>-11482.44035328</v>
      </c>
      <c r="BX29" s="543" t="n">
        <v>-11482.44035328</v>
      </c>
      <c r="BY29" s="543" t="n">
        <v>-11482.44035328</v>
      </c>
      <c r="BZ29" s="543" t="n">
        <v>-11712.0891603456</v>
      </c>
      <c r="CA29" s="543" t="n">
        <v>-11712.0891603456</v>
      </c>
      <c r="CB29" s="543" t="n">
        <v>-11712.0891603456</v>
      </c>
      <c r="CC29" s="543" t="n">
        <v>-11712.0891603456</v>
      </c>
      <c r="CD29" s="543" t="n">
        <v>-11712.0891603456</v>
      </c>
      <c r="CE29" s="543" t="n">
        <v>-11712.0891603456</v>
      </c>
      <c r="CF29" s="543" t="n">
        <v>-11712.0891603456</v>
      </c>
      <c r="CG29" s="543" t="n">
        <v>-11712.0891603456</v>
      </c>
      <c r="CH29" s="543" t="n">
        <v>-11712.0891603456</v>
      </c>
      <c r="CI29" s="543" t="n">
        <v>-11712.0891603456</v>
      </c>
      <c r="CJ29" s="543" t="n">
        <v>-11712.0891603456</v>
      </c>
      <c r="CK29" s="543" t="n">
        <v>-11712.0891603456</v>
      </c>
      <c r="CL29" s="543" t="n">
        <v>-11946.3309435525</v>
      </c>
      <c r="CM29" s="543" t="n">
        <v>-11946.3309435525</v>
      </c>
      <c r="CN29" s="543" t="n">
        <v>-11946.3309435525</v>
      </c>
      <c r="CO29" s="543" t="n">
        <v>-11946.3309435525</v>
      </c>
      <c r="CP29" s="543" t="n">
        <v>-11946.3309435525</v>
      </c>
      <c r="CQ29" s="543" t="n">
        <v>-11946.3309435525</v>
      </c>
      <c r="CR29" s="543" t="n">
        <v>-11946.3309435525</v>
      </c>
      <c r="CS29" s="543" t="n">
        <v>-11946.3309435525</v>
      </c>
      <c r="CT29" s="543" t="n">
        <v>-11946.3309435525</v>
      </c>
      <c r="CU29" s="543" t="n">
        <v>-11946.3309435525</v>
      </c>
      <c r="CV29" s="543" t="n">
        <v>-11946.3309435525</v>
      </c>
      <c r="CW29" s="543" t="n">
        <v>-11946.3309435525</v>
      </c>
      <c r="CX29" s="543" t="n">
        <v>-12185.2575624236</v>
      </c>
      <c r="CY29" s="543" t="n">
        <v>-12185.2575624236</v>
      </c>
      <c r="CZ29" s="543" t="n">
        <v>-12185.2575624236</v>
      </c>
      <c r="DA29" s="543" t="n">
        <v>-12185.2575624236</v>
      </c>
      <c r="DB29" s="543" t="n">
        <v>-12185.2575624236</v>
      </c>
      <c r="DC29" s="543" t="n">
        <v>-12185.2575624236</v>
      </c>
      <c r="DD29" s="543" t="n">
        <v>-12185.2575624236</v>
      </c>
      <c r="DE29" s="543" t="n">
        <v>-12185.2575624236</v>
      </c>
      <c r="DF29" s="543" t="n">
        <v>-12185.2575624236</v>
      </c>
    </row>
    <row r="30" ht="15" customFormat="1" customHeight="1" s="381">
      <c r="A30" s="472" t="inlineStr">
        <is>
          <t>5200-1000 Office Supplies and Expenses</t>
        </is>
      </c>
      <c r="C30" s="486" t="n">
        <v>-1988</v>
      </c>
      <c r="D30" s="486" t="n">
        <v>-955.3200000000001</v>
      </c>
      <c r="E30" s="486" t="n">
        <v>-9130.610000000001</v>
      </c>
      <c r="F30" s="543" t="n">
        <v>-4024.64</v>
      </c>
      <c r="G30" s="543" t="n">
        <v>-4024.64</v>
      </c>
      <c r="H30" s="543" t="n">
        <v>-4024.64</v>
      </c>
      <c r="I30" s="543" t="n">
        <v>-4024.64</v>
      </c>
      <c r="J30" s="543" t="n">
        <v>-4024.64</v>
      </c>
      <c r="K30" s="543" t="n">
        <v>-4024.64</v>
      </c>
      <c r="L30" s="543" t="n">
        <v>-4024.64</v>
      </c>
      <c r="M30" s="543" t="n">
        <v>-4024.64</v>
      </c>
      <c r="N30" s="543" t="n">
        <v>-4024.64</v>
      </c>
      <c r="O30" s="543" t="n">
        <v>-4024.64</v>
      </c>
      <c r="P30" s="543" t="n">
        <v>-4024.64</v>
      </c>
      <c r="Q30" s="543" t="n">
        <v>-4024.64</v>
      </c>
      <c r="R30" s="543" t="n">
        <v>-4105.1328</v>
      </c>
      <c r="S30" s="543" t="n">
        <v>-4105.1328</v>
      </c>
      <c r="T30" s="543" t="n">
        <v>-4105.1328</v>
      </c>
      <c r="U30" s="543" t="n">
        <v>-4105.1328</v>
      </c>
      <c r="V30" s="543" t="n">
        <v>-4105.1328</v>
      </c>
      <c r="W30" s="543" t="n">
        <v>-4105.1328</v>
      </c>
      <c r="X30" s="543" t="n">
        <v>-4105.1328</v>
      </c>
      <c r="Y30" s="543" t="n">
        <v>-4105.1328</v>
      </c>
      <c r="Z30" s="543" t="n">
        <v>-4105.1328</v>
      </c>
      <c r="AA30" s="543" t="n">
        <v>-4105.1328</v>
      </c>
      <c r="AB30" s="543" t="n">
        <v>-4105.1328</v>
      </c>
      <c r="AC30" s="543" t="n">
        <v>-4105.1328</v>
      </c>
      <c r="AD30" s="543" t="n">
        <v>-4187.235456</v>
      </c>
      <c r="AE30" s="543" t="n">
        <v>-4187.235456</v>
      </c>
      <c r="AF30" s="543" t="n">
        <v>-4187.235456</v>
      </c>
      <c r="AG30" s="543" t="n">
        <v>-4187.235456</v>
      </c>
      <c r="AH30" s="543" t="n">
        <v>-4187.235456</v>
      </c>
      <c r="AI30" s="543" t="n">
        <v>-4187.235456</v>
      </c>
      <c r="AJ30" s="543" t="n">
        <v>-4187.235456</v>
      </c>
      <c r="AK30" s="543" t="n">
        <v>-4187.235456</v>
      </c>
      <c r="AL30" s="543" t="n">
        <v>-4187.235456</v>
      </c>
      <c r="AM30" s="543" t="n">
        <v>-4187.235456</v>
      </c>
      <c r="AN30" s="543" t="n">
        <v>-4187.235456</v>
      </c>
      <c r="AO30" s="543" t="n">
        <v>-4187.235456</v>
      </c>
      <c r="AP30" s="543" t="n">
        <v>-4270.98016512</v>
      </c>
      <c r="AQ30" s="543" t="n">
        <v>-4270.98016512</v>
      </c>
      <c r="AR30" s="543" t="n">
        <v>-4270.98016512</v>
      </c>
      <c r="AS30" s="543" t="n">
        <v>-4270.98016512</v>
      </c>
      <c r="AT30" s="543" t="n">
        <v>-4270.98016512</v>
      </c>
      <c r="AU30" s="543" t="n">
        <v>-4270.98016512</v>
      </c>
      <c r="AV30" s="543" t="n">
        <v>-4270.98016512</v>
      </c>
      <c r="AW30" s="543" t="n">
        <v>-4270.98016512</v>
      </c>
      <c r="AX30" s="543" t="n">
        <v>-4270.98016512</v>
      </c>
      <c r="AY30" s="543" t="n">
        <v>-4270.98016512</v>
      </c>
      <c r="AZ30" s="543" t="n">
        <v>-4270.98016512</v>
      </c>
      <c r="BA30" s="543" t="n">
        <v>-4270.98016512</v>
      </c>
      <c r="BB30" s="543" t="n">
        <v>-4356.3997684224</v>
      </c>
      <c r="BC30" s="543" t="n">
        <v>-4356.3997684224</v>
      </c>
      <c r="BD30" s="543" t="n">
        <v>-4356.3997684224</v>
      </c>
      <c r="BE30" s="543" t="n">
        <v>-4356.3997684224</v>
      </c>
      <c r="BF30" s="543" t="n">
        <v>-4356.3997684224</v>
      </c>
      <c r="BG30" s="543" t="n">
        <v>-4356.3997684224</v>
      </c>
      <c r="BH30" s="543" t="n">
        <v>-4356.3997684224</v>
      </c>
      <c r="BI30" s="543" t="n">
        <v>-4356.3997684224</v>
      </c>
      <c r="BJ30" s="543" t="n">
        <v>-4356.3997684224</v>
      </c>
      <c r="BK30" s="543" t="n">
        <v>-4356.3997684224</v>
      </c>
      <c r="BL30" s="543" t="n">
        <v>-4356.3997684224</v>
      </c>
      <c r="BM30" s="543" t="n">
        <v>-4356.3997684224</v>
      </c>
      <c r="BN30" s="543" t="n">
        <v>-4443.52776379085</v>
      </c>
      <c r="BO30" s="543" t="n">
        <v>-4443.52776379085</v>
      </c>
      <c r="BP30" s="543" t="n">
        <v>-4443.52776379085</v>
      </c>
      <c r="BQ30" s="543" t="n">
        <v>-4443.52776379085</v>
      </c>
      <c r="BR30" s="543" t="n">
        <v>-4443.52776379085</v>
      </c>
      <c r="BS30" s="543" t="n">
        <v>-4443.52776379085</v>
      </c>
      <c r="BT30" s="543" t="n">
        <v>-4443.52776379085</v>
      </c>
      <c r="BU30" s="543" t="n">
        <v>-4443.52776379085</v>
      </c>
      <c r="BV30" s="543" t="n">
        <v>-4443.52776379085</v>
      </c>
      <c r="BW30" s="543" t="n">
        <v>-4443.52776379085</v>
      </c>
      <c r="BX30" s="543" t="n">
        <v>-4443.52776379085</v>
      </c>
      <c r="BY30" s="543" t="n">
        <v>-4443.52776379085</v>
      </c>
      <c r="BZ30" s="543" t="n">
        <v>-4532.39831906667</v>
      </c>
      <c r="CA30" s="543" t="n">
        <v>-4532.39831906667</v>
      </c>
      <c r="CB30" s="543" t="n">
        <v>-4532.39831906667</v>
      </c>
      <c r="CC30" s="543" t="n">
        <v>-4532.39831906667</v>
      </c>
      <c r="CD30" s="543" t="n">
        <v>-4532.39831906667</v>
      </c>
      <c r="CE30" s="543" t="n">
        <v>-4532.39831906667</v>
      </c>
      <c r="CF30" s="543" t="n">
        <v>-4532.39831906667</v>
      </c>
      <c r="CG30" s="543" t="n">
        <v>-4532.39831906667</v>
      </c>
      <c r="CH30" s="543" t="n">
        <v>-4532.39831906667</v>
      </c>
      <c r="CI30" s="543" t="n">
        <v>-4532.39831906667</v>
      </c>
      <c r="CJ30" s="543" t="n">
        <v>-4532.39831906667</v>
      </c>
      <c r="CK30" s="543" t="n">
        <v>-4532.39831906667</v>
      </c>
      <c r="CL30" s="543" t="n">
        <v>-4623.046285448</v>
      </c>
      <c r="CM30" s="543" t="n">
        <v>-4623.046285448</v>
      </c>
      <c r="CN30" s="543" t="n">
        <v>-4623.046285448</v>
      </c>
      <c r="CO30" s="543" t="n">
        <v>-4623.046285448</v>
      </c>
      <c r="CP30" s="543" t="n">
        <v>-4623.046285448</v>
      </c>
      <c r="CQ30" s="543" t="n">
        <v>-4623.046285448</v>
      </c>
      <c r="CR30" s="543" t="n">
        <v>-4623.046285448</v>
      </c>
      <c r="CS30" s="543" t="n">
        <v>-4623.046285448</v>
      </c>
      <c r="CT30" s="543" t="n">
        <v>-4623.046285448</v>
      </c>
      <c r="CU30" s="543" t="n">
        <v>-4623.046285448</v>
      </c>
      <c r="CV30" s="543" t="n">
        <v>-4623.046285448</v>
      </c>
      <c r="CW30" s="543" t="n">
        <v>-4623.046285448</v>
      </c>
      <c r="CX30" s="543" t="n">
        <v>-4715.50721115696</v>
      </c>
      <c r="CY30" s="543" t="n">
        <v>-4715.50721115696</v>
      </c>
      <c r="CZ30" s="543" t="n">
        <v>-4715.50721115696</v>
      </c>
      <c r="DA30" s="543" t="n">
        <v>-4715.50721115696</v>
      </c>
      <c r="DB30" s="543" t="n">
        <v>-4715.50721115696</v>
      </c>
      <c r="DC30" s="543" t="n">
        <v>-4715.50721115696</v>
      </c>
      <c r="DD30" s="543" t="n">
        <v>-4715.50721115696</v>
      </c>
      <c r="DE30" s="543" t="n">
        <v>-4715.50721115696</v>
      </c>
      <c r="DF30" s="543" t="n">
        <v>-4715.50721115696</v>
      </c>
    </row>
    <row r="31" ht="15" customFormat="1" customHeight="1" s="381">
      <c r="A31" s="472" t="inlineStr">
        <is>
          <t>5200-1002 Printing and Reproduction</t>
        </is>
      </c>
      <c r="C31" s="486" t="n">
        <v>0</v>
      </c>
      <c r="D31" s="486" t="n">
        <v>0</v>
      </c>
      <c r="E31" s="486" t="n">
        <v>-1077.38</v>
      </c>
      <c r="F31" s="543" t="n">
        <v>-359.13</v>
      </c>
      <c r="G31" s="543" t="n">
        <v>-359.13</v>
      </c>
      <c r="H31" s="543" t="n">
        <v>-359.13</v>
      </c>
      <c r="I31" s="543" t="n">
        <v>-359.13</v>
      </c>
      <c r="J31" s="543" t="n">
        <v>-359.13</v>
      </c>
      <c r="K31" s="543" t="n">
        <v>-359.13</v>
      </c>
      <c r="L31" s="543" t="n">
        <v>-359.13</v>
      </c>
      <c r="M31" s="543" t="n">
        <v>-359.13</v>
      </c>
      <c r="N31" s="543" t="n">
        <v>-359.13</v>
      </c>
      <c r="O31" s="543" t="n">
        <v>-359.13</v>
      </c>
      <c r="P31" s="543" t="n">
        <v>-359.13</v>
      </c>
      <c r="Q31" s="543" t="n">
        <v>-359.13</v>
      </c>
      <c r="R31" s="543" t="n">
        <v>-366.3126</v>
      </c>
      <c r="S31" s="543" t="n">
        <v>-366.3126</v>
      </c>
      <c r="T31" s="543" t="n">
        <v>-366.3126</v>
      </c>
      <c r="U31" s="543" t="n">
        <v>-366.3126</v>
      </c>
      <c r="V31" s="543" t="n">
        <v>-366.3126</v>
      </c>
      <c r="W31" s="543" t="n">
        <v>-366.3126</v>
      </c>
      <c r="X31" s="543" t="n">
        <v>-366.3126</v>
      </c>
      <c r="Y31" s="543" t="n">
        <v>-366.3126</v>
      </c>
      <c r="Z31" s="543" t="n">
        <v>-366.3126</v>
      </c>
      <c r="AA31" s="543" t="n">
        <v>-366.3126</v>
      </c>
      <c r="AB31" s="543" t="n">
        <v>-366.3126</v>
      </c>
      <c r="AC31" s="543" t="n">
        <v>-366.3126</v>
      </c>
      <c r="AD31" s="543" t="n">
        <v>-373.638852</v>
      </c>
      <c r="AE31" s="543" t="n">
        <v>-373.638852</v>
      </c>
      <c r="AF31" s="543" t="n">
        <v>-373.638852</v>
      </c>
      <c r="AG31" s="543" t="n">
        <v>-373.638852</v>
      </c>
      <c r="AH31" s="543" t="n">
        <v>-373.638852</v>
      </c>
      <c r="AI31" s="543" t="n">
        <v>-373.638852</v>
      </c>
      <c r="AJ31" s="543" t="n">
        <v>-373.638852</v>
      </c>
      <c r="AK31" s="543" t="n">
        <v>-373.638852</v>
      </c>
      <c r="AL31" s="543" t="n">
        <v>-373.638852</v>
      </c>
      <c r="AM31" s="543" t="n">
        <v>-373.638852</v>
      </c>
      <c r="AN31" s="543" t="n">
        <v>-373.638852</v>
      </c>
      <c r="AO31" s="543" t="n">
        <v>-373.638852</v>
      </c>
      <c r="AP31" s="543" t="n">
        <v>-381.11162904</v>
      </c>
      <c r="AQ31" s="543" t="n">
        <v>-381.11162904</v>
      </c>
      <c r="AR31" s="543" t="n">
        <v>-381.11162904</v>
      </c>
      <c r="AS31" s="543" t="n">
        <v>-381.11162904</v>
      </c>
      <c r="AT31" s="543" t="n">
        <v>-381.11162904</v>
      </c>
      <c r="AU31" s="543" t="n">
        <v>-381.11162904</v>
      </c>
      <c r="AV31" s="543" t="n">
        <v>-381.11162904</v>
      </c>
      <c r="AW31" s="543" t="n">
        <v>-381.11162904</v>
      </c>
      <c r="AX31" s="543" t="n">
        <v>-381.11162904</v>
      </c>
      <c r="AY31" s="543" t="n">
        <v>-381.11162904</v>
      </c>
      <c r="AZ31" s="543" t="n">
        <v>-381.11162904</v>
      </c>
      <c r="BA31" s="543" t="n">
        <v>-381.11162904</v>
      </c>
      <c r="BB31" s="543" t="n">
        <v>-388.7338616208</v>
      </c>
      <c r="BC31" s="543" t="n">
        <v>-388.7338616208</v>
      </c>
      <c r="BD31" s="543" t="n">
        <v>-388.7338616208</v>
      </c>
      <c r="BE31" s="543" t="n">
        <v>-388.7338616208</v>
      </c>
      <c r="BF31" s="543" t="n">
        <v>-388.7338616208</v>
      </c>
      <c r="BG31" s="543" t="n">
        <v>-388.7338616208</v>
      </c>
      <c r="BH31" s="543" t="n">
        <v>-388.7338616208</v>
      </c>
      <c r="BI31" s="543" t="n">
        <v>-388.7338616208</v>
      </c>
      <c r="BJ31" s="543" t="n">
        <v>-388.7338616208</v>
      </c>
      <c r="BK31" s="543" t="n">
        <v>-388.7338616208</v>
      </c>
      <c r="BL31" s="543" t="n">
        <v>-388.7338616208</v>
      </c>
      <c r="BM31" s="543" t="n">
        <v>-388.7338616208</v>
      </c>
      <c r="BN31" s="543" t="n">
        <v>-396.508538853216</v>
      </c>
      <c r="BO31" s="543" t="n">
        <v>-396.508538853216</v>
      </c>
      <c r="BP31" s="543" t="n">
        <v>-396.508538853216</v>
      </c>
      <c r="BQ31" s="543" t="n">
        <v>-396.508538853216</v>
      </c>
      <c r="BR31" s="543" t="n">
        <v>-396.508538853216</v>
      </c>
      <c r="BS31" s="543" t="n">
        <v>-396.508538853216</v>
      </c>
      <c r="BT31" s="543" t="n">
        <v>-396.508538853216</v>
      </c>
      <c r="BU31" s="543" t="n">
        <v>-396.508538853216</v>
      </c>
      <c r="BV31" s="543" t="n">
        <v>-396.508538853216</v>
      </c>
      <c r="BW31" s="543" t="n">
        <v>-396.508538853216</v>
      </c>
      <c r="BX31" s="543" t="n">
        <v>-396.508538853216</v>
      </c>
      <c r="BY31" s="543" t="n">
        <v>-396.508538853216</v>
      </c>
      <c r="BZ31" s="543" t="n">
        <v>-404.43870963028</v>
      </c>
      <c r="CA31" s="543" t="n">
        <v>-404.43870963028</v>
      </c>
      <c r="CB31" s="543" t="n">
        <v>-404.43870963028</v>
      </c>
      <c r="CC31" s="543" t="n">
        <v>-404.43870963028</v>
      </c>
      <c r="CD31" s="543" t="n">
        <v>-404.43870963028</v>
      </c>
      <c r="CE31" s="543" t="n">
        <v>-404.43870963028</v>
      </c>
      <c r="CF31" s="543" t="n">
        <v>-404.43870963028</v>
      </c>
      <c r="CG31" s="543" t="n">
        <v>-404.43870963028</v>
      </c>
      <c r="CH31" s="543" t="n">
        <v>-404.43870963028</v>
      </c>
      <c r="CI31" s="543" t="n">
        <v>-404.43870963028</v>
      </c>
      <c r="CJ31" s="543" t="n">
        <v>-404.43870963028</v>
      </c>
      <c r="CK31" s="543" t="n">
        <v>-404.43870963028</v>
      </c>
      <c r="CL31" s="543" t="n">
        <v>-412.527483822886</v>
      </c>
      <c r="CM31" s="543" t="n">
        <v>-412.527483822886</v>
      </c>
      <c r="CN31" s="543" t="n">
        <v>-412.527483822886</v>
      </c>
      <c r="CO31" s="543" t="n">
        <v>-412.527483822886</v>
      </c>
      <c r="CP31" s="543" t="n">
        <v>-412.527483822886</v>
      </c>
      <c r="CQ31" s="543" t="n">
        <v>-412.527483822886</v>
      </c>
      <c r="CR31" s="543" t="n">
        <v>-412.527483822886</v>
      </c>
      <c r="CS31" s="543" t="n">
        <v>-412.527483822886</v>
      </c>
      <c r="CT31" s="543" t="n">
        <v>-412.527483822886</v>
      </c>
      <c r="CU31" s="543" t="n">
        <v>-412.527483822886</v>
      </c>
      <c r="CV31" s="543" t="n">
        <v>-412.527483822886</v>
      </c>
      <c r="CW31" s="543" t="n">
        <v>-412.527483822886</v>
      </c>
      <c r="CX31" s="543" t="n">
        <v>-420.778033499344</v>
      </c>
      <c r="CY31" s="543" t="n">
        <v>-420.778033499344</v>
      </c>
      <c r="CZ31" s="543" t="n">
        <v>-420.778033499344</v>
      </c>
      <c r="DA31" s="543" t="n">
        <v>-420.778033499344</v>
      </c>
      <c r="DB31" s="543" t="n">
        <v>-420.778033499344</v>
      </c>
      <c r="DC31" s="543" t="n">
        <v>-420.778033499344</v>
      </c>
      <c r="DD31" s="543" t="n">
        <v>-420.778033499344</v>
      </c>
      <c r="DE31" s="543" t="n">
        <v>-420.778033499344</v>
      </c>
      <c r="DF31" s="543" t="n">
        <v>-420.778033499344</v>
      </c>
    </row>
    <row r="32" ht="15" customFormat="1" customHeight="1" s="381">
      <c r="A32" s="482" t="inlineStr">
        <is>
          <t>5200-1050 Computer and IT Expenses</t>
        </is>
      </c>
      <c r="C32" s="544" t="n">
        <v>-79</v>
      </c>
      <c r="D32" s="544" t="n">
        <v>0</v>
      </c>
      <c r="E32" s="544" t="n">
        <v>0</v>
      </c>
      <c r="F32" s="545" t="n">
        <v>-26.33</v>
      </c>
      <c r="G32" s="545" t="n">
        <v>-26.33</v>
      </c>
      <c r="H32" s="545" t="n">
        <v>-26.33</v>
      </c>
      <c r="I32" s="545" t="n">
        <v>-26.33</v>
      </c>
      <c r="J32" s="545" t="n">
        <v>-26.33</v>
      </c>
      <c r="K32" s="545" t="n">
        <v>-26.33</v>
      </c>
      <c r="L32" s="545" t="n">
        <v>-26.33</v>
      </c>
      <c r="M32" s="545" t="n">
        <v>-26.33</v>
      </c>
      <c r="N32" s="545" t="n">
        <v>-26.33</v>
      </c>
      <c r="O32" s="545" t="n">
        <v>-26.33</v>
      </c>
      <c r="P32" s="545" t="n">
        <v>-26.33</v>
      </c>
      <c r="Q32" s="545" t="n">
        <v>-26.33</v>
      </c>
      <c r="R32" s="545" t="n">
        <v>-26.8566</v>
      </c>
      <c r="S32" s="545" t="n">
        <v>-26.8566</v>
      </c>
      <c r="T32" s="545" t="n">
        <v>-26.8566</v>
      </c>
      <c r="U32" s="545" t="n">
        <v>-26.8566</v>
      </c>
      <c r="V32" s="545" t="n">
        <v>-26.8566</v>
      </c>
      <c r="W32" s="545" t="n">
        <v>-26.8566</v>
      </c>
      <c r="X32" s="545" t="n">
        <v>-26.8566</v>
      </c>
      <c r="Y32" s="545" t="n">
        <v>-26.8566</v>
      </c>
      <c r="Z32" s="545" t="n">
        <v>-26.8566</v>
      </c>
      <c r="AA32" s="545" t="n">
        <v>-26.8566</v>
      </c>
      <c r="AB32" s="545" t="n">
        <v>-26.8566</v>
      </c>
      <c r="AC32" s="545" t="n">
        <v>-26.8566</v>
      </c>
      <c r="AD32" s="545" t="n">
        <v>-27.393732</v>
      </c>
      <c r="AE32" s="545" t="n">
        <v>-27.393732</v>
      </c>
      <c r="AF32" s="545" t="n">
        <v>-27.393732</v>
      </c>
      <c r="AG32" s="545" t="n">
        <v>-27.393732</v>
      </c>
      <c r="AH32" s="545" t="n">
        <v>-27.393732</v>
      </c>
      <c r="AI32" s="545" t="n">
        <v>-27.393732</v>
      </c>
      <c r="AJ32" s="545" t="n">
        <v>-27.393732</v>
      </c>
      <c r="AK32" s="545" t="n">
        <v>-27.393732</v>
      </c>
      <c r="AL32" s="545" t="n">
        <v>-27.393732</v>
      </c>
      <c r="AM32" s="545" t="n">
        <v>-27.393732</v>
      </c>
      <c r="AN32" s="545" t="n">
        <v>-27.393732</v>
      </c>
      <c r="AO32" s="545" t="n">
        <v>-27.393732</v>
      </c>
      <c r="AP32" s="545" t="n">
        <v>-27.94160664</v>
      </c>
      <c r="AQ32" s="545" t="n">
        <v>-27.94160664</v>
      </c>
      <c r="AR32" s="545" t="n">
        <v>-27.94160664</v>
      </c>
      <c r="AS32" s="545" t="n">
        <v>-27.94160664</v>
      </c>
      <c r="AT32" s="545" t="n">
        <v>-27.94160664</v>
      </c>
      <c r="AU32" s="545" t="n">
        <v>-27.94160664</v>
      </c>
      <c r="AV32" s="545" t="n">
        <v>-27.94160664</v>
      </c>
      <c r="AW32" s="545" t="n">
        <v>-27.94160664</v>
      </c>
      <c r="AX32" s="545" t="n">
        <v>-27.94160664</v>
      </c>
      <c r="AY32" s="545" t="n">
        <v>-27.94160664</v>
      </c>
      <c r="AZ32" s="545" t="n">
        <v>-27.94160664</v>
      </c>
      <c r="BA32" s="545" t="n">
        <v>-27.94160664</v>
      </c>
      <c r="BB32" s="545" t="n">
        <v>-28.5004387728</v>
      </c>
      <c r="BC32" s="545" t="n">
        <v>-28.5004387728</v>
      </c>
      <c r="BD32" s="545" t="n">
        <v>-28.5004387728</v>
      </c>
      <c r="BE32" s="545" t="n">
        <v>-28.5004387728</v>
      </c>
      <c r="BF32" s="545" t="n">
        <v>-28.5004387728</v>
      </c>
      <c r="BG32" s="545" t="n">
        <v>-28.5004387728</v>
      </c>
      <c r="BH32" s="545" t="n">
        <v>-28.5004387728</v>
      </c>
      <c r="BI32" s="545" t="n">
        <v>-28.5004387728</v>
      </c>
      <c r="BJ32" s="545" t="n">
        <v>-28.5004387728</v>
      </c>
      <c r="BK32" s="545" t="n">
        <v>-28.5004387728</v>
      </c>
      <c r="BL32" s="545" t="n">
        <v>-28.5004387728</v>
      </c>
      <c r="BM32" s="545" t="n">
        <v>-28.5004387728</v>
      </c>
      <c r="BN32" s="545" t="n">
        <v>-29.070447548256</v>
      </c>
      <c r="BO32" s="545" t="n">
        <v>-29.070447548256</v>
      </c>
      <c r="BP32" s="545" t="n">
        <v>-29.070447548256</v>
      </c>
      <c r="BQ32" s="545" t="n">
        <v>-29.070447548256</v>
      </c>
      <c r="BR32" s="545" t="n">
        <v>-29.070447548256</v>
      </c>
      <c r="BS32" s="545" t="n">
        <v>-29.070447548256</v>
      </c>
      <c r="BT32" s="545" t="n">
        <v>-29.070447548256</v>
      </c>
      <c r="BU32" s="545" t="n">
        <v>-29.070447548256</v>
      </c>
      <c r="BV32" s="545" t="n">
        <v>-29.070447548256</v>
      </c>
      <c r="BW32" s="545" t="n">
        <v>-29.070447548256</v>
      </c>
      <c r="BX32" s="545" t="n">
        <v>-29.070447548256</v>
      </c>
      <c r="BY32" s="545" t="n">
        <v>-29.070447548256</v>
      </c>
      <c r="BZ32" s="545" t="n">
        <v>-29.6518564992211</v>
      </c>
      <c r="CA32" s="545" t="n">
        <v>-29.6518564992211</v>
      </c>
      <c r="CB32" s="545" t="n">
        <v>-29.6518564992211</v>
      </c>
      <c r="CC32" s="545" t="n">
        <v>-29.6518564992211</v>
      </c>
      <c r="CD32" s="545" t="n">
        <v>-29.6518564992211</v>
      </c>
      <c r="CE32" s="545" t="n">
        <v>-29.6518564992211</v>
      </c>
      <c r="CF32" s="545" t="n">
        <v>-29.6518564992211</v>
      </c>
      <c r="CG32" s="545" t="n">
        <v>-29.6518564992211</v>
      </c>
      <c r="CH32" s="545" t="n">
        <v>-29.6518564992211</v>
      </c>
      <c r="CI32" s="545" t="n">
        <v>-29.6518564992211</v>
      </c>
      <c r="CJ32" s="545" t="n">
        <v>-29.6518564992211</v>
      </c>
      <c r="CK32" s="545" t="n">
        <v>-29.6518564992211</v>
      </c>
      <c r="CL32" s="545" t="n">
        <v>-30.2448936292055</v>
      </c>
      <c r="CM32" s="545" t="n">
        <v>-30.2448936292055</v>
      </c>
      <c r="CN32" s="545" t="n">
        <v>-30.2448936292055</v>
      </c>
      <c r="CO32" s="545" t="n">
        <v>-30.2448936292055</v>
      </c>
      <c r="CP32" s="545" t="n">
        <v>-30.2448936292055</v>
      </c>
      <c r="CQ32" s="545" t="n">
        <v>-30.2448936292055</v>
      </c>
      <c r="CR32" s="545" t="n">
        <v>-30.2448936292055</v>
      </c>
      <c r="CS32" s="545" t="n">
        <v>-30.2448936292055</v>
      </c>
      <c r="CT32" s="545" t="n">
        <v>-30.2448936292055</v>
      </c>
      <c r="CU32" s="545" t="n">
        <v>-30.2448936292055</v>
      </c>
      <c r="CV32" s="545" t="n">
        <v>-30.2448936292055</v>
      </c>
      <c r="CW32" s="545" t="n">
        <v>-30.2448936292055</v>
      </c>
      <c r="CX32" s="545" t="n">
        <v>-30.8497915017897</v>
      </c>
      <c r="CY32" s="545" t="n">
        <v>-30.8497915017897</v>
      </c>
      <c r="CZ32" s="545" t="n">
        <v>-30.8497915017897</v>
      </c>
      <c r="DA32" s="545" t="n">
        <v>-30.8497915017897</v>
      </c>
      <c r="DB32" s="545" t="n">
        <v>-30.8497915017897</v>
      </c>
      <c r="DC32" s="545" t="n">
        <v>-30.8497915017897</v>
      </c>
      <c r="DD32" s="545" t="n">
        <v>-30.8497915017897</v>
      </c>
      <c r="DE32" s="545" t="n">
        <v>-30.8497915017897</v>
      </c>
      <c r="DF32" s="545" t="n">
        <v>-30.8497915017897</v>
      </c>
    </row>
    <row r="33" ht="15" customFormat="1" customHeight="1" s="381">
      <c r="A33" s="472" t="inlineStr">
        <is>
          <t>5200-1053 IT Software and Subscriptions</t>
        </is>
      </c>
      <c r="C33" s="486" t="n">
        <v>-3405.64</v>
      </c>
      <c r="D33" s="486" t="n">
        <v>-5015.38</v>
      </c>
      <c r="E33" s="486" t="n">
        <v>-7481.39</v>
      </c>
      <c r="F33" s="543" t="n">
        <v>-5300.8</v>
      </c>
      <c r="G33" s="543" t="n">
        <v>-5300.8</v>
      </c>
      <c r="H33" s="543" t="n">
        <v>-5300.8</v>
      </c>
      <c r="I33" s="543" t="n">
        <v>-5300.8</v>
      </c>
      <c r="J33" s="543" t="n">
        <v>-5300.8</v>
      </c>
      <c r="K33" s="543" t="n">
        <v>-5300.8</v>
      </c>
      <c r="L33" s="543" t="n">
        <v>-5300.8</v>
      </c>
      <c r="M33" s="543" t="n">
        <v>-5300.8</v>
      </c>
      <c r="N33" s="543" t="n">
        <v>-5300.8</v>
      </c>
      <c r="O33" s="543" t="n">
        <v>-5300.8</v>
      </c>
      <c r="P33" s="543" t="n">
        <v>-5300.8</v>
      </c>
      <c r="Q33" s="543" t="n">
        <v>-5300.8</v>
      </c>
      <c r="R33" s="543" t="n">
        <v>-5406.816</v>
      </c>
      <c r="S33" s="543" t="n">
        <v>-5406.816</v>
      </c>
      <c r="T33" s="543" t="n">
        <v>-5406.816</v>
      </c>
      <c r="U33" s="543" t="n">
        <v>-5406.816</v>
      </c>
      <c r="V33" s="543" t="n">
        <v>-5406.816</v>
      </c>
      <c r="W33" s="543" t="n">
        <v>-5406.816</v>
      </c>
      <c r="X33" s="543" t="n">
        <v>-5406.816</v>
      </c>
      <c r="Y33" s="543" t="n">
        <v>-5406.816</v>
      </c>
      <c r="Z33" s="543" t="n">
        <v>-5406.816</v>
      </c>
      <c r="AA33" s="543" t="n">
        <v>-5406.816</v>
      </c>
      <c r="AB33" s="543" t="n">
        <v>-5406.816</v>
      </c>
      <c r="AC33" s="543" t="n">
        <v>-5406.816</v>
      </c>
      <c r="AD33" s="543" t="n">
        <v>-5514.95232</v>
      </c>
      <c r="AE33" s="543" t="n">
        <v>-5514.95232</v>
      </c>
      <c r="AF33" s="543" t="n">
        <v>-5514.95232</v>
      </c>
      <c r="AG33" s="543" t="n">
        <v>-5514.95232</v>
      </c>
      <c r="AH33" s="543" t="n">
        <v>-5514.95232</v>
      </c>
      <c r="AI33" s="543" t="n">
        <v>-5514.95232</v>
      </c>
      <c r="AJ33" s="543" t="n">
        <v>-5514.95232</v>
      </c>
      <c r="AK33" s="543" t="n">
        <v>-5514.95232</v>
      </c>
      <c r="AL33" s="543" t="n">
        <v>-5514.95232</v>
      </c>
      <c r="AM33" s="543" t="n">
        <v>-5514.95232</v>
      </c>
      <c r="AN33" s="543" t="n">
        <v>-5514.95232</v>
      </c>
      <c r="AO33" s="543" t="n">
        <v>-5514.95232</v>
      </c>
      <c r="AP33" s="543" t="n">
        <v>-5625.2513664</v>
      </c>
      <c r="AQ33" s="543" t="n">
        <v>-5625.2513664</v>
      </c>
      <c r="AR33" s="543" t="n">
        <v>-5625.2513664</v>
      </c>
      <c r="AS33" s="543" t="n">
        <v>-5625.2513664</v>
      </c>
      <c r="AT33" s="543" t="n">
        <v>-5625.2513664</v>
      </c>
      <c r="AU33" s="543" t="n">
        <v>-5625.2513664</v>
      </c>
      <c r="AV33" s="543" t="n">
        <v>-5625.2513664</v>
      </c>
      <c r="AW33" s="543" t="n">
        <v>-5625.2513664</v>
      </c>
      <c r="AX33" s="543" t="n">
        <v>-5625.2513664</v>
      </c>
      <c r="AY33" s="543" t="n">
        <v>-5625.2513664</v>
      </c>
      <c r="AZ33" s="543" t="n">
        <v>-5625.2513664</v>
      </c>
      <c r="BA33" s="543" t="n">
        <v>-5625.2513664</v>
      </c>
      <c r="BB33" s="543" t="n">
        <v>-5737.756393728</v>
      </c>
      <c r="BC33" s="543" t="n">
        <v>-5737.756393728</v>
      </c>
      <c r="BD33" s="543" t="n">
        <v>-5737.756393728</v>
      </c>
      <c r="BE33" s="543" t="n">
        <v>-5737.756393728</v>
      </c>
      <c r="BF33" s="543" t="n">
        <v>-5737.756393728</v>
      </c>
      <c r="BG33" s="543" t="n">
        <v>-5737.756393728</v>
      </c>
      <c r="BH33" s="543" t="n">
        <v>-5737.756393728</v>
      </c>
      <c r="BI33" s="543" t="n">
        <v>-5737.756393728</v>
      </c>
      <c r="BJ33" s="543" t="n">
        <v>-5737.756393728</v>
      </c>
      <c r="BK33" s="543" t="n">
        <v>-5737.756393728</v>
      </c>
      <c r="BL33" s="543" t="n">
        <v>-5737.756393728</v>
      </c>
      <c r="BM33" s="543" t="n">
        <v>-5737.756393728</v>
      </c>
      <c r="BN33" s="543" t="n">
        <v>-5852.51152160256</v>
      </c>
      <c r="BO33" s="543" t="n">
        <v>-5852.51152160256</v>
      </c>
      <c r="BP33" s="543" t="n">
        <v>-5852.51152160256</v>
      </c>
      <c r="BQ33" s="543" t="n">
        <v>-5852.51152160256</v>
      </c>
      <c r="BR33" s="543" t="n">
        <v>-5852.51152160256</v>
      </c>
      <c r="BS33" s="543" t="n">
        <v>-5852.51152160256</v>
      </c>
      <c r="BT33" s="543" t="n">
        <v>-5852.51152160256</v>
      </c>
      <c r="BU33" s="543" t="n">
        <v>-5852.51152160256</v>
      </c>
      <c r="BV33" s="543" t="n">
        <v>-5852.51152160256</v>
      </c>
      <c r="BW33" s="543" t="n">
        <v>-5852.51152160256</v>
      </c>
      <c r="BX33" s="543" t="n">
        <v>-5852.51152160256</v>
      </c>
      <c r="BY33" s="543" t="n">
        <v>-5852.51152160256</v>
      </c>
      <c r="BZ33" s="543" t="n">
        <v>-5969.56175203461</v>
      </c>
      <c r="CA33" s="543" t="n">
        <v>-5969.56175203461</v>
      </c>
      <c r="CB33" s="543" t="n">
        <v>-5969.56175203461</v>
      </c>
      <c r="CC33" s="543" t="n">
        <v>-5969.56175203461</v>
      </c>
      <c r="CD33" s="543" t="n">
        <v>-5969.56175203461</v>
      </c>
      <c r="CE33" s="543" t="n">
        <v>-5969.56175203461</v>
      </c>
      <c r="CF33" s="543" t="n">
        <v>-5969.56175203461</v>
      </c>
      <c r="CG33" s="543" t="n">
        <v>-5969.56175203461</v>
      </c>
      <c r="CH33" s="543" t="n">
        <v>-5969.56175203461</v>
      </c>
      <c r="CI33" s="543" t="n">
        <v>-5969.56175203461</v>
      </c>
      <c r="CJ33" s="543" t="n">
        <v>-5969.56175203461</v>
      </c>
      <c r="CK33" s="543" t="n">
        <v>-5969.56175203461</v>
      </c>
      <c r="CL33" s="543" t="n">
        <v>-6088.9529870753</v>
      </c>
      <c r="CM33" s="543" t="n">
        <v>-6088.9529870753</v>
      </c>
      <c r="CN33" s="543" t="n">
        <v>-6088.9529870753</v>
      </c>
      <c r="CO33" s="543" t="n">
        <v>-6088.9529870753</v>
      </c>
      <c r="CP33" s="543" t="n">
        <v>-6088.9529870753</v>
      </c>
      <c r="CQ33" s="543" t="n">
        <v>-6088.9529870753</v>
      </c>
      <c r="CR33" s="543" t="n">
        <v>-6088.9529870753</v>
      </c>
      <c r="CS33" s="543" t="n">
        <v>-6088.9529870753</v>
      </c>
      <c r="CT33" s="543" t="n">
        <v>-6088.9529870753</v>
      </c>
      <c r="CU33" s="543" t="n">
        <v>-6088.9529870753</v>
      </c>
      <c r="CV33" s="543" t="n">
        <v>-6088.9529870753</v>
      </c>
      <c r="CW33" s="543" t="n">
        <v>-6088.9529870753</v>
      </c>
      <c r="CX33" s="543" t="n">
        <v>-6210.73204681681</v>
      </c>
      <c r="CY33" s="543" t="n">
        <v>-6210.73204681681</v>
      </c>
      <c r="CZ33" s="543" t="n">
        <v>-6210.73204681681</v>
      </c>
      <c r="DA33" s="543" t="n">
        <v>-6210.73204681681</v>
      </c>
      <c r="DB33" s="543" t="n">
        <v>-6210.73204681681</v>
      </c>
      <c r="DC33" s="543" t="n">
        <v>-6210.73204681681</v>
      </c>
      <c r="DD33" s="543" t="n">
        <v>-6210.73204681681</v>
      </c>
      <c r="DE33" s="543" t="n">
        <v>-6210.73204681681</v>
      </c>
      <c r="DF33" s="543" t="n">
        <v>-6210.73204681681</v>
      </c>
    </row>
    <row r="34" ht="15" customFormat="1" customHeight="1" s="381">
      <c r="A34" s="472" t="inlineStr">
        <is>
          <t>5200-1054 Telephone Expenses</t>
        </is>
      </c>
      <c r="C34" s="486" t="n">
        <v>0</v>
      </c>
      <c r="D34" s="486" t="n">
        <v>-1766.48</v>
      </c>
      <c r="E34" s="486" t="n">
        <v>-441.62</v>
      </c>
      <c r="F34" s="543" t="n">
        <v>-736.03</v>
      </c>
      <c r="G34" s="543" t="n">
        <v>-736.03</v>
      </c>
      <c r="H34" s="543" t="n">
        <v>-736.03</v>
      </c>
      <c r="I34" s="543" t="n">
        <v>-736.03</v>
      </c>
      <c r="J34" s="543" t="n">
        <v>-736.03</v>
      </c>
      <c r="K34" s="543" t="n">
        <v>-736.03</v>
      </c>
      <c r="L34" s="543" t="n">
        <v>-736.03</v>
      </c>
      <c r="M34" s="543" t="n">
        <v>-736.03</v>
      </c>
      <c r="N34" s="543" t="n">
        <v>-736.03</v>
      </c>
      <c r="O34" s="543" t="n">
        <v>-736.03</v>
      </c>
      <c r="P34" s="543" t="n">
        <v>-736.03</v>
      </c>
      <c r="Q34" s="543" t="n">
        <v>-736.03</v>
      </c>
      <c r="R34" s="543" t="n">
        <v>-750.7506</v>
      </c>
      <c r="S34" s="543" t="n">
        <v>-750.7506</v>
      </c>
      <c r="T34" s="543" t="n">
        <v>-750.7506</v>
      </c>
      <c r="U34" s="543" t="n">
        <v>-750.7506</v>
      </c>
      <c r="V34" s="543" t="n">
        <v>-750.7506</v>
      </c>
      <c r="W34" s="543" t="n">
        <v>-750.7506</v>
      </c>
      <c r="X34" s="543" t="n">
        <v>-750.7506</v>
      </c>
      <c r="Y34" s="543" t="n">
        <v>-750.7506</v>
      </c>
      <c r="Z34" s="543" t="n">
        <v>-750.7506</v>
      </c>
      <c r="AA34" s="543" t="n">
        <v>-750.7506</v>
      </c>
      <c r="AB34" s="543" t="n">
        <v>-750.7506</v>
      </c>
      <c r="AC34" s="543" t="n">
        <v>-750.7506</v>
      </c>
      <c r="AD34" s="543" t="n">
        <v>-765.765612</v>
      </c>
      <c r="AE34" s="543" t="n">
        <v>-765.765612</v>
      </c>
      <c r="AF34" s="543" t="n">
        <v>-765.765612</v>
      </c>
      <c r="AG34" s="543" t="n">
        <v>-765.765612</v>
      </c>
      <c r="AH34" s="543" t="n">
        <v>-765.765612</v>
      </c>
      <c r="AI34" s="543" t="n">
        <v>-765.765612</v>
      </c>
      <c r="AJ34" s="543" t="n">
        <v>-765.765612</v>
      </c>
      <c r="AK34" s="543" t="n">
        <v>-765.765612</v>
      </c>
      <c r="AL34" s="543" t="n">
        <v>-765.765612</v>
      </c>
      <c r="AM34" s="543" t="n">
        <v>-765.765612</v>
      </c>
      <c r="AN34" s="543" t="n">
        <v>-765.765612</v>
      </c>
      <c r="AO34" s="543" t="n">
        <v>-765.765612</v>
      </c>
      <c r="AP34" s="543" t="n">
        <v>-781.0809242399999</v>
      </c>
      <c r="AQ34" s="543" t="n">
        <v>-781.0809242399999</v>
      </c>
      <c r="AR34" s="543" t="n">
        <v>-781.0809242399999</v>
      </c>
      <c r="AS34" s="543" t="n">
        <v>-781.0809242399999</v>
      </c>
      <c r="AT34" s="543" t="n">
        <v>-781.0809242399999</v>
      </c>
      <c r="AU34" s="543" t="n">
        <v>-781.0809242399999</v>
      </c>
      <c r="AV34" s="543" t="n">
        <v>-781.0809242399999</v>
      </c>
      <c r="AW34" s="543" t="n">
        <v>-781.0809242399999</v>
      </c>
      <c r="AX34" s="543" t="n">
        <v>-781.0809242399999</v>
      </c>
      <c r="AY34" s="543" t="n">
        <v>-781.0809242399999</v>
      </c>
      <c r="AZ34" s="543" t="n">
        <v>-781.0809242399999</v>
      </c>
      <c r="BA34" s="543" t="n">
        <v>-781.0809242399999</v>
      </c>
      <c r="BB34" s="543" t="n">
        <v>-796.7025427248</v>
      </c>
      <c r="BC34" s="543" t="n">
        <v>-796.7025427248</v>
      </c>
      <c r="BD34" s="543" t="n">
        <v>-796.7025427248</v>
      </c>
      <c r="BE34" s="543" t="n">
        <v>-796.7025427248</v>
      </c>
      <c r="BF34" s="543" t="n">
        <v>-796.7025427248</v>
      </c>
      <c r="BG34" s="543" t="n">
        <v>-796.7025427248</v>
      </c>
      <c r="BH34" s="543" t="n">
        <v>-796.7025427248</v>
      </c>
      <c r="BI34" s="543" t="n">
        <v>-796.7025427248</v>
      </c>
      <c r="BJ34" s="543" t="n">
        <v>-796.7025427248</v>
      </c>
      <c r="BK34" s="543" t="n">
        <v>-796.7025427248</v>
      </c>
      <c r="BL34" s="543" t="n">
        <v>-796.7025427248</v>
      </c>
      <c r="BM34" s="543" t="n">
        <v>-796.7025427248</v>
      </c>
      <c r="BN34" s="543" t="n">
        <v>-812.636593579296</v>
      </c>
      <c r="BO34" s="543" t="n">
        <v>-812.636593579296</v>
      </c>
      <c r="BP34" s="543" t="n">
        <v>-812.636593579296</v>
      </c>
      <c r="BQ34" s="543" t="n">
        <v>-812.636593579296</v>
      </c>
      <c r="BR34" s="543" t="n">
        <v>-812.636593579296</v>
      </c>
      <c r="BS34" s="543" t="n">
        <v>-812.636593579296</v>
      </c>
      <c r="BT34" s="543" t="n">
        <v>-812.636593579296</v>
      </c>
      <c r="BU34" s="543" t="n">
        <v>-812.636593579296</v>
      </c>
      <c r="BV34" s="543" t="n">
        <v>-812.636593579296</v>
      </c>
      <c r="BW34" s="543" t="n">
        <v>-812.636593579296</v>
      </c>
      <c r="BX34" s="543" t="n">
        <v>-812.636593579296</v>
      </c>
      <c r="BY34" s="543" t="n">
        <v>-812.636593579296</v>
      </c>
      <c r="BZ34" s="543" t="n">
        <v>-828.889325450882</v>
      </c>
      <c r="CA34" s="543" t="n">
        <v>-828.889325450882</v>
      </c>
      <c r="CB34" s="543" t="n">
        <v>-828.889325450882</v>
      </c>
      <c r="CC34" s="543" t="n">
        <v>-828.889325450882</v>
      </c>
      <c r="CD34" s="543" t="n">
        <v>-828.889325450882</v>
      </c>
      <c r="CE34" s="543" t="n">
        <v>-828.889325450882</v>
      </c>
      <c r="CF34" s="543" t="n">
        <v>-828.889325450882</v>
      </c>
      <c r="CG34" s="543" t="n">
        <v>-828.889325450882</v>
      </c>
      <c r="CH34" s="543" t="n">
        <v>-828.889325450882</v>
      </c>
      <c r="CI34" s="543" t="n">
        <v>-828.889325450882</v>
      </c>
      <c r="CJ34" s="543" t="n">
        <v>-828.889325450882</v>
      </c>
      <c r="CK34" s="543" t="n">
        <v>-828.889325450882</v>
      </c>
      <c r="CL34" s="543" t="n">
        <v>-845.4671119599</v>
      </c>
      <c r="CM34" s="543" t="n">
        <v>-845.4671119599</v>
      </c>
      <c r="CN34" s="543" t="n">
        <v>-845.4671119599</v>
      </c>
      <c r="CO34" s="543" t="n">
        <v>-845.4671119599</v>
      </c>
      <c r="CP34" s="543" t="n">
        <v>-845.4671119599</v>
      </c>
      <c r="CQ34" s="543" t="n">
        <v>-845.4671119599</v>
      </c>
      <c r="CR34" s="543" t="n">
        <v>-845.4671119599</v>
      </c>
      <c r="CS34" s="543" t="n">
        <v>-845.4671119599</v>
      </c>
      <c r="CT34" s="543" t="n">
        <v>-845.4671119599</v>
      </c>
      <c r="CU34" s="543" t="n">
        <v>-845.4671119599</v>
      </c>
      <c r="CV34" s="543" t="n">
        <v>-845.4671119599</v>
      </c>
      <c r="CW34" s="543" t="n">
        <v>-845.4671119599</v>
      </c>
      <c r="CX34" s="543" t="n">
        <v>-862.376454199098</v>
      </c>
      <c r="CY34" s="543" t="n">
        <v>-862.376454199098</v>
      </c>
      <c r="CZ34" s="543" t="n">
        <v>-862.376454199098</v>
      </c>
      <c r="DA34" s="543" t="n">
        <v>-862.376454199098</v>
      </c>
      <c r="DB34" s="543" t="n">
        <v>-862.376454199098</v>
      </c>
      <c r="DC34" s="543" t="n">
        <v>-862.376454199098</v>
      </c>
      <c r="DD34" s="543" t="n">
        <v>-862.376454199098</v>
      </c>
      <c r="DE34" s="543" t="n">
        <v>-862.376454199098</v>
      </c>
      <c r="DF34" s="543" t="n">
        <v>-862.376454199098</v>
      </c>
    </row>
    <row r="35" ht="15" customFormat="1" customHeight="1" s="381">
      <c r="A35" s="472" t="inlineStr">
        <is>
          <t>5300-1050 Meals and Entertainment</t>
        </is>
      </c>
      <c r="C35" s="486" t="n">
        <v>-681.77</v>
      </c>
      <c r="D35" s="486" t="n">
        <v>-600.14</v>
      </c>
      <c r="E35" s="486" t="n">
        <v>-2121.95</v>
      </c>
      <c r="F35" s="543" t="n">
        <v>-1134.62</v>
      </c>
      <c r="G35" s="543" t="n">
        <v>-1134.62</v>
      </c>
      <c r="H35" s="543" t="n">
        <v>-1134.62</v>
      </c>
      <c r="I35" s="543" t="n">
        <v>-1134.62</v>
      </c>
      <c r="J35" s="543" t="n">
        <v>-1134.62</v>
      </c>
      <c r="K35" s="543" t="n">
        <v>-1134.62</v>
      </c>
      <c r="L35" s="543" t="n">
        <v>-1134.62</v>
      </c>
      <c r="M35" s="543" t="n">
        <v>-1134.62</v>
      </c>
      <c r="N35" s="543" t="n">
        <v>-1134.62</v>
      </c>
      <c r="O35" s="543" t="n">
        <v>-1134.62</v>
      </c>
      <c r="P35" s="543" t="n">
        <v>-1134.62</v>
      </c>
      <c r="Q35" s="543" t="n">
        <v>-1134.62</v>
      </c>
      <c r="R35" s="543" t="n">
        <v>-1157.3124</v>
      </c>
      <c r="S35" s="543" t="n">
        <v>-1157.3124</v>
      </c>
      <c r="T35" s="543" t="n">
        <v>-1157.3124</v>
      </c>
      <c r="U35" s="543" t="n">
        <v>-1157.3124</v>
      </c>
      <c r="V35" s="543" t="n">
        <v>-1157.3124</v>
      </c>
      <c r="W35" s="543" t="n">
        <v>-1157.3124</v>
      </c>
      <c r="X35" s="543" t="n">
        <v>-1157.3124</v>
      </c>
      <c r="Y35" s="543" t="n">
        <v>-1157.3124</v>
      </c>
      <c r="Z35" s="543" t="n">
        <v>-1157.3124</v>
      </c>
      <c r="AA35" s="543" t="n">
        <v>-1157.3124</v>
      </c>
      <c r="AB35" s="543" t="n">
        <v>-1157.3124</v>
      </c>
      <c r="AC35" s="543" t="n">
        <v>-1157.3124</v>
      </c>
      <c r="AD35" s="543" t="n">
        <v>-1180.458648</v>
      </c>
      <c r="AE35" s="543" t="n">
        <v>-1180.458648</v>
      </c>
      <c r="AF35" s="543" t="n">
        <v>-1180.458648</v>
      </c>
      <c r="AG35" s="543" t="n">
        <v>-1180.458648</v>
      </c>
      <c r="AH35" s="543" t="n">
        <v>-1180.458648</v>
      </c>
      <c r="AI35" s="543" t="n">
        <v>-1180.458648</v>
      </c>
      <c r="AJ35" s="543" t="n">
        <v>-1180.458648</v>
      </c>
      <c r="AK35" s="543" t="n">
        <v>-1180.458648</v>
      </c>
      <c r="AL35" s="543" t="n">
        <v>-1180.458648</v>
      </c>
      <c r="AM35" s="543" t="n">
        <v>-1180.458648</v>
      </c>
      <c r="AN35" s="543" t="n">
        <v>-1180.458648</v>
      </c>
      <c r="AO35" s="543" t="n">
        <v>-1180.458648</v>
      </c>
      <c r="AP35" s="543" t="n">
        <v>-1204.06782096</v>
      </c>
      <c r="AQ35" s="543" t="n">
        <v>-1204.06782096</v>
      </c>
      <c r="AR35" s="543" t="n">
        <v>-1204.06782096</v>
      </c>
      <c r="AS35" s="543" t="n">
        <v>-1204.06782096</v>
      </c>
      <c r="AT35" s="543" t="n">
        <v>-1204.06782096</v>
      </c>
      <c r="AU35" s="543" t="n">
        <v>-1204.06782096</v>
      </c>
      <c r="AV35" s="543" t="n">
        <v>-1204.06782096</v>
      </c>
      <c r="AW35" s="543" t="n">
        <v>-1204.06782096</v>
      </c>
      <c r="AX35" s="543" t="n">
        <v>-1204.06782096</v>
      </c>
      <c r="AY35" s="543" t="n">
        <v>-1204.06782096</v>
      </c>
      <c r="AZ35" s="543" t="n">
        <v>-1204.06782096</v>
      </c>
      <c r="BA35" s="543" t="n">
        <v>-1204.06782096</v>
      </c>
      <c r="BB35" s="543" t="n">
        <v>-1228.1491773792</v>
      </c>
      <c r="BC35" s="543" t="n">
        <v>-1228.1491773792</v>
      </c>
      <c r="BD35" s="543" t="n">
        <v>-1228.1491773792</v>
      </c>
      <c r="BE35" s="543" t="n">
        <v>-1228.1491773792</v>
      </c>
      <c r="BF35" s="543" t="n">
        <v>-1228.1491773792</v>
      </c>
      <c r="BG35" s="543" t="n">
        <v>-1228.1491773792</v>
      </c>
      <c r="BH35" s="543" t="n">
        <v>-1228.1491773792</v>
      </c>
      <c r="BI35" s="543" t="n">
        <v>-1228.1491773792</v>
      </c>
      <c r="BJ35" s="543" t="n">
        <v>-1228.1491773792</v>
      </c>
      <c r="BK35" s="543" t="n">
        <v>-1228.1491773792</v>
      </c>
      <c r="BL35" s="543" t="n">
        <v>-1228.1491773792</v>
      </c>
      <c r="BM35" s="543" t="n">
        <v>-1228.1491773792</v>
      </c>
      <c r="BN35" s="543" t="n">
        <v>-1252.71216092678</v>
      </c>
      <c r="BO35" s="543" t="n">
        <v>-1252.71216092678</v>
      </c>
      <c r="BP35" s="543" t="n">
        <v>-1252.71216092678</v>
      </c>
      <c r="BQ35" s="543" t="n">
        <v>-1252.71216092678</v>
      </c>
      <c r="BR35" s="543" t="n">
        <v>-1252.71216092678</v>
      </c>
      <c r="BS35" s="543" t="n">
        <v>-1252.71216092678</v>
      </c>
      <c r="BT35" s="543" t="n">
        <v>-1252.71216092678</v>
      </c>
      <c r="BU35" s="543" t="n">
        <v>-1252.71216092678</v>
      </c>
      <c r="BV35" s="543" t="n">
        <v>-1252.71216092678</v>
      </c>
      <c r="BW35" s="543" t="n">
        <v>-1252.71216092678</v>
      </c>
      <c r="BX35" s="543" t="n">
        <v>-1252.71216092678</v>
      </c>
      <c r="BY35" s="543" t="n">
        <v>-1252.71216092678</v>
      </c>
      <c r="BZ35" s="543" t="n">
        <v>-1277.76640414532</v>
      </c>
      <c r="CA35" s="543" t="n">
        <v>-1277.76640414532</v>
      </c>
      <c r="CB35" s="543" t="n">
        <v>-1277.76640414532</v>
      </c>
      <c r="CC35" s="543" t="n">
        <v>-1277.76640414532</v>
      </c>
      <c r="CD35" s="543" t="n">
        <v>-1277.76640414532</v>
      </c>
      <c r="CE35" s="543" t="n">
        <v>-1277.76640414532</v>
      </c>
      <c r="CF35" s="543" t="n">
        <v>-1277.76640414532</v>
      </c>
      <c r="CG35" s="543" t="n">
        <v>-1277.76640414532</v>
      </c>
      <c r="CH35" s="543" t="n">
        <v>-1277.76640414532</v>
      </c>
      <c r="CI35" s="543" t="n">
        <v>-1277.76640414532</v>
      </c>
      <c r="CJ35" s="543" t="n">
        <v>-1277.76640414532</v>
      </c>
      <c r="CK35" s="543" t="n">
        <v>-1277.76640414532</v>
      </c>
      <c r="CL35" s="543" t="n">
        <v>-1303.32173222823</v>
      </c>
      <c r="CM35" s="543" t="n">
        <v>-1303.32173222823</v>
      </c>
      <c r="CN35" s="543" t="n">
        <v>-1303.32173222823</v>
      </c>
      <c r="CO35" s="543" t="n">
        <v>-1303.32173222823</v>
      </c>
      <c r="CP35" s="543" t="n">
        <v>-1303.32173222823</v>
      </c>
      <c r="CQ35" s="543" t="n">
        <v>-1303.32173222823</v>
      </c>
      <c r="CR35" s="543" t="n">
        <v>-1303.32173222823</v>
      </c>
      <c r="CS35" s="543" t="n">
        <v>-1303.32173222823</v>
      </c>
      <c r="CT35" s="543" t="n">
        <v>-1303.32173222823</v>
      </c>
      <c r="CU35" s="543" t="n">
        <v>-1303.32173222823</v>
      </c>
      <c r="CV35" s="543" t="n">
        <v>-1303.32173222823</v>
      </c>
      <c r="CW35" s="543" t="n">
        <v>-1303.32173222823</v>
      </c>
      <c r="CX35" s="543" t="n">
        <v>-1329.38816687279</v>
      </c>
      <c r="CY35" s="543" t="n">
        <v>-1329.38816687279</v>
      </c>
      <c r="CZ35" s="543" t="n">
        <v>-1329.38816687279</v>
      </c>
      <c r="DA35" s="543" t="n">
        <v>-1329.38816687279</v>
      </c>
      <c r="DB35" s="543" t="n">
        <v>-1329.38816687279</v>
      </c>
      <c r="DC35" s="543" t="n">
        <v>-1329.38816687279</v>
      </c>
      <c r="DD35" s="543" t="n">
        <v>-1329.38816687279</v>
      </c>
      <c r="DE35" s="543" t="n">
        <v>-1329.38816687279</v>
      </c>
      <c r="DF35" s="543" t="n">
        <v>-1329.38816687279</v>
      </c>
    </row>
    <row r="36" ht="15" customFormat="1" customHeight="1" s="381">
      <c r="A36" s="472" t="inlineStr">
        <is>
          <t>5500-1000 Legal and Professional Fees</t>
        </is>
      </c>
      <c r="C36" s="486" t="n">
        <v>-2187.5</v>
      </c>
      <c r="D36" s="486" t="n">
        <v>0</v>
      </c>
      <c r="E36" s="486" t="n">
        <v>-1625</v>
      </c>
      <c r="F36" s="543" t="n">
        <v>-1270.83</v>
      </c>
      <c r="G36" s="543" t="n">
        <v>-1270.83</v>
      </c>
      <c r="H36" s="543" t="n">
        <v>-1270.83</v>
      </c>
      <c r="I36" s="543" t="n">
        <v>-1270.83</v>
      </c>
      <c r="J36" s="543" t="n">
        <v>-1270.83</v>
      </c>
      <c r="K36" s="543" t="n">
        <v>-1270.83</v>
      </c>
      <c r="L36" s="543" t="n">
        <v>-1270.83</v>
      </c>
      <c r="M36" s="543" t="n">
        <v>-1270.83</v>
      </c>
      <c r="N36" s="543" t="n">
        <v>-1270.83</v>
      </c>
      <c r="O36" s="543" t="n">
        <v>-1270.83</v>
      </c>
      <c r="P36" s="543" t="n">
        <v>-1270.83</v>
      </c>
      <c r="Q36" s="543" t="n">
        <v>-1270.83</v>
      </c>
      <c r="R36" s="543" t="n">
        <v>-1296.2466</v>
      </c>
      <c r="S36" s="543" t="n">
        <v>-1296.2466</v>
      </c>
      <c r="T36" s="543" t="n">
        <v>-1296.2466</v>
      </c>
      <c r="U36" s="543" t="n">
        <v>-1296.2466</v>
      </c>
      <c r="V36" s="543" t="n">
        <v>-1296.2466</v>
      </c>
      <c r="W36" s="543" t="n">
        <v>-1296.2466</v>
      </c>
      <c r="X36" s="543" t="n">
        <v>-1296.2466</v>
      </c>
      <c r="Y36" s="543" t="n">
        <v>-1296.2466</v>
      </c>
      <c r="Z36" s="543" t="n">
        <v>-1296.2466</v>
      </c>
      <c r="AA36" s="543" t="n">
        <v>-1296.2466</v>
      </c>
      <c r="AB36" s="543" t="n">
        <v>-1296.2466</v>
      </c>
      <c r="AC36" s="543" t="n">
        <v>-1296.2466</v>
      </c>
      <c r="AD36" s="543" t="n">
        <v>-1322.171532</v>
      </c>
      <c r="AE36" s="543" t="n">
        <v>-1322.171532</v>
      </c>
      <c r="AF36" s="543" t="n">
        <v>-1322.171532</v>
      </c>
      <c r="AG36" s="543" t="n">
        <v>-1322.171532</v>
      </c>
      <c r="AH36" s="543" t="n">
        <v>-1322.171532</v>
      </c>
      <c r="AI36" s="543" t="n">
        <v>-1322.171532</v>
      </c>
      <c r="AJ36" s="543" t="n">
        <v>-1322.171532</v>
      </c>
      <c r="AK36" s="543" t="n">
        <v>-1322.171532</v>
      </c>
      <c r="AL36" s="543" t="n">
        <v>-1322.171532</v>
      </c>
      <c r="AM36" s="543" t="n">
        <v>-1322.171532</v>
      </c>
      <c r="AN36" s="543" t="n">
        <v>-1322.171532</v>
      </c>
      <c r="AO36" s="543" t="n">
        <v>-1322.171532</v>
      </c>
      <c r="AP36" s="543" t="n">
        <v>-1348.61496264</v>
      </c>
      <c r="AQ36" s="543" t="n">
        <v>-1348.61496264</v>
      </c>
      <c r="AR36" s="543" t="n">
        <v>-1348.61496264</v>
      </c>
      <c r="AS36" s="543" t="n">
        <v>-1348.61496264</v>
      </c>
      <c r="AT36" s="543" t="n">
        <v>-1348.61496264</v>
      </c>
      <c r="AU36" s="543" t="n">
        <v>-1348.61496264</v>
      </c>
      <c r="AV36" s="543" t="n">
        <v>-1348.61496264</v>
      </c>
      <c r="AW36" s="543" t="n">
        <v>-1348.61496264</v>
      </c>
      <c r="AX36" s="543" t="n">
        <v>-1348.61496264</v>
      </c>
      <c r="AY36" s="543" t="n">
        <v>-1348.61496264</v>
      </c>
      <c r="AZ36" s="543" t="n">
        <v>-1348.61496264</v>
      </c>
      <c r="BA36" s="543" t="n">
        <v>-1348.61496264</v>
      </c>
      <c r="BB36" s="543" t="n">
        <v>-1375.5872618928</v>
      </c>
      <c r="BC36" s="543" t="n">
        <v>-1375.5872618928</v>
      </c>
      <c r="BD36" s="543" t="n">
        <v>-1375.5872618928</v>
      </c>
      <c r="BE36" s="543" t="n">
        <v>-1375.5872618928</v>
      </c>
      <c r="BF36" s="543" t="n">
        <v>-1375.5872618928</v>
      </c>
      <c r="BG36" s="543" t="n">
        <v>-1375.5872618928</v>
      </c>
      <c r="BH36" s="543" t="n">
        <v>-1375.5872618928</v>
      </c>
      <c r="BI36" s="543" t="n">
        <v>-1375.5872618928</v>
      </c>
      <c r="BJ36" s="543" t="n">
        <v>-1375.5872618928</v>
      </c>
      <c r="BK36" s="543" t="n">
        <v>-1375.5872618928</v>
      </c>
      <c r="BL36" s="543" t="n">
        <v>-1375.5872618928</v>
      </c>
      <c r="BM36" s="543" t="n">
        <v>-1375.5872618928</v>
      </c>
      <c r="BN36" s="543" t="n">
        <v>-1403.09900713066</v>
      </c>
      <c r="BO36" s="543" t="n">
        <v>-1403.09900713066</v>
      </c>
      <c r="BP36" s="543" t="n">
        <v>-1403.09900713066</v>
      </c>
      <c r="BQ36" s="543" t="n">
        <v>-1403.09900713066</v>
      </c>
      <c r="BR36" s="543" t="n">
        <v>-1403.09900713066</v>
      </c>
      <c r="BS36" s="543" t="n">
        <v>-1403.09900713066</v>
      </c>
      <c r="BT36" s="543" t="n">
        <v>-1403.09900713066</v>
      </c>
      <c r="BU36" s="543" t="n">
        <v>-1403.09900713066</v>
      </c>
      <c r="BV36" s="543" t="n">
        <v>-1403.09900713066</v>
      </c>
      <c r="BW36" s="543" t="n">
        <v>-1403.09900713066</v>
      </c>
      <c r="BX36" s="543" t="n">
        <v>-1403.09900713066</v>
      </c>
      <c r="BY36" s="543" t="n">
        <v>-1403.09900713066</v>
      </c>
      <c r="BZ36" s="543" t="n">
        <v>-1431.16098727327</v>
      </c>
      <c r="CA36" s="543" t="n">
        <v>-1431.16098727327</v>
      </c>
      <c r="CB36" s="543" t="n">
        <v>-1431.16098727327</v>
      </c>
      <c r="CC36" s="543" t="n">
        <v>-1431.16098727327</v>
      </c>
      <c r="CD36" s="543" t="n">
        <v>-1431.16098727327</v>
      </c>
      <c r="CE36" s="543" t="n">
        <v>-1431.16098727327</v>
      </c>
      <c r="CF36" s="543" t="n">
        <v>-1431.16098727327</v>
      </c>
      <c r="CG36" s="543" t="n">
        <v>-1431.16098727327</v>
      </c>
      <c r="CH36" s="543" t="n">
        <v>-1431.16098727327</v>
      </c>
      <c r="CI36" s="543" t="n">
        <v>-1431.16098727327</v>
      </c>
      <c r="CJ36" s="543" t="n">
        <v>-1431.16098727327</v>
      </c>
      <c r="CK36" s="543" t="n">
        <v>-1431.16098727327</v>
      </c>
      <c r="CL36" s="543" t="n">
        <v>-1459.78420701873</v>
      </c>
      <c r="CM36" s="543" t="n">
        <v>-1459.78420701873</v>
      </c>
      <c r="CN36" s="543" t="n">
        <v>-1459.78420701873</v>
      </c>
      <c r="CO36" s="543" t="n">
        <v>-1459.78420701873</v>
      </c>
      <c r="CP36" s="543" t="n">
        <v>-1459.78420701873</v>
      </c>
      <c r="CQ36" s="543" t="n">
        <v>-1459.78420701873</v>
      </c>
      <c r="CR36" s="543" t="n">
        <v>-1459.78420701873</v>
      </c>
      <c r="CS36" s="543" t="n">
        <v>-1459.78420701873</v>
      </c>
      <c r="CT36" s="543" t="n">
        <v>-1459.78420701873</v>
      </c>
      <c r="CU36" s="543" t="n">
        <v>-1459.78420701873</v>
      </c>
      <c r="CV36" s="543" t="n">
        <v>-1459.78420701873</v>
      </c>
      <c r="CW36" s="543" t="n">
        <v>-1459.78420701873</v>
      </c>
      <c r="CX36" s="543" t="n">
        <v>-1488.97989115911</v>
      </c>
      <c r="CY36" s="543" t="n">
        <v>-1488.97989115911</v>
      </c>
      <c r="CZ36" s="543" t="n">
        <v>-1488.97989115911</v>
      </c>
      <c r="DA36" s="543" t="n">
        <v>-1488.97989115911</v>
      </c>
      <c r="DB36" s="543" t="n">
        <v>-1488.97989115911</v>
      </c>
      <c r="DC36" s="543" t="n">
        <v>-1488.97989115911</v>
      </c>
      <c r="DD36" s="543" t="n">
        <v>-1488.97989115911</v>
      </c>
      <c r="DE36" s="543" t="n">
        <v>-1488.97989115911</v>
      </c>
      <c r="DF36" s="543" t="n">
        <v>-1488.97989115911</v>
      </c>
    </row>
    <row r="37" ht="15" customFormat="1" customHeight="1" s="381">
      <c r="A37" s="472" t="inlineStr">
        <is>
          <t>5500-1002 Accounting Consulting and Overhead</t>
        </is>
      </c>
      <c r="C37" s="486" t="n">
        <v>0</v>
      </c>
      <c r="D37" s="486" t="n">
        <v>-12349</v>
      </c>
      <c r="E37" s="486" t="n">
        <v>-5400</v>
      </c>
      <c r="F37" s="543" t="n">
        <v>-5916.33</v>
      </c>
      <c r="G37" s="543" t="n">
        <v>-5916.33</v>
      </c>
      <c r="H37" s="543" t="n">
        <v>-5916.33</v>
      </c>
      <c r="I37" s="543" t="n">
        <v>-5916.33</v>
      </c>
      <c r="J37" s="543" t="n">
        <v>-5916.33</v>
      </c>
      <c r="K37" s="543" t="n">
        <v>-5916.33</v>
      </c>
      <c r="L37" s="543" t="n">
        <v>-5916.33</v>
      </c>
      <c r="M37" s="543" t="n">
        <v>-5916.33</v>
      </c>
      <c r="N37" s="543" t="n">
        <v>-5916.33</v>
      </c>
      <c r="O37" s="543" t="n">
        <v>-5916.33</v>
      </c>
      <c r="P37" s="543" t="n">
        <v>-5916.33</v>
      </c>
      <c r="Q37" s="543" t="n">
        <v>-5916.33</v>
      </c>
      <c r="R37" s="543" t="n">
        <v>-6034.6566</v>
      </c>
      <c r="S37" s="543" t="n">
        <v>-6034.6566</v>
      </c>
      <c r="T37" s="543" t="n">
        <v>-6034.6566</v>
      </c>
      <c r="U37" s="543" t="n">
        <v>-6034.6566</v>
      </c>
      <c r="V37" s="543" t="n">
        <v>-6034.6566</v>
      </c>
      <c r="W37" s="543" t="n">
        <v>-6034.6566</v>
      </c>
      <c r="X37" s="543" t="n">
        <v>-6034.6566</v>
      </c>
      <c r="Y37" s="543" t="n">
        <v>-6034.6566</v>
      </c>
      <c r="Z37" s="543" t="n">
        <v>-6034.6566</v>
      </c>
      <c r="AA37" s="543" t="n">
        <v>-6034.6566</v>
      </c>
      <c r="AB37" s="543" t="n">
        <v>-6034.6566</v>
      </c>
      <c r="AC37" s="543" t="n">
        <v>-6034.6566</v>
      </c>
      <c r="AD37" s="543" t="n">
        <v>-6155.349732</v>
      </c>
      <c r="AE37" s="543" t="n">
        <v>-6155.349732</v>
      </c>
      <c r="AF37" s="543" t="n">
        <v>-6155.349732</v>
      </c>
      <c r="AG37" s="543" t="n">
        <v>-6155.349732</v>
      </c>
      <c r="AH37" s="543" t="n">
        <v>-6155.349732</v>
      </c>
      <c r="AI37" s="543" t="n">
        <v>-6155.349732</v>
      </c>
      <c r="AJ37" s="543" t="n">
        <v>-6155.349732</v>
      </c>
      <c r="AK37" s="543" t="n">
        <v>-6155.349732</v>
      </c>
      <c r="AL37" s="543" t="n">
        <v>-6155.349732</v>
      </c>
      <c r="AM37" s="543" t="n">
        <v>-6155.349732</v>
      </c>
      <c r="AN37" s="543" t="n">
        <v>-6155.349732</v>
      </c>
      <c r="AO37" s="543" t="n">
        <v>-6155.349732</v>
      </c>
      <c r="AP37" s="543" t="n">
        <v>-6278.45672664</v>
      </c>
      <c r="AQ37" s="543" t="n">
        <v>-6278.45672664</v>
      </c>
      <c r="AR37" s="543" t="n">
        <v>-6278.45672664</v>
      </c>
      <c r="AS37" s="543" t="n">
        <v>-6278.45672664</v>
      </c>
      <c r="AT37" s="543" t="n">
        <v>-6278.45672664</v>
      </c>
      <c r="AU37" s="543" t="n">
        <v>-6278.45672664</v>
      </c>
      <c r="AV37" s="543" t="n">
        <v>-6278.45672664</v>
      </c>
      <c r="AW37" s="543" t="n">
        <v>-6278.45672664</v>
      </c>
      <c r="AX37" s="543" t="n">
        <v>-6278.45672664</v>
      </c>
      <c r="AY37" s="543" t="n">
        <v>-6278.45672664</v>
      </c>
      <c r="AZ37" s="543" t="n">
        <v>-6278.45672664</v>
      </c>
      <c r="BA37" s="543" t="n">
        <v>-6278.45672664</v>
      </c>
      <c r="BB37" s="543" t="n">
        <v>-6404.0258611728</v>
      </c>
      <c r="BC37" s="543" t="n">
        <v>-6404.0258611728</v>
      </c>
      <c r="BD37" s="543" t="n">
        <v>-6404.0258611728</v>
      </c>
      <c r="BE37" s="543" t="n">
        <v>-6404.0258611728</v>
      </c>
      <c r="BF37" s="543" t="n">
        <v>-6404.0258611728</v>
      </c>
      <c r="BG37" s="543" t="n">
        <v>-6404.0258611728</v>
      </c>
      <c r="BH37" s="543" t="n">
        <v>-6404.0258611728</v>
      </c>
      <c r="BI37" s="543" t="n">
        <v>-6404.0258611728</v>
      </c>
      <c r="BJ37" s="543" t="n">
        <v>-6404.0258611728</v>
      </c>
      <c r="BK37" s="543" t="n">
        <v>-6404.0258611728</v>
      </c>
      <c r="BL37" s="543" t="n">
        <v>-6404.0258611728</v>
      </c>
      <c r="BM37" s="543" t="n">
        <v>-6404.0258611728</v>
      </c>
      <c r="BN37" s="543" t="n">
        <v>-6532.10637839626</v>
      </c>
      <c r="BO37" s="543" t="n">
        <v>-6532.10637839626</v>
      </c>
      <c r="BP37" s="543" t="n">
        <v>-6532.10637839626</v>
      </c>
      <c r="BQ37" s="543" t="n">
        <v>-6532.10637839626</v>
      </c>
      <c r="BR37" s="543" t="n">
        <v>-6532.10637839626</v>
      </c>
      <c r="BS37" s="543" t="n">
        <v>-6532.10637839626</v>
      </c>
      <c r="BT37" s="543" t="n">
        <v>-6532.10637839626</v>
      </c>
      <c r="BU37" s="543" t="n">
        <v>-6532.10637839626</v>
      </c>
      <c r="BV37" s="543" t="n">
        <v>-6532.10637839626</v>
      </c>
      <c r="BW37" s="543" t="n">
        <v>-6532.10637839626</v>
      </c>
      <c r="BX37" s="543" t="n">
        <v>-6532.10637839626</v>
      </c>
      <c r="BY37" s="543" t="n">
        <v>-6532.10637839626</v>
      </c>
      <c r="BZ37" s="543" t="n">
        <v>-6662.74850596418</v>
      </c>
      <c r="CA37" s="543" t="n">
        <v>-6662.74850596418</v>
      </c>
      <c r="CB37" s="543" t="n">
        <v>-6662.74850596418</v>
      </c>
      <c r="CC37" s="543" t="n">
        <v>-6662.74850596418</v>
      </c>
      <c r="CD37" s="543" t="n">
        <v>-6662.74850596418</v>
      </c>
      <c r="CE37" s="543" t="n">
        <v>-6662.74850596418</v>
      </c>
      <c r="CF37" s="543" t="n">
        <v>-6662.74850596418</v>
      </c>
      <c r="CG37" s="543" t="n">
        <v>-6662.74850596418</v>
      </c>
      <c r="CH37" s="543" t="n">
        <v>-6662.74850596418</v>
      </c>
      <c r="CI37" s="543" t="n">
        <v>-6662.74850596418</v>
      </c>
      <c r="CJ37" s="543" t="n">
        <v>-6662.74850596418</v>
      </c>
      <c r="CK37" s="543" t="n">
        <v>-6662.74850596418</v>
      </c>
      <c r="CL37" s="543" t="n">
        <v>-6796.00347608347</v>
      </c>
      <c r="CM37" s="543" t="n">
        <v>-6796.00347608347</v>
      </c>
      <c r="CN37" s="543" t="n">
        <v>-6796.00347608347</v>
      </c>
      <c r="CO37" s="543" t="n">
        <v>-6796.00347608347</v>
      </c>
      <c r="CP37" s="543" t="n">
        <v>-6796.00347608347</v>
      </c>
      <c r="CQ37" s="543" t="n">
        <v>-6796.00347608347</v>
      </c>
      <c r="CR37" s="543" t="n">
        <v>-6796.00347608347</v>
      </c>
      <c r="CS37" s="543" t="n">
        <v>-6796.00347608347</v>
      </c>
      <c r="CT37" s="543" t="n">
        <v>-6796.00347608347</v>
      </c>
      <c r="CU37" s="543" t="n">
        <v>-6796.00347608347</v>
      </c>
      <c r="CV37" s="543" t="n">
        <v>-6796.00347608347</v>
      </c>
      <c r="CW37" s="543" t="n">
        <v>-6796.00347608347</v>
      </c>
      <c r="CX37" s="543" t="n">
        <v>-6931.92354560514</v>
      </c>
      <c r="CY37" s="543" t="n">
        <v>-6931.92354560514</v>
      </c>
      <c r="CZ37" s="543" t="n">
        <v>-6931.92354560514</v>
      </c>
      <c r="DA37" s="543" t="n">
        <v>-6931.92354560514</v>
      </c>
      <c r="DB37" s="543" t="n">
        <v>-6931.92354560514</v>
      </c>
      <c r="DC37" s="543" t="n">
        <v>-6931.92354560514</v>
      </c>
      <c r="DD37" s="543" t="n">
        <v>-6931.92354560514</v>
      </c>
      <c r="DE37" s="543" t="n">
        <v>-6931.92354560514</v>
      </c>
      <c r="DF37" s="543" t="n">
        <v>-6931.92354560514</v>
      </c>
    </row>
    <row r="38" ht="15" customFormat="1" customHeight="1" s="381">
      <c r="A38" s="472" t="inlineStr">
        <is>
          <t>5500-1004 Consultants and Other Professional Expenses</t>
        </is>
      </c>
      <c r="C38" s="486" t="n">
        <v>0</v>
      </c>
      <c r="D38" s="486" t="n">
        <v>0</v>
      </c>
      <c r="E38" s="486" t="n">
        <v>-750.4</v>
      </c>
      <c r="F38" s="543" t="n">
        <v>-250.13</v>
      </c>
      <c r="G38" s="543" t="n">
        <v>-250.13</v>
      </c>
      <c r="H38" s="543" t="n">
        <v>-250.13</v>
      </c>
      <c r="I38" s="543" t="n">
        <v>-250.13</v>
      </c>
      <c r="J38" s="543" t="n">
        <v>-250.13</v>
      </c>
      <c r="K38" s="543" t="n">
        <v>-250.13</v>
      </c>
      <c r="L38" s="543" t="n">
        <v>-250.13</v>
      </c>
      <c r="M38" s="543" t="n">
        <v>-250.13</v>
      </c>
      <c r="N38" s="543" t="n">
        <v>-250.13</v>
      </c>
      <c r="O38" s="543" t="n">
        <v>-250.13</v>
      </c>
      <c r="P38" s="543" t="n">
        <v>-250.13</v>
      </c>
      <c r="Q38" s="543" t="n">
        <v>-250.13</v>
      </c>
      <c r="R38" s="543" t="n">
        <v>-255.1326</v>
      </c>
      <c r="S38" s="543" t="n">
        <v>-255.1326</v>
      </c>
      <c r="T38" s="543" t="n">
        <v>-255.1326</v>
      </c>
      <c r="U38" s="543" t="n">
        <v>-255.1326</v>
      </c>
      <c r="V38" s="543" t="n">
        <v>-255.1326</v>
      </c>
      <c r="W38" s="543" t="n">
        <v>-255.1326</v>
      </c>
      <c r="X38" s="543" t="n">
        <v>-255.1326</v>
      </c>
      <c r="Y38" s="543" t="n">
        <v>-255.1326</v>
      </c>
      <c r="Z38" s="543" t="n">
        <v>-255.1326</v>
      </c>
      <c r="AA38" s="543" t="n">
        <v>-255.1326</v>
      </c>
      <c r="AB38" s="543" t="n">
        <v>-255.1326</v>
      </c>
      <c r="AC38" s="543" t="n">
        <v>-255.1326</v>
      </c>
      <c r="AD38" s="543" t="n">
        <v>-260.235252</v>
      </c>
      <c r="AE38" s="543" t="n">
        <v>-260.235252</v>
      </c>
      <c r="AF38" s="543" t="n">
        <v>-260.235252</v>
      </c>
      <c r="AG38" s="543" t="n">
        <v>-260.235252</v>
      </c>
      <c r="AH38" s="543" t="n">
        <v>-260.235252</v>
      </c>
      <c r="AI38" s="543" t="n">
        <v>-260.235252</v>
      </c>
      <c r="AJ38" s="543" t="n">
        <v>-260.235252</v>
      </c>
      <c r="AK38" s="543" t="n">
        <v>-260.235252</v>
      </c>
      <c r="AL38" s="543" t="n">
        <v>-260.235252</v>
      </c>
      <c r="AM38" s="543" t="n">
        <v>-260.235252</v>
      </c>
      <c r="AN38" s="543" t="n">
        <v>-260.235252</v>
      </c>
      <c r="AO38" s="543" t="n">
        <v>-260.235252</v>
      </c>
      <c r="AP38" s="543" t="n">
        <v>-265.43995704</v>
      </c>
      <c r="AQ38" s="543" t="n">
        <v>-265.43995704</v>
      </c>
      <c r="AR38" s="543" t="n">
        <v>-265.43995704</v>
      </c>
      <c r="AS38" s="543" t="n">
        <v>-265.43995704</v>
      </c>
      <c r="AT38" s="543" t="n">
        <v>-265.43995704</v>
      </c>
      <c r="AU38" s="543" t="n">
        <v>-265.43995704</v>
      </c>
      <c r="AV38" s="543" t="n">
        <v>-265.43995704</v>
      </c>
      <c r="AW38" s="543" t="n">
        <v>-265.43995704</v>
      </c>
      <c r="AX38" s="543" t="n">
        <v>-265.43995704</v>
      </c>
      <c r="AY38" s="543" t="n">
        <v>-265.43995704</v>
      </c>
      <c r="AZ38" s="543" t="n">
        <v>-265.43995704</v>
      </c>
      <c r="BA38" s="543" t="n">
        <v>-265.43995704</v>
      </c>
      <c r="BB38" s="543" t="n">
        <v>-270.7487561808</v>
      </c>
      <c r="BC38" s="543" t="n">
        <v>-270.7487561808</v>
      </c>
      <c r="BD38" s="543" t="n">
        <v>-270.7487561808</v>
      </c>
      <c r="BE38" s="543" t="n">
        <v>-270.7487561808</v>
      </c>
      <c r="BF38" s="543" t="n">
        <v>-270.7487561808</v>
      </c>
      <c r="BG38" s="543" t="n">
        <v>-270.7487561808</v>
      </c>
      <c r="BH38" s="543" t="n">
        <v>-270.7487561808</v>
      </c>
      <c r="BI38" s="543" t="n">
        <v>-270.7487561808</v>
      </c>
      <c r="BJ38" s="543" t="n">
        <v>-270.7487561808</v>
      </c>
      <c r="BK38" s="543" t="n">
        <v>-270.7487561808</v>
      </c>
      <c r="BL38" s="543" t="n">
        <v>-270.7487561808</v>
      </c>
      <c r="BM38" s="543" t="n">
        <v>-270.7487561808</v>
      </c>
      <c r="BN38" s="543" t="n">
        <v>-276.163731304416</v>
      </c>
      <c r="BO38" s="543" t="n">
        <v>-276.163731304416</v>
      </c>
      <c r="BP38" s="543" t="n">
        <v>-276.163731304416</v>
      </c>
      <c r="BQ38" s="543" t="n">
        <v>-276.163731304416</v>
      </c>
      <c r="BR38" s="543" t="n">
        <v>-276.163731304416</v>
      </c>
      <c r="BS38" s="543" t="n">
        <v>-276.163731304416</v>
      </c>
      <c r="BT38" s="543" t="n">
        <v>-276.163731304416</v>
      </c>
      <c r="BU38" s="543" t="n">
        <v>-276.163731304416</v>
      </c>
      <c r="BV38" s="543" t="n">
        <v>-276.163731304416</v>
      </c>
      <c r="BW38" s="543" t="n">
        <v>-276.163731304416</v>
      </c>
      <c r="BX38" s="543" t="n">
        <v>-276.163731304416</v>
      </c>
      <c r="BY38" s="543" t="n">
        <v>-276.163731304416</v>
      </c>
      <c r="BZ38" s="543" t="n">
        <v>-281.687005930504</v>
      </c>
      <c r="CA38" s="543" t="n">
        <v>-281.687005930504</v>
      </c>
      <c r="CB38" s="543" t="n">
        <v>-281.687005930504</v>
      </c>
      <c r="CC38" s="543" t="n">
        <v>-281.687005930504</v>
      </c>
      <c r="CD38" s="543" t="n">
        <v>-281.687005930504</v>
      </c>
      <c r="CE38" s="543" t="n">
        <v>-281.687005930504</v>
      </c>
      <c r="CF38" s="543" t="n">
        <v>-281.687005930504</v>
      </c>
      <c r="CG38" s="543" t="n">
        <v>-281.687005930504</v>
      </c>
      <c r="CH38" s="543" t="n">
        <v>-281.687005930504</v>
      </c>
      <c r="CI38" s="543" t="n">
        <v>-281.687005930504</v>
      </c>
      <c r="CJ38" s="543" t="n">
        <v>-281.687005930504</v>
      </c>
      <c r="CK38" s="543" t="n">
        <v>-281.687005930504</v>
      </c>
      <c r="CL38" s="543" t="n">
        <v>-287.320746049114</v>
      </c>
      <c r="CM38" s="543" t="n">
        <v>-287.320746049114</v>
      </c>
      <c r="CN38" s="543" t="n">
        <v>-287.320746049114</v>
      </c>
      <c r="CO38" s="543" t="n">
        <v>-287.320746049114</v>
      </c>
      <c r="CP38" s="543" t="n">
        <v>-287.320746049114</v>
      </c>
      <c r="CQ38" s="543" t="n">
        <v>-287.320746049114</v>
      </c>
      <c r="CR38" s="543" t="n">
        <v>-287.320746049114</v>
      </c>
      <c r="CS38" s="543" t="n">
        <v>-287.320746049114</v>
      </c>
      <c r="CT38" s="543" t="n">
        <v>-287.320746049114</v>
      </c>
      <c r="CU38" s="543" t="n">
        <v>-287.320746049114</v>
      </c>
      <c r="CV38" s="543" t="n">
        <v>-287.320746049114</v>
      </c>
      <c r="CW38" s="543" t="n">
        <v>-287.320746049114</v>
      </c>
      <c r="CX38" s="543" t="n">
        <v>-293.067160970097</v>
      </c>
      <c r="CY38" s="543" t="n">
        <v>-293.067160970097</v>
      </c>
      <c r="CZ38" s="543" t="n">
        <v>-293.067160970097</v>
      </c>
      <c r="DA38" s="543" t="n">
        <v>-293.067160970097</v>
      </c>
      <c r="DB38" s="543" t="n">
        <v>-293.067160970097</v>
      </c>
      <c r="DC38" s="543" t="n">
        <v>-293.067160970097</v>
      </c>
      <c r="DD38" s="543" t="n">
        <v>-293.067160970097</v>
      </c>
      <c r="DE38" s="543" t="n">
        <v>-293.067160970097</v>
      </c>
      <c r="DF38" s="543" t="n">
        <v>-293.067160970097</v>
      </c>
    </row>
    <row r="39" ht="15" customFormat="1" customHeight="1" s="381">
      <c r="A39" s="472" t="inlineStr">
        <is>
          <t>5500-1050 General Insurance</t>
        </is>
      </c>
      <c r="C39" s="486" t="n">
        <v>-1474.63</v>
      </c>
      <c r="D39" s="486" t="n">
        <v>-1449.33</v>
      </c>
      <c r="E39" s="486" t="n">
        <v>-2328.76</v>
      </c>
      <c r="F39" s="543" t="n">
        <v>-1750.91</v>
      </c>
      <c r="G39" s="543" t="n">
        <v>-1750.91</v>
      </c>
      <c r="H39" s="543" t="n">
        <v>-1750.91</v>
      </c>
      <c r="I39" s="543" t="n">
        <v>-1750.91</v>
      </c>
      <c r="J39" s="543" t="n">
        <v>-1750.91</v>
      </c>
      <c r="K39" s="543" t="n">
        <v>-1750.91</v>
      </c>
      <c r="L39" s="543" t="n">
        <v>-1750.91</v>
      </c>
      <c r="M39" s="543" t="n">
        <v>-1750.91</v>
      </c>
      <c r="N39" s="543" t="n">
        <v>-1750.91</v>
      </c>
      <c r="O39" s="543" t="n">
        <v>-1750.91</v>
      </c>
      <c r="P39" s="543" t="n">
        <v>-1750.91</v>
      </c>
      <c r="Q39" s="543" t="n">
        <v>-1750.91</v>
      </c>
      <c r="R39" s="543" t="n">
        <v>-1785.9282</v>
      </c>
      <c r="S39" s="543" t="n">
        <v>-1785.9282</v>
      </c>
      <c r="T39" s="543" t="n">
        <v>-1785.9282</v>
      </c>
      <c r="U39" s="543" t="n">
        <v>-1785.9282</v>
      </c>
      <c r="V39" s="543" t="n">
        <v>-1785.9282</v>
      </c>
      <c r="W39" s="543" t="n">
        <v>-1785.9282</v>
      </c>
      <c r="X39" s="543" t="n">
        <v>-1785.9282</v>
      </c>
      <c r="Y39" s="543" t="n">
        <v>-1785.9282</v>
      </c>
      <c r="Z39" s="543" t="n">
        <v>-1785.9282</v>
      </c>
      <c r="AA39" s="543" t="n">
        <v>-1785.9282</v>
      </c>
      <c r="AB39" s="543" t="n">
        <v>-1785.9282</v>
      </c>
      <c r="AC39" s="543" t="n">
        <v>-1785.9282</v>
      </c>
      <c r="AD39" s="543" t="n">
        <v>-1821.646764</v>
      </c>
      <c r="AE39" s="543" t="n">
        <v>-1821.646764</v>
      </c>
      <c r="AF39" s="543" t="n">
        <v>-1821.646764</v>
      </c>
      <c r="AG39" s="543" t="n">
        <v>-1821.646764</v>
      </c>
      <c r="AH39" s="543" t="n">
        <v>-1821.646764</v>
      </c>
      <c r="AI39" s="543" t="n">
        <v>-1821.646764</v>
      </c>
      <c r="AJ39" s="543" t="n">
        <v>-1821.646764</v>
      </c>
      <c r="AK39" s="543" t="n">
        <v>-1821.646764</v>
      </c>
      <c r="AL39" s="543" t="n">
        <v>-1821.646764</v>
      </c>
      <c r="AM39" s="543" t="n">
        <v>-1821.646764</v>
      </c>
      <c r="AN39" s="543" t="n">
        <v>-1821.646764</v>
      </c>
      <c r="AO39" s="543" t="n">
        <v>-1821.646764</v>
      </c>
      <c r="AP39" s="543" t="n">
        <v>-1858.07969928</v>
      </c>
      <c r="AQ39" s="543" t="n">
        <v>-1858.07969928</v>
      </c>
      <c r="AR39" s="543" t="n">
        <v>-1858.07969928</v>
      </c>
      <c r="AS39" s="543" t="n">
        <v>-1858.07969928</v>
      </c>
      <c r="AT39" s="543" t="n">
        <v>-1858.07969928</v>
      </c>
      <c r="AU39" s="543" t="n">
        <v>-1858.07969928</v>
      </c>
      <c r="AV39" s="543" t="n">
        <v>-1858.07969928</v>
      </c>
      <c r="AW39" s="543" t="n">
        <v>-1858.07969928</v>
      </c>
      <c r="AX39" s="543" t="n">
        <v>-1858.07969928</v>
      </c>
      <c r="AY39" s="543" t="n">
        <v>-1858.07969928</v>
      </c>
      <c r="AZ39" s="543" t="n">
        <v>-1858.07969928</v>
      </c>
      <c r="BA39" s="543" t="n">
        <v>-1858.07969928</v>
      </c>
      <c r="BB39" s="543" t="n">
        <v>-1895.2412932656</v>
      </c>
      <c r="BC39" s="543" t="n">
        <v>-1895.2412932656</v>
      </c>
      <c r="BD39" s="543" t="n">
        <v>-1895.2412932656</v>
      </c>
      <c r="BE39" s="543" t="n">
        <v>-1895.2412932656</v>
      </c>
      <c r="BF39" s="543" t="n">
        <v>-1895.2412932656</v>
      </c>
      <c r="BG39" s="543" t="n">
        <v>-1895.2412932656</v>
      </c>
      <c r="BH39" s="543" t="n">
        <v>-1895.2412932656</v>
      </c>
      <c r="BI39" s="543" t="n">
        <v>-1895.2412932656</v>
      </c>
      <c r="BJ39" s="543" t="n">
        <v>-1895.2412932656</v>
      </c>
      <c r="BK39" s="543" t="n">
        <v>-1895.2412932656</v>
      </c>
      <c r="BL39" s="543" t="n">
        <v>-1895.2412932656</v>
      </c>
      <c r="BM39" s="543" t="n">
        <v>-1895.2412932656</v>
      </c>
      <c r="BN39" s="543" t="n">
        <v>-1933.14611913091</v>
      </c>
      <c r="BO39" s="543" t="n">
        <v>-1933.14611913091</v>
      </c>
      <c r="BP39" s="543" t="n">
        <v>-1933.14611913091</v>
      </c>
      <c r="BQ39" s="543" t="n">
        <v>-1933.14611913091</v>
      </c>
      <c r="BR39" s="543" t="n">
        <v>-1933.14611913091</v>
      </c>
      <c r="BS39" s="543" t="n">
        <v>-1933.14611913091</v>
      </c>
      <c r="BT39" s="543" t="n">
        <v>-1933.14611913091</v>
      </c>
      <c r="BU39" s="543" t="n">
        <v>-1933.14611913091</v>
      </c>
      <c r="BV39" s="543" t="n">
        <v>-1933.14611913091</v>
      </c>
      <c r="BW39" s="543" t="n">
        <v>-1933.14611913091</v>
      </c>
      <c r="BX39" s="543" t="n">
        <v>-1933.14611913091</v>
      </c>
      <c r="BY39" s="543" t="n">
        <v>-1933.14611913091</v>
      </c>
      <c r="BZ39" s="543" t="n">
        <v>-1971.80904151353</v>
      </c>
      <c r="CA39" s="543" t="n">
        <v>-1971.80904151353</v>
      </c>
      <c r="CB39" s="543" t="n">
        <v>-1971.80904151353</v>
      </c>
      <c r="CC39" s="543" t="n">
        <v>-1971.80904151353</v>
      </c>
      <c r="CD39" s="543" t="n">
        <v>-1971.80904151353</v>
      </c>
      <c r="CE39" s="543" t="n">
        <v>-1971.80904151353</v>
      </c>
      <c r="CF39" s="543" t="n">
        <v>-1971.80904151353</v>
      </c>
      <c r="CG39" s="543" t="n">
        <v>-1971.80904151353</v>
      </c>
      <c r="CH39" s="543" t="n">
        <v>-1971.80904151353</v>
      </c>
      <c r="CI39" s="543" t="n">
        <v>-1971.80904151353</v>
      </c>
      <c r="CJ39" s="543" t="n">
        <v>-1971.80904151353</v>
      </c>
      <c r="CK39" s="543" t="n">
        <v>-1971.80904151353</v>
      </c>
      <c r="CL39" s="543" t="n">
        <v>-2011.2452223438</v>
      </c>
      <c r="CM39" s="543" t="n">
        <v>-2011.2452223438</v>
      </c>
      <c r="CN39" s="543" t="n">
        <v>-2011.2452223438</v>
      </c>
      <c r="CO39" s="543" t="n">
        <v>-2011.2452223438</v>
      </c>
      <c r="CP39" s="543" t="n">
        <v>-2011.2452223438</v>
      </c>
      <c r="CQ39" s="543" t="n">
        <v>-2011.2452223438</v>
      </c>
      <c r="CR39" s="543" t="n">
        <v>-2011.2452223438</v>
      </c>
      <c r="CS39" s="543" t="n">
        <v>-2011.2452223438</v>
      </c>
      <c r="CT39" s="543" t="n">
        <v>-2011.2452223438</v>
      </c>
      <c r="CU39" s="543" t="n">
        <v>-2011.2452223438</v>
      </c>
      <c r="CV39" s="543" t="n">
        <v>-2011.2452223438</v>
      </c>
      <c r="CW39" s="543" t="n">
        <v>-2011.2452223438</v>
      </c>
      <c r="CX39" s="543" t="n">
        <v>-2051.47012679068</v>
      </c>
      <c r="CY39" s="543" t="n">
        <v>-2051.47012679068</v>
      </c>
      <c r="CZ39" s="543" t="n">
        <v>-2051.47012679068</v>
      </c>
      <c r="DA39" s="543" t="n">
        <v>-2051.47012679068</v>
      </c>
      <c r="DB39" s="543" t="n">
        <v>-2051.47012679068</v>
      </c>
      <c r="DC39" s="543" t="n">
        <v>-2051.47012679068</v>
      </c>
      <c r="DD39" s="543" t="n">
        <v>-2051.47012679068</v>
      </c>
      <c r="DE39" s="543" t="n">
        <v>-2051.47012679068</v>
      </c>
      <c r="DF39" s="543" t="n">
        <v>-2051.47012679068</v>
      </c>
    </row>
    <row r="40" ht="15" customFormat="1" customHeight="1" s="381">
      <c r="A40" s="472" t="inlineStr">
        <is>
          <t>5700-1003 Other Utilities</t>
        </is>
      </c>
      <c r="C40" s="486" t="n">
        <v>-1417.61</v>
      </c>
      <c r="D40" s="486" t="n">
        <v>-2730.36</v>
      </c>
      <c r="E40" s="486" t="n">
        <v>-1818.05</v>
      </c>
      <c r="F40" s="543" t="n">
        <v>-1988.67</v>
      </c>
      <c r="G40" s="543" t="n">
        <v>-1988.67</v>
      </c>
      <c r="H40" s="543" t="n">
        <v>-1988.67</v>
      </c>
      <c r="I40" s="543" t="n">
        <v>-1988.67</v>
      </c>
      <c r="J40" s="543" t="n">
        <v>-1988.67</v>
      </c>
      <c r="K40" s="543" t="n">
        <v>-1988.67</v>
      </c>
      <c r="L40" s="543" t="n">
        <v>-1988.67</v>
      </c>
      <c r="M40" s="543" t="n">
        <v>-1988.67</v>
      </c>
      <c r="N40" s="543" t="n">
        <v>-1988.67</v>
      </c>
      <c r="O40" s="543" t="n">
        <v>-1988.67</v>
      </c>
      <c r="P40" s="543" t="n">
        <v>-1988.67</v>
      </c>
      <c r="Q40" s="543" t="n">
        <v>-1988.67</v>
      </c>
      <c r="R40" s="543" t="n">
        <v>-2028.4434</v>
      </c>
      <c r="S40" s="543" t="n">
        <v>-2028.4434</v>
      </c>
      <c r="T40" s="543" t="n">
        <v>-2028.4434</v>
      </c>
      <c r="U40" s="543" t="n">
        <v>-2028.4434</v>
      </c>
      <c r="V40" s="543" t="n">
        <v>-2028.4434</v>
      </c>
      <c r="W40" s="543" t="n">
        <v>-2028.4434</v>
      </c>
      <c r="X40" s="543" t="n">
        <v>-2028.4434</v>
      </c>
      <c r="Y40" s="543" t="n">
        <v>-2028.4434</v>
      </c>
      <c r="Z40" s="543" t="n">
        <v>-2028.4434</v>
      </c>
      <c r="AA40" s="543" t="n">
        <v>-2028.4434</v>
      </c>
      <c r="AB40" s="543" t="n">
        <v>-2028.4434</v>
      </c>
      <c r="AC40" s="543" t="n">
        <v>-2028.4434</v>
      </c>
      <c r="AD40" s="543" t="n">
        <v>-2069.012268</v>
      </c>
      <c r="AE40" s="543" t="n">
        <v>-2069.012268</v>
      </c>
      <c r="AF40" s="543" t="n">
        <v>-2069.012268</v>
      </c>
      <c r="AG40" s="543" t="n">
        <v>-2069.012268</v>
      </c>
      <c r="AH40" s="543" t="n">
        <v>-2069.012268</v>
      </c>
      <c r="AI40" s="543" t="n">
        <v>-2069.012268</v>
      </c>
      <c r="AJ40" s="543" t="n">
        <v>-2069.012268</v>
      </c>
      <c r="AK40" s="543" t="n">
        <v>-2069.012268</v>
      </c>
      <c r="AL40" s="543" t="n">
        <v>-2069.012268</v>
      </c>
      <c r="AM40" s="543" t="n">
        <v>-2069.012268</v>
      </c>
      <c r="AN40" s="543" t="n">
        <v>-2069.012268</v>
      </c>
      <c r="AO40" s="543" t="n">
        <v>-2069.012268</v>
      </c>
      <c r="AP40" s="543" t="n">
        <v>-2110.39251336</v>
      </c>
      <c r="AQ40" s="543" t="n">
        <v>-2110.39251336</v>
      </c>
      <c r="AR40" s="543" t="n">
        <v>-2110.39251336</v>
      </c>
      <c r="AS40" s="543" t="n">
        <v>-2110.39251336</v>
      </c>
      <c r="AT40" s="543" t="n">
        <v>-2110.39251336</v>
      </c>
      <c r="AU40" s="543" t="n">
        <v>-2110.39251336</v>
      </c>
      <c r="AV40" s="543" t="n">
        <v>-2110.39251336</v>
      </c>
      <c r="AW40" s="543" t="n">
        <v>-2110.39251336</v>
      </c>
      <c r="AX40" s="543" t="n">
        <v>-2110.39251336</v>
      </c>
      <c r="AY40" s="543" t="n">
        <v>-2110.39251336</v>
      </c>
      <c r="AZ40" s="543" t="n">
        <v>-2110.39251336</v>
      </c>
      <c r="BA40" s="543" t="n">
        <v>-2110.39251336</v>
      </c>
      <c r="BB40" s="543" t="n">
        <v>-2152.6003636272</v>
      </c>
      <c r="BC40" s="543" t="n">
        <v>-2152.6003636272</v>
      </c>
      <c r="BD40" s="543" t="n">
        <v>-2152.6003636272</v>
      </c>
      <c r="BE40" s="543" t="n">
        <v>-2152.6003636272</v>
      </c>
      <c r="BF40" s="543" t="n">
        <v>-2152.6003636272</v>
      </c>
      <c r="BG40" s="543" t="n">
        <v>-2152.6003636272</v>
      </c>
      <c r="BH40" s="543" t="n">
        <v>-2152.6003636272</v>
      </c>
      <c r="BI40" s="543" t="n">
        <v>-2152.6003636272</v>
      </c>
      <c r="BJ40" s="543" t="n">
        <v>-2152.6003636272</v>
      </c>
      <c r="BK40" s="543" t="n">
        <v>-2152.6003636272</v>
      </c>
      <c r="BL40" s="543" t="n">
        <v>-2152.6003636272</v>
      </c>
      <c r="BM40" s="543" t="n">
        <v>-2152.6003636272</v>
      </c>
      <c r="BN40" s="543" t="n">
        <v>-2195.65237089974</v>
      </c>
      <c r="BO40" s="543" t="n">
        <v>-2195.65237089974</v>
      </c>
      <c r="BP40" s="543" t="n">
        <v>-2195.65237089974</v>
      </c>
      <c r="BQ40" s="543" t="n">
        <v>-2195.65237089974</v>
      </c>
      <c r="BR40" s="543" t="n">
        <v>-2195.65237089974</v>
      </c>
      <c r="BS40" s="543" t="n">
        <v>-2195.65237089974</v>
      </c>
      <c r="BT40" s="543" t="n">
        <v>-2195.65237089974</v>
      </c>
      <c r="BU40" s="543" t="n">
        <v>-2195.65237089974</v>
      </c>
      <c r="BV40" s="543" t="n">
        <v>-2195.65237089974</v>
      </c>
      <c r="BW40" s="543" t="n">
        <v>-2195.65237089974</v>
      </c>
      <c r="BX40" s="543" t="n">
        <v>-2195.65237089974</v>
      </c>
      <c r="BY40" s="543" t="n">
        <v>-2195.65237089974</v>
      </c>
      <c r="BZ40" s="543" t="n">
        <v>-2239.56541831774</v>
      </c>
      <c r="CA40" s="543" t="n">
        <v>-2239.56541831774</v>
      </c>
      <c r="CB40" s="543" t="n">
        <v>-2239.56541831774</v>
      </c>
      <c r="CC40" s="543" t="n">
        <v>-2239.56541831774</v>
      </c>
      <c r="CD40" s="543" t="n">
        <v>-2239.56541831774</v>
      </c>
      <c r="CE40" s="543" t="n">
        <v>-2239.56541831774</v>
      </c>
      <c r="CF40" s="543" t="n">
        <v>-2239.56541831774</v>
      </c>
      <c r="CG40" s="543" t="n">
        <v>-2239.56541831774</v>
      </c>
      <c r="CH40" s="543" t="n">
        <v>-2239.56541831774</v>
      </c>
      <c r="CI40" s="543" t="n">
        <v>-2239.56541831774</v>
      </c>
      <c r="CJ40" s="543" t="n">
        <v>-2239.56541831774</v>
      </c>
      <c r="CK40" s="543" t="n">
        <v>-2239.56541831774</v>
      </c>
      <c r="CL40" s="543" t="n">
        <v>-2284.35672668409</v>
      </c>
      <c r="CM40" s="543" t="n">
        <v>-2284.35672668409</v>
      </c>
      <c r="CN40" s="543" t="n">
        <v>-2284.35672668409</v>
      </c>
      <c r="CO40" s="543" t="n">
        <v>-2284.35672668409</v>
      </c>
      <c r="CP40" s="543" t="n">
        <v>-2284.35672668409</v>
      </c>
      <c r="CQ40" s="543" t="n">
        <v>-2284.35672668409</v>
      </c>
      <c r="CR40" s="543" t="n">
        <v>-2284.35672668409</v>
      </c>
      <c r="CS40" s="543" t="n">
        <v>-2284.35672668409</v>
      </c>
      <c r="CT40" s="543" t="n">
        <v>-2284.35672668409</v>
      </c>
      <c r="CU40" s="543" t="n">
        <v>-2284.35672668409</v>
      </c>
      <c r="CV40" s="543" t="n">
        <v>-2284.35672668409</v>
      </c>
      <c r="CW40" s="543" t="n">
        <v>-2284.35672668409</v>
      </c>
      <c r="CX40" s="543" t="n">
        <v>-2330.04386121778</v>
      </c>
      <c r="CY40" s="543" t="n">
        <v>-2330.04386121778</v>
      </c>
      <c r="CZ40" s="543" t="n">
        <v>-2330.04386121778</v>
      </c>
      <c r="DA40" s="543" t="n">
        <v>-2330.04386121778</v>
      </c>
      <c r="DB40" s="543" t="n">
        <v>-2330.04386121778</v>
      </c>
      <c r="DC40" s="543" t="n">
        <v>-2330.04386121778</v>
      </c>
      <c r="DD40" s="543" t="n">
        <v>-2330.04386121778</v>
      </c>
      <c r="DE40" s="543" t="n">
        <v>-2330.04386121778</v>
      </c>
      <c r="DF40" s="543" t="n">
        <v>-2330.04386121778</v>
      </c>
    </row>
    <row r="41" ht="15" customFormat="1" customHeight="1" s="381">
      <c r="A41" s="472" t="inlineStr">
        <is>
          <t>5800-1003 Consulting Fee</t>
        </is>
      </c>
      <c r="C41" s="486" t="n">
        <v>0</v>
      </c>
      <c r="D41" s="486" t="n">
        <v>0</v>
      </c>
      <c r="E41" s="486" t="n">
        <v>-41990</v>
      </c>
      <c r="F41" s="543" t="n">
        <v>0</v>
      </c>
      <c r="G41" s="543" t="n">
        <v>-44250</v>
      </c>
      <c r="H41" s="543" t="n">
        <v>-45000</v>
      </c>
      <c r="I41" s="543" t="n">
        <v>-19500</v>
      </c>
      <c r="J41" s="543" t="n">
        <v>0</v>
      </c>
      <c r="K41" s="543" t="n">
        <v>0</v>
      </c>
      <c r="L41" s="543" t="n">
        <v>-37500</v>
      </c>
      <c r="M41" s="543" t="n">
        <v>-54000</v>
      </c>
      <c r="N41" s="543" t="n">
        <v>0</v>
      </c>
      <c r="O41" s="543" t="n">
        <v>0</v>
      </c>
      <c r="P41" s="543" t="n">
        <v>0</v>
      </c>
      <c r="Q41" s="543" t="n">
        <v>0</v>
      </c>
      <c r="R41" s="543" t="n">
        <v>-24000</v>
      </c>
      <c r="S41" s="543" t="n">
        <v>0</v>
      </c>
      <c r="T41" s="543" t="n">
        <v>0</v>
      </c>
      <c r="U41" s="543" t="n">
        <v>0</v>
      </c>
      <c r="V41" s="543" t="n">
        <v>0</v>
      </c>
      <c r="W41" s="543" t="n">
        <v>0</v>
      </c>
      <c r="X41" s="543" t="n">
        <v>0</v>
      </c>
      <c r="Y41" s="543" t="n">
        <v>0</v>
      </c>
      <c r="Z41" s="543" t="n">
        <v>0</v>
      </c>
      <c r="AA41" s="543" t="n">
        <v>0</v>
      </c>
      <c r="AB41" s="543" t="n">
        <v>0</v>
      </c>
      <c r="AC41" s="543" t="n">
        <v>0</v>
      </c>
      <c r="AD41" s="543" t="n">
        <v>0</v>
      </c>
      <c r="AE41" s="543" t="n">
        <v>0</v>
      </c>
      <c r="AF41" s="543" t="n">
        <v>0</v>
      </c>
      <c r="AG41" s="543" t="n">
        <v>0</v>
      </c>
      <c r="AH41" s="543" t="n">
        <v>0</v>
      </c>
      <c r="AI41" s="543" t="n">
        <v>0</v>
      </c>
      <c r="AJ41" s="543" t="n">
        <v>0</v>
      </c>
      <c r="AK41" s="543" t="n">
        <v>0</v>
      </c>
      <c r="AL41" s="543" t="n">
        <v>0</v>
      </c>
      <c r="AM41" s="543" t="n">
        <v>0</v>
      </c>
      <c r="AN41" s="543" t="n">
        <v>0</v>
      </c>
      <c r="AO41" s="543" t="n">
        <v>0</v>
      </c>
      <c r="AP41" s="543" t="n">
        <v>0</v>
      </c>
      <c r="AQ41" s="543" t="n">
        <v>0</v>
      </c>
      <c r="AR41" s="543" t="n">
        <v>0</v>
      </c>
      <c r="AS41" s="543" t="n">
        <v>0</v>
      </c>
      <c r="AT41" s="543" t="n">
        <v>0</v>
      </c>
      <c r="AU41" s="543" t="n">
        <v>0</v>
      </c>
      <c r="AV41" s="543" t="n">
        <v>0</v>
      </c>
      <c r="AW41" s="543" t="n">
        <v>0</v>
      </c>
      <c r="AX41" s="543" t="n">
        <v>0</v>
      </c>
      <c r="AY41" s="543" t="n">
        <v>0</v>
      </c>
      <c r="AZ41" s="543" t="n">
        <v>0</v>
      </c>
      <c r="BA41" s="543" t="n">
        <v>0</v>
      </c>
      <c r="BB41" s="543" t="n">
        <v>0</v>
      </c>
      <c r="BC41" s="543" t="n">
        <v>0</v>
      </c>
      <c r="BD41" s="543" t="n">
        <v>0</v>
      </c>
      <c r="BE41" s="543" t="n">
        <v>0</v>
      </c>
      <c r="BF41" s="543" t="n">
        <v>0</v>
      </c>
      <c r="BG41" s="543" t="n">
        <v>0</v>
      </c>
      <c r="BH41" s="543" t="n">
        <v>0</v>
      </c>
      <c r="BI41" s="543" t="n">
        <v>0</v>
      </c>
      <c r="BJ41" s="543" t="n">
        <v>0</v>
      </c>
      <c r="BK41" s="543" t="n">
        <v>0</v>
      </c>
      <c r="BL41" s="543" t="n">
        <v>0</v>
      </c>
      <c r="BM41" s="543" t="n">
        <v>0</v>
      </c>
      <c r="BN41" s="543" t="n">
        <v>0</v>
      </c>
      <c r="BO41" s="543" t="n">
        <v>0</v>
      </c>
      <c r="BP41" s="543" t="n">
        <v>0</v>
      </c>
      <c r="BQ41" s="543" t="n">
        <v>0</v>
      </c>
      <c r="BR41" s="543" t="n">
        <v>0</v>
      </c>
      <c r="BS41" s="543" t="n">
        <v>0</v>
      </c>
      <c r="BT41" s="543" t="n">
        <v>0</v>
      </c>
      <c r="BU41" s="543" t="n">
        <v>0</v>
      </c>
      <c r="BV41" s="543" t="n">
        <v>0</v>
      </c>
      <c r="BW41" s="543" t="n">
        <v>0</v>
      </c>
      <c r="BX41" s="543" t="n">
        <v>0</v>
      </c>
      <c r="BY41" s="543" t="n">
        <v>0</v>
      </c>
      <c r="BZ41" s="543" t="n">
        <v>0</v>
      </c>
      <c r="CA41" s="543" t="n">
        <v>0</v>
      </c>
      <c r="CB41" s="543" t="n">
        <v>0</v>
      </c>
      <c r="CC41" s="543" t="n">
        <v>0</v>
      </c>
      <c r="CD41" s="543" t="n">
        <v>0</v>
      </c>
      <c r="CE41" s="543" t="n">
        <v>0</v>
      </c>
      <c r="CF41" s="543" t="n">
        <v>0</v>
      </c>
      <c r="CG41" s="543" t="n">
        <v>0</v>
      </c>
      <c r="CH41" s="543" t="n">
        <v>0</v>
      </c>
      <c r="CI41" s="543" t="n">
        <v>0</v>
      </c>
      <c r="CJ41" s="543" t="n">
        <v>0</v>
      </c>
      <c r="CK41" s="543" t="n">
        <v>0</v>
      </c>
      <c r="CL41" s="543" t="n">
        <v>0</v>
      </c>
      <c r="CM41" s="543" t="n">
        <v>0</v>
      </c>
      <c r="CN41" s="543" t="n">
        <v>0</v>
      </c>
      <c r="CO41" s="543" t="n">
        <v>0</v>
      </c>
      <c r="CP41" s="543" t="n">
        <v>0</v>
      </c>
      <c r="CQ41" s="543" t="n">
        <v>0</v>
      </c>
      <c r="CR41" s="543" t="n">
        <v>0</v>
      </c>
      <c r="CS41" s="543" t="n">
        <v>0</v>
      </c>
      <c r="CT41" s="543" t="n">
        <v>0</v>
      </c>
      <c r="CU41" s="543" t="n">
        <v>0</v>
      </c>
      <c r="CV41" s="543" t="n">
        <v>0</v>
      </c>
      <c r="CW41" s="543" t="n">
        <v>0</v>
      </c>
      <c r="CX41" s="543" t="n">
        <v>0</v>
      </c>
      <c r="CY41" s="543" t="n">
        <v>0</v>
      </c>
      <c r="CZ41" s="543" t="n">
        <v>0</v>
      </c>
      <c r="DA41" s="543" t="n">
        <v>0</v>
      </c>
      <c r="DB41" s="543" t="n">
        <v>0</v>
      </c>
      <c r="DC41" s="543" t="n">
        <v>0</v>
      </c>
      <c r="DD41" s="543" t="n">
        <v>0</v>
      </c>
      <c r="DE41" s="543" t="n">
        <v>0</v>
      </c>
      <c r="DF41" s="543" t="n">
        <v>0</v>
      </c>
    </row>
    <row r="42" ht="15" customFormat="1" customHeight="1" s="381">
      <c r="A42" s="472" t="inlineStr">
        <is>
          <t>5900-1000 Security Monitoring</t>
        </is>
      </c>
      <c r="C42" s="486" t="n">
        <v>-165</v>
      </c>
      <c r="D42" s="486" t="n">
        <v>0</v>
      </c>
      <c r="E42" s="486" t="n">
        <v>0</v>
      </c>
      <c r="F42" s="543" t="n">
        <v>-55</v>
      </c>
      <c r="G42" s="543" t="n">
        <v>-55</v>
      </c>
      <c r="H42" s="543" t="n">
        <v>-55</v>
      </c>
      <c r="I42" s="543" t="n">
        <v>-55</v>
      </c>
      <c r="J42" s="543" t="n">
        <v>-55</v>
      </c>
      <c r="K42" s="543" t="n">
        <v>-55</v>
      </c>
      <c r="L42" s="543" t="n">
        <v>-55</v>
      </c>
      <c r="M42" s="543" t="n">
        <v>-55</v>
      </c>
      <c r="N42" s="543" t="n">
        <v>-55</v>
      </c>
      <c r="O42" s="543" t="n">
        <v>-55</v>
      </c>
      <c r="P42" s="543" t="n">
        <v>-55</v>
      </c>
      <c r="Q42" s="543" t="n">
        <v>-55</v>
      </c>
      <c r="R42" s="543" t="n">
        <v>-56.1</v>
      </c>
      <c r="S42" s="543" t="n">
        <v>-56.1</v>
      </c>
      <c r="T42" s="543" t="n">
        <v>-56.1</v>
      </c>
      <c r="U42" s="543" t="n">
        <v>-56.1</v>
      </c>
      <c r="V42" s="543" t="n">
        <v>-56.1</v>
      </c>
      <c r="W42" s="543" t="n">
        <v>-56.1</v>
      </c>
      <c r="X42" s="543" t="n">
        <v>-56.1</v>
      </c>
      <c r="Y42" s="543" t="n">
        <v>-56.1</v>
      </c>
      <c r="Z42" s="543" t="n">
        <v>-56.1</v>
      </c>
      <c r="AA42" s="543" t="n">
        <v>-56.1</v>
      </c>
      <c r="AB42" s="543" t="n">
        <v>-56.1</v>
      </c>
      <c r="AC42" s="543" t="n">
        <v>-56.1</v>
      </c>
      <c r="AD42" s="543" t="n">
        <v>-57.222</v>
      </c>
      <c r="AE42" s="543" t="n">
        <v>-57.222</v>
      </c>
      <c r="AF42" s="543" t="n">
        <v>-57.222</v>
      </c>
      <c r="AG42" s="543" t="n">
        <v>-57.222</v>
      </c>
      <c r="AH42" s="543" t="n">
        <v>-57.222</v>
      </c>
      <c r="AI42" s="543" t="n">
        <v>-57.222</v>
      </c>
      <c r="AJ42" s="543" t="n">
        <v>-57.222</v>
      </c>
      <c r="AK42" s="543" t="n">
        <v>-57.222</v>
      </c>
      <c r="AL42" s="543" t="n">
        <v>-57.222</v>
      </c>
      <c r="AM42" s="543" t="n">
        <v>-57.222</v>
      </c>
      <c r="AN42" s="543" t="n">
        <v>-57.222</v>
      </c>
      <c r="AO42" s="543" t="n">
        <v>-57.222</v>
      </c>
      <c r="AP42" s="543" t="n">
        <v>-58.36644</v>
      </c>
      <c r="AQ42" s="543" t="n">
        <v>-58.36644</v>
      </c>
      <c r="AR42" s="543" t="n">
        <v>-58.36644</v>
      </c>
      <c r="AS42" s="543" t="n">
        <v>-58.36644</v>
      </c>
      <c r="AT42" s="543" t="n">
        <v>-58.36644</v>
      </c>
      <c r="AU42" s="543" t="n">
        <v>-58.36644</v>
      </c>
      <c r="AV42" s="543" t="n">
        <v>-58.36644</v>
      </c>
      <c r="AW42" s="543" t="n">
        <v>-58.36644</v>
      </c>
      <c r="AX42" s="543" t="n">
        <v>-58.36644</v>
      </c>
      <c r="AY42" s="543" t="n">
        <v>-58.36644</v>
      </c>
      <c r="AZ42" s="543" t="n">
        <v>-58.36644</v>
      </c>
      <c r="BA42" s="543" t="n">
        <v>-58.36644</v>
      </c>
      <c r="BB42" s="543" t="n">
        <v>-59.5337688</v>
      </c>
      <c r="BC42" s="543" t="n">
        <v>-59.5337688</v>
      </c>
      <c r="BD42" s="543" t="n">
        <v>-59.5337688</v>
      </c>
      <c r="BE42" s="543" t="n">
        <v>-59.5337688</v>
      </c>
      <c r="BF42" s="543" t="n">
        <v>-59.5337688</v>
      </c>
      <c r="BG42" s="543" t="n">
        <v>-59.5337688</v>
      </c>
      <c r="BH42" s="543" t="n">
        <v>-59.5337688</v>
      </c>
      <c r="BI42" s="543" t="n">
        <v>-59.5337688</v>
      </c>
      <c r="BJ42" s="543" t="n">
        <v>-59.5337688</v>
      </c>
      <c r="BK42" s="543" t="n">
        <v>-59.5337688</v>
      </c>
      <c r="BL42" s="543" t="n">
        <v>-59.5337688</v>
      </c>
      <c r="BM42" s="543" t="n">
        <v>-59.5337688</v>
      </c>
      <c r="BN42" s="543" t="n">
        <v>-60.724444176</v>
      </c>
      <c r="BO42" s="543" t="n">
        <v>-60.724444176</v>
      </c>
      <c r="BP42" s="543" t="n">
        <v>-60.724444176</v>
      </c>
      <c r="BQ42" s="543" t="n">
        <v>-60.724444176</v>
      </c>
      <c r="BR42" s="543" t="n">
        <v>-60.724444176</v>
      </c>
      <c r="BS42" s="543" t="n">
        <v>-60.724444176</v>
      </c>
      <c r="BT42" s="543" t="n">
        <v>-60.724444176</v>
      </c>
      <c r="BU42" s="543" t="n">
        <v>-60.724444176</v>
      </c>
      <c r="BV42" s="543" t="n">
        <v>-60.724444176</v>
      </c>
      <c r="BW42" s="543" t="n">
        <v>-60.724444176</v>
      </c>
      <c r="BX42" s="543" t="n">
        <v>-60.724444176</v>
      </c>
      <c r="BY42" s="543" t="n">
        <v>-60.724444176</v>
      </c>
      <c r="BZ42" s="543" t="n">
        <v>-61.93893305952</v>
      </c>
      <c r="CA42" s="543" t="n">
        <v>-61.93893305952</v>
      </c>
      <c r="CB42" s="543" t="n">
        <v>-61.93893305952</v>
      </c>
      <c r="CC42" s="543" t="n">
        <v>-61.93893305952</v>
      </c>
      <c r="CD42" s="543" t="n">
        <v>-61.93893305952</v>
      </c>
      <c r="CE42" s="543" t="n">
        <v>-61.93893305952</v>
      </c>
      <c r="CF42" s="543" t="n">
        <v>-61.93893305952</v>
      </c>
      <c r="CG42" s="543" t="n">
        <v>-61.93893305952</v>
      </c>
      <c r="CH42" s="543" t="n">
        <v>-61.93893305952</v>
      </c>
      <c r="CI42" s="543" t="n">
        <v>-61.93893305952</v>
      </c>
      <c r="CJ42" s="543" t="n">
        <v>-61.93893305952</v>
      </c>
      <c r="CK42" s="543" t="n">
        <v>-61.93893305952</v>
      </c>
      <c r="CL42" s="543" t="n">
        <v>-63.1777117207104</v>
      </c>
      <c r="CM42" s="543" t="n">
        <v>-63.1777117207104</v>
      </c>
      <c r="CN42" s="543" t="n">
        <v>-63.1777117207104</v>
      </c>
      <c r="CO42" s="543" t="n">
        <v>-63.1777117207104</v>
      </c>
      <c r="CP42" s="543" t="n">
        <v>-63.1777117207104</v>
      </c>
      <c r="CQ42" s="543" t="n">
        <v>-63.1777117207104</v>
      </c>
      <c r="CR42" s="543" t="n">
        <v>-63.1777117207104</v>
      </c>
      <c r="CS42" s="543" t="n">
        <v>-63.1777117207104</v>
      </c>
      <c r="CT42" s="543" t="n">
        <v>-63.1777117207104</v>
      </c>
      <c r="CU42" s="543" t="n">
        <v>-63.1777117207104</v>
      </c>
      <c r="CV42" s="543" t="n">
        <v>-63.1777117207104</v>
      </c>
      <c r="CW42" s="543" t="n">
        <v>-63.1777117207104</v>
      </c>
      <c r="CX42" s="543" t="n">
        <v>-64.44126595512461</v>
      </c>
      <c r="CY42" s="543" t="n">
        <v>-64.44126595512461</v>
      </c>
      <c r="CZ42" s="543" t="n">
        <v>-64.44126595512461</v>
      </c>
      <c r="DA42" s="543" t="n">
        <v>-64.44126595512461</v>
      </c>
      <c r="DB42" s="543" t="n">
        <v>-64.44126595512461</v>
      </c>
      <c r="DC42" s="543" t="n">
        <v>-64.44126595512461</v>
      </c>
      <c r="DD42" s="543" t="n">
        <v>-64.44126595512461</v>
      </c>
      <c r="DE42" s="543" t="n">
        <v>-64.44126595512461</v>
      </c>
      <c r="DF42" s="543" t="n">
        <v>-64.44126595512461</v>
      </c>
    </row>
    <row r="43" ht="15" customFormat="1" customHeight="1" s="381">
      <c r="A43" s="472" t="inlineStr">
        <is>
          <t>5900-1002 Repairs and Maintenance</t>
        </is>
      </c>
      <c r="C43" s="547" t="n">
        <v>0</v>
      </c>
      <c r="D43" s="547" t="n">
        <v>0</v>
      </c>
      <c r="E43" s="547" t="n">
        <v>0</v>
      </c>
      <c r="F43" s="543" t="n">
        <v>0</v>
      </c>
      <c r="G43" s="543" t="n">
        <v>0</v>
      </c>
      <c r="H43" s="543" t="n">
        <v>0</v>
      </c>
      <c r="I43" s="543" t="n">
        <v>0</v>
      </c>
      <c r="J43" s="543" t="n">
        <v>0</v>
      </c>
      <c r="K43" s="543" t="n">
        <v>0</v>
      </c>
      <c r="L43" s="543" t="n">
        <v>0</v>
      </c>
      <c r="M43" s="543" t="n">
        <v>0</v>
      </c>
      <c r="N43" s="543" t="n">
        <v>0</v>
      </c>
      <c r="O43" s="543" t="n">
        <v>0</v>
      </c>
      <c r="P43" s="543" t="n">
        <v>0</v>
      </c>
      <c r="Q43" s="543" t="n">
        <v>0</v>
      </c>
      <c r="R43" s="543" t="n">
        <v>0</v>
      </c>
      <c r="S43" s="543" t="n">
        <v>0</v>
      </c>
      <c r="T43" s="543" t="n">
        <v>0</v>
      </c>
      <c r="U43" s="543" t="n">
        <v>0</v>
      </c>
      <c r="V43" s="543" t="n">
        <v>0</v>
      </c>
      <c r="W43" s="543" t="n">
        <v>0</v>
      </c>
      <c r="X43" s="543" t="n">
        <v>0</v>
      </c>
      <c r="Y43" s="543" t="n">
        <v>0</v>
      </c>
      <c r="Z43" s="543" t="n">
        <v>0</v>
      </c>
      <c r="AA43" s="543" t="n">
        <v>0</v>
      </c>
      <c r="AB43" s="543" t="n">
        <v>0</v>
      </c>
      <c r="AC43" s="543" t="n">
        <v>0</v>
      </c>
      <c r="AD43" s="543" t="n">
        <v>0</v>
      </c>
      <c r="AE43" s="543" t="n">
        <v>0</v>
      </c>
      <c r="AF43" s="543" t="n">
        <v>0</v>
      </c>
      <c r="AG43" s="543" t="n">
        <v>0</v>
      </c>
      <c r="AH43" s="543" t="n">
        <v>0</v>
      </c>
      <c r="AI43" s="543" t="n">
        <v>0</v>
      </c>
      <c r="AJ43" s="543" t="n">
        <v>0</v>
      </c>
      <c r="AK43" s="543" t="n">
        <v>0</v>
      </c>
      <c r="AL43" s="543" t="n">
        <v>0</v>
      </c>
      <c r="AM43" s="543" t="n">
        <v>0</v>
      </c>
      <c r="AN43" s="543" t="n">
        <v>0</v>
      </c>
      <c r="AO43" s="543" t="n">
        <v>0</v>
      </c>
      <c r="AP43" s="543" t="n">
        <v>0</v>
      </c>
      <c r="AQ43" s="543" t="n">
        <v>0</v>
      </c>
      <c r="AR43" s="543" t="n">
        <v>0</v>
      </c>
      <c r="AS43" s="543" t="n">
        <v>0</v>
      </c>
      <c r="AT43" s="543" t="n">
        <v>0</v>
      </c>
      <c r="AU43" s="543" t="n">
        <v>0</v>
      </c>
      <c r="AV43" s="543" t="n">
        <v>0</v>
      </c>
      <c r="AW43" s="543" t="n">
        <v>0</v>
      </c>
      <c r="AX43" s="543" t="n">
        <v>0</v>
      </c>
      <c r="AY43" s="543" t="n">
        <v>0</v>
      </c>
      <c r="AZ43" s="543" t="n">
        <v>0</v>
      </c>
      <c r="BA43" s="543" t="n">
        <v>0</v>
      </c>
      <c r="BB43" s="543" t="n">
        <v>0</v>
      </c>
      <c r="BC43" s="543" t="n">
        <v>0</v>
      </c>
      <c r="BD43" s="543" t="n">
        <v>0</v>
      </c>
      <c r="BE43" s="543" t="n">
        <v>0</v>
      </c>
      <c r="BF43" s="543" t="n">
        <v>0</v>
      </c>
      <c r="BG43" s="543" t="n">
        <v>0</v>
      </c>
      <c r="BH43" s="543" t="n">
        <v>0</v>
      </c>
      <c r="BI43" s="543" t="n">
        <v>0</v>
      </c>
      <c r="BJ43" s="543" t="n">
        <v>0</v>
      </c>
      <c r="BK43" s="543" t="n">
        <v>0</v>
      </c>
      <c r="BL43" s="543" t="n">
        <v>0</v>
      </c>
      <c r="BM43" s="543" t="n">
        <v>0</v>
      </c>
      <c r="BN43" s="543" t="n">
        <v>0</v>
      </c>
      <c r="BO43" s="543" t="n">
        <v>0</v>
      </c>
      <c r="BP43" s="543" t="n">
        <v>0</v>
      </c>
      <c r="BQ43" s="543" t="n">
        <v>0</v>
      </c>
      <c r="BR43" s="543" t="n">
        <v>0</v>
      </c>
      <c r="BS43" s="543" t="n">
        <v>0</v>
      </c>
      <c r="BT43" s="543" t="n">
        <v>0</v>
      </c>
      <c r="BU43" s="543" t="n">
        <v>0</v>
      </c>
      <c r="BV43" s="543" t="n">
        <v>0</v>
      </c>
      <c r="BW43" s="543" t="n">
        <v>0</v>
      </c>
      <c r="BX43" s="543" t="n">
        <v>0</v>
      </c>
      <c r="BY43" s="543" t="n">
        <v>0</v>
      </c>
      <c r="BZ43" s="543" t="n">
        <v>0</v>
      </c>
      <c r="CA43" s="543" t="n">
        <v>0</v>
      </c>
      <c r="CB43" s="543" t="n">
        <v>0</v>
      </c>
      <c r="CC43" s="543" t="n">
        <v>0</v>
      </c>
      <c r="CD43" s="543" t="n">
        <v>0</v>
      </c>
      <c r="CE43" s="543" t="n">
        <v>0</v>
      </c>
      <c r="CF43" s="543" t="n">
        <v>0</v>
      </c>
      <c r="CG43" s="543" t="n">
        <v>0</v>
      </c>
      <c r="CH43" s="543" t="n">
        <v>0</v>
      </c>
      <c r="CI43" s="543" t="n">
        <v>0</v>
      </c>
      <c r="CJ43" s="543" t="n">
        <v>0</v>
      </c>
      <c r="CK43" s="543" t="n">
        <v>0</v>
      </c>
      <c r="CL43" s="543" t="n">
        <v>0</v>
      </c>
      <c r="CM43" s="543" t="n">
        <v>0</v>
      </c>
      <c r="CN43" s="543" t="n">
        <v>0</v>
      </c>
      <c r="CO43" s="543" t="n">
        <v>0</v>
      </c>
      <c r="CP43" s="543" t="n">
        <v>0</v>
      </c>
      <c r="CQ43" s="543" t="n">
        <v>0</v>
      </c>
      <c r="CR43" s="543" t="n">
        <v>0</v>
      </c>
      <c r="CS43" s="543" t="n">
        <v>0</v>
      </c>
      <c r="CT43" s="543" t="n">
        <v>0</v>
      </c>
      <c r="CU43" s="543" t="n">
        <v>0</v>
      </c>
      <c r="CV43" s="543" t="n">
        <v>0</v>
      </c>
      <c r="CW43" s="543" t="n">
        <v>0</v>
      </c>
      <c r="CX43" s="543" t="n">
        <v>0</v>
      </c>
      <c r="CY43" s="543" t="n">
        <v>0</v>
      </c>
      <c r="CZ43" s="543" t="n">
        <v>0</v>
      </c>
      <c r="DA43" s="543" t="n">
        <v>0</v>
      </c>
      <c r="DB43" s="543" t="n">
        <v>0</v>
      </c>
      <c r="DC43" s="543" t="n">
        <v>0</v>
      </c>
      <c r="DD43" s="543" t="n">
        <v>0</v>
      </c>
      <c r="DE43" s="543" t="n">
        <v>0</v>
      </c>
      <c r="DF43" s="543" t="n">
        <v>0</v>
      </c>
    </row>
    <row r="44" ht="15" customFormat="1" customHeight="1" s="381">
      <c r="A44" s="472" t="inlineStr">
        <is>
          <t>5900-1003 Janitorial and Cleaning Expenses</t>
        </is>
      </c>
      <c r="C44" s="486" t="n">
        <v>-550</v>
      </c>
      <c r="D44" s="486" t="n">
        <v>-550</v>
      </c>
      <c r="E44" s="486" t="n">
        <v>-550</v>
      </c>
      <c r="F44" s="543" t="n">
        <v>-550</v>
      </c>
      <c r="G44" s="543" t="n">
        <v>-550</v>
      </c>
      <c r="H44" s="543" t="n">
        <v>-550</v>
      </c>
      <c r="I44" s="543" t="n">
        <v>-550</v>
      </c>
      <c r="J44" s="543" t="n">
        <v>-550</v>
      </c>
      <c r="K44" s="543" t="n">
        <v>-550</v>
      </c>
      <c r="L44" s="543" t="n">
        <v>-550</v>
      </c>
      <c r="M44" s="543" t="n">
        <v>-550</v>
      </c>
      <c r="N44" s="543" t="n">
        <v>-550</v>
      </c>
      <c r="O44" s="543" t="n">
        <v>-550</v>
      </c>
      <c r="P44" s="543" t="n">
        <v>-550</v>
      </c>
      <c r="Q44" s="543" t="n">
        <v>-550</v>
      </c>
      <c r="R44" s="543" t="n">
        <v>-561</v>
      </c>
      <c r="S44" s="543" t="n">
        <v>-561</v>
      </c>
      <c r="T44" s="543" t="n">
        <v>-561</v>
      </c>
      <c r="U44" s="543" t="n">
        <v>-561</v>
      </c>
      <c r="V44" s="543" t="n">
        <v>-561</v>
      </c>
      <c r="W44" s="543" t="n">
        <v>-561</v>
      </c>
      <c r="X44" s="543" t="n">
        <v>-561</v>
      </c>
      <c r="Y44" s="543" t="n">
        <v>-561</v>
      </c>
      <c r="Z44" s="543" t="n">
        <v>-561</v>
      </c>
      <c r="AA44" s="543" t="n">
        <v>-561</v>
      </c>
      <c r="AB44" s="543" t="n">
        <v>-561</v>
      </c>
      <c r="AC44" s="543" t="n">
        <v>-561</v>
      </c>
      <c r="AD44" s="543" t="n">
        <v>-572.22</v>
      </c>
      <c r="AE44" s="543" t="n">
        <v>-572.22</v>
      </c>
      <c r="AF44" s="543" t="n">
        <v>-572.22</v>
      </c>
      <c r="AG44" s="543" t="n">
        <v>-572.22</v>
      </c>
      <c r="AH44" s="543" t="n">
        <v>-572.22</v>
      </c>
      <c r="AI44" s="543" t="n">
        <v>-572.22</v>
      </c>
      <c r="AJ44" s="543" t="n">
        <v>-572.22</v>
      </c>
      <c r="AK44" s="543" t="n">
        <v>-572.22</v>
      </c>
      <c r="AL44" s="543" t="n">
        <v>-572.22</v>
      </c>
      <c r="AM44" s="543" t="n">
        <v>-572.22</v>
      </c>
      <c r="AN44" s="543" t="n">
        <v>-572.22</v>
      </c>
      <c r="AO44" s="543" t="n">
        <v>-572.22</v>
      </c>
      <c r="AP44" s="543" t="n">
        <v>-583.6644</v>
      </c>
      <c r="AQ44" s="543" t="n">
        <v>-583.6644</v>
      </c>
      <c r="AR44" s="543" t="n">
        <v>-583.6644</v>
      </c>
      <c r="AS44" s="543" t="n">
        <v>-583.6644</v>
      </c>
      <c r="AT44" s="543" t="n">
        <v>-583.6644</v>
      </c>
      <c r="AU44" s="543" t="n">
        <v>-583.6644</v>
      </c>
      <c r="AV44" s="543" t="n">
        <v>-583.6644</v>
      </c>
      <c r="AW44" s="543" t="n">
        <v>-583.6644</v>
      </c>
      <c r="AX44" s="543" t="n">
        <v>-583.6644</v>
      </c>
      <c r="AY44" s="543" t="n">
        <v>-583.6644</v>
      </c>
      <c r="AZ44" s="543" t="n">
        <v>-583.6644</v>
      </c>
      <c r="BA44" s="543" t="n">
        <v>-583.6644</v>
      </c>
      <c r="BB44" s="543" t="n">
        <v>-595.337688</v>
      </c>
      <c r="BC44" s="543" t="n">
        <v>-595.337688</v>
      </c>
      <c r="BD44" s="543" t="n">
        <v>-595.337688</v>
      </c>
      <c r="BE44" s="543" t="n">
        <v>-595.337688</v>
      </c>
      <c r="BF44" s="543" t="n">
        <v>-595.337688</v>
      </c>
      <c r="BG44" s="543" t="n">
        <v>-595.337688</v>
      </c>
      <c r="BH44" s="543" t="n">
        <v>-595.337688</v>
      </c>
      <c r="BI44" s="543" t="n">
        <v>-595.337688</v>
      </c>
      <c r="BJ44" s="543" t="n">
        <v>-595.337688</v>
      </c>
      <c r="BK44" s="543" t="n">
        <v>-595.337688</v>
      </c>
      <c r="BL44" s="543" t="n">
        <v>-595.337688</v>
      </c>
      <c r="BM44" s="543" t="n">
        <v>-595.337688</v>
      </c>
      <c r="BN44" s="543" t="n">
        <v>-607.24444176</v>
      </c>
      <c r="BO44" s="543" t="n">
        <v>-607.24444176</v>
      </c>
      <c r="BP44" s="543" t="n">
        <v>-607.24444176</v>
      </c>
      <c r="BQ44" s="543" t="n">
        <v>-607.24444176</v>
      </c>
      <c r="BR44" s="543" t="n">
        <v>-607.24444176</v>
      </c>
      <c r="BS44" s="543" t="n">
        <v>-607.24444176</v>
      </c>
      <c r="BT44" s="543" t="n">
        <v>-607.24444176</v>
      </c>
      <c r="BU44" s="543" t="n">
        <v>-607.24444176</v>
      </c>
      <c r="BV44" s="543" t="n">
        <v>-607.24444176</v>
      </c>
      <c r="BW44" s="543" t="n">
        <v>-607.24444176</v>
      </c>
      <c r="BX44" s="543" t="n">
        <v>-607.24444176</v>
      </c>
      <c r="BY44" s="543" t="n">
        <v>-607.24444176</v>
      </c>
      <c r="BZ44" s="543" t="n">
        <v>-619.3893305952</v>
      </c>
      <c r="CA44" s="543" t="n">
        <v>-619.3893305952</v>
      </c>
      <c r="CB44" s="543" t="n">
        <v>-619.3893305952</v>
      </c>
      <c r="CC44" s="543" t="n">
        <v>-619.3893305952</v>
      </c>
      <c r="CD44" s="543" t="n">
        <v>-619.3893305952</v>
      </c>
      <c r="CE44" s="543" t="n">
        <v>-619.3893305952</v>
      </c>
      <c r="CF44" s="543" t="n">
        <v>-619.3893305952</v>
      </c>
      <c r="CG44" s="543" t="n">
        <v>-619.3893305952</v>
      </c>
      <c r="CH44" s="543" t="n">
        <v>-619.3893305952</v>
      </c>
      <c r="CI44" s="543" t="n">
        <v>-619.3893305952</v>
      </c>
      <c r="CJ44" s="543" t="n">
        <v>-619.3893305952</v>
      </c>
      <c r="CK44" s="543" t="n">
        <v>-619.3893305952</v>
      </c>
      <c r="CL44" s="543" t="n">
        <v>-631.777117207104</v>
      </c>
      <c r="CM44" s="543" t="n">
        <v>-631.777117207104</v>
      </c>
      <c r="CN44" s="543" t="n">
        <v>-631.777117207104</v>
      </c>
      <c r="CO44" s="543" t="n">
        <v>-631.777117207104</v>
      </c>
      <c r="CP44" s="543" t="n">
        <v>-631.777117207104</v>
      </c>
      <c r="CQ44" s="543" t="n">
        <v>-631.777117207104</v>
      </c>
      <c r="CR44" s="543" t="n">
        <v>-631.777117207104</v>
      </c>
      <c r="CS44" s="543" t="n">
        <v>-631.777117207104</v>
      </c>
      <c r="CT44" s="543" t="n">
        <v>-631.777117207104</v>
      </c>
      <c r="CU44" s="543" t="n">
        <v>-631.777117207104</v>
      </c>
      <c r="CV44" s="543" t="n">
        <v>-631.777117207104</v>
      </c>
      <c r="CW44" s="543" t="n">
        <v>-631.777117207104</v>
      </c>
      <c r="CX44" s="543" t="n">
        <v>-644.412659551246</v>
      </c>
      <c r="CY44" s="543" t="n">
        <v>-644.412659551246</v>
      </c>
      <c r="CZ44" s="543" t="n">
        <v>-644.412659551246</v>
      </c>
      <c r="DA44" s="543" t="n">
        <v>-644.412659551246</v>
      </c>
      <c r="DB44" s="543" t="n">
        <v>-644.412659551246</v>
      </c>
      <c r="DC44" s="543" t="n">
        <v>-644.412659551246</v>
      </c>
      <c r="DD44" s="543" t="n">
        <v>-644.412659551246</v>
      </c>
      <c r="DE44" s="543" t="n">
        <v>-644.412659551246</v>
      </c>
      <c r="DF44" s="543" t="n">
        <v>-644.412659551246</v>
      </c>
    </row>
    <row r="45" ht="15" customFormat="1" customHeight="1" s="381">
      <c r="A45" s="482" t="inlineStr">
        <is>
          <t>5900-1005 Supplies and Other Job Site Overhead</t>
        </is>
      </c>
      <c r="C45" s="544" t="n">
        <v>-19223.75</v>
      </c>
      <c r="D45" s="544" t="n">
        <v>-13381.97</v>
      </c>
      <c r="E45" s="544" t="n">
        <v>-20308.69</v>
      </c>
      <c r="F45" s="544" t="n">
        <v>-17638.14</v>
      </c>
      <c r="G45" s="544" t="n">
        <v>-17638.14</v>
      </c>
      <c r="H45" s="544" t="n">
        <v>-17638.14</v>
      </c>
      <c r="I45" s="544" t="n">
        <v>-17638.14</v>
      </c>
      <c r="J45" s="544" t="n">
        <v>-17638.14</v>
      </c>
      <c r="K45" s="544" t="n">
        <v>-17638.14</v>
      </c>
      <c r="L45" s="544" t="n">
        <v>-17638.14</v>
      </c>
      <c r="M45" s="544" t="n">
        <v>-17638.14</v>
      </c>
      <c r="N45" s="544" t="n">
        <v>-17638.14</v>
      </c>
      <c r="O45" s="544" t="n">
        <v>-17638.14</v>
      </c>
      <c r="P45" s="544" t="n">
        <v>-17638.14</v>
      </c>
      <c r="Q45" s="544" t="n">
        <v>-17638.14</v>
      </c>
      <c r="R45" s="544" t="n">
        <v>-17990.9028</v>
      </c>
      <c r="S45" s="544" t="n">
        <v>-17990.9028</v>
      </c>
      <c r="T45" s="544" t="n">
        <v>-17990.9028</v>
      </c>
      <c r="U45" s="544" t="n">
        <v>-17990.9028</v>
      </c>
      <c r="V45" s="544" t="n">
        <v>-17990.9028</v>
      </c>
      <c r="W45" s="544" t="n">
        <v>-17990.9028</v>
      </c>
      <c r="X45" s="544" t="n">
        <v>-17990.9028</v>
      </c>
      <c r="Y45" s="544" t="n">
        <v>-17990.9028</v>
      </c>
      <c r="Z45" s="544" t="n">
        <v>-17990.9028</v>
      </c>
      <c r="AA45" s="544" t="n">
        <v>-17990.9028</v>
      </c>
      <c r="AB45" s="544" t="n">
        <v>-17990.9028</v>
      </c>
      <c r="AC45" s="544" t="n">
        <v>-17990.9028</v>
      </c>
      <c r="AD45" s="544" t="n">
        <v>-18350.720856</v>
      </c>
      <c r="AE45" s="544" t="n">
        <v>-18350.720856</v>
      </c>
      <c r="AF45" s="544" t="n">
        <v>-18350.720856</v>
      </c>
      <c r="AG45" s="544" t="n">
        <v>-18350.720856</v>
      </c>
      <c r="AH45" s="544" t="n">
        <v>-18350.720856</v>
      </c>
      <c r="AI45" s="544" t="n">
        <v>-18350.720856</v>
      </c>
      <c r="AJ45" s="544" t="n">
        <v>-18350.720856</v>
      </c>
      <c r="AK45" s="544" t="n">
        <v>-18350.720856</v>
      </c>
      <c r="AL45" s="544" t="n">
        <v>-18350.720856</v>
      </c>
      <c r="AM45" s="544" t="n">
        <v>-18350.720856</v>
      </c>
      <c r="AN45" s="544" t="n">
        <v>-18350.720856</v>
      </c>
      <c r="AO45" s="544" t="n">
        <v>-18350.720856</v>
      </c>
      <c r="AP45" s="544" t="n">
        <v>-18717.73527312</v>
      </c>
      <c r="AQ45" s="544" t="n">
        <v>-18717.73527312</v>
      </c>
      <c r="AR45" s="544" t="n">
        <v>-18717.73527312</v>
      </c>
      <c r="AS45" s="544" t="n">
        <v>-18717.73527312</v>
      </c>
      <c r="AT45" s="544" t="n">
        <v>-18717.73527312</v>
      </c>
      <c r="AU45" s="544" t="n">
        <v>-18717.73527312</v>
      </c>
      <c r="AV45" s="544" t="n">
        <v>-18717.73527312</v>
      </c>
      <c r="AW45" s="544" t="n">
        <v>-18717.73527312</v>
      </c>
      <c r="AX45" s="544" t="n">
        <v>-18717.73527312</v>
      </c>
      <c r="AY45" s="544" t="n">
        <v>-18717.73527312</v>
      </c>
      <c r="AZ45" s="544" t="n">
        <v>-18717.73527312</v>
      </c>
      <c r="BA45" s="544" t="n">
        <v>-18717.73527312</v>
      </c>
      <c r="BB45" s="544" t="n">
        <v>-19092.0899785824</v>
      </c>
      <c r="BC45" s="544" t="n">
        <v>-19092.0899785824</v>
      </c>
      <c r="BD45" s="544" t="n">
        <v>-19092.0899785824</v>
      </c>
      <c r="BE45" s="544" t="n">
        <v>-19092.0899785824</v>
      </c>
      <c r="BF45" s="544" t="n">
        <v>-19092.0899785824</v>
      </c>
      <c r="BG45" s="544" t="n">
        <v>-19092.0899785824</v>
      </c>
      <c r="BH45" s="544" t="n">
        <v>-19092.0899785824</v>
      </c>
      <c r="BI45" s="544" t="n">
        <v>-19092.0899785824</v>
      </c>
      <c r="BJ45" s="544" t="n">
        <v>-19092.0899785824</v>
      </c>
      <c r="BK45" s="544" t="n">
        <v>-19092.0899785824</v>
      </c>
      <c r="BL45" s="544" t="n">
        <v>-19092.0899785824</v>
      </c>
      <c r="BM45" s="544" t="n">
        <v>-19092.0899785824</v>
      </c>
      <c r="BN45" s="544" t="n">
        <v>-19473.9317781541</v>
      </c>
      <c r="BO45" s="544" t="n">
        <v>-19473.9317781541</v>
      </c>
      <c r="BP45" s="544" t="n">
        <v>-19473.9317781541</v>
      </c>
      <c r="BQ45" s="544" t="n">
        <v>-19473.9317781541</v>
      </c>
      <c r="BR45" s="544" t="n">
        <v>-19473.9317781541</v>
      </c>
      <c r="BS45" s="544" t="n">
        <v>-19473.9317781541</v>
      </c>
      <c r="BT45" s="544" t="n">
        <v>-19473.9317781541</v>
      </c>
      <c r="BU45" s="544" t="n">
        <v>-19473.9317781541</v>
      </c>
      <c r="BV45" s="544" t="n">
        <v>-19473.9317781541</v>
      </c>
      <c r="BW45" s="544" t="n">
        <v>-19473.9317781541</v>
      </c>
      <c r="BX45" s="544" t="n">
        <v>-19473.9317781541</v>
      </c>
      <c r="BY45" s="544" t="n">
        <v>-19473.9317781541</v>
      </c>
      <c r="BZ45" s="544" t="n">
        <v>-19863.4104137171</v>
      </c>
      <c r="CA45" s="544" t="n">
        <v>-19863.4104137171</v>
      </c>
      <c r="CB45" s="544" t="n">
        <v>-19863.4104137171</v>
      </c>
      <c r="CC45" s="544" t="n">
        <v>-19863.4104137171</v>
      </c>
      <c r="CD45" s="544" t="n">
        <v>-19863.4104137171</v>
      </c>
      <c r="CE45" s="544" t="n">
        <v>-19863.4104137171</v>
      </c>
      <c r="CF45" s="544" t="n">
        <v>-19863.4104137171</v>
      </c>
      <c r="CG45" s="544" t="n">
        <v>-19863.4104137171</v>
      </c>
      <c r="CH45" s="544" t="n">
        <v>-19863.4104137171</v>
      </c>
      <c r="CI45" s="544" t="n">
        <v>-19863.4104137171</v>
      </c>
      <c r="CJ45" s="544" t="n">
        <v>-19863.4104137171</v>
      </c>
      <c r="CK45" s="544" t="n">
        <v>-19863.4104137171</v>
      </c>
      <c r="CL45" s="544" t="n">
        <v>-20260.6786219915</v>
      </c>
      <c r="CM45" s="544" t="n">
        <v>-20260.6786219915</v>
      </c>
      <c r="CN45" s="544" t="n">
        <v>-20260.6786219915</v>
      </c>
      <c r="CO45" s="544" t="n">
        <v>-20260.6786219915</v>
      </c>
      <c r="CP45" s="544" t="n">
        <v>-20260.6786219915</v>
      </c>
      <c r="CQ45" s="544" t="n">
        <v>-20260.6786219915</v>
      </c>
      <c r="CR45" s="544" t="n">
        <v>-20260.6786219915</v>
      </c>
      <c r="CS45" s="544" t="n">
        <v>-20260.6786219915</v>
      </c>
      <c r="CT45" s="544" t="n">
        <v>-20260.6786219915</v>
      </c>
      <c r="CU45" s="544" t="n">
        <v>-20260.6786219915</v>
      </c>
      <c r="CV45" s="544" t="n">
        <v>-20260.6786219915</v>
      </c>
      <c r="CW45" s="544" t="n">
        <v>-20260.6786219915</v>
      </c>
      <c r="CX45" s="544" t="n">
        <v>-20665.8921944313</v>
      </c>
      <c r="CY45" s="544" t="n">
        <v>-20665.8921944313</v>
      </c>
      <c r="CZ45" s="544" t="n">
        <v>-20665.8921944313</v>
      </c>
      <c r="DA45" s="544" t="n">
        <v>-20665.8921944313</v>
      </c>
      <c r="DB45" s="544" t="n">
        <v>-20665.8921944313</v>
      </c>
      <c r="DC45" s="544" t="n">
        <v>-20665.8921944313</v>
      </c>
      <c r="DD45" s="544" t="n">
        <v>-20665.8921944313</v>
      </c>
      <c r="DE45" s="544" t="n">
        <v>-20665.8921944313</v>
      </c>
      <c r="DF45" s="544" t="n">
        <v>-20665.8921944313</v>
      </c>
    </row>
    <row r="46" ht="15" customFormat="1" customHeight="1" s="381">
      <c r="A46" s="482" t="inlineStr">
        <is>
          <t>5900-1006 Auto and Truck Expense</t>
        </is>
      </c>
      <c r="C46" s="544" t="n">
        <v>-1909.98</v>
      </c>
      <c r="D46" s="544" t="n">
        <v>-190.1</v>
      </c>
      <c r="E46" s="544" t="n">
        <v>-2166.92</v>
      </c>
      <c r="F46" s="544" t="n">
        <v>-1422.33</v>
      </c>
      <c r="G46" s="544" t="n">
        <v>-1422.33</v>
      </c>
      <c r="H46" s="544" t="n">
        <v>-1422.33</v>
      </c>
      <c r="I46" s="544" t="n">
        <v>-1422.33</v>
      </c>
      <c r="J46" s="544" t="n">
        <v>-1422.33</v>
      </c>
      <c r="K46" s="544" t="n">
        <v>-1422.33</v>
      </c>
      <c r="L46" s="544" t="n">
        <v>-1422.33</v>
      </c>
      <c r="M46" s="544" t="n">
        <v>-1422.33</v>
      </c>
      <c r="N46" s="544" t="n">
        <v>-1422.33</v>
      </c>
      <c r="O46" s="544" t="n">
        <v>-1422.33</v>
      </c>
      <c r="P46" s="544" t="n">
        <v>-1422.33</v>
      </c>
      <c r="Q46" s="544" t="n">
        <v>-1422.33</v>
      </c>
      <c r="R46" s="544" t="n">
        <v>-1450.7766</v>
      </c>
      <c r="S46" s="544" t="n">
        <v>-1450.7766</v>
      </c>
      <c r="T46" s="544" t="n">
        <v>-1450.7766</v>
      </c>
      <c r="U46" s="544" t="n">
        <v>-1450.7766</v>
      </c>
      <c r="V46" s="544" t="n">
        <v>-1450.7766</v>
      </c>
      <c r="W46" s="544" t="n">
        <v>-1450.7766</v>
      </c>
      <c r="X46" s="544" t="n">
        <v>-1450.7766</v>
      </c>
      <c r="Y46" s="544" t="n">
        <v>-1450.7766</v>
      </c>
      <c r="Z46" s="544" t="n">
        <v>-1450.7766</v>
      </c>
      <c r="AA46" s="544" t="n">
        <v>-1450.7766</v>
      </c>
      <c r="AB46" s="544" t="n">
        <v>-1450.7766</v>
      </c>
      <c r="AC46" s="544" t="n">
        <v>-1450.7766</v>
      </c>
      <c r="AD46" s="544" t="n">
        <v>-1479.792132</v>
      </c>
      <c r="AE46" s="544" t="n">
        <v>-1479.792132</v>
      </c>
      <c r="AF46" s="544" t="n">
        <v>-1479.792132</v>
      </c>
      <c r="AG46" s="544" t="n">
        <v>-1479.792132</v>
      </c>
      <c r="AH46" s="544" t="n">
        <v>-1479.792132</v>
      </c>
      <c r="AI46" s="544" t="n">
        <v>-1479.792132</v>
      </c>
      <c r="AJ46" s="544" t="n">
        <v>-1479.792132</v>
      </c>
      <c r="AK46" s="544" t="n">
        <v>-1479.792132</v>
      </c>
      <c r="AL46" s="544" t="n">
        <v>-1479.792132</v>
      </c>
      <c r="AM46" s="544" t="n">
        <v>-1479.792132</v>
      </c>
      <c r="AN46" s="544" t="n">
        <v>-1479.792132</v>
      </c>
      <c r="AO46" s="544" t="n">
        <v>-1479.792132</v>
      </c>
      <c r="AP46" s="544" t="n">
        <v>-1509.38797464</v>
      </c>
      <c r="AQ46" s="544" t="n">
        <v>-1509.38797464</v>
      </c>
      <c r="AR46" s="544" t="n">
        <v>-1509.38797464</v>
      </c>
      <c r="AS46" s="544" t="n">
        <v>-1509.38797464</v>
      </c>
      <c r="AT46" s="544" t="n">
        <v>-1509.38797464</v>
      </c>
      <c r="AU46" s="544" t="n">
        <v>-1509.38797464</v>
      </c>
      <c r="AV46" s="544" t="n">
        <v>-1509.38797464</v>
      </c>
      <c r="AW46" s="544" t="n">
        <v>-1509.38797464</v>
      </c>
      <c r="AX46" s="544" t="n">
        <v>-1509.38797464</v>
      </c>
      <c r="AY46" s="544" t="n">
        <v>-1509.38797464</v>
      </c>
      <c r="AZ46" s="544" t="n">
        <v>-1509.38797464</v>
      </c>
      <c r="BA46" s="544" t="n">
        <v>-1509.38797464</v>
      </c>
      <c r="BB46" s="544" t="n">
        <v>-1539.5757341328</v>
      </c>
      <c r="BC46" s="544" t="n">
        <v>-1539.5757341328</v>
      </c>
      <c r="BD46" s="544" t="n">
        <v>-1539.5757341328</v>
      </c>
      <c r="BE46" s="544" t="n">
        <v>-1539.5757341328</v>
      </c>
      <c r="BF46" s="544" t="n">
        <v>-1539.5757341328</v>
      </c>
      <c r="BG46" s="544" t="n">
        <v>-1539.5757341328</v>
      </c>
      <c r="BH46" s="544" t="n">
        <v>-1539.5757341328</v>
      </c>
      <c r="BI46" s="544" t="n">
        <v>-1539.5757341328</v>
      </c>
      <c r="BJ46" s="544" t="n">
        <v>-1539.5757341328</v>
      </c>
      <c r="BK46" s="544" t="n">
        <v>-1539.5757341328</v>
      </c>
      <c r="BL46" s="544" t="n">
        <v>-1539.5757341328</v>
      </c>
      <c r="BM46" s="544" t="n">
        <v>-1539.5757341328</v>
      </c>
      <c r="BN46" s="544" t="n">
        <v>-1570.36724881546</v>
      </c>
      <c r="BO46" s="544" t="n">
        <v>-1570.36724881546</v>
      </c>
      <c r="BP46" s="544" t="n">
        <v>-1570.36724881546</v>
      </c>
      <c r="BQ46" s="544" t="n">
        <v>-1570.36724881546</v>
      </c>
      <c r="BR46" s="544" t="n">
        <v>-1570.36724881546</v>
      </c>
      <c r="BS46" s="544" t="n">
        <v>-1570.36724881546</v>
      </c>
      <c r="BT46" s="544" t="n">
        <v>-1570.36724881546</v>
      </c>
      <c r="BU46" s="544" t="n">
        <v>-1570.36724881546</v>
      </c>
      <c r="BV46" s="544" t="n">
        <v>-1570.36724881546</v>
      </c>
      <c r="BW46" s="544" t="n">
        <v>-1570.36724881546</v>
      </c>
      <c r="BX46" s="544" t="n">
        <v>-1570.36724881546</v>
      </c>
      <c r="BY46" s="544" t="n">
        <v>-1570.36724881546</v>
      </c>
      <c r="BZ46" s="544" t="n">
        <v>-1601.77459379177</v>
      </c>
      <c r="CA46" s="544" t="n">
        <v>-1601.77459379177</v>
      </c>
      <c r="CB46" s="544" t="n">
        <v>-1601.77459379177</v>
      </c>
      <c r="CC46" s="544" t="n">
        <v>-1601.77459379177</v>
      </c>
      <c r="CD46" s="544" t="n">
        <v>-1601.77459379177</v>
      </c>
      <c r="CE46" s="544" t="n">
        <v>-1601.77459379177</v>
      </c>
      <c r="CF46" s="544" t="n">
        <v>-1601.77459379177</v>
      </c>
      <c r="CG46" s="544" t="n">
        <v>-1601.77459379177</v>
      </c>
      <c r="CH46" s="544" t="n">
        <v>-1601.77459379177</v>
      </c>
      <c r="CI46" s="544" t="n">
        <v>-1601.77459379177</v>
      </c>
      <c r="CJ46" s="544" t="n">
        <v>-1601.77459379177</v>
      </c>
      <c r="CK46" s="544" t="n">
        <v>-1601.77459379177</v>
      </c>
      <c r="CL46" s="544" t="n">
        <v>-1633.8100856676</v>
      </c>
      <c r="CM46" s="544" t="n">
        <v>-1633.8100856676</v>
      </c>
      <c r="CN46" s="544" t="n">
        <v>-1633.8100856676</v>
      </c>
      <c r="CO46" s="544" t="n">
        <v>-1633.8100856676</v>
      </c>
      <c r="CP46" s="544" t="n">
        <v>-1633.8100856676</v>
      </c>
      <c r="CQ46" s="544" t="n">
        <v>-1633.8100856676</v>
      </c>
      <c r="CR46" s="544" t="n">
        <v>-1633.8100856676</v>
      </c>
      <c r="CS46" s="544" t="n">
        <v>-1633.8100856676</v>
      </c>
      <c r="CT46" s="544" t="n">
        <v>-1633.8100856676</v>
      </c>
      <c r="CU46" s="544" t="n">
        <v>-1633.8100856676</v>
      </c>
      <c r="CV46" s="544" t="n">
        <v>-1633.8100856676</v>
      </c>
      <c r="CW46" s="544" t="n">
        <v>-1633.8100856676</v>
      </c>
      <c r="CX46" s="544" t="n">
        <v>-1666.48628738095</v>
      </c>
      <c r="CY46" s="544" t="n">
        <v>-1666.48628738095</v>
      </c>
      <c r="CZ46" s="544" t="n">
        <v>-1666.48628738095</v>
      </c>
      <c r="DA46" s="544" t="n">
        <v>-1666.48628738095</v>
      </c>
      <c r="DB46" s="544" t="n">
        <v>-1666.48628738095</v>
      </c>
      <c r="DC46" s="544" t="n">
        <v>-1666.48628738095</v>
      </c>
      <c r="DD46" s="544" t="n">
        <v>-1666.48628738095</v>
      </c>
      <c r="DE46" s="544" t="n">
        <v>-1666.48628738095</v>
      </c>
      <c r="DF46" s="544" t="n">
        <v>-1666.48628738095</v>
      </c>
    </row>
    <row r="47" ht="15" customFormat="1" customHeight="1" s="381">
      <c r="A47" s="482" t="inlineStr">
        <is>
          <t>5900-1007 Landscaping</t>
        </is>
      </c>
      <c r="C47" s="544" t="n">
        <v>-320</v>
      </c>
      <c r="D47" s="544" t="n">
        <v>-160</v>
      </c>
      <c r="E47" s="544" t="n">
        <v>0</v>
      </c>
      <c r="F47" s="544" t="n">
        <v>-160</v>
      </c>
      <c r="G47" s="544" t="n">
        <v>-160</v>
      </c>
      <c r="H47" s="544" t="n">
        <v>-160</v>
      </c>
      <c r="I47" s="544" t="n">
        <v>-160</v>
      </c>
      <c r="J47" s="544" t="n">
        <v>-160</v>
      </c>
      <c r="K47" s="544" t="n">
        <v>-160</v>
      </c>
      <c r="L47" s="544" t="n">
        <v>-160</v>
      </c>
      <c r="M47" s="544" t="n">
        <v>-160</v>
      </c>
      <c r="N47" s="544" t="n">
        <v>-160</v>
      </c>
      <c r="O47" s="544" t="n">
        <v>-160</v>
      </c>
      <c r="P47" s="544" t="n">
        <v>-160</v>
      </c>
      <c r="Q47" s="544" t="n">
        <v>-160</v>
      </c>
      <c r="R47" s="544" t="n">
        <v>-163.2</v>
      </c>
      <c r="S47" s="544" t="n">
        <v>-163.2</v>
      </c>
      <c r="T47" s="544" t="n">
        <v>-163.2</v>
      </c>
      <c r="U47" s="544" t="n">
        <v>-163.2</v>
      </c>
      <c r="V47" s="544" t="n">
        <v>-163.2</v>
      </c>
      <c r="W47" s="544" t="n">
        <v>-163.2</v>
      </c>
      <c r="X47" s="544" t="n">
        <v>-163.2</v>
      </c>
      <c r="Y47" s="544" t="n">
        <v>-163.2</v>
      </c>
      <c r="Z47" s="544" t="n">
        <v>-163.2</v>
      </c>
      <c r="AA47" s="544" t="n">
        <v>-163.2</v>
      </c>
      <c r="AB47" s="544" t="n">
        <v>-163.2</v>
      </c>
      <c r="AC47" s="544" t="n">
        <v>-163.2</v>
      </c>
      <c r="AD47" s="544" t="n">
        <v>-166.464</v>
      </c>
      <c r="AE47" s="544" t="n">
        <v>-166.464</v>
      </c>
      <c r="AF47" s="544" t="n">
        <v>-166.464</v>
      </c>
      <c r="AG47" s="544" t="n">
        <v>-166.464</v>
      </c>
      <c r="AH47" s="544" t="n">
        <v>-166.464</v>
      </c>
      <c r="AI47" s="544" t="n">
        <v>-166.464</v>
      </c>
      <c r="AJ47" s="544" t="n">
        <v>-166.464</v>
      </c>
      <c r="AK47" s="544" t="n">
        <v>-166.464</v>
      </c>
      <c r="AL47" s="544" t="n">
        <v>-166.464</v>
      </c>
      <c r="AM47" s="544" t="n">
        <v>-166.464</v>
      </c>
      <c r="AN47" s="544" t="n">
        <v>-166.464</v>
      </c>
      <c r="AO47" s="544" t="n">
        <v>-166.464</v>
      </c>
      <c r="AP47" s="544" t="n">
        <v>-169.79328</v>
      </c>
      <c r="AQ47" s="544" t="n">
        <v>-169.79328</v>
      </c>
      <c r="AR47" s="544" t="n">
        <v>-169.79328</v>
      </c>
      <c r="AS47" s="544" t="n">
        <v>-169.79328</v>
      </c>
      <c r="AT47" s="544" t="n">
        <v>-169.79328</v>
      </c>
      <c r="AU47" s="544" t="n">
        <v>-169.79328</v>
      </c>
      <c r="AV47" s="544" t="n">
        <v>-169.79328</v>
      </c>
      <c r="AW47" s="544" t="n">
        <v>-169.79328</v>
      </c>
      <c r="AX47" s="544" t="n">
        <v>-169.79328</v>
      </c>
      <c r="AY47" s="544" t="n">
        <v>-169.79328</v>
      </c>
      <c r="AZ47" s="544" t="n">
        <v>-169.79328</v>
      </c>
      <c r="BA47" s="544" t="n">
        <v>-169.79328</v>
      </c>
      <c r="BB47" s="544" t="n">
        <v>-173.1891456</v>
      </c>
      <c r="BC47" s="544" t="n">
        <v>-173.1891456</v>
      </c>
      <c r="BD47" s="544" t="n">
        <v>-173.1891456</v>
      </c>
      <c r="BE47" s="544" t="n">
        <v>-173.1891456</v>
      </c>
      <c r="BF47" s="544" t="n">
        <v>-173.1891456</v>
      </c>
      <c r="BG47" s="544" t="n">
        <v>-173.1891456</v>
      </c>
      <c r="BH47" s="544" t="n">
        <v>-173.1891456</v>
      </c>
      <c r="BI47" s="544" t="n">
        <v>-173.1891456</v>
      </c>
      <c r="BJ47" s="544" t="n">
        <v>-173.1891456</v>
      </c>
      <c r="BK47" s="544" t="n">
        <v>-173.1891456</v>
      </c>
      <c r="BL47" s="544" t="n">
        <v>-173.1891456</v>
      </c>
      <c r="BM47" s="544" t="n">
        <v>-173.1891456</v>
      </c>
      <c r="BN47" s="544" t="n">
        <v>-176.652928512</v>
      </c>
      <c r="BO47" s="544" t="n">
        <v>-176.652928512</v>
      </c>
      <c r="BP47" s="544" t="n">
        <v>-176.652928512</v>
      </c>
      <c r="BQ47" s="544" t="n">
        <v>-176.652928512</v>
      </c>
      <c r="BR47" s="544" t="n">
        <v>-176.652928512</v>
      </c>
      <c r="BS47" s="544" t="n">
        <v>-176.652928512</v>
      </c>
      <c r="BT47" s="544" t="n">
        <v>-176.652928512</v>
      </c>
      <c r="BU47" s="544" t="n">
        <v>-176.652928512</v>
      </c>
      <c r="BV47" s="544" t="n">
        <v>-176.652928512</v>
      </c>
      <c r="BW47" s="544" t="n">
        <v>-176.652928512</v>
      </c>
      <c r="BX47" s="544" t="n">
        <v>-176.652928512</v>
      </c>
      <c r="BY47" s="544" t="n">
        <v>-176.652928512</v>
      </c>
      <c r="BZ47" s="544" t="n">
        <v>-180.18598708224</v>
      </c>
      <c r="CA47" s="544" t="n">
        <v>-180.18598708224</v>
      </c>
      <c r="CB47" s="544" t="n">
        <v>-180.18598708224</v>
      </c>
      <c r="CC47" s="544" t="n">
        <v>-180.18598708224</v>
      </c>
      <c r="CD47" s="544" t="n">
        <v>-180.18598708224</v>
      </c>
      <c r="CE47" s="544" t="n">
        <v>-180.18598708224</v>
      </c>
      <c r="CF47" s="544" t="n">
        <v>-180.18598708224</v>
      </c>
      <c r="CG47" s="544" t="n">
        <v>-180.18598708224</v>
      </c>
      <c r="CH47" s="544" t="n">
        <v>-180.18598708224</v>
      </c>
      <c r="CI47" s="544" t="n">
        <v>-180.18598708224</v>
      </c>
      <c r="CJ47" s="544" t="n">
        <v>-180.18598708224</v>
      </c>
      <c r="CK47" s="544" t="n">
        <v>-180.18598708224</v>
      </c>
      <c r="CL47" s="544" t="n">
        <v>-183.789706823885</v>
      </c>
      <c r="CM47" s="544" t="n">
        <v>-183.789706823885</v>
      </c>
      <c r="CN47" s="544" t="n">
        <v>-183.789706823885</v>
      </c>
      <c r="CO47" s="544" t="n">
        <v>-183.789706823885</v>
      </c>
      <c r="CP47" s="544" t="n">
        <v>-183.789706823885</v>
      </c>
      <c r="CQ47" s="544" t="n">
        <v>-183.789706823885</v>
      </c>
      <c r="CR47" s="544" t="n">
        <v>-183.789706823885</v>
      </c>
      <c r="CS47" s="544" t="n">
        <v>-183.789706823885</v>
      </c>
      <c r="CT47" s="544" t="n">
        <v>-183.789706823885</v>
      </c>
      <c r="CU47" s="544" t="n">
        <v>-183.789706823885</v>
      </c>
      <c r="CV47" s="544" t="n">
        <v>-183.789706823885</v>
      </c>
      <c r="CW47" s="544" t="n">
        <v>-183.789706823885</v>
      </c>
      <c r="CX47" s="544" t="n">
        <v>-187.465500960363</v>
      </c>
      <c r="CY47" s="544" t="n">
        <v>-187.465500960363</v>
      </c>
      <c r="CZ47" s="544" t="n">
        <v>-187.465500960363</v>
      </c>
      <c r="DA47" s="544" t="n">
        <v>-187.465500960363</v>
      </c>
      <c r="DB47" s="544" t="n">
        <v>-187.465500960363</v>
      </c>
      <c r="DC47" s="544" t="n">
        <v>-187.465500960363</v>
      </c>
      <c r="DD47" s="544" t="n">
        <v>-187.465500960363</v>
      </c>
      <c r="DE47" s="544" t="n">
        <v>-187.465500960363</v>
      </c>
      <c r="DF47" s="544" t="n">
        <v>-187.465500960363</v>
      </c>
    </row>
    <row r="48" ht="15" customFormat="1" customHeight="1" s="381">
      <c r="A48" s="482" t="inlineStr">
        <is>
          <t>5900-1040 Warranty and Other Job Adjustments</t>
        </is>
      </c>
      <c r="C48" s="544" t="n">
        <v>-17660.72</v>
      </c>
      <c r="D48" s="544" t="n">
        <v>-5799</v>
      </c>
      <c r="E48" s="544" t="n">
        <v>-3432.18</v>
      </c>
      <c r="F48" s="544" t="n">
        <v>-5000</v>
      </c>
      <c r="G48" s="544" t="n">
        <v>-5000</v>
      </c>
      <c r="H48" s="544" t="n">
        <v>-5000</v>
      </c>
      <c r="I48" s="544" t="n">
        <v>-5000</v>
      </c>
      <c r="J48" s="544" t="n">
        <v>-5000</v>
      </c>
      <c r="K48" s="544" t="n">
        <v>-5000</v>
      </c>
      <c r="L48" s="544" t="n">
        <v>-5000</v>
      </c>
      <c r="M48" s="544" t="n">
        <v>-5000</v>
      </c>
      <c r="N48" s="544" t="n">
        <v>-5000</v>
      </c>
      <c r="O48" s="544" t="n">
        <v>-5000</v>
      </c>
      <c r="P48" s="544" t="n">
        <v>-5000</v>
      </c>
      <c r="Q48" s="544" t="n">
        <v>-5000</v>
      </c>
      <c r="R48" s="544" t="n">
        <v>-5100</v>
      </c>
      <c r="S48" s="544" t="n">
        <v>-5100</v>
      </c>
      <c r="T48" s="544" t="n">
        <v>-5100</v>
      </c>
      <c r="U48" s="544" t="n">
        <v>-5100</v>
      </c>
      <c r="V48" s="544" t="n">
        <v>-5100</v>
      </c>
      <c r="W48" s="544" t="n">
        <v>-5100</v>
      </c>
      <c r="X48" s="544" t="n">
        <v>-5100</v>
      </c>
      <c r="Y48" s="544" t="n">
        <v>-5100</v>
      </c>
      <c r="Z48" s="544" t="n">
        <v>-5100</v>
      </c>
      <c r="AA48" s="544" t="n">
        <v>-5100</v>
      </c>
      <c r="AB48" s="544" t="n">
        <v>-5100</v>
      </c>
      <c r="AC48" s="544" t="n">
        <v>-5100</v>
      </c>
      <c r="AD48" s="544" t="n">
        <v>-5202</v>
      </c>
      <c r="AE48" s="544" t="n">
        <v>-5202</v>
      </c>
      <c r="AF48" s="544" t="n">
        <v>-5202</v>
      </c>
      <c r="AG48" s="544" t="n">
        <v>-5202</v>
      </c>
      <c r="AH48" s="544" t="n">
        <v>-5202</v>
      </c>
      <c r="AI48" s="544" t="n">
        <v>-5202</v>
      </c>
      <c r="AJ48" s="544" t="n">
        <v>-5202</v>
      </c>
      <c r="AK48" s="544" t="n">
        <v>-5202</v>
      </c>
      <c r="AL48" s="544" t="n">
        <v>-5202</v>
      </c>
      <c r="AM48" s="544" t="n">
        <v>-5202</v>
      </c>
      <c r="AN48" s="544" t="n">
        <v>-5202</v>
      </c>
      <c r="AO48" s="544" t="n">
        <v>-5202</v>
      </c>
      <c r="AP48" s="544" t="n">
        <v>-5306.04</v>
      </c>
      <c r="AQ48" s="544" t="n">
        <v>-5306.04</v>
      </c>
      <c r="AR48" s="544" t="n">
        <v>-5306.04</v>
      </c>
      <c r="AS48" s="544" t="n">
        <v>-5306.04</v>
      </c>
      <c r="AT48" s="544" t="n">
        <v>-5306.04</v>
      </c>
      <c r="AU48" s="544" t="n">
        <v>-5306.04</v>
      </c>
      <c r="AV48" s="544" t="n">
        <v>-5306.04</v>
      </c>
      <c r="AW48" s="544" t="n">
        <v>-5306.04</v>
      </c>
      <c r="AX48" s="544" t="n">
        <v>-5306.04</v>
      </c>
      <c r="AY48" s="544" t="n">
        <v>-5306.04</v>
      </c>
      <c r="AZ48" s="544" t="n">
        <v>-5306.04</v>
      </c>
      <c r="BA48" s="544" t="n">
        <v>-5306.04</v>
      </c>
      <c r="BB48" s="544" t="n">
        <v>-5412.1608</v>
      </c>
      <c r="BC48" s="544" t="n">
        <v>-5412.1608</v>
      </c>
      <c r="BD48" s="544" t="n">
        <v>-5412.1608</v>
      </c>
      <c r="BE48" s="544" t="n">
        <v>-5412.1608</v>
      </c>
      <c r="BF48" s="544" t="n">
        <v>-5412.1608</v>
      </c>
      <c r="BG48" s="544" t="n">
        <v>-5412.1608</v>
      </c>
      <c r="BH48" s="544" t="n">
        <v>-5412.1608</v>
      </c>
      <c r="BI48" s="544" t="n">
        <v>-5412.1608</v>
      </c>
      <c r="BJ48" s="544" t="n">
        <v>-5412.1608</v>
      </c>
      <c r="BK48" s="544" t="n">
        <v>-5412.1608</v>
      </c>
      <c r="BL48" s="544" t="n">
        <v>-5412.1608</v>
      </c>
      <c r="BM48" s="544" t="n">
        <v>-5412.1608</v>
      </c>
      <c r="BN48" s="544" t="n">
        <v>-5520.404016</v>
      </c>
      <c r="BO48" s="544" t="n">
        <v>-5520.404016</v>
      </c>
      <c r="BP48" s="544" t="n">
        <v>-5520.404016</v>
      </c>
      <c r="BQ48" s="544" t="n">
        <v>-5520.404016</v>
      </c>
      <c r="BR48" s="544" t="n">
        <v>-5520.404016</v>
      </c>
      <c r="BS48" s="544" t="n">
        <v>-5520.404016</v>
      </c>
      <c r="BT48" s="544" t="n">
        <v>-5520.404016</v>
      </c>
      <c r="BU48" s="544" t="n">
        <v>-5520.404016</v>
      </c>
      <c r="BV48" s="544" t="n">
        <v>-5520.404016</v>
      </c>
      <c r="BW48" s="544" t="n">
        <v>-5520.404016</v>
      </c>
      <c r="BX48" s="544" t="n">
        <v>-5520.404016</v>
      </c>
      <c r="BY48" s="544" t="n">
        <v>-5520.404016</v>
      </c>
      <c r="BZ48" s="544" t="n">
        <v>-5630.81209632</v>
      </c>
      <c r="CA48" s="544" t="n">
        <v>-5630.81209632</v>
      </c>
      <c r="CB48" s="544" t="n">
        <v>-5630.81209632</v>
      </c>
      <c r="CC48" s="544" t="n">
        <v>-5630.81209632</v>
      </c>
      <c r="CD48" s="544" t="n">
        <v>-5630.81209632</v>
      </c>
      <c r="CE48" s="544" t="n">
        <v>-5630.81209632</v>
      </c>
      <c r="CF48" s="544" t="n">
        <v>-5630.81209632</v>
      </c>
      <c r="CG48" s="544" t="n">
        <v>-5630.81209632</v>
      </c>
      <c r="CH48" s="544" t="n">
        <v>-5630.81209632</v>
      </c>
      <c r="CI48" s="544" t="n">
        <v>-5630.81209632</v>
      </c>
      <c r="CJ48" s="544" t="n">
        <v>-5630.81209632</v>
      </c>
      <c r="CK48" s="544" t="n">
        <v>-5630.81209632</v>
      </c>
      <c r="CL48" s="544" t="n">
        <v>-5743.4283382464</v>
      </c>
      <c r="CM48" s="544" t="n">
        <v>-5743.4283382464</v>
      </c>
      <c r="CN48" s="544" t="n">
        <v>-5743.4283382464</v>
      </c>
      <c r="CO48" s="544" t="n">
        <v>-5743.4283382464</v>
      </c>
      <c r="CP48" s="544" t="n">
        <v>-5743.4283382464</v>
      </c>
      <c r="CQ48" s="544" t="n">
        <v>-5743.4283382464</v>
      </c>
      <c r="CR48" s="544" t="n">
        <v>-5743.4283382464</v>
      </c>
      <c r="CS48" s="544" t="n">
        <v>-5743.4283382464</v>
      </c>
      <c r="CT48" s="544" t="n">
        <v>-5743.4283382464</v>
      </c>
      <c r="CU48" s="544" t="n">
        <v>-5743.4283382464</v>
      </c>
      <c r="CV48" s="544" t="n">
        <v>-5743.4283382464</v>
      </c>
      <c r="CW48" s="544" t="n">
        <v>-5743.4283382464</v>
      </c>
      <c r="CX48" s="544" t="n">
        <v>-5858.29690501133</v>
      </c>
      <c r="CY48" s="544" t="n">
        <v>-5858.29690501133</v>
      </c>
      <c r="CZ48" s="544" t="n">
        <v>-5858.29690501133</v>
      </c>
      <c r="DA48" s="544" t="n">
        <v>-5858.29690501133</v>
      </c>
      <c r="DB48" s="544" t="n">
        <v>-5858.29690501133</v>
      </c>
      <c r="DC48" s="544" t="n">
        <v>-5858.29690501133</v>
      </c>
      <c r="DD48" s="544" t="n">
        <v>-5858.29690501133</v>
      </c>
      <c r="DE48" s="544" t="n">
        <v>-5858.29690501133</v>
      </c>
      <c r="DF48" s="544" t="n">
        <v>-5858.29690501133</v>
      </c>
    </row>
    <row r="49" ht="15" customFormat="1" customHeight="1" s="381">
      <c r="A49" s="482" t="inlineStr">
        <is>
          <t>5900-1075 Miscellaneous Expense</t>
        </is>
      </c>
      <c r="C49" s="544" t="n">
        <v>-304</v>
      </c>
      <c r="D49" s="544" t="n">
        <v>-644.8099999999999</v>
      </c>
      <c r="E49" s="544" t="n">
        <v>-304</v>
      </c>
      <c r="F49" s="545" t="n">
        <v>-417.6</v>
      </c>
      <c r="G49" s="545" t="n">
        <v>-417.6</v>
      </c>
      <c r="H49" s="545" t="n">
        <v>-417.6</v>
      </c>
      <c r="I49" s="545" t="n">
        <v>-417.6</v>
      </c>
      <c r="J49" s="545" t="n">
        <v>-417.6</v>
      </c>
      <c r="K49" s="545" t="n">
        <v>-417.6</v>
      </c>
      <c r="L49" s="545" t="n">
        <v>-417.6</v>
      </c>
      <c r="M49" s="545" t="n">
        <v>-417.6</v>
      </c>
      <c r="N49" s="545" t="n">
        <v>-417.6</v>
      </c>
      <c r="O49" s="545" t="n">
        <v>-417.6</v>
      </c>
      <c r="P49" s="545" t="n">
        <v>-417.6</v>
      </c>
      <c r="Q49" s="545" t="n">
        <v>-417.6</v>
      </c>
      <c r="R49" s="545" t="n">
        <v>-425.952</v>
      </c>
      <c r="S49" s="545" t="n">
        <v>-425.952</v>
      </c>
      <c r="T49" s="545" t="n">
        <v>-425.952</v>
      </c>
      <c r="U49" s="545" t="n">
        <v>-425.952</v>
      </c>
      <c r="V49" s="545" t="n">
        <v>-425.952</v>
      </c>
      <c r="W49" s="545" t="n">
        <v>-425.952</v>
      </c>
      <c r="X49" s="545" t="n">
        <v>-425.952</v>
      </c>
      <c r="Y49" s="545" t="n">
        <v>-425.952</v>
      </c>
      <c r="Z49" s="545" t="n">
        <v>-425.952</v>
      </c>
      <c r="AA49" s="545" t="n">
        <v>-425.952</v>
      </c>
      <c r="AB49" s="545" t="n">
        <v>-425.952</v>
      </c>
      <c r="AC49" s="545" t="n">
        <v>-425.952</v>
      </c>
      <c r="AD49" s="545" t="n">
        <v>-434.47104</v>
      </c>
      <c r="AE49" s="545" t="n">
        <v>-434.47104</v>
      </c>
      <c r="AF49" s="545" t="n">
        <v>-434.47104</v>
      </c>
      <c r="AG49" s="545" t="n">
        <v>-434.47104</v>
      </c>
      <c r="AH49" s="545" t="n">
        <v>-434.47104</v>
      </c>
      <c r="AI49" s="545" t="n">
        <v>-434.47104</v>
      </c>
      <c r="AJ49" s="545" t="n">
        <v>-434.47104</v>
      </c>
      <c r="AK49" s="545" t="n">
        <v>-434.47104</v>
      </c>
      <c r="AL49" s="545" t="n">
        <v>-434.47104</v>
      </c>
      <c r="AM49" s="545" t="n">
        <v>-434.47104</v>
      </c>
      <c r="AN49" s="545" t="n">
        <v>-434.47104</v>
      </c>
      <c r="AO49" s="545" t="n">
        <v>-434.47104</v>
      </c>
      <c r="AP49" s="545" t="n">
        <v>-443.1604608</v>
      </c>
      <c r="AQ49" s="545" t="n">
        <v>-443.1604608</v>
      </c>
      <c r="AR49" s="545" t="n">
        <v>-443.1604608</v>
      </c>
      <c r="AS49" s="545" t="n">
        <v>-443.1604608</v>
      </c>
      <c r="AT49" s="545" t="n">
        <v>-443.1604608</v>
      </c>
      <c r="AU49" s="545" t="n">
        <v>-443.1604608</v>
      </c>
      <c r="AV49" s="545" t="n">
        <v>-443.1604608</v>
      </c>
      <c r="AW49" s="545" t="n">
        <v>-443.1604608</v>
      </c>
      <c r="AX49" s="545" t="n">
        <v>-443.1604608</v>
      </c>
      <c r="AY49" s="545" t="n">
        <v>-443.1604608</v>
      </c>
      <c r="AZ49" s="545" t="n">
        <v>-443.1604608</v>
      </c>
      <c r="BA49" s="545" t="n">
        <v>-443.1604608</v>
      </c>
      <c r="BB49" s="545" t="n">
        <v>-452.023670016</v>
      </c>
      <c r="BC49" s="545" t="n">
        <v>-452.023670016</v>
      </c>
      <c r="BD49" s="545" t="n">
        <v>-452.023670016</v>
      </c>
      <c r="BE49" s="545" t="n">
        <v>-452.023670016</v>
      </c>
      <c r="BF49" s="545" t="n">
        <v>-452.023670016</v>
      </c>
      <c r="BG49" s="545" t="n">
        <v>-452.023670016</v>
      </c>
      <c r="BH49" s="545" t="n">
        <v>-452.023670016</v>
      </c>
      <c r="BI49" s="545" t="n">
        <v>-452.023670016</v>
      </c>
      <c r="BJ49" s="545" t="n">
        <v>-452.023670016</v>
      </c>
      <c r="BK49" s="545" t="n">
        <v>-452.023670016</v>
      </c>
      <c r="BL49" s="545" t="n">
        <v>-452.023670016</v>
      </c>
      <c r="BM49" s="545" t="n">
        <v>-452.023670016</v>
      </c>
      <c r="BN49" s="545" t="n">
        <v>-461.06414341632</v>
      </c>
      <c r="BO49" s="545" t="n">
        <v>-461.06414341632</v>
      </c>
      <c r="BP49" s="545" t="n">
        <v>-461.06414341632</v>
      </c>
      <c r="BQ49" s="545" t="n">
        <v>-461.06414341632</v>
      </c>
      <c r="BR49" s="545" t="n">
        <v>-461.06414341632</v>
      </c>
      <c r="BS49" s="545" t="n">
        <v>-461.06414341632</v>
      </c>
      <c r="BT49" s="545" t="n">
        <v>-461.06414341632</v>
      </c>
      <c r="BU49" s="545" t="n">
        <v>-461.06414341632</v>
      </c>
      <c r="BV49" s="545" t="n">
        <v>-461.06414341632</v>
      </c>
      <c r="BW49" s="545" t="n">
        <v>-461.06414341632</v>
      </c>
      <c r="BX49" s="545" t="n">
        <v>-461.06414341632</v>
      </c>
      <c r="BY49" s="545" t="n">
        <v>-461.06414341632</v>
      </c>
      <c r="BZ49" s="545" t="n">
        <v>-470.285426284646</v>
      </c>
      <c r="CA49" s="545" t="n">
        <v>-470.285426284646</v>
      </c>
      <c r="CB49" s="545" t="n">
        <v>-470.285426284646</v>
      </c>
      <c r="CC49" s="545" t="n">
        <v>-470.285426284646</v>
      </c>
      <c r="CD49" s="545" t="n">
        <v>-470.285426284646</v>
      </c>
      <c r="CE49" s="545" t="n">
        <v>-470.285426284646</v>
      </c>
      <c r="CF49" s="545" t="n">
        <v>-470.285426284646</v>
      </c>
      <c r="CG49" s="545" t="n">
        <v>-470.285426284646</v>
      </c>
      <c r="CH49" s="545" t="n">
        <v>-470.285426284646</v>
      </c>
      <c r="CI49" s="545" t="n">
        <v>-470.285426284646</v>
      </c>
      <c r="CJ49" s="545" t="n">
        <v>-470.285426284646</v>
      </c>
      <c r="CK49" s="545" t="n">
        <v>-470.285426284646</v>
      </c>
      <c r="CL49" s="545" t="n">
        <v>-479.691134810339</v>
      </c>
      <c r="CM49" s="545" t="n">
        <v>-479.691134810339</v>
      </c>
      <c r="CN49" s="545" t="n">
        <v>-479.691134810339</v>
      </c>
      <c r="CO49" s="545" t="n">
        <v>-479.691134810339</v>
      </c>
      <c r="CP49" s="545" t="n">
        <v>-479.691134810339</v>
      </c>
      <c r="CQ49" s="545" t="n">
        <v>-479.691134810339</v>
      </c>
      <c r="CR49" s="545" t="n">
        <v>-479.691134810339</v>
      </c>
      <c r="CS49" s="545" t="n">
        <v>-479.691134810339</v>
      </c>
      <c r="CT49" s="545" t="n">
        <v>-479.691134810339</v>
      </c>
      <c r="CU49" s="545" t="n">
        <v>-479.691134810339</v>
      </c>
      <c r="CV49" s="545" t="n">
        <v>-479.691134810339</v>
      </c>
      <c r="CW49" s="545" t="n">
        <v>-479.691134810339</v>
      </c>
      <c r="CX49" s="545" t="n">
        <v>-489.284957506546</v>
      </c>
      <c r="CY49" s="545" t="n">
        <v>-489.284957506546</v>
      </c>
      <c r="CZ49" s="545" t="n">
        <v>-489.284957506546</v>
      </c>
      <c r="DA49" s="545" t="n">
        <v>-489.284957506546</v>
      </c>
      <c r="DB49" s="545" t="n">
        <v>-489.284957506546</v>
      </c>
      <c r="DC49" s="545" t="n">
        <v>-489.284957506546</v>
      </c>
      <c r="DD49" s="545" t="n">
        <v>-489.284957506546</v>
      </c>
      <c r="DE49" s="545" t="n">
        <v>-489.284957506546</v>
      </c>
      <c r="DF49" s="545" t="n">
        <v>-489.284957506546</v>
      </c>
    </row>
    <row r="50" ht="15" customFormat="1" customHeight="1" s="381">
      <c r="A50" s="482" t="inlineStr">
        <is>
          <t>5900-1080 Bank Service Charges</t>
        </is>
      </c>
      <c r="C50" s="544" t="n">
        <v>0</v>
      </c>
      <c r="D50" s="544" t="n">
        <v>-75</v>
      </c>
      <c r="E50" s="544" t="n">
        <v>-5</v>
      </c>
      <c r="F50" s="545" t="n">
        <v>-26.67</v>
      </c>
      <c r="G50" s="545" t="n">
        <v>-26.67</v>
      </c>
      <c r="H50" s="545" t="n">
        <v>-26.67</v>
      </c>
      <c r="I50" s="545" t="n">
        <v>-26.67</v>
      </c>
      <c r="J50" s="545" t="n">
        <v>-26.67</v>
      </c>
      <c r="K50" s="545" t="n">
        <v>-26.67</v>
      </c>
      <c r="L50" s="545" t="n">
        <v>-26.67</v>
      </c>
      <c r="M50" s="545" t="n">
        <v>-26.67</v>
      </c>
      <c r="N50" s="545" t="n">
        <v>-26.67</v>
      </c>
      <c r="O50" s="545" t="n">
        <v>-26.67</v>
      </c>
      <c r="P50" s="545" t="n">
        <v>-26.67</v>
      </c>
      <c r="Q50" s="545" t="n">
        <v>-26.67</v>
      </c>
      <c r="R50" s="545" t="n">
        <v>-27.2034</v>
      </c>
      <c r="S50" s="545" t="n">
        <v>-27.2034</v>
      </c>
      <c r="T50" s="545" t="n">
        <v>-27.2034</v>
      </c>
      <c r="U50" s="545" t="n">
        <v>-27.2034</v>
      </c>
      <c r="V50" s="545" t="n">
        <v>-27.2034</v>
      </c>
      <c r="W50" s="545" t="n">
        <v>-27.2034</v>
      </c>
      <c r="X50" s="545" t="n">
        <v>-27.2034</v>
      </c>
      <c r="Y50" s="545" t="n">
        <v>-27.2034</v>
      </c>
      <c r="Z50" s="545" t="n">
        <v>-27.2034</v>
      </c>
      <c r="AA50" s="545" t="n">
        <v>-27.2034</v>
      </c>
      <c r="AB50" s="545" t="n">
        <v>-27.2034</v>
      </c>
      <c r="AC50" s="545" t="n">
        <v>-27.2034</v>
      </c>
      <c r="AD50" s="545" t="n">
        <v>-27.747468</v>
      </c>
      <c r="AE50" s="545" t="n">
        <v>-27.747468</v>
      </c>
      <c r="AF50" s="545" t="n">
        <v>-27.747468</v>
      </c>
      <c r="AG50" s="545" t="n">
        <v>-27.747468</v>
      </c>
      <c r="AH50" s="545" t="n">
        <v>-27.747468</v>
      </c>
      <c r="AI50" s="545" t="n">
        <v>-27.747468</v>
      </c>
      <c r="AJ50" s="545" t="n">
        <v>-27.747468</v>
      </c>
      <c r="AK50" s="545" t="n">
        <v>-27.747468</v>
      </c>
      <c r="AL50" s="545" t="n">
        <v>-27.747468</v>
      </c>
      <c r="AM50" s="545" t="n">
        <v>-27.747468</v>
      </c>
      <c r="AN50" s="545" t="n">
        <v>-27.747468</v>
      </c>
      <c r="AO50" s="545" t="n">
        <v>-27.747468</v>
      </c>
      <c r="AP50" s="545" t="n">
        <v>-28.30241736</v>
      </c>
      <c r="AQ50" s="545" t="n">
        <v>-28.30241736</v>
      </c>
      <c r="AR50" s="545" t="n">
        <v>-28.30241736</v>
      </c>
      <c r="AS50" s="545" t="n">
        <v>-28.30241736</v>
      </c>
      <c r="AT50" s="545" t="n">
        <v>-28.30241736</v>
      </c>
      <c r="AU50" s="545" t="n">
        <v>-28.30241736</v>
      </c>
      <c r="AV50" s="545" t="n">
        <v>-28.30241736</v>
      </c>
      <c r="AW50" s="545" t="n">
        <v>-28.30241736</v>
      </c>
      <c r="AX50" s="545" t="n">
        <v>-28.30241736</v>
      </c>
      <c r="AY50" s="545" t="n">
        <v>-28.30241736</v>
      </c>
      <c r="AZ50" s="545" t="n">
        <v>-28.30241736</v>
      </c>
      <c r="BA50" s="545" t="n">
        <v>-28.30241736</v>
      </c>
      <c r="BB50" s="545" t="n">
        <v>-28.8684657072</v>
      </c>
      <c r="BC50" s="545" t="n">
        <v>-28.8684657072</v>
      </c>
      <c r="BD50" s="545" t="n">
        <v>-28.8684657072</v>
      </c>
      <c r="BE50" s="545" t="n">
        <v>-28.8684657072</v>
      </c>
      <c r="BF50" s="545" t="n">
        <v>-28.8684657072</v>
      </c>
      <c r="BG50" s="545" t="n">
        <v>-28.8684657072</v>
      </c>
      <c r="BH50" s="545" t="n">
        <v>-28.8684657072</v>
      </c>
      <c r="BI50" s="545" t="n">
        <v>-28.8684657072</v>
      </c>
      <c r="BJ50" s="545" t="n">
        <v>-28.8684657072</v>
      </c>
      <c r="BK50" s="545" t="n">
        <v>-28.8684657072</v>
      </c>
      <c r="BL50" s="545" t="n">
        <v>-28.8684657072</v>
      </c>
      <c r="BM50" s="545" t="n">
        <v>-28.8684657072</v>
      </c>
      <c r="BN50" s="545" t="n">
        <v>-29.445835021344</v>
      </c>
      <c r="BO50" s="545" t="n">
        <v>-29.445835021344</v>
      </c>
      <c r="BP50" s="545" t="n">
        <v>-29.445835021344</v>
      </c>
      <c r="BQ50" s="545" t="n">
        <v>-29.445835021344</v>
      </c>
      <c r="BR50" s="545" t="n">
        <v>-29.445835021344</v>
      </c>
      <c r="BS50" s="545" t="n">
        <v>-29.445835021344</v>
      </c>
      <c r="BT50" s="545" t="n">
        <v>-29.445835021344</v>
      </c>
      <c r="BU50" s="545" t="n">
        <v>-29.445835021344</v>
      </c>
      <c r="BV50" s="545" t="n">
        <v>-29.445835021344</v>
      </c>
      <c r="BW50" s="545" t="n">
        <v>-29.445835021344</v>
      </c>
      <c r="BX50" s="545" t="n">
        <v>-29.445835021344</v>
      </c>
      <c r="BY50" s="545" t="n">
        <v>-29.445835021344</v>
      </c>
      <c r="BZ50" s="545" t="n">
        <v>-30.0347517217709</v>
      </c>
      <c r="CA50" s="545" t="n">
        <v>-30.0347517217709</v>
      </c>
      <c r="CB50" s="545" t="n">
        <v>-30.0347517217709</v>
      </c>
      <c r="CC50" s="545" t="n">
        <v>-30.0347517217709</v>
      </c>
      <c r="CD50" s="545" t="n">
        <v>-30.0347517217709</v>
      </c>
      <c r="CE50" s="545" t="n">
        <v>-30.0347517217709</v>
      </c>
      <c r="CF50" s="545" t="n">
        <v>-30.0347517217709</v>
      </c>
      <c r="CG50" s="545" t="n">
        <v>-30.0347517217709</v>
      </c>
      <c r="CH50" s="545" t="n">
        <v>-30.0347517217709</v>
      </c>
      <c r="CI50" s="545" t="n">
        <v>-30.0347517217709</v>
      </c>
      <c r="CJ50" s="545" t="n">
        <v>-30.0347517217709</v>
      </c>
      <c r="CK50" s="545" t="n">
        <v>-30.0347517217709</v>
      </c>
      <c r="CL50" s="545" t="n">
        <v>-30.6354467562063</v>
      </c>
      <c r="CM50" s="545" t="n">
        <v>-30.6354467562063</v>
      </c>
      <c r="CN50" s="545" t="n">
        <v>-30.6354467562063</v>
      </c>
      <c r="CO50" s="545" t="n">
        <v>-30.6354467562063</v>
      </c>
      <c r="CP50" s="545" t="n">
        <v>-30.6354467562063</v>
      </c>
      <c r="CQ50" s="545" t="n">
        <v>-30.6354467562063</v>
      </c>
      <c r="CR50" s="545" t="n">
        <v>-30.6354467562063</v>
      </c>
      <c r="CS50" s="545" t="n">
        <v>-30.6354467562063</v>
      </c>
      <c r="CT50" s="545" t="n">
        <v>-30.6354467562063</v>
      </c>
      <c r="CU50" s="545" t="n">
        <v>-30.6354467562063</v>
      </c>
      <c r="CV50" s="545" t="n">
        <v>-30.6354467562063</v>
      </c>
      <c r="CW50" s="545" t="n">
        <v>-30.6354467562063</v>
      </c>
      <c r="CX50" s="545" t="n">
        <v>-31.2481556913304</v>
      </c>
      <c r="CY50" s="545" t="n">
        <v>-31.2481556913304</v>
      </c>
      <c r="CZ50" s="545" t="n">
        <v>-31.2481556913304</v>
      </c>
      <c r="DA50" s="545" t="n">
        <v>-31.2481556913304</v>
      </c>
      <c r="DB50" s="545" t="n">
        <v>-31.2481556913304</v>
      </c>
      <c r="DC50" s="545" t="n">
        <v>-31.2481556913304</v>
      </c>
      <c r="DD50" s="545" t="n">
        <v>-31.2481556913304</v>
      </c>
      <c r="DE50" s="545" t="n">
        <v>-31.2481556913304</v>
      </c>
      <c r="DF50" s="545" t="n">
        <v>-31.2481556913304</v>
      </c>
    </row>
    <row r="51" ht="15" customFormat="1" customHeight="1" s="381">
      <c r="A51" s="482" t="inlineStr">
        <is>
          <t>5900-3000 Charitable Contribution</t>
        </is>
      </c>
      <c r="C51" s="544" t="n">
        <v>0</v>
      </c>
      <c r="D51" s="544" t="n">
        <v>-63</v>
      </c>
      <c r="E51" s="544" t="n">
        <v>0</v>
      </c>
      <c r="F51" s="545" t="n">
        <v>-21</v>
      </c>
      <c r="G51" s="545" t="n">
        <v>-21</v>
      </c>
      <c r="H51" s="545" t="n">
        <v>-21</v>
      </c>
      <c r="I51" s="545" t="n">
        <v>-21</v>
      </c>
      <c r="J51" s="545" t="n">
        <v>-21</v>
      </c>
      <c r="K51" s="545" t="n">
        <v>-21</v>
      </c>
      <c r="L51" s="545" t="n">
        <v>-21</v>
      </c>
      <c r="M51" s="545" t="n">
        <v>-21</v>
      </c>
      <c r="N51" s="545" t="n">
        <v>-21</v>
      </c>
      <c r="O51" s="545" t="n">
        <v>-21</v>
      </c>
      <c r="P51" s="545" t="n">
        <v>-21</v>
      </c>
      <c r="Q51" s="545" t="n">
        <v>-21</v>
      </c>
      <c r="R51" s="545" t="n">
        <v>-21.42</v>
      </c>
      <c r="S51" s="545" t="n">
        <v>-21.42</v>
      </c>
      <c r="T51" s="545" t="n">
        <v>-21.42</v>
      </c>
      <c r="U51" s="545" t="n">
        <v>-21.42</v>
      </c>
      <c r="V51" s="545" t="n">
        <v>-21.42</v>
      </c>
      <c r="W51" s="545" t="n">
        <v>-21.42</v>
      </c>
      <c r="X51" s="545" t="n">
        <v>-21.42</v>
      </c>
      <c r="Y51" s="545" t="n">
        <v>-21.42</v>
      </c>
      <c r="Z51" s="545" t="n">
        <v>-21.42</v>
      </c>
      <c r="AA51" s="545" t="n">
        <v>-21.42</v>
      </c>
      <c r="AB51" s="545" t="n">
        <v>-21.42</v>
      </c>
      <c r="AC51" s="545" t="n">
        <v>-21.42</v>
      </c>
      <c r="AD51" s="545" t="n">
        <v>-21.8484</v>
      </c>
      <c r="AE51" s="545" t="n">
        <v>-21.8484</v>
      </c>
      <c r="AF51" s="545" t="n">
        <v>-21.8484</v>
      </c>
      <c r="AG51" s="545" t="n">
        <v>-21.8484</v>
      </c>
      <c r="AH51" s="545" t="n">
        <v>-21.8484</v>
      </c>
      <c r="AI51" s="545" t="n">
        <v>-21.8484</v>
      </c>
      <c r="AJ51" s="545" t="n">
        <v>-21.8484</v>
      </c>
      <c r="AK51" s="545" t="n">
        <v>-21.8484</v>
      </c>
      <c r="AL51" s="545" t="n">
        <v>-21.8484</v>
      </c>
      <c r="AM51" s="545" t="n">
        <v>-21.8484</v>
      </c>
      <c r="AN51" s="545" t="n">
        <v>-21.8484</v>
      </c>
      <c r="AO51" s="545" t="n">
        <v>-21.8484</v>
      </c>
      <c r="AP51" s="545" t="n">
        <v>-22.285368</v>
      </c>
      <c r="AQ51" s="545" t="n">
        <v>-22.285368</v>
      </c>
      <c r="AR51" s="545" t="n">
        <v>-22.285368</v>
      </c>
      <c r="AS51" s="545" t="n">
        <v>-22.285368</v>
      </c>
      <c r="AT51" s="545" t="n">
        <v>-22.285368</v>
      </c>
      <c r="AU51" s="545" t="n">
        <v>-22.285368</v>
      </c>
      <c r="AV51" s="545" t="n">
        <v>-22.285368</v>
      </c>
      <c r="AW51" s="545" t="n">
        <v>-22.285368</v>
      </c>
      <c r="AX51" s="545" t="n">
        <v>-22.285368</v>
      </c>
      <c r="AY51" s="545" t="n">
        <v>-22.285368</v>
      </c>
      <c r="AZ51" s="545" t="n">
        <v>-22.285368</v>
      </c>
      <c r="BA51" s="545" t="n">
        <v>-22.285368</v>
      </c>
      <c r="BB51" s="545" t="n">
        <v>-22.73107536</v>
      </c>
      <c r="BC51" s="545" t="n">
        <v>-22.73107536</v>
      </c>
      <c r="BD51" s="545" t="n">
        <v>-22.73107536</v>
      </c>
      <c r="BE51" s="545" t="n">
        <v>-22.73107536</v>
      </c>
      <c r="BF51" s="545" t="n">
        <v>-22.73107536</v>
      </c>
      <c r="BG51" s="545" t="n">
        <v>-22.73107536</v>
      </c>
      <c r="BH51" s="545" t="n">
        <v>-22.73107536</v>
      </c>
      <c r="BI51" s="545" t="n">
        <v>-22.73107536</v>
      </c>
      <c r="BJ51" s="545" t="n">
        <v>-22.73107536</v>
      </c>
      <c r="BK51" s="545" t="n">
        <v>-22.73107536</v>
      </c>
      <c r="BL51" s="545" t="n">
        <v>-22.73107536</v>
      </c>
      <c r="BM51" s="545" t="n">
        <v>-22.73107536</v>
      </c>
      <c r="BN51" s="545" t="n">
        <v>-23.1856968672</v>
      </c>
      <c r="BO51" s="545" t="n">
        <v>-23.1856968672</v>
      </c>
      <c r="BP51" s="545" t="n">
        <v>-23.1856968672</v>
      </c>
      <c r="BQ51" s="545" t="n">
        <v>-23.1856968672</v>
      </c>
      <c r="BR51" s="545" t="n">
        <v>-23.1856968672</v>
      </c>
      <c r="BS51" s="545" t="n">
        <v>-23.1856968672</v>
      </c>
      <c r="BT51" s="545" t="n">
        <v>-23.1856968672</v>
      </c>
      <c r="BU51" s="545" t="n">
        <v>-23.1856968672</v>
      </c>
      <c r="BV51" s="545" t="n">
        <v>-23.1856968672</v>
      </c>
      <c r="BW51" s="545" t="n">
        <v>-23.1856968672</v>
      </c>
      <c r="BX51" s="545" t="n">
        <v>-23.1856968672</v>
      </c>
      <c r="BY51" s="545" t="n">
        <v>-23.1856968672</v>
      </c>
      <c r="BZ51" s="545" t="n">
        <v>-23.649410804544</v>
      </c>
      <c r="CA51" s="545" t="n">
        <v>-23.649410804544</v>
      </c>
      <c r="CB51" s="545" t="n">
        <v>-23.649410804544</v>
      </c>
      <c r="CC51" s="545" t="n">
        <v>-23.649410804544</v>
      </c>
      <c r="CD51" s="545" t="n">
        <v>-23.649410804544</v>
      </c>
      <c r="CE51" s="545" t="n">
        <v>-23.649410804544</v>
      </c>
      <c r="CF51" s="545" t="n">
        <v>-23.649410804544</v>
      </c>
      <c r="CG51" s="545" t="n">
        <v>-23.649410804544</v>
      </c>
      <c r="CH51" s="545" t="n">
        <v>-23.649410804544</v>
      </c>
      <c r="CI51" s="545" t="n">
        <v>-23.649410804544</v>
      </c>
      <c r="CJ51" s="545" t="n">
        <v>-23.649410804544</v>
      </c>
      <c r="CK51" s="545" t="n">
        <v>-23.649410804544</v>
      </c>
      <c r="CL51" s="545" t="n">
        <v>-24.1223990206349</v>
      </c>
      <c r="CM51" s="545" t="n">
        <v>-24.1223990206349</v>
      </c>
      <c r="CN51" s="545" t="n">
        <v>-24.1223990206349</v>
      </c>
      <c r="CO51" s="545" t="n">
        <v>-24.1223990206349</v>
      </c>
      <c r="CP51" s="545" t="n">
        <v>-24.1223990206349</v>
      </c>
      <c r="CQ51" s="545" t="n">
        <v>-24.1223990206349</v>
      </c>
      <c r="CR51" s="545" t="n">
        <v>-24.1223990206349</v>
      </c>
      <c r="CS51" s="545" t="n">
        <v>-24.1223990206349</v>
      </c>
      <c r="CT51" s="545" t="n">
        <v>-24.1223990206349</v>
      </c>
      <c r="CU51" s="545" t="n">
        <v>-24.1223990206349</v>
      </c>
      <c r="CV51" s="545" t="n">
        <v>-24.1223990206349</v>
      </c>
      <c r="CW51" s="545" t="n">
        <v>-24.1223990206349</v>
      </c>
      <c r="CX51" s="545" t="n">
        <v>-24.6048470010476</v>
      </c>
      <c r="CY51" s="545" t="n">
        <v>-24.6048470010476</v>
      </c>
      <c r="CZ51" s="545" t="n">
        <v>-24.6048470010476</v>
      </c>
      <c r="DA51" s="545" t="n">
        <v>-24.6048470010476</v>
      </c>
      <c r="DB51" s="545" t="n">
        <v>-24.6048470010476</v>
      </c>
      <c r="DC51" s="545" t="n">
        <v>-24.6048470010476</v>
      </c>
      <c r="DD51" s="545" t="n">
        <v>-24.6048470010476</v>
      </c>
      <c r="DE51" s="545" t="n">
        <v>-24.6048470010476</v>
      </c>
      <c r="DF51" s="545" t="n">
        <v>-24.6048470010476</v>
      </c>
    </row>
    <row r="52" ht="18" customFormat="1" customHeight="1" s="381">
      <c r="A52" s="452" t="inlineStr">
        <is>
          <t>BD Commission</t>
        </is>
      </c>
      <c r="B52" s="486" t="n"/>
      <c r="C52" s="544" t="n">
        <v>0</v>
      </c>
      <c r="D52" s="544" t="n">
        <v>0</v>
      </c>
      <c r="E52" s="544" t="n">
        <v>0</v>
      </c>
      <c r="F52" s="545" t="n">
        <v>0</v>
      </c>
      <c r="G52" s="545" t="n">
        <v>0</v>
      </c>
      <c r="H52" s="545" t="n">
        <v>0</v>
      </c>
      <c r="I52" s="545" t="n">
        <v>0</v>
      </c>
      <c r="J52" s="545" t="n">
        <v>0</v>
      </c>
      <c r="K52" s="545" t="n">
        <v>0</v>
      </c>
      <c r="L52" s="545" t="n">
        <v>0</v>
      </c>
      <c r="M52" s="545" t="n">
        <v>0</v>
      </c>
      <c r="N52" s="545" t="n">
        <v>0</v>
      </c>
      <c r="O52" s="545" t="n">
        <v>0</v>
      </c>
      <c r="P52" s="545" t="n">
        <v>0</v>
      </c>
      <c r="Q52" s="545" t="n">
        <v>0</v>
      </c>
      <c r="R52" s="545" t="n">
        <v>0</v>
      </c>
      <c r="S52" s="545" t="n">
        <v>0</v>
      </c>
      <c r="T52" s="545" t="n">
        <v>0</v>
      </c>
      <c r="U52" s="545" t="n">
        <v>0</v>
      </c>
      <c r="V52" s="545" t="n">
        <v>0</v>
      </c>
      <c r="W52" s="545" t="n">
        <v>0</v>
      </c>
      <c r="X52" s="545" t="n">
        <v>0</v>
      </c>
      <c r="Y52" s="545" t="n">
        <v>0</v>
      </c>
      <c r="Z52" s="545" t="n">
        <v>0</v>
      </c>
      <c r="AA52" s="545" t="n">
        <v>0</v>
      </c>
      <c r="AB52" s="545" t="n">
        <v>0</v>
      </c>
      <c r="AC52" s="545" t="n">
        <v>0</v>
      </c>
      <c r="AD52" s="545" t="n">
        <v>0</v>
      </c>
      <c r="AE52" s="545" t="n">
        <v>0</v>
      </c>
      <c r="AF52" s="545" t="n">
        <v>0</v>
      </c>
      <c r="AG52" s="545" t="n">
        <v>0</v>
      </c>
      <c r="AH52" s="545" t="n">
        <v>0</v>
      </c>
      <c r="AI52" s="545" t="n">
        <v>0</v>
      </c>
      <c r="AJ52" s="545" t="n">
        <v>0</v>
      </c>
      <c r="AK52" s="545" t="n">
        <v>0</v>
      </c>
      <c r="AL52" s="545" t="n">
        <v>0</v>
      </c>
      <c r="AM52" s="545" t="n">
        <v>0</v>
      </c>
      <c r="AN52" s="545" t="n">
        <v>0</v>
      </c>
      <c r="AO52" s="545" t="n">
        <v>0</v>
      </c>
      <c r="AP52" s="545" t="n">
        <v>0</v>
      </c>
      <c r="AQ52" s="545" t="n">
        <v>0</v>
      </c>
      <c r="AR52" s="545" t="n">
        <v>0</v>
      </c>
      <c r="AS52" s="545" t="n">
        <v>0</v>
      </c>
      <c r="AT52" s="545" t="n">
        <v>0</v>
      </c>
      <c r="AU52" s="545" t="n">
        <v>0</v>
      </c>
      <c r="AV52" s="545" t="n">
        <v>0</v>
      </c>
      <c r="AW52" s="545" t="n">
        <v>0</v>
      </c>
      <c r="AX52" s="545" t="n">
        <v>0</v>
      </c>
      <c r="AY52" s="545" t="n">
        <v>0</v>
      </c>
      <c r="AZ52" s="545" t="n">
        <v>0</v>
      </c>
      <c r="BA52" s="545" t="n">
        <v>0</v>
      </c>
      <c r="BB52" s="545" t="n">
        <v>0</v>
      </c>
      <c r="BC52" s="545" t="n">
        <v>0</v>
      </c>
      <c r="BD52" s="545" t="n">
        <v>0</v>
      </c>
      <c r="BE52" s="545" t="n">
        <v>0</v>
      </c>
      <c r="BF52" s="545" t="n">
        <v>0</v>
      </c>
      <c r="BG52" s="545" t="n">
        <v>0</v>
      </c>
      <c r="BH52" s="545" t="n">
        <v>0</v>
      </c>
      <c r="BI52" s="545" t="n">
        <v>0</v>
      </c>
      <c r="BJ52" s="545" t="n">
        <v>0</v>
      </c>
      <c r="BK52" s="545" t="n">
        <v>0</v>
      </c>
      <c r="BL52" s="545" t="n">
        <v>0</v>
      </c>
      <c r="BM52" s="545" t="n">
        <v>0</v>
      </c>
      <c r="BN52" s="545" t="n">
        <v>0</v>
      </c>
      <c r="BO52" s="545" t="n">
        <v>0</v>
      </c>
      <c r="BP52" s="545" t="n">
        <v>0</v>
      </c>
      <c r="BQ52" s="545" t="n">
        <v>0</v>
      </c>
      <c r="BR52" s="545" t="n">
        <v>0</v>
      </c>
      <c r="BS52" s="545" t="n">
        <v>0</v>
      </c>
      <c r="BT52" s="545" t="n">
        <v>0</v>
      </c>
      <c r="BU52" s="545" t="n">
        <v>0</v>
      </c>
      <c r="BV52" s="545" t="n">
        <v>0</v>
      </c>
      <c r="BW52" s="545" t="n">
        <v>0</v>
      </c>
      <c r="BX52" s="545" t="n">
        <v>0</v>
      </c>
      <c r="BY52" s="545" t="n">
        <v>0</v>
      </c>
      <c r="BZ52" s="545" t="n">
        <v>0</v>
      </c>
      <c r="CA52" s="545" t="n">
        <v>0</v>
      </c>
      <c r="CB52" s="545" t="n">
        <v>0</v>
      </c>
      <c r="CC52" s="545" t="n">
        <v>0</v>
      </c>
      <c r="CD52" s="545" t="n">
        <v>0</v>
      </c>
      <c r="CE52" s="545" t="n">
        <v>0</v>
      </c>
      <c r="CF52" s="545" t="n">
        <v>0</v>
      </c>
      <c r="CG52" s="545" t="n">
        <v>0</v>
      </c>
      <c r="CH52" s="545" t="n">
        <v>0</v>
      </c>
      <c r="CI52" s="545" t="n">
        <v>0</v>
      </c>
      <c r="CJ52" s="545" t="n">
        <v>0</v>
      </c>
      <c r="CK52" s="545" t="n">
        <v>0</v>
      </c>
      <c r="CL52" s="545" t="n">
        <v>0</v>
      </c>
      <c r="CM52" s="545" t="n">
        <v>0</v>
      </c>
      <c r="CN52" s="545" t="n">
        <v>0</v>
      </c>
      <c r="CO52" s="545" t="n">
        <v>0</v>
      </c>
      <c r="CP52" s="545" t="n">
        <v>0</v>
      </c>
      <c r="CQ52" s="545" t="n">
        <v>0</v>
      </c>
      <c r="CR52" s="545" t="n">
        <v>0</v>
      </c>
      <c r="CS52" s="545" t="n">
        <v>0</v>
      </c>
      <c r="CT52" s="545" t="n">
        <v>0</v>
      </c>
      <c r="CU52" s="545" t="n">
        <v>0</v>
      </c>
      <c r="CV52" s="545" t="n">
        <v>0</v>
      </c>
      <c r="CW52" s="545" t="n">
        <v>0</v>
      </c>
      <c r="CX52" s="545" t="n">
        <v>0</v>
      </c>
      <c r="CY52" s="545" t="n">
        <v>0</v>
      </c>
      <c r="CZ52" s="545" t="n">
        <v>0</v>
      </c>
      <c r="DA52" s="545" t="n">
        <v>0</v>
      </c>
      <c r="DB52" s="545" t="n">
        <v>0</v>
      </c>
      <c r="DC52" s="545" t="n">
        <v>0</v>
      </c>
      <c r="DD52" s="545" t="n">
        <v>0</v>
      </c>
      <c r="DE52" s="545" t="n">
        <v>0</v>
      </c>
      <c r="DF52" s="545" t="n">
        <v>0</v>
      </c>
    </row>
    <row r="53" ht="15" customFormat="1" customHeight="1" s="381">
      <c r="A53" s="488" t="inlineStr">
        <is>
          <t>8200-2000 State Tax and Fees</t>
        </is>
      </c>
      <c r="C53" s="544" t="n">
        <v>0</v>
      </c>
      <c r="D53" s="544" t="n">
        <v>0</v>
      </c>
      <c r="E53" s="544" t="n">
        <v>-11105.35</v>
      </c>
      <c r="F53" s="545" t="n">
        <v>-3701.78</v>
      </c>
      <c r="G53" s="545" t="n">
        <v>-3701.78</v>
      </c>
      <c r="H53" s="545" t="n">
        <v>-3701.78</v>
      </c>
      <c r="I53" s="545" t="n">
        <v>-3701.78</v>
      </c>
      <c r="J53" s="545" t="n">
        <v>-3701.78</v>
      </c>
      <c r="K53" s="545" t="n">
        <v>-3701.78</v>
      </c>
      <c r="L53" s="545" t="n">
        <v>-3701.78</v>
      </c>
      <c r="M53" s="545" t="n">
        <v>-3701.78</v>
      </c>
      <c r="N53" s="545" t="n">
        <v>-3701.78</v>
      </c>
      <c r="O53" s="545" t="n">
        <v>-3701.78</v>
      </c>
      <c r="P53" s="545" t="n">
        <v>-3701.78</v>
      </c>
      <c r="Q53" s="545" t="n">
        <v>-3701.78</v>
      </c>
      <c r="R53" s="545" t="n">
        <v>-3775.8156</v>
      </c>
      <c r="S53" s="545" t="n">
        <v>-3775.8156</v>
      </c>
      <c r="T53" s="545" t="n">
        <v>-3775.8156</v>
      </c>
      <c r="U53" s="545" t="n">
        <v>-3775.8156</v>
      </c>
      <c r="V53" s="545" t="n">
        <v>-3775.8156</v>
      </c>
      <c r="W53" s="545" t="n">
        <v>-3775.8156</v>
      </c>
      <c r="X53" s="545" t="n">
        <v>-3775.8156</v>
      </c>
      <c r="Y53" s="545" t="n">
        <v>-3775.8156</v>
      </c>
      <c r="Z53" s="545" t="n">
        <v>-3775.8156</v>
      </c>
      <c r="AA53" s="545" t="n">
        <v>-3775.8156</v>
      </c>
      <c r="AB53" s="545" t="n">
        <v>-3775.8156</v>
      </c>
      <c r="AC53" s="545" t="n">
        <v>-3775.8156</v>
      </c>
      <c r="AD53" s="545" t="n">
        <v>-3851.331912</v>
      </c>
      <c r="AE53" s="545" t="n">
        <v>-3851.331912</v>
      </c>
      <c r="AF53" s="545" t="n">
        <v>-3851.331912</v>
      </c>
      <c r="AG53" s="545" t="n">
        <v>-3851.331912</v>
      </c>
      <c r="AH53" s="545" t="n">
        <v>-3851.331912</v>
      </c>
      <c r="AI53" s="545" t="n">
        <v>-3851.331912</v>
      </c>
      <c r="AJ53" s="545" t="n">
        <v>-3851.331912</v>
      </c>
      <c r="AK53" s="545" t="n">
        <v>-3851.331912</v>
      </c>
      <c r="AL53" s="545" t="n">
        <v>-3851.331912</v>
      </c>
      <c r="AM53" s="545" t="n">
        <v>-3851.331912</v>
      </c>
      <c r="AN53" s="545" t="n">
        <v>-3851.331912</v>
      </c>
      <c r="AO53" s="545" t="n">
        <v>-3851.331912</v>
      </c>
      <c r="AP53" s="545" t="n">
        <v>-3928.35855024</v>
      </c>
      <c r="AQ53" s="545" t="n">
        <v>-3928.35855024</v>
      </c>
      <c r="AR53" s="545" t="n">
        <v>-3928.35855024</v>
      </c>
      <c r="AS53" s="545" t="n">
        <v>-3928.35855024</v>
      </c>
      <c r="AT53" s="545" t="n">
        <v>-3928.35855024</v>
      </c>
      <c r="AU53" s="545" t="n">
        <v>-3928.35855024</v>
      </c>
      <c r="AV53" s="545" t="n">
        <v>-3928.35855024</v>
      </c>
      <c r="AW53" s="545" t="n">
        <v>-3928.35855024</v>
      </c>
      <c r="AX53" s="545" t="n">
        <v>-3928.35855024</v>
      </c>
      <c r="AY53" s="545" t="n">
        <v>-3928.35855024</v>
      </c>
      <c r="AZ53" s="545" t="n">
        <v>-3928.35855024</v>
      </c>
      <c r="BA53" s="545" t="n">
        <v>-3928.35855024</v>
      </c>
      <c r="BB53" s="545" t="n">
        <v>-4006.9257212448</v>
      </c>
      <c r="BC53" s="545" t="n">
        <v>-4006.9257212448</v>
      </c>
      <c r="BD53" s="545" t="n">
        <v>-4006.9257212448</v>
      </c>
      <c r="BE53" s="545" t="n">
        <v>-4006.9257212448</v>
      </c>
      <c r="BF53" s="545" t="n">
        <v>-4006.9257212448</v>
      </c>
      <c r="BG53" s="545" t="n">
        <v>-4006.9257212448</v>
      </c>
      <c r="BH53" s="545" t="n">
        <v>-4006.9257212448</v>
      </c>
      <c r="BI53" s="545" t="n">
        <v>-4006.9257212448</v>
      </c>
      <c r="BJ53" s="545" t="n">
        <v>-4006.9257212448</v>
      </c>
      <c r="BK53" s="545" t="n">
        <v>-4006.9257212448</v>
      </c>
      <c r="BL53" s="545" t="n">
        <v>-4006.9257212448</v>
      </c>
      <c r="BM53" s="545" t="n">
        <v>-4006.9257212448</v>
      </c>
      <c r="BN53" s="545" t="n">
        <v>-4087.0642356697</v>
      </c>
      <c r="BO53" s="545" t="n">
        <v>-4087.0642356697</v>
      </c>
      <c r="BP53" s="545" t="n">
        <v>-4087.0642356697</v>
      </c>
      <c r="BQ53" s="545" t="n">
        <v>-4087.0642356697</v>
      </c>
      <c r="BR53" s="545" t="n">
        <v>-4087.0642356697</v>
      </c>
      <c r="BS53" s="545" t="n">
        <v>-4087.0642356697</v>
      </c>
      <c r="BT53" s="545" t="n">
        <v>-4087.0642356697</v>
      </c>
      <c r="BU53" s="545" t="n">
        <v>-4087.0642356697</v>
      </c>
      <c r="BV53" s="545" t="n">
        <v>-4087.0642356697</v>
      </c>
      <c r="BW53" s="545" t="n">
        <v>-4087.0642356697</v>
      </c>
      <c r="BX53" s="545" t="n">
        <v>-4087.0642356697</v>
      </c>
      <c r="BY53" s="545" t="n">
        <v>-4087.0642356697</v>
      </c>
      <c r="BZ53" s="545" t="n">
        <v>-4168.80552038309</v>
      </c>
      <c r="CA53" s="545" t="n">
        <v>-4168.80552038309</v>
      </c>
      <c r="CB53" s="545" t="n">
        <v>-4168.80552038309</v>
      </c>
      <c r="CC53" s="545" t="n">
        <v>-4168.80552038309</v>
      </c>
      <c r="CD53" s="545" t="n">
        <v>-4168.80552038309</v>
      </c>
      <c r="CE53" s="545" t="n">
        <v>-4168.80552038309</v>
      </c>
      <c r="CF53" s="545" t="n">
        <v>-4168.80552038309</v>
      </c>
      <c r="CG53" s="545" t="n">
        <v>-4168.80552038309</v>
      </c>
      <c r="CH53" s="545" t="n">
        <v>-4168.80552038309</v>
      </c>
      <c r="CI53" s="545" t="n">
        <v>-4168.80552038309</v>
      </c>
      <c r="CJ53" s="545" t="n">
        <v>-4168.80552038309</v>
      </c>
      <c r="CK53" s="545" t="n">
        <v>-4168.80552038309</v>
      </c>
      <c r="CL53" s="545" t="n">
        <v>-4252.18163079075</v>
      </c>
      <c r="CM53" s="545" t="n">
        <v>-4252.18163079075</v>
      </c>
      <c r="CN53" s="545" t="n">
        <v>-4252.18163079075</v>
      </c>
      <c r="CO53" s="545" t="n">
        <v>-4252.18163079075</v>
      </c>
      <c r="CP53" s="545" t="n">
        <v>-4252.18163079075</v>
      </c>
      <c r="CQ53" s="545" t="n">
        <v>-4252.18163079075</v>
      </c>
      <c r="CR53" s="545" t="n">
        <v>-4252.18163079075</v>
      </c>
      <c r="CS53" s="545" t="n">
        <v>-4252.18163079075</v>
      </c>
      <c r="CT53" s="545" t="n">
        <v>-4252.18163079075</v>
      </c>
      <c r="CU53" s="545" t="n">
        <v>-4252.18163079075</v>
      </c>
      <c r="CV53" s="545" t="n">
        <v>-4252.18163079075</v>
      </c>
      <c r="CW53" s="545" t="n">
        <v>-4252.18163079075</v>
      </c>
      <c r="CX53" s="545" t="n">
        <v>-4337.22526340657</v>
      </c>
      <c r="CY53" s="545" t="n">
        <v>-4337.22526340657</v>
      </c>
      <c r="CZ53" s="545" t="n">
        <v>-4337.22526340657</v>
      </c>
      <c r="DA53" s="545" t="n">
        <v>-4337.22526340657</v>
      </c>
      <c r="DB53" s="545" t="n">
        <v>-4337.22526340657</v>
      </c>
      <c r="DC53" s="545" t="n">
        <v>-4337.22526340657</v>
      </c>
      <c r="DD53" s="545" t="n">
        <v>-4337.22526340657</v>
      </c>
      <c r="DE53" s="545" t="n">
        <v>-4337.22526340657</v>
      </c>
      <c r="DF53" s="545" t="n">
        <v>-4337.22526340657</v>
      </c>
    </row>
    <row r="54" ht="15" customFormat="1" customHeight="1" s="381">
      <c r="A54" s="488" t="inlineStr">
        <is>
          <t>GC Placeholder — Future Cost C</t>
        </is>
      </c>
      <c r="C54" s="544" t="n">
        <v>0</v>
      </c>
      <c r="D54" s="544" t="n">
        <v>0</v>
      </c>
      <c r="E54" s="544" t="n">
        <v>0</v>
      </c>
      <c r="F54" s="545" t="n">
        <v>0</v>
      </c>
      <c r="G54" s="545" t="n">
        <v>0</v>
      </c>
      <c r="H54" s="545" t="n">
        <v>0</v>
      </c>
      <c r="I54" s="545" t="n">
        <v>0</v>
      </c>
      <c r="J54" s="545" t="n">
        <v>0</v>
      </c>
      <c r="K54" s="545" t="n">
        <v>0</v>
      </c>
      <c r="L54" s="545" t="n">
        <v>0</v>
      </c>
      <c r="M54" s="545" t="n">
        <v>0</v>
      </c>
      <c r="N54" s="545" t="n">
        <v>0</v>
      </c>
      <c r="O54" s="545" t="n">
        <v>0</v>
      </c>
      <c r="P54" s="545" t="n">
        <v>0</v>
      </c>
      <c r="Q54" s="545" t="n">
        <v>0</v>
      </c>
      <c r="R54" s="545" t="n">
        <v>0</v>
      </c>
      <c r="S54" s="545" t="n">
        <v>0</v>
      </c>
      <c r="T54" s="545" t="n">
        <v>0</v>
      </c>
      <c r="U54" s="545" t="n">
        <v>0</v>
      </c>
      <c r="V54" s="545" t="n">
        <v>0</v>
      </c>
      <c r="W54" s="545" t="n">
        <v>0</v>
      </c>
      <c r="X54" s="545" t="n">
        <v>0</v>
      </c>
      <c r="Y54" s="545" t="n">
        <v>0</v>
      </c>
      <c r="Z54" s="545" t="n">
        <v>0</v>
      </c>
      <c r="AA54" s="545" t="n">
        <v>0</v>
      </c>
      <c r="AB54" s="545" t="n">
        <v>0</v>
      </c>
      <c r="AC54" s="545" t="n">
        <v>0</v>
      </c>
      <c r="AD54" s="545" t="n">
        <v>0</v>
      </c>
      <c r="AE54" s="545" t="n">
        <v>0</v>
      </c>
      <c r="AF54" s="545" t="n">
        <v>0</v>
      </c>
      <c r="AG54" s="545" t="n">
        <v>0</v>
      </c>
      <c r="AH54" s="545" t="n">
        <v>0</v>
      </c>
      <c r="AI54" s="545" t="n">
        <v>0</v>
      </c>
      <c r="AJ54" s="545" t="n">
        <v>0</v>
      </c>
      <c r="AK54" s="545" t="n">
        <v>0</v>
      </c>
      <c r="AL54" s="545" t="n">
        <v>0</v>
      </c>
      <c r="AM54" s="545" t="n">
        <v>0</v>
      </c>
      <c r="AN54" s="545" t="n">
        <v>0</v>
      </c>
      <c r="AO54" s="545" t="n">
        <v>0</v>
      </c>
      <c r="AP54" s="545" t="n">
        <v>0</v>
      </c>
      <c r="AQ54" s="545" t="n">
        <v>0</v>
      </c>
      <c r="AR54" s="545" t="n">
        <v>0</v>
      </c>
      <c r="AS54" s="545" t="n">
        <v>0</v>
      </c>
      <c r="AT54" s="545" t="n">
        <v>0</v>
      </c>
      <c r="AU54" s="545" t="n">
        <v>0</v>
      </c>
      <c r="AV54" s="545" t="n">
        <v>0</v>
      </c>
      <c r="AW54" s="545" t="n">
        <v>0</v>
      </c>
      <c r="AX54" s="545" t="n">
        <v>0</v>
      </c>
      <c r="AY54" s="545" t="n">
        <v>0</v>
      </c>
      <c r="AZ54" s="545" t="n">
        <v>0</v>
      </c>
      <c r="BA54" s="545" t="n">
        <v>0</v>
      </c>
      <c r="BB54" s="545" t="n">
        <v>0</v>
      </c>
      <c r="BC54" s="545" t="n">
        <v>0</v>
      </c>
      <c r="BD54" s="545" t="n">
        <v>0</v>
      </c>
      <c r="BE54" s="545" t="n">
        <v>0</v>
      </c>
      <c r="BF54" s="545" t="n">
        <v>0</v>
      </c>
      <c r="BG54" s="545" t="n">
        <v>0</v>
      </c>
      <c r="BH54" s="545" t="n">
        <v>0</v>
      </c>
      <c r="BI54" s="545" t="n">
        <v>0</v>
      </c>
      <c r="BJ54" s="545" t="n">
        <v>0</v>
      </c>
      <c r="BK54" s="545" t="n">
        <v>0</v>
      </c>
      <c r="BL54" s="545" t="n">
        <v>0</v>
      </c>
      <c r="BM54" s="545" t="n">
        <v>0</v>
      </c>
      <c r="BN54" s="545" t="n">
        <v>0</v>
      </c>
      <c r="BO54" s="545" t="n">
        <v>0</v>
      </c>
      <c r="BP54" s="545" t="n">
        <v>0</v>
      </c>
      <c r="BQ54" s="545" t="n">
        <v>0</v>
      </c>
      <c r="BR54" s="545" t="n">
        <v>0</v>
      </c>
      <c r="BS54" s="545" t="n">
        <v>0</v>
      </c>
      <c r="BT54" s="545" t="n">
        <v>0</v>
      </c>
      <c r="BU54" s="545" t="n">
        <v>0</v>
      </c>
      <c r="BV54" s="545" t="n">
        <v>0</v>
      </c>
      <c r="BW54" s="545" t="n">
        <v>0</v>
      </c>
      <c r="BX54" s="545" t="n">
        <v>0</v>
      </c>
      <c r="BY54" s="545" t="n">
        <v>0</v>
      </c>
      <c r="BZ54" s="545" t="n">
        <v>0</v>
      </c>
      <c r="CA54" s="545" t="n">
        <v>0</v>
      </c>
      <c r="CB54" s="545" t="n">
        <v>0</v>
      </c>
      <c r="CC54" s="545" t="n">
        <v>0</v>
      </c>
      <c r="CD54" s="545" t="n">
        <v>0</v>
      </c>
      <c r="CE54" s="545" t="n">
        <v>0</v>
      </c>
      <c r="CF54" s="545" t="n">
        <v>0</v>
      </c>
      <c r="CG54" s="545" t="n">
        <v>0</v>
      </c>
      <c r="CH54" s="545" t="n">
        <v>0</v>
      </c>
      <c r="CI54" s="545" t="n">
        <v>0</v>
      </c>
      <c r="CJ54" s="545" t="n">
        <v>0</v>
      </c>
      <c r="CK54" s="545" t="n">
        <v>0</v>
      </c>
      <c r="CL54" s="545" t="n">
        <v>0</v>
      </c>
      <c r="CM54" s="545" t="n">
        <v>0</v>
      </c>
      <c r="CN54" s="545" t="n">
        <v>0</v>
      </c>
      <c r="CO54" s="545" t="n">
        <v>0</v>
      </c>
      <c r="CP54" s="545" t="n">
        <v>0</v>
      </c>
      <c r="CQ54" s="545" t="n">
        <v>0</v>
      </c>
      <c r="CR54" s="545" t="n">
        <v>0</v>
      </c>
      <c r="CS54" s="545" t="n">
        <v>0</v>
      </c>
      <c r="CT54" s="545" t="n">
        <v>0</v>
      </c>
      <c r="CU54" s="545" t="n">
        <v>0</v>
      </c>
      <c r="CV54" s="545" t="n">
        <v>0</v>
      </c>
      <c r="CW54" s="545" t="n">
        <v>0</v>
      </c>
      <c r="CX54" s="545" t="n">
        <v>0</v>
      </c>
      <c r="CY54" s="545" t="n">
        <v>0</v>
      </c>
      <c r="CZ54" s="545" t="n">
        <v>0</v>
      </c>
      <c r="DA54" s="545" t="n">
        <v>0</v>
      </c>
      <c r="DB54" s="545" t="n">
        <v>0</v>
      </c>
      <c r="DC54" s="545" t="n">
        <v>0</v>
      </c>
      <c r="DD54" s="545" t="n">
        <v>0</v>
      </c>
      <c r="DE54" s="545" t="n">
        <v>0</v>
      </c>
      <c r="DF54" s="545" t="n">
        <v>0</v>
      </c>
    </row>
    <row r="55" ht="15" customFormat="1" customHeight="1" s="381">
      <c r="A55" s="477" t="inlineStr">
        <is>
          <t>Total GC Costs</t>
        </is>
      </c>
      <c r="C55" s="547" t="n">
        <v>-258991.59</v>
      </c>
      <c r="D55" s="547" t="n">
        <v>-258698.63</v>
      </c>
      <c r="E55" s="547" t="n">
        <v>-350327.83</v>
      </c>
      <c r="F55" s="547" t="n">
        <v>-391691.558333333</v>
      </c>
      <c r="G55" s="547" t="n">
        <v>-464089.475</v>
      </c>
      <c r="H55" s="547" t="n">
        <v>-493464.475</v>
      </c>
      <c r="I55" s="547" t="n">
        <v>-480368.641666666</v>
      </c>
      <c r="J55" s="547" t="n">
        <v>-460868.641666666</v>
      </c>
      <c r="K55" s="547" t="n">
        <v>-460868.641666666</v>
      </c>
      <c r="L55" s="547" t="n">
        <v>-522222.808333333</v>
      </c>
      <c r="M55" s="547" t="n">
        <v>-573072.808333333</v>
      </c>
      <c r="N55" s="547" t="n">
        <v>-519072.808333333</v>
      </c>
      <c r="O55" s="547" t="n">
        <v>-519072.808333333</v>
      </c>
      <c r="P55" s="547" t="n">
        <v>-519072.808333333</v>
      </c>
      <c r="Q55" s="547" t="n">
        <v>-519072.808333333</v>
      </c>
      <c r="R55" s="547" t="n">
        <v>-566949.597833333</v>
      </c>
      <c r="S55" s="547" t="n">
        <v>-542949.597833333</v>
      </c>
      <c r="T55" s="547" t="n">
        <v>-542949.597833333</v>
      </c>
      <c r="U55" s="547" t="n">
        <v>-542949.597833333</v>
      </c>
      <c r="V55" s="547" t="n">
        <v>-542949.597833333</v>
      </c>
      <c r="W55" s="547" t="n">
        <v>-542949.597833333</v>
      </c>
      <c r="X55" s="547" t="n">
        <v>-542949.597833333</v>
      </c>
      <c r="Y55" s="547" t="n">
        <v>-542949.597833333</v>
      </c>
      <c r="Z55" s="547" t="n">
        <v>-542949.597833333</v>
      </c>
      <c r="AA55" s="547" t="n">
        <v>-542949.597833333</v>
      </c>
      <c r="AB55" s="547" t="n">
        <v>-542949.597833333</v>
      </c>
      <c r="AC55" s="547" t="n">
        <v>-542949.597833333</v>
      </c>
      <c r="AD55" s="547" t="n">
        <v>-551731.923123333</v>
      </c>
      <c r="AE55" s="547" t="n">
        <v>-551731.923123333</v>
      </c>
      <c r="AF55" s="547" t="n">
        <v>-551731.923123333</v>
      </c>
      <c r="AG55" s="547" t="n">
        <v>-551731.923123333</v>
      </c>
      <c r="AH55" s="547" t="n">
        <v>-551731.923123333</v>
      </c>
      <c r="AI55" s="547" t="n">
        <v>-551731.923123333</v>
      </c>
      <c r="AJ55" s="547" t="n">
        <v>-551731.923123333</v>
      </c>
      <c r="AK55" s="547" t="n">
        <v>-551731.923123333</v>
      </c>
      <c r="AL55" s="547" t="n">
        <v>-551731.923123333</v>
      </c>
      <c r="AM55" s="547" t="n">
        <v>-551731.923123333</v>
      </c>
      <c r="AN55" s="547" t="n">
        <v>-551731.923123333</v>
      </c>
      <c r="AO55" s="547" t="n">
        <v>-551731.923123333</v>
      </c>
      <c r="AP55" s="547" t="n">
        <v>-560689.894919133</v>
      </c>
      <c r="AQ55" s="547" t="n">
        <v>-560689.894919133</v>
      </c>
      <c r="AR55" s="547" t="n">
        <v>-560689.894919133</v>
      </c>
      <c r="AS55" s="547" t="n">
        <v>-560689.894919133</v>
      </c>
      <c r="AT55" s="547" t="n">
        <v>-560689.894919133</v>
      </c>
      <c r="AU55" s="547" t="n">
        <v>-560689.894919133</v>
      </c>
      <c r="AV55" s="547" t="n">
        <v>-560689.894919133</v>
      </c>
      <c r="AW55" s="547" t="n">
        <v>-560689.894919133</v>
      </c>
      <c r="AX55" s="547" t="n">
        <v>-560689.894919133</v>
      </c>
      <c r="AY55" s="547" t="n">
        <v>-560689.894919133</v>
      </c>
      <c r="AZ55" s="547" t="n">
        <v>-560689.894919133</v>
      </c>
      <c r="BA55" s="547" t="n">
        <v>-560689.894919133</v>
      </c>
      <c r="BB55" s="547" t="n">
        <v>-569827.0261508489</v>
      </c>
      <c r="BC55" s="547" t="n">
        <v>-569827.0261508489</v>
      </c>
      <c r="BD55" s="547" t="n">
        <v>-569827.0261508489</v>
      </c>
      <c r="BE55" s="547" t="n">
        <v>-569827.0261508489</v>
      </c>
      <c r="BF55" s="547" t="n">
        <v>-569827.0261508489</v>
      </c>
      <c r="BG55" s="547" t="n">
        <v>-569827.0261508489</v>
      </c>
      <c r="BH55" s="547" t="n">
        <v>-569827.0261508489</v>
      </c>
      <c r="BI55" s="547" t="n">
        <v>-569827.0261508489</v>
      </c>
      <c r="BJ55" s="547" t="n">
        <v>-569827.0261508489</v>
      </c>
      <c r="BK55" s="547" t="n">
        <v>-569827.0261508489</v>
      </c>
      <c r="BL55" s="547" t="n">
        <v>-569827.0261508489</v>
      </c>
      <c r="BM55" s="547" t="n">
        <v>-569827.0261508489</v>
      </c>
      <c r="BN55" s="547" t="n">
        <v>-579146.900007199</v>
      </c>
      <c r="BO55" s="547" t="n">
        <v>-579146.900007199</v>
      </c>
      <c r="BP55" s="547" t="n">
        <v>-579146.900007199</v>
      </c>
      <c r="BQ55" s="547" t="n">
        <v>-579146.900007199</v>
      </c>
      <c r="BR55" s="547" t="n">
        <v>-579146.900007199</v>
      </c>
      <c r="BS55" s="547" t="n">
        <v>-579146.900007199</v>
      </c>
      <c r="BT55" s="547" t="n">
        <v>-579146.900007199</v>
      </c>
      <c r="BU55" s="547" t="n">
        <v>-579146.900007199</v>
      </c>
      <c r="BV55" s="547" t="n">
        <v>-579146.900007199</v>
      </c>
      <c r="BW55" s="547" t="n">
        <v>-579146.900007199</v>
      </c>
      <c r="BX55" s="547" t="n">
        <v>-579146.900007199</v>
      </c>
      <c r="BY55" s="547" t="n">
        <v>-579146.900007199</v>
      </c>
      <c r="BZ55" s="547" t="n">
        <v>-588653.171340677</v>
      </c>
      <c r="CA55" s="547" t="n">
        <v>-588653.171340677</v>
      </c>
      <c r="CB55" s="547" t="n">
        <v>-588653.171340677</v>
      </c>
      <c r="CC55" s="547" t="n">
        <v>-588653.171340677</v>
      </c>
      <c r="CD55" s="547" t="n">
        <v>-588653.171340677</v>
      </c>
      <c r="CE55" s="547" t="n">
        <v>-588653.171340677</v>
      </c>
      <c r="CF55" s="547" t="n">
        <v>-588653.171340677</v>
      </c>
      <c r="CG55" s="547" t="n">
        <v>-588653.171340677</v>
      </c>
      <c r="CH55" s="547" t="n">
        <v>-588653.171340677</v>
      </c>
      <c r="CI55" s="547" t="n">
        <v>-588653.171340677</v>
      </c>
      <c r="CJ55" s="547" t="n">
        <v>-588653.171340677</v>
      </c>
      <c r="CK55" s="547" t="n">
        <v>-588653.171340677</v>
      </c>
      <c r="CL55" s="547" t="n">
        <v>-598349.568100823</v>
      </c>
      <c r="CM55" s="547" t="n">
        <v>-598349.568100823</v>
      </c>
      <c r="CN55" s="547" t="n">
        <v>-598349.568100823</v>
      </c>
      <c r="CO55" s="547" t="n">
        <v>-598349.568100823</v>
      </c>
      <c r="CP55" s="547" t="n">
        <v>-598349.568100823</v>
      </c>
      <c r="CQ55" s="547" t="n">
        <v>-598349.568100823</v>
      </c>
      <c r="CR55" s="547" t="n">
        <v>-598349.568100823</v>
      </c>
      <c r="CS55" s="547" t="n">
        <v>-598349.568100823</v>
      </c>
      <c r="CT55" s="547" t="n">
        <v>-598349.568100823</v>
      </c>
      <c r="CU55" s="547" t="n">
        <v>-541129.466733473</v>
      </c>
      <c r="CV55" s="547" t="n">
        <v>-541129.466733473</v>
      </c>
      <c r="CW55" s="547" t="n">
        <v>-541129.466733473</v>
      </c>
      <c r="CX55" s="547" t="n">
        <v>-549875.389401476</v>
      </c>
      <c r="CY55" s="547" t="n">
        <v>-549875.389401476</v>
      </c>
      <c r="CZ55" s="547" t="n">
        <v>-549875.389401476</v>
      </c>
      <c r="DA55" s="547" t="n">
        <v>-549875.389401476</v>
      </c>
      <c r="DB55" s="547" t="n">
        <v>-549875.389401476</v>
      </c>
      <c r="DC55" s="547" t="n">
        <v>-549875.389401476</v>
      </c>
      <c r="DD55" s="547" t="n">
        <v>-549875.389401476</v>
      </c>
      <c r="DE55" s="547" t="n">
        <v>-549875.389401476</v>
      </c>
      <c r="DF55" s="547" t="n">
        <v>-549875.389401476</v>
      </c>
    </row>
    <row r="56" ht="15" customFormat="1" customHeight="1" s="381">
      <c r="A56" s="472" t="n"/>
      <c r="C56" s="486" t="n"/>
      <c r="D56" s="486" t="n"/>
      <c r="E56" s="486" t="n"/>
      <c r="F56" s="543" t="n"/>
      <c r="G56" s="543" t="n"/>
      <c r="H56" s="543" t="n"/>
      <c r="I56" s="543" t="n"/>
      <c r="J56" s="543" t="n"/>
      <c r="K56" s="543" t="n"/>
      <c r="L56" s="543" t="n"/>
      <c r="M56" s="543" t="n"/>
      <c r="N56" s="543" t="n"/>
      <c r="O56" s="543" t="n"/>
      <c r="P56" s="543" t="n"/>
      <c r="Q56" s="543" t="n"/>
      <c r="R56" s="543" t="n"/>
      <c r="S56" s="543" t="n"/>
      <c r="T56" s="543" t="n"/>
      <c r="U56" s="543" t="n"/>
      <c r="V56" s="543" t="n"/>
      <c r="W56" s="543" t="n"/>
      <c r="X56" s="543" t="n"/>
      <c r="Y56" s="543" t="n"/>
      <c r="Z56" s="543" t="n"/>
      <c r="AA56" s="543" t="n"/>
      <c r="AB56" s="543" t="n"/>
      <c r="AC56" s="543" t="n"/>
      <c r="AD56" s="543" t="n"/>
      <c r="AE56" s="543" t="n"/>
      <c r="AF56" s="543" t="n"/>
      <c r="AG56" s="543" t="n"/>
      <c r="AH56" s="543" t="n"/>
      <c r="AI56" s="543" t="n"/>
      <c r="AJ56" s="543" t="n"/>
      <c r="AK56" s="543" t="n"/>
      <c r="AL56" s="543" t="n"/>
      <c r="AM56" s="543" t="n"/>
      <c r="AN56" s="543" t="n"/>
      <c r="AO56" s="543" t="n"/>
      <c r="AP56" s="543" t="n"/>
      <c r="AQ56" s="543" t="n"/>
      <c r="AR56" s="543" t="n"/>
      <c r="AS56" s="543" t="n"/>
      <c r="AT56" s="543" t="n"/>
      <c r="AU56" s="543" t="n"/>
      <c r="AV56" s="543" t="n"/>
      <c r="AW56" s="543" t="n"/>
      <c r="AX56" s="543" t="n"/>
      <c r="AY56" s="543" t="n"/>
      <c r="AZ56" s="543" t="n"/>
      <c r="BA56" s="543" t="n"/>
      <c r="BB56" s="543" t="n"/>
      <c r="BC56" s="543" t="n"/>
      <c r="BD56" s="543" t="n"/>
      <c r="BE56" s="543" t="n"/>
      <c r="BF56" s="543" t="n"/>
      <c r="BG56" s="543" t="n"/>
      <c r="BH56" s="543" t="n"/>
      <c r="BI56" s="543" t="n"/>
      <c r="BJ56" s="543" t="n"/>
      <c r="BK56" s="543" t="n"/>
      <c r="BL56" s="543" t="n"/>
      <c r="BM56" s="543" t="n"/>
      <c r="BN56" s="543" t="n"/>
      <c r="BO56" s="543" t="n"/>
      <c r="BP56" s="543" t="n"/>
      <c r="BQ56" s="543" t="n"/>
      <c r="BR56" s="543" t="n"/>
      <c r="BS56" s="543" t="n"/>
      <c r="BT56" s="543" t="n"/>
      <c r="BU56" s="543" t="n"/>
      <c r="BV56" s="543" t="n"/>
      <c r="BW56" s="543" t="n"/>
      <c r="BX56" s="543" t="n"/>
      <c r="BY56" s="543" t="n"/>
      <c r="BZ56" s="543" t="n"/>
      <c r="CA56" s="543" t="n"/>
      <c r="CB56" s="543" t="n"/>
      <c r="CC56" s="543" t="n"/>
      <c r="CD56" s="543" t="n"/>
      <c r="CE56" s="543" t="n"/>
      <c r="CF56" s="543" t="n"/>
      <c r="CG56" s="543" t="n"/>
      <c r="CH56" s="543" t="n"/>
      <c r="CI56" s="543" t="n"/>
      <c r="CJ56" s="543" t="n"/>
      <c r="CK56" s="543" t="n"/>
      <c r="CL56" s="543" t="n"/>
      <c r="CM56" s="543" t="n"/>
      <c r="CN56" s="543" t="n"/>
      <c r="CO56" s="543" t="n"/>
      <c r="CP56" s="543" t="n"/>
      <c r="CQ56" s="543" t="n"/>
      <c r="CR56" s="543" t="n"/>
      <c r="CS56" s="543" t="n"/>
      <c r="CT56" s="543" t="n"/>
      <c r="CU56" s="543" t="n"/>
      <c r="CV56" s="543" t="n"/>
      <c r="CW56" s="543" t="n"/>
      <c r="CX56" s="543" t="n"/>
      <c r="CY56" s="543" t="n"/>
      <c r="CZ56" s="543" t="n"/>
      <c r="DA56" s="543" t="n"/>
      <c r="DB56" s="543" t="n"/>
      <c r="DC56" s="543" t="n"/>
      <c r="DD56" s="543" t="n"/>
      <c r="DE56" s="543" t="n"/>
      <c r="DF56" s="543" t="n"/>
    </row>
    <row r="57" ht="15" customFormat="1" customHeight="1" s="381">
      <c r="A57" s="452" t="inlineStr">
        <is>
          <t>GC Net Income</t>
        </is>
      </c>
      <c r="C57" s="551" t="n">
        <v>-40238.7799999999</v>
      </c>
      <c r="D57" s="551" t="n">
        <v>-309702.1</v>
      </c>
      <c r="E57" s="551" t="n">
        <v>243856.69</v>
      </c>
      <c r="F57" s="551" t="n">
        <v>77193.5079209369</v>
      </c>
      <c r="G57" s="551" t="n">
        <v>4795.59125425993</v>
      </c>
      <c r="H57" s="551" t="n">
        <v>-24579.4087457396</v>
      </c>
      <c r="I57" s="551" t="n">
        <v>478888.752787913</v>
      </c>
      <c r="J57" s="551" t="n">
        <v>171828.547987913</v>
      </c>
      <c r="K57" s="551" t="n">
        <v>171828.547987913</v>
      </c>
      <c r="L57" s="551" t="n">
        <v>476879.116623526</v>
      </c>
      <c r="M57" s="551" t="n">
        <v>507880.050630907</v>
      </c>
      <c r="N57" s="551" t="n">
        <v>255504.966544817</v>
      </c>
      <c r="O57" s="551" t="n">
        <v>255504.966544827</v>
      </c>
      <c r="P57" s="551" t="n">
        <v>255504.966544827</v>
      </c>
      <c r="Q57" s="551" t="n">
        <v>255504.966544817</v>
      </c>
      <c r="R57" s="551" t="n">
        <v>-411966.093897963</v>
      </c>
      <c r="S57" s="551" t="n">
        <v>404202.381102027</v>
      </c>
      <c r="T57" s="551" t="n">
        <v>562864.259388238</v>
      </c>
      <c r="U57" s="551" t="n">
        <v>324683.812184128</v>
      </c>
      <c r="V57" s="551" t="n">
        <v>59005.0606073667</v>
      </c>
      <c r="W57" s="551" t="n">
        <v>59005.0606073677</v>
      </c>
      <c r="X57" s="551" t="n">
        <v>80815.3650471163</v>
      </c>
      <c r="Y57" s="551" t="n">
        <v>37194.7561676172</v>
      </c>
      <c r="Z57" s="551" t="n">
        <v>37194.7561676162</v>
      </c>
      <c r="AA57" s="551" t="n">
        <v>37194.7561676172</v>
      </c>
      <c r="AB57" s="551" t="n">
        <v>37194.7561676162</v>
      </c>
      <c r="AC57" s="551" t="n">
        <v>37194.7561676172</v>
      </c>
      <c r="AD57" s="551" t="n">
        <v>110433.446720217</v>
      </c>
      <c r="AE57" s="551" t="n">
        <v>-53608.5849649826</v>
      </c>
      <c r="AF57" s="551" t="n">
        <v>-619655.0040964331</v>
      </c>
      <c r="AG57" s="551" t="n">
        <v>104051.055903567</v>
      </c>
      <c r="AH57" s="551" t="n">
        <v>104051.055903567</v>
      </c>
      <c r="AI57" s="551" t="n">
        <v>104051.055903567</v>
      </c>
      <c r="AJ57" s="551" t="n">
        <v>232047.185471317</v>
      </c>
      <c r="AK57" s="551" t="n">
        <v>2720.78666242689</v>
      </c>
      <c r="AL57" s="551" t="n">
        <v>261371.507820827</v>
      </c>
      <c r="AM57" s="551" t="n">
        <v>-161091.336737893</v>
      </c>
      <c r="AN57" s="551" t="n">
        <v>-161091.336737893</v>
      </c>
      <c r="AO57" s="551" t="n">
        <v>-65712.2712752431</v>
      </c>
      <c r="AP57" s="551" t="n">
        <v>-230456.049993373</v>
      </c>
      <c r="AQ57" s="551" t="n">
        <v>-230456.049993373</v>
      </c>
      <c r="AR57" s="551" t="n">
        <v>-230456.049993373</v>
      </c>
      <c r="AS57" s="551" t="n">
        <v>-230456.049993373</v>
      </c>
      <c r="AT57" s="551" t="n">
        <v>-230456.049993373</v>
      </c>
      <c r="AU57" s="551" t="n">
        <v>42029.5353601269</v>
      </c>
      <c r="AV57" s="551" t="n">
        <v>-403030.254050583</v>
      </c>
      <c r="AW57" s="551" t="n">
        <v>-403030.254050583</v>
      </c>
      <c r="AX57" s="551" t="n">
        <v>-403030.254050583</v>
      </c>
      <c r="AY57" s="551" t="n">
        <v>-403030.254050583</v>
      </c>
      <c r="AZ57" s="551" t="n">
        <v>-403030.254050583</v>
      </c>
      <c r="BA57" s="551" t="n">
        <v>-403030.254050583</v>
      </c>
      <c r="BB57" s="551" t="n">
        <v>-412167.385282299</v>
      </c>
      <c r="BC57" s="551" t="n">
        <v>-412167.385282299</v>
      </c>
      <c r="BD57" s="551" t="n">
        <v>-412167.385282299</v>
      </c>
      <c r="BE57" s="551" t="n">
        <v>-412167.385282302</v>
      </c>
      <c r="BF57" s="551" t="n">
        <v>-412167.385282302</v>
      </c>
      <c r="BG57" s="551" t="n">
        <v>-412167.385282302</v>
      </c>
      <c r="BH57" s="551" t="n">
        <v>-412167.385282302</v>
      </c>
      <c r="BI57" s="551" t="n">
        <v>-163231.110226702</v>
      </c>
      <c r="BJ57" s="551" t="n">
        <v>-569827.0261508489</v>
      </c>
      <c r="BK57" s="551" t="n">
        <v>-569827.0261508489</v>
      </c>
      <c r="BL57" s="551" t="n">
        <v>-569827.0261508489</v>
      </c>
      <c r="BM57" s="551" t="n">
        <v>-569827.0261508489</v>
      </c>
      <c r="BN57" s="551" t="n">
        <v>-579146.900007199</v>
      </c>
      <c r="BO57" s="551" t="n">
        <v>-579146.900007199</v>
      </c>
      <c r="BP57" s="551" t="n">
        <v>-579146.900007199</v>
      </c>
      <c r="BQ57" s="551" t="n">
        <v>-579146.900007199</v>
      </c>
      <c r="BR57" s="551" t="n">
        <v>-579146.900007199</v>
      </c>
      <c r="BS57" s="551" t="n">
        <v>-579146.900007199</v>
      </c>
      <c r="BT57" s="551" t="n">
        <v>-579146.900007199</v>
      </c>
      <c r="BU57" s="551" t="n">
        <v>-579146.900007199</v>
      </c>
      <c r="BV57" s="551" t="n">
        <v>-579146.900007199</v>
      </c>
      <c r="BW57" s="551" t="n">
        <v>-579146.900007199</v>
      </c>
      <c r="BX57" s="551" t="n">
        <v>-579146.900007199</v>
      </c>
      <c r="BY57" s="551" t="n">
        <v>-579146.900007199</v>
      </c>
      <c r="BZ57" s="551" t="n">
        <v>-588653.171340677</v>
      </c>
      <c r="CA57" s="551" t="n">
        <v>-588653.171340677</v>
      </c>
      <c r="CB57" s="551" t="n">
        <v>-588653.171340677</v>
      </c>
      <c r="CC57" s="551" t="n">
        <v>-588653.171340677</v>
      </c>
      <c r="CD57" s="551" t="n">
        <v>-588653.171340677</v>
      </c>
      <c r="CE57" s="551" t="n">
        <v>-588653.171340677</v>
      </c>
      <c r="CF57" s="551" t="n">
        <v>-588653.171340677</v>
      </c>
      <c r="CG57" s="551" t="n">
        <v>-588653.171340677</v>
      </c>
      <c r="CH57" s="551" t="n">
        <v>-588653.171340677</v>
      </c>
      <c r="CI57" s="551" t="n">
        <v>-588653.171340677</v>
      </c>
      <c r="CJ57" s="551" t="n">
        <v>-588653.171340677</v>
      </c>
      <c r="CK57" s="551" t="n">
        <v>-588653.171340677</v>
      </c>
      <c r="CL57" s="551" t="n">
        <v>-598349.568100823</v>
      </c>
      <c r="CM57" s="551" t="n">
        <v>-598349.568100823</v>
      </c>
      <c r="CN57" s="551" t="n">
        <v>-598349.568100823</v>
      </c>
      <c r="CO57" s="551" t="n">
        <v>-598349.568100823</v>
      </c>
      <c r="CP57" s="551" t="n">
        <v>-598349.568100823</v>
      </c>
      <c r="CQ57" s="551" t="n">
        <v>-598349.568100823</v>
      </c>
      <c r="CR57" s="551" t="n">
        <v>-598349.568100823</v>
      </c>
      <c r="CS57" s="551" t="n">
        <v>-598349.568100823</v>
      </c>
      <c r="CT57" s="551" t="n">
        <v>-598349.568100823</v>
      </c>
      <c r="CU57" s="551" t="n">
        <v>-541129.466733473</v>
      </c>
      <c r="CV57" s="551" t="n">
        <v>-541129.466733473</v>
      </c>
      <c r="CW57" s="551" t="n">
        <v>-541129.466733473</v>
      </c>
      <c r="CX57" s="551" t="n">
        <v>-549875.389401476</v>
      </c>
      <c r="CY57" s="551" t="n">
        <v>-549875.389401476</v>
      </c>
      <c r="CZ57" s="551" t="n">
        <v>-549875.389401476</v>
      </c>
      <c r="DA57" s="551" t="n">
        <v>-549875.389401476</v>
      </c>
      <c r="DB57" s="551" t="n">
        <v>-549875.389401476</v>
      </c>
      <c r="DC57" s="551" t="n">
        <v>-549875.389401476</v>
      </c>
      <c r="DD57" s="551" t="n">
        <v>-549875.389401476</v>
      </c>
      <c r="DE57" s="551" t="n">
        <v>-549875.389401476</v>
      </c>
      <c r="DF57" s="551" t="n">
        <v>-549875.389401476</v>
      </c>
    </row>
    <row r="58" ht="15" customFormat="1" customHeight="1" s="381">
      <c r="A58" s="482" t="inlineStr">
        <is>
          <t>GC Net Profit Margin %</t>
        </is>
      </c>
      <c r="C58" s="550">
        <f>IFERROR(C57/C13,0)</f>
        <v>-0.0276785988569409</v>
      </c>
      <c r="D58" s="550">
        <f>IFERROR(D57/D13,0)</f>
        <v>-0.102464901385612</v>
      </c>
      <c r="E58" s="550">
        <f>IFERROR(E57/E13,0)</f>
        <v>0.0912563488127398</v>
      </c>
      <c r="F58" s="550">
        <f>IFERROR(F57/F13,0)</f>
        <v>0.0173298465800976</v>
      </c>
      <c r="G58" s="550">
        <f>IFERROR(G57/G13,0)</f>
        <v>0.00103190312584528</v>
      </c>
      <c r="H58" s="550">
        <f>IFERROR(H57/H13,0)</f>
        <v>-0.00513830988769468</v>
      </c>
      <c r="I58" s="550">
        <f>IFERROR(I57/I13,0)</f>
        <v>0.0835258951271783</v>
      </c>
      <c r="J58" s="550">
        <f>IFERROR(J57/J13,0)</f>
        <v>0.0291585151848811</v>
      </c>
      <c r="K58" s="550">
        <f>IFERROR(K57/K13,0)</f>
        <v>0.0287072206647552</v>
      </c>
      <c r="L58" s="550">
        <f>IFERROR(L57/L13,0)</f>
        <v>0.0719850664285797</v>
      </c>
      <c r="M58" s="550">
        <f>IFERROR(M57/M13,0)</f>
        <v>0.0699094476542191</v>
      </c>
      <c r="N58" s="550">
        <f>IFERROR(N57/N13,0)</f>
        <v>0.0365905286174057</v>
      </c>
      <c r="O58" s="550">
        <f>IFERROR(O57/O13,0)</f>
        <v>0.035633773223876</v>
      </c>
      <c r="P58" s="550">
        <f>IFERROR(P57/P13,0)</f>
        <v>0.0349944801662139</v>
      </c>
      <c r="Q58" s="550">
        <f>IFERROR(Q57/Q13,0)</f>
        <v>0.0346548085310985</v>
      </c>
      <c r="R58" s="550">
        <f>IFERROR(R57/R13,0)</f>
        <v>-0.050795343294945</v>
      </c>
      <c r="S58" s="550">
        <f>IFERROR(S57/S13,0)</f>
        <v>0.0495244343315864</v>
      </c>
      <c r="T58" s="550">
        <f>IFERROR(T57/T13,0)</f>
        <v>0.0690622206771117</v>
      </c>
      <c r="U58" s="550">
        <f>IFERROR(U57/U13,0)</f>
        <v>0.0437191547040497</v>
      </c>
      <c r="V58" s="550">
        <f>IFERROR(V57/V13,0)</f>
        <v>0.00848544419508858</v>
      </c>
      <c r="W58" s="550">
        <f>IFERROR(W57/W13,0)</f>
        <v>0.00848643812066759</v>
      </c>
      <c r="X58" s="550">
        <f>IFERROR(X57/X13,0)</f>
        <v>0.0117880175166161</v>
      </c>
      <c r="Y58" s="550">
        <f>IFERROR(Y57/Y13,0)</f>
        <v>0.00563862231580771</v>
      </c>
      <c r="Z58" s="550">
        <f>IFERROR(Z57/Z13,0)</f>
        <v>0.00584990253965618</v>
      </c>
      <c r="AA58" s="550">
        <f>IFERROR(AA57/AA13,0)</f>
        <v>0.00613653352507423</v>
      </c>
      <c r="AB58" s="550">
        <f>IFERROR(AB57/AB13,0)</f>
        <v>0.00649960124595134</v>
      </c>
      <c r="AC58" s="550">
        <f>IFERROR(AC57/AC13,0)</f>
        <v>0.00694035554431828</v>
      </c>
      <c r="AD58" s="550">
        <f>IFERROR(AD57/AD13,0)</f>
        <v>0.0221502466866728</v>
      </c>
      <c r="AE58" s="550">
        <f>IFERROR(AE57/AE13,0)</f>
        <v>-0.012383939800172</v>
      </c>
      <c r="AF58" s="550">
        <f>IFERROR(AF57/AF13,0)</f>
        <v>-0.145646882929711</v>
      </c>
      <c r="AG58" s="550">
        <f>IFERROR(AG57/AG13,0)</f>
        <v>0.0302716750479491</v>
      </c>
      <c r="AH58" s="550">
        <f>IFERROR(AH57/AH13,0)</f>
        <v>0.0298747215140425</v>
      </c>
      <c r="AI58" s="550">
        <f>IFERROR(AI57/AI13,0)</f>
        <v>0.0296361913542734</v>
      </c>
      <c r="AJ58" s="550">
        <f>IFERROR(AJ57/AJ13,0)</f>
        <v>0.065888999765768</v>
      </c>
      <c r="AK58" s="550">
        <f>IFERROR(AK57/AK13,0)</f>
        <v>0.00077379969162039</v>
      </c>
      <c r="AL58" s="550">
        <f>IFERROR(AL57/AL13,0)</f>
        <v>0.0747904788455928</v>
      </c>
      <c r="AM58" s="550">
        <f>IFERROR(AM57/AM13,0)</f>
        <v>-0.0465807469205635</v>
      </c>
      <c r="AN58" s="550">
        <f>IFERROR(AN57/AN13,0)</f>
        <v>-0.0472717456555632</v>
      </c>
      <c r="AO58" s="550">
        <f>IFERROR(AO57/AO13,0)</f>
        <v>-0.019651665804181</v>
      </c>
      <c r="AP58" s="550">
        <f>IFERROR(AP57/AP13,0)</f>
        <v>-0.0756171560874285</v>
      </c>
      <c r="AQ58" s="550">
        <f>IFERROR(AQ57/AQ13,0)</f>
        <v>-0.0770343143191285</v>
      </c>
      <c r="AR58" s="550">
        <f>IFERROR(AR57/AR13,0)</f>
        <v>-0.0788940943909012</v>
      </c>
      <c r="AS58" s="550">
        <f>IFERROR(AS57/AS13,0)</f>
        <v>-0.0812405024671969</v>
      </c>
      <c r="AT58" s="550">
        <f>IFERROR(AT57/AT13,0)</f>
        <v>-0.0841288501455523</v>
      </c>
      <c r="AU58" s="550">
        <f>IFERROR(AU57/AU13,0)</f>
        <v>0.0159813424056486</v>
      </c>
      <c r="AV58" s="550">
        <f>IFERROR(AV57/AV13,0)</f>
        <v>-0.214130249789158</v>
      </c>
      <c r="AW58" s="550">
        <f>IFERROR(AW57/AW13,0)</f>
        <v>-0.218450004808168</v>
      </c>
      <c r="AX58" s="550">
        <f>IFERROR(AX57/AX13,0)</f>
        <v>-0.225100129144198</v>
      </c>
      <c r="AY58" s="550">
        <f>IFERROR(AY57/AY13,0)</f>
        <v>-0.234277508074266</v>
      </c>
      <c r="AZ58" s="550">
        <f>IFERROR(AZ57/AZ13,0)</f>
        <v>-0.24627792536914</v>
      </c>
      <c r="BA58" s="550">
        <f>IFERROR(BA57/BA13,0)</f>
        <v>-0.261496420008664</v>
      </c>
      <c r="BB58" s="550">
        <f>IFERROR(BB57/BB13,0)</f>
        <v>-0.286793734485519</v>
      </c>
      <c r="BC58" s="550">
        <f>IFERROR(BC57/BC13,0)</f>
        <v>-0.310661925076369</v>
      </c>
      <c r="BD58" s="550">
        <f>IFERROR(BD57/BD13,0)</f>
        <v>-0.339892094429402</v>
      </c>
      <c r="BE58" s="550">
        <f>IFERROR(BE57/BE13,0)</f>
        <v>-0.375604139864318</v>
      </c>
      <c r="BF58" s="550">
        <f>IFERROR(BF57/BF13,0)</f>
        <v>-0.419242662439579</v>
      </c>
      <c r="BG58" s="550">
        <f>IFERROR(BG57/BG13,0)</f>
        <v>-0.472644563244375</v>
      </c>
      <c r="BH58" s="550">
        <f>IFERROR(BH57/BH13,0)</f>
        <v>-0.538214489510807</v>
      </c>
      <c r="BI58" s="550">
        <f>IFERROR(BI57/BI13,0)</f>
        <v>-0.245146629480391</v>
      </c>
      <c r="BJ58" s="550">
        <f>IFERROR(BJ57/BJ13,0)</f>
        <v>0</v>
      </c>
      <c r="BK58" s="550">
        <f>IFERROR(BK57/BK13,0)</f>
        <v>0</v>
      </c>
      <c r="BL58" s="550">
        <f>IFERROR(BL57/BL13,0)</f>
        <v>0</v>
      </c>
      <c r="BM58" s="550">
        <f>IFERROR(BM57/BM13,0)</f>
        <v>0</v>
      </c>
      <c r="BN58" s="550">
        <f>IFERROR(BN57/BN13,0)</f>
        <v>0</v>
      </c>
      <c r="BO58" s="550">
        <f>IFERROR(BO57/BO13,0)</f>
        <v>0</v>
      </c>
      <c r="BP58" s="550">
        <f>IFERROR(BP57/BP13,0)</f>
        <v>0</v>
      </c>
      <c r="BQ58" s="550">
        <f>IFERROR(BQ57/BQ13,0)</f>
        <v>0</v>
      </c>
      <c r="BR58" s="550">
        <f>IFERROR(BR57/BR13,0)</f>
        <v>0</v>
      </c>
      <c r="BS58" s="550">
        <f>IFERROR(BS57/BS13,0)</f>
        <v>0</v>
      </c>
      <c r="BT58" s="550">
        <f>IFERROR(BT57/BT13,0)</f>
        <v>0</v>
      </c>
      <c r="BU58" s="550">
        <f>IFERROR(BU57/BU13,0)</f>
        <v>0</v>
      </c>
      <c r="BV58" s="550">
        <f>IFERROR(BV57/BV13,0)</f>
        <v>0</v>
      </c>
      <c r="BW58" s="550">
        <f>IFERROR(BW57/BW13,0)</f>
        <v>0</v>
      </c>
      <c r="BX58" s="550">
        <f>IFERROR(BX57/BX13,0)</f>
        <v>0</v>
      </c>
      <c r="BY58" s="550">
        <f>IFERROR(BY57/BY13,0)</f>
        <v>0</v>
      </c>
      <c r="BZ58" s="550">
        <f>IFERROR(BZ57/BZ13,0)</f>
        <v>0</v>
      </c>
      <c r="CA58" s="550">
        <f>IFERROR(CA57/CA13,0)</f>
        <v>0</v>
      </c>
      <c r="CB58" s="550">
        <f>IFERROR(CB57/CB13,0)</f>
        <v>0</v>
      </c>
      <c r="CC58" s="550">
        <f>IFERROR(CC57/CC13,0)</f>
        <v>0</v>
      </c>
      <c r="CD58" s="550">
        <f>IFERROR(CD57/CD13,0)</f>
        <v>0</v>
      </c>
      <c r="CE58" s="550">
        <f>IFERROR(CE57/CE13,0)</f>
        <v>0</v>
      </c>
      <c r="CF58" s="550">
        <f>IFERROR(CF57/CF13,0)</f>
        <v>0</v>
      </c>
      <c r="CG58" s="550">
        <f>IFERROR(CG57/CG13,0)</f>
        <v>0</v>
      </c>
      <c r="CH58" s="550">
        <f>IFERROR(CH57/CH13,0)</f>
        <v>0</v>
      </c>
      <c r="CI58" s="550">
        <f>IFERROR(CI57/CI13,0)</f>
        <v>0</v>
      </c>
      <c r="CJ58" s="550">
        <f>IFERROR(CJ57/CJ13,0)</f>
        <v>0</v>
      </c>
      <c r="CK58" s="550">
        <f>IFERROR(CK57/CK13,0)</f>
        <v>0</v>
      </c>
      <c r="CL58" s="550">
        <f>IFERROR(CL57/CL13,0)</f>
        <v>0</v>
      </c>
      <c r="CM58" s="550">
        <f>IFERROR(CM57/CM13,0)</f>
        <v>0</v>
      </c>
      <c r="CN58" s="550">
        <f>IFERROR(CN57/CN13,0)</f>
        <v>0</v>
      </c>
      <c r="CO58" s="550">
        <f>IFERROR(CO57/CO13,0)</f>
        <v>0</v>
      </c>
      <c r="CP58" s="550">
        <f>IFERROR(CP57/CP13,0)</f>
        <v>0</v>
      </c>
      <c r="CQ58" s="550">
        <f>IFERROR(CQ57/CQ13,0)</f>
        <v>0</v>
      </c>
      <c r="CR58" s="550">
        <f>IFERROR(CR57/CR13,0)</f>
        <v>0</v>
      </c>
      <c r="CS58" s="550">
        <f>IFERROR(CS57/CS13,0)</f>
        <v>0</v>
      </c>
      <c r="CT58" s="550">
        <f>IFERROR(CT57/CT13,0)</f>
        <v>0</v>
      </c>
      <c r="CU58" s="550">
        <f>IFERROR(CU57/CU13,0)</f>
        <v>0</v>
      </c>
      <c r="CV58" s="550">
        <f>IFERROR(CV57/CV13,0)</f>
        <v>0</v>
      </c>
      <c r="CW58" s="550">
        <f>IFERROR(CW57/CW13,0)</f>
        <v>0</v>
      </c>
      <c r="CX58" s="550">
        <f>IFERROR(CX57/CX13,0)</f>
        <v>0</v>
      </c>
      <c r="CY58" s="550">
        <f>IFERROR(CY57/CY13,0)</f>
        <v>0</v>
      </c>
      <c r="CZ58" s="550">
        <f>IFERROR(CZ57/CZ13,0)</f>
        <v>0</v>
      </c>
      <c r="DA58" s="550">
        <f>IFERROR(DA57/DA13,0)</f>
        <v>0</v>
      </c>
      <c r="DB58" s="550">
        <f>IFERROR(DB57/DB13,0)</f>
        <v>0</v>
      </c>
      <c r="DC58" s="550">
        <f>IFERROR(DC57/DC13,0)</f>
        <v>0</v>
      </c>
      <c r="DD58" s="550">
        <f>IFERROR(DD57/DD13,0)</f>
        <v>0</v>
      </c>
      <c r="DE58" s="550">
        <f>IFERROR(DE57/DE13,0)</f>
        <v>0</v>
      </c>
      <c r="DF58" s="550">
        <f>IFERROR(DF57/DF13,0)</f>
        <v>0</v>
      </c>
    </row>
    <row r="59" ht="15" customFormat="1" customHeight="1" s="381">
      <c r="A59" s="472" t="n"/>
      <c r="C59" s="486" t="n"/>
      <c r="D59" s="486" t="n"/>
      <c r="E59" s="486" t="n"/>
      <c r="F59" s="543" t="n"/>
      <c r="G59" s="543" t="n"/>
      <c r="H59" s="543" t="n"/>
      <c r="I59" s="543" t="n"/>
      <c r="J59" s="543" t="n"/>
      <c r="K59" s="543" t="n"/>
      <c r="L59" s="543" t="n"/>
      <c r="M59" s="543" t="n"/>
      <c r="N59" s="543" t="n"/>
      <c r="O59" s="543" t="n"/>
      <c r="P59" s="543" t="n"/>
      <c r="Q59" s="543" t="n"/>
      <c r="R59" s="543" t="n"/>
      <c r="S59" s="543" t="n"/>
      <c r="T59" s="543" t="n"/>
      <c r="U59" s="543" t="n"/>
      <c r="V59" s="543" t="n"/>
      <c r="W59" s="543" t="n"/>
      <c r="X59" s="543" t="n"/>
      <c r="Y59" s="543" t="n"/>
      <c r="Z59" s="543" t="n"/>
      <c r="AA59" s="543" t="n"/>
      <c r="AB59" s="543" t="n"/>
      <c r="AC59" s="543" t="n"/>
      <c r="AD59" s="543" t="n"/>
      <c r="AE59" s="543" t="n"/>
      <c r="AF59" s="543" t="n"/>
      <c r="AG59" s="543" t="n"/>
      <c r="AH59" s="543" t="n"/>
      <c r="AI59" s="543" t="n"/>
      <c r="AJ59" s="543" t="n"/>
      <c r="AK59" s="543" t="n"/>
      <c r="AL59" s="543" t="n"/>
      <c r="AM59" s="543" t="n"/>
      <c r="AN59" s="543" t="n"/>
      <c r="AO59" s="543" t="n"/>
      <c r="AP59" s="543" t="n"/>
      <c r="AQ59" s="543" t="n"/>
      <c r="AR59" s="543" t="n"/>
      <c r="AS59" s="543" t="n"/>
      <c r="AT59" s="543" t="n"/>
      <c r="AU59" s="543" t="n"/>
      <c r="AV59" s="543" t="n"/>
      <c r="AW59" s="543" t="n"/>
      <c r="AX59" s="543" t="n"/>
      <c r="AY59" s="543" t="n"/>
      <c r="AZ59" s="543" t="n"/>
      <c r="BA59" s="543" t="n"/>
      <c r="BB59" s="543" t="n"/>
      <c r="BC59" s="543" t="n"/>
      <c r="BD59" s="543" t="n"/>
      <c r="BE59" s="543" t="n"/>
      <c r="BF59" s="543" t="n"/>
      <c r="BG59" s="543" t="n"/>
      <c r="BH59" s="543" t="n"/>
      <c r="BI59" s="543" t="n"/>
      <c r="BJ59" s="543" t="n"/>
      <c r="BK59" s="543" t="n"/>
      <c r="BL59" s="543" t="n"/>
      <c r="BM59" s="543" t="n"/>
      <c r="BN59" s="543" t="n"/>
      <c r="BO59" s="543" t="n"/>
      <c r="BP59" s="543" t="n"/>
      <c r="BQ59" s="543" t="n"/>
      <c r="BR59" s="543" t="n"/>
      <c r="BS59" s="543" t="n"/>
      <c r="BT59" s="543" t="n"/>
      <c r="BU59" s="543" t="n"/>
      <c r="BV59" s="543" t="n"/>
      <c r="BW59" s="543" t="n"/>
      <c r="BX59" s="543" t="n"/>
      <c r="BY59" s="543" t="n"/>
      <c r="BZ59" s="543" t="n"/>
      <c r="CA59" s="543" t="n"/>
      <c r="CB59" s="543" t="n"/>
      <c r="CC59" s="543" t="n"/>
      <c r="CD59" s="543" t="n"/>
      <c r="CE59" s="543" t="n"/>
      <c r="CF59" s="543" t="n"/>
      <c r="CG59" s="543" t="n"/>
      <c r="CH59" s="543" t="n"/>
      <c r="CI59" s="543" t="n"/>
      <c r="CJ59" s="543" t="n"/>
      <c r="CK59" s="543" t="n"/>
      <c r="CL59" s="543" t="n"/>
      <c r="CM59" s="543" t="n"/>
      <c r="CN59" s="543" t="n"/>
      <c r="CO59" s="543" t="n"/>
      <c r="CP59" s="543" t="n"/>
      <c r="CQ59" s="543" t="n"/>
      <c r="CR59" s="543" t="n"/>
      <c r="CS59" s="543" t="n"/>
      <c r="CT59" s="543" t="n"/>
      <c r="CU59" s="543" t="n"/>
      <c r="CV59" s="543" t="n"/>
      <c r="CW59" s="543" t="n"/>
      <c r="CX59" s="543" t="n"/>
      <c r="CY59" s="543" t="n"/>
      <c r="CZ59" s="543" t="n"/>
      <c r="DA59" s="543" t="n"/>
      <c r="DB59" s="543" t="n"/>
      <c r="DC59" s="543" t="n"/>
      <c r="DD59" s="543" t="n"/>
      <c r="DE59" s="543" t="n"/>
      <c r="DF59" s="543" t="n"/>
    </row>
    <row r="60" ht="15" customFormat="1" customHeight="1" s="381">
      <c r="A60" s="472" t="n"/>
      <c r="C60" s="486" t="n"/>
      <c r="D60" s="486" t="n"/>
      <c r="E60" s="486" t="n"/>
      <c r="F60" s="543" t="n"/>
      <c r="G60" s="543" t="n"/>
      <c r="H60" s="543" t="n"/>
      <c r="I60" s="543" t="n"/>
      <c r="J60" s="543" t="n"/>
      <c r="K60" s="543" t="n"/>
      <c r="L60" s="543" t="n"/>
      <c r="M60" s="543" t="n"/>
      <c r="N60" s="543" t="n"/>
      <c r="O60" s="543" t="n"/>
      <c r="P60" s="543" t="n"/>
      <c r="Q60" s="543" t="n"/>
      <c r="R60" s="543" t="n"/>
      <c r="S60" s="543" t="n"/>
      <c r="T60" s="543" t="n"/>
      <c r="U60" s="543" t="n"/>
      <c r="V60" s="543" t="n"/>
      <c r="W60" s="543" t="n"/>
      <c r="X60" s="543" t="n"/>
      <c r="Y60" s="543" t="n"/>
      <c r="Z60" s="543" t="n"/>
      <c r="AA60" s="543" t="n"/>
      <c r="AB60" s="543" t="n"/>
      <c r="AC60" s="543" t="n"/>
      <c r="AD60" s="543" t="n"/>
      <c r="AE60" s="543" t="n"/>
      <c r="AF60" s="543" t="n"/>
      <c r="AG60" s="543" t="n"/>
      <c r="AH60" s="543" t="n"/>
      <c r="AI60" s="543" t="n"/>
      <c r="AJ60" s="543" t="n"/>
      <c r="AK60" s="543" t="n"/>
      <c r="AL60" s="543" t="n"/>
      <c r="AM60" s="543" t="n"/>
      <c r="AN60" s="543" t="n"/>
      <c r="AO60" s="543" t="n"/>
      <c r="AP60" s="543" t="n"/>
      <c r="AQ60" s="543" t="n"/>
      <c r="AR60" s="543" t="n"/>
      <c r="AS60" s="543" t="n"/>
      <c r="AT60" s="543" t="n"/>
      <c r="AU60" s="543" t="n"/>
      <c r="AV60" s="543" t="n"/>
      <c r="AW60" s="543" t="n"/>
      <c r="AX60" s="543" t="n"/>
      <c r="AY60" s="543" t="n"/>
      <c r="AZ60" s="543" t="n"/>
      <c r="BA60" s="543" t="n"/>
      <c r="BB60" s="543" t="n"/>
      <c r="BC60" s="543" t="n"/>
      <c r="BD60" s="543" t="n"/>
      <c r="BE60" s="543" t="n"/>
      <c r="BF60" s="543" t="n"/>
      <c r="BG60" s="543" t="n"/>
      <c r="BH60" s="543" t="n"/>
      <c r="BI60" s="543" t="n"/>
      <c r="BJ60" s="543" t="n"/>
      <c r="BK60" s="543" t="n"/>
      <c r="BL60" s="543" t="n"/>
      <c r="BM60" s="543" t="n"/>
      <c r="BN60" s="543" t="n"/>
      <c r="BO60" s="543" t="n"/>
      <c r="BP60" s="543" t="n"/>
      <c r="BQ60" s="543" t="n"/>
      <c r="BR60" s="543" t="n"/>
      <c r="BS60" s="543" t="n"/>
      <c r="BT60" s="543" t="n"/>
      <c r="BU60" s="543" t="n"/>
      <c r="BV60" s="543" t="n"/>
      <c r="BW60" s="543" t="n"/>
      <c r="BX60" s="543" t="n"/>
      <c r="BY60" s="543" t="n"/>
      <c r="BZ60" s="543" t="n"/>
      <c r="CA60" s="543" t="n"/>
      <c r="CB60" s="543" t="n"/>
      <c r="CC60" s="543" t="n"/>
      <c r="CD60" s="543" t="n"/>
      <c r="CE60" s="543" t="n"/>
      <c r="CF60" s="543" t="n"/>
      <c r="CG60" s="543" t="n"/>
      <c r="CH60" s="543" t="n"/>
      <c r="CI60" s="543" t="n"/>
      <c r="CJ60" s="543" t="n"/>
      <c r="CK60" s="543" t="n"/>
      <c r="CL60" s="543" t="n"/>
      <c r="CM60" s="543" t="n"/>
      <c r="CN60" s="543" t="n"/>
      <c r="CO60" s="543" t="n"/>
      <c r="CP60" s="543" t="n"/>
      <c r="CQ60" s="543" t="n"/>
      <c r="CR60" s="543" t="n"/>
      <c r="CS60" s="543" t="n"/>
      <c r="CT60" s="543" t="n"/>
      <c r="CU60" s="543" t="n"/>
      <c r="CV60" s="543" t="n"/>
      <c r="CW60" s="543" t="n"/>
      <c r="CX60" s="543" t="n"/>
      <c r="CY60" s="543" t="n"/>
      <c r="CZ60" s="543" t="n"/>
      <c r="DA60" s="543" t="n"/>
      <c r="DB60" s="543" t="n"/>
      <c r="DC60" s="543" t="n"/>
      <c r="DD60" s="543" t="n"/>
      <c r="DE60" s="543" t="n"/>
      <c r="DF60" s="543" t="n"/>
    </row>
    <row r="61" ht="15" customFormat="1" customHeight="1" s="381">
      <c r="A61" s="472" t="n"/>
      <c r="C61" s="486" t="n"/>
      <c r="D61" s="486" t="n"/>
      <c r="E61" s="486" t="n"/>
      <c r="F61" s="543" t="n"/>
      <c r="G61" s="543" t="n"/>
      <c r="H61" s="543" t="n"/>
      <c r="I61" s="543" t="n"/>
      <c r="J61" s="543" t="n"/>
      <c r="K61" s="543" t="n"/>
      <c r="L61" s="543" t="n"/>
      <c r="M61" s="543" t="n"/>
      <c r="N61" s="543" t="n"/>
      <c r="O61" s="543" t="n"/>
      <c r="P61" s="543" t="n"/>
      <c r="Q61" s="543" t="n"/>
      <c r="R61" s="543" t="n"/>
      <c r="S61" s="543" t="n"/>
      <c r="T61" s="543" t="n"/>
      <c r="U61" s="543" t="n"/>
      <c r="V61" s="543" t="n"/>
      <c r="W61" s="543" t="n"/>
      <c r="X61" s="543" t="n"/>
      <c r="Y61" s="543" t="n"/>
      <c r="Z61" s="543" t="n"/>
      <c r="AA61" s="543" t="n"/>
      <c r="AB61" s="543" t="n"/>
      <c r="AC61" s="543" t="n"/>
      <c r="AD61" s="543" t="n"/>
      <c r="AE61" s="543" t="n"/>
      <c r="AF61" s="543" t="n"/>
      <c r="AG61" s="543" t="n"/>
      <c r="AH61" s="543" t="n"/>
      <c r="AI61" s="543" t="n"/>
      <c r="AJ61" s="543" t="n"/>
      <c r="AK61" s="543" t="n"/>
      <c r="AL61" s="543" t="n"/>
      <c r="AM61" s="543" t="n"/>
      <c r="AN61" s="543" t="n"/>
      <c r="AO61" s="543" t="n"/>
      <c r="AP61" s="543" t="n"/>
      <c r="AQ61" s="543" t="n"/>
      <c r="AR61" s="543" t="n"/>
      <c r="AS61" s="543" t="n"/>
      <c r="AT61" s="543" t="n"/>
      <c r="AU61" s="543" t="n"/>
      <c r="AV61" s="543" t="n"/>
      <c r="AW61" s="543" t="n"/>
      <c r="AX61" s="543" t="n"/>
      <c r="AY61" s="543" t="n"/>
      <c r="AZ61" s="543" t="n"/>
      <c r="BA61" s="543" t="n"/>
      <c r="BB61" s="543" t="n"/>
      <c r="BC61" s="543" t="n"/>
      <c r="BD61" s="543" t="n"/>
      <c r="BE61" s="543" t="n"/>
      <c r="BF61" s="543" t="n"/>
      <c r="BG61" s="543" t="n"/>
      <c r="BH61" s="543" t="n"/>
      <c r="BI61" s="543" t="n"/>
      <c r="BJ61" s="543" t="n"/>
      <c r="BK61" s="543" t="n"/>
      <c r="BL61" s="543" t="n"/>
      <c r="BM61" s="543" t="n"/>
      <c r="BN61" s="543" t="n"/>
      <c r="BO61" s="543" t="n"/>
      <c r="BP61" s="543" t="n"/>
      <c r="BQ61" s="543" t="n"/>
      <c r="BR61" s="543" t="n"/>
      <c r="BS61" s="543" t="n"/>
      <c r="BT61" s="543" t="n"/>
      <c r="BU61" s="543" t="n"/>
      <c r="BV61" s="543" t="n"/>
      <c r="BW61" s="543" t="n"/>
      <c r="BX61" s="543" t="n"/>
      <c r="BY61" s="543" t="n"/>
      <c r="BZ61" s="543" t="n"/>
      <c r="CA61" s="543" t="n"/>
      <c r="CB61" s="543" t="n"/>
      <c r="CC61" s="543" t="n"/>
      <c r="CD61" s="543" t="n"/>
      <c r="CE61" s="543" t="n"/>
      <c r="CF61" s="543" t="n"/>
      <c r="CG61" s="543" t="n"/>
      <c r="CH61" s="543" t="n"/>
      <c r="CI61" s="543" t="n"/>
      <c r="CJ61" s="543" t="n"/>
      <c r="CK61" s="543" t="n"/>
      <c r="CL61" s="543" t="n"/>
      <c r="CM61" s="543" t="n"/>
      <c r="CN61" s="543" t="n"/>
      <c r="CO61" s="543" t="n"/>
      <c r="CP61" s="543" t="n"/>
      <c r="CQ61" s="543" t="n"/>
      <c r="CR61" s="543" t="n"/>
      <c r="CS61" s="543" t="n"/>
      <c r="CT61" s="543" t="n"/>
      <c r="CU61" s="543" t="n"/>
      <c r="CV61" s="543" t="n"/>
      <c r="CW61" s="543" t="n"/>
      <c r="CX61" s="543" t="n"/>
      <c r="CY61" s="543" t="n"/>
      <c r="CZ61" s="543" t="n"/>
      <c r="DA61" s="543" t="n"/>
      <c r="DB61" s="543" t="n"/>
      <c r="DC61" s="543" t="n"/>
      <c r="DD61" s="543" t="n"/>
      <c r="DE61" s="543" t="n"/>
      <c r="DF61" s="543" t="n"/>
    </row>
    <row r="62" ht="15" customFormat="1" customHeight="1" s="381">
      <c r="A62" s="472" t="n"/>
      <c r="C62" s="486" t="n"/>
      <c r="D62" s="486" t="n"/>
      <c r="E62" s="486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543" t="n"/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3" t="n"/>
      <c r="AU62" s="543" t="n"/>
      <c r="AV62" s="543" t="n"/>
      <c r="AW62" s="543" t="n"/>
      <c r="AX62" s="543" t="n"/>
      <c r="AY62" s="543" t="n"/>
      <c r="AZ62" s="543" t="n"/>
      <c r="BA62" s="543" t="n"/>
      <c r="BB62" s="543" t="n"/>
      <c r="BC62" s="543" t="n"/>
      <c r="BD62" s="543" t="n"/>
      <c r="BE62" s="543" t="n"/>
      <c r="BF62" s="543" t="n"/>
      <c r="BG62" s="543" t="n"/>
      <c r="BH62" s="543" t="n"/>
      <c r="BI62" s="543" t="n"/>
      <c r="BJ62" s="543" t="n"/>
      <c r="BK62" s="543" t="n"/>
      <c r="BL62" s="543" t="n"/>
      <c r="BM62" s="543" t="n"/>
      <c r="BN62" s="543" t="n"/>
      <c r="BO62" s="543" t="n"/>
      <c r="BP62" s="543" t="n"/>
      <c r="BQ62" s="543" t="n"/>
      <c r="BR62" s="543" t="n"/>
      <c r="BS62" s="543" t="n"/>
      <c r="BT62" s="543" t="n"/>
      <c r="BU62" s="543" t="n"/>
      <c r="BV62" s="543" t="n"/>
      <c r="BW62" s="543" t="n"/>
      <c r="BX62" s="543" t="n"/>
      <c r="BY62" s="543" t="n"/>
      <c r="BZ62" s="543" t="n"/>
      <c r="CA62" s="543" t="n"/>
      <c r="CB62" s="543" t="n"/>
      <c r="CC62" s="543" t="n"/>
      <c r="CD62" s="543" t="n"/>
      <c r="CE62" s="543" t="n"/>
      <c r="CF62" s="543" t="n"/>
      <c r="CG62" s="543" t="n"/>
      <c r="CH62" s="543" t="n"/>
      <c r="CI62" s="543" t="n"/>
      <c r="CJ62" s="543" t="n"/>
      <c r="CK62" s="543" t="n"/>
      <c r="CL62" s="543" t="n"/>
      <c r="CM62" s="543" t="n"/>
      <c r="CN62" s="543" t="n"/>
      <c r="CO62" s="543" t="n"/>
      <c r="CP62" s="543" t="n"/>
      <c r="CQ62" s="543" t="n"/>
      <c r="CR62" s="543" t="n"/>
      <c r="CS62" s="543" t="n"/>
      <c r="CT62" s="543" t="n"/>
      <c r="CU62" s="543" t="n"/>
      <c r="CV62" s="543" t="n"/>
      <c r="CW62" s="543" t="n"/>
      <c r="CX62" s="543" t="n"/>
      <c r="CY62" s="543" t="n"/>
      <c r="CZ62" s="543" t="n"/>
      <c r="DA62" s="543" t="n"/>
      <c r="DB62" s="543" t="n"/>
      <c r="DC62" s="543" t="n"/>
      <c r="DD62" s="543" t="n"/>
      <c r="DE62" s="543" t="n"/>
      <c r="DF62" s="543" t="n"/>
    </row>
    <row r="63" ht="15" customFormat="1" customHeight="1" s="381">
      <c r="A63" s="472" t="inlineStr">
        <is>
          <t>Non-Cash Revenue Items</t>
        </is>
      </c>
      <c r="C63" s="486" t="n">
        <v>0</v>
      </c>
      <c r="D63" s="486" t="n">
        <v>0</v>
      </c>
      <c r="E63" s="486" t="n">
        <v>0</v>
      </c>
      <c r="F63" s="543" t="n">
        <v>0</v>
      </c>
      <c r="G63" s="543" t="n">
        <v>0</v>
      </c>
      <c r="H63" s="543" t="n">
        <v>0</v>
      </c>
      <c r="I63" s="543" t="n">
        <v>0</v>
      </c>
      <c r="J63" s="543" t="n">
        <v>0</v>
      </c>
      <c r="K63" s="543" t="n">
        <v>0</v>
      </c>
      <c r="L63" s="543" t="n">
        <v>0</v>
      </c>
      <c r="M63" s="543" t="n">
        <v>0</v>
      </c>
      <c r="N63" s="543" t="n">
        <v>0</v>
      </c>
      <c r="O63" s="543" t="n">
        <v>0</v>
      </c>
      <c r="P63" s="543" t="n">
        <v>0</v>
      </c>
      <c r="Q63" s="543" t="n">
        <v>0</v>
      </c>
      <c r="R63" s="543" t="n">
        <v>0</v>
      </c>
      <c r="S63" s="543" t="n">
        <v>0</v>
      </c>
      <c r="T63" s="543" t="n">
        <v>0</v>
      </c>
      <c r="U63" s="543" t="n">
        <v>0</v>
      </c>
      <c r="V63" s="543" t="n">
        <v>0</v>
      </c>
      <c r="W63" s="543" t="n">
        <v>0</v>
      </c>
      <c r="X63" s="543" t="n">
        <v>0</v>
      </c>
      <c r="Y63" s="543" t="n">
        <v>0</v>
      </c>
      <c r="Z63" s="543" t="n">
        <v>0</v>
      </c>
      <c r="AA63" s="543" t="n">
        <v>0</v>
      </c>
      <c r="AB63" s="543" t="n">
        <v>0</v>
      </c>
      <c r="AC63" s="543" t="n">
        <v>0</v>
      </c>
      <c r="AD63" s="543" t="n">
        <v>0</v>
      </c>
      <c r="AE63" s="543" t="n">
        <v>0</v>
      </c>
      <c r="AF63" s="543" t="n">
        <v>0</v>
      </c>
      <c r="AG63" s="543" t="n">
        <v>0</v>
      </c>
      <c r="AH63" s="543" t="n">
        <v>0</v>
      </c>
      <c r="AI63" s="543" t="n">
        <v>0</v>
      </c>
      <c r="AJ63" s="543" t="n">
        <v>0</v>
      </c>
      <c r="AK63" s="543" t="n">
        <v>0</v>
      </c>
      <c r="AL63" s="543" t="n">
        <v>0</v>
      </c>
      <c r="AM63" s="543" t="n">
        <v>0</v>
      </c>
      <c r="AN63" s="543" t="n">
        <v>0</v>
      </c>
      <c r="AO63" s="543" t="n">
        <v>0</v>
      </c>
      <c r="AP63" s="543" t="n">
        <v>0</v>
      </c>
      <c r="AQ63" s="543" t="n">
        <v>0</v>
      </c>
      <c r="AR63" s="543" t="n">
        <v>0</v>
      </c>
      <c r="AS63" s="543" t="n">
        <v>0</v>
      </c>
      <c r="AT63" s="543" t="n">
        <v>0</v>
      </c>
      <c r="AU63" s="543" t="n">
        <v>0</v>
      </c>
      <c r="AV63" s="543" t="n">
        <v>0</v>
      </c>
      <c r="AW63" s="543" t="n">
        <v>0</v>
      </c>
      <c r="AX63" s="543" t="n">
        <v>0</v>
      </c>
      <c r="AY63" s="543" t="n">
        <v>0</v>
      </c>
      <c r="AZ63" s="543" t="n">
        <v>0</v>
      </c>
      <c r="BA63" s="543" t="n">
        <v>0</v>
      </c>
      <c r="BB63" s="543" t="n">
        <v>0</v>
      </c>
      <c r="BC63" s="543" t="n">
        <v>0</v>
      </c>
      <c r="BD63" s="543" t="n">
        <v>0</v>
      </c>
      <c r="BE63" s="543" t="n">
        <v>0</v>
      </c>
      <c r="BF63" s="543" t="n">
        <v>0</v>
      </c>
      <c r="BG63" s="543" t="n">
        <v>0</v>
      </c>
      <c r="BH63" s="543" t="n">
        <v>0</v>
      </c>
      <c r="BI63" s="543" t="n">
        <v>0</v>
      </c>
      <c r="BJ63" s="543" t="n">
        <v>0</v>
      </c>
      <c r="BK63" s="543" t="n">
        <v>0</v>
      </c>
      <c r="BL63" s="543" t="n">
        <v>0</v>
      </c>
      <c r="BM63" s="543" t="n">
        <v>0</v>
      </c>
      <c r="BN63" s="543" t="n">
        <v>0</v>
      </c>
      <c r="BO63" s="543" t="n">
        <v>0</v>
      </c>
      <c r="BP63" s="543" t="n">
        <v>0</v>
      </c>
      <c r="BQ63" s="543" t="n">
        <v>0</v>
      </c>
      <c r="BR63" s="543" t="n">
        <v>0</v>
      </c>
      <c r="BS63" s="543" t="n">
        <v>0</v>
      </c>
      <c r="BT63" s="543" t="n">
        <v>0</v>
      </c>
      <c r="BU63" s="543" t="n">
        <v>0</v>
      </c>
      <c r="BV63" s="543" t="n">
        <v>0</v>
      </c>
      <c r="BW63" s="543" t="n">
        <v>0</v>
      </c>
      <c r="BX63" s="543" t="n">
        <v>0</v>
      </c>
      <c r="BY63" s="543" t="n">
        <v>0</v>
      </c>
      <c r="BZ63" s="543" t="n">
        <v>0</v>
      </c>
      <c r="CA63" s="543" t="n">
        <v>0</v>
      </c>
      <c r="CB63" s="543" t="n">
        <v>0</v>
      </c>
      <c r="CC63" s="543" t="n">
        <v>0</v>
      </c>
      <c r="CD63" s="543" t="n">
        <v>0</v>
      </c>
      <c r="CE63" s="543" t="n">
        <v>0</v>
      </c>
      <c r="CF63" s="543" t="n">
        <v>0</v>
      </c>
      <c r="CG63" s="543" t="n">
        <v>0</v>
      </c>
      <c r="CH63" s="543" t="n">
        <v>0</v>
      </c>
      <c r="CI63" s="543" t="n">
        <v>0</v>
      </c>
      <c r="CJ63" s="543" t="n">
        <v>0</v>
      </c>
      <c r="CK63" s="543" t="n">
        <v>0</v>
      </c>
      <c r="CL63" s="543" t="n">
        <v>0</v>
      </c>
      <c r="CM63" s="543" t="n">
        <v>0</v>
      </c>
      <c r="CN63" s="543" t="n">
        <v>0</v>
      </c>
      <c r="CO63" s="543" t="n">
        <v>0</v>
      </c>
      <c r="CP63" s="543" t="n">
        <v>0</v>
      </c>
      <c r="CQ63" s="543" t="n">
        <v>0</v>
      </c>
      <c r="CR63" s="543" t="n">
        <v>0</v>
      </c>
      <c r="CS63" s="543" t="n">
        <v>0</v>
      </c>
      <c r="CT63" s="543" t="n">
        <v>0</v>
      </c>
      <c r="CU63" s="543" t="n">
        <v>0</v>
      </c>
      <c r="CV63" s="543" t="n">
        <v>0</v>
      </c>
      <c r="CW63" s="543" t="n">
        <v>0</v>
      </c>
      <c r="CX63" s="543" t="n">
        <v>0</v>
      </c>
      <c r="CY63" s="543" t="n">
        <v>0</v>
      </c>
      <c r="CZ63" s="543" t="n">
        <v>0</v>
      </c>
      <c r="DA63" s="543" t="n">
        <v>0</v>
      </c>
      <c r="DB63" s="543" t="n">
        <v>0</v>
      </c>
      <c r="DC63" s="543" t="n">
        <v>0</v>
      </c>
      <c r="DD63" s="543" t="n">
        <v>0</v>
      </c>
      <c r="DE63" s="543" t="n">
        <v>0</v>
      </c>
      <c r="DF63" s="543" t="n">
        <v>0</v>
      </c>
    </row>
    <row r="64" ht="15" customFormat="1" customHeight="1" s="381">
      <c r="A64" s="472" t="inlineStr">
        <is>
          <t>Edgemont Management Fee</t>
        </is>
      </c>
      <c r="C64" s="486" t="n">
        <v>833.33</v>
      </c>
      <c r="D64" s="486" t="n">
        <v>833.33</v>
      </c>
      <c r="E64" s="486" t="n">
        <v>833.33</v>
      </c>
      <c r="F64" s="543" t="n">
        <v>833.33</v>
      </c>
      <c r="G64" s="543" t="n">
        <v>833.33</v>
      </c>
      <c r="H64" s="543" t="n">
        <v>833.33</v>
      </c>
      <c r="I64" s="543" t="n">
        <v>833.33</v>
      </c>
      <c r="J64" s="543" t="n">
        <v>833.33</v>
      </c>
      <c r="K64" s="543" t="n">
        <v>0</v>
      </c>
      <c r="L64" s="543" t="n">
        <v>0</v>
      </c>
      <c r="M64" s="543" t="n">
        <v>0</v>
      </c>
      <c r="N64" s="543" t="n">
        <v>0</v>
      </c>
      <c r="O64" s="543" t="n">
        <v>0</v>
      </c>
      <c r="P64" s="543" t="n">
        <v>0</v>
      </c>
      <c r="Q64" s="543" t="n">
        <v>0</v>
      </c>
      <c r="R64" s="543" t="n">
        <v>0</v>
      </c>
      <c r="S64" s="543" t="n">
        <v>0</v>
      </c>
      <c r="T64" s="543" t="n">
        <v>0</v>
      </c>
      <c r="U64" s="543" t="n">
        <v>0</v>
      </c>
      <c r="V64" s="543" t="n">
        <v>0</v>
      </c>
      <c r="W64" s="543" t="n">
        <v>0</v>
      </c>
      <c r="X64" s="543" t="n">
        <v>0</v>
      </c>
      <c r="Y64" s="543" t="n">
        <v>0</v>
      </c>
      <c r="Z64" s="543" t="n">
        <v>0</v>
      </c>
      <c r="AA64" s="543" t="n">
        <v>0</v>
      </c>
      <c r="AB64" s="543" t="n">
        <v>0</v>
      </c>
      <c r="AC64" s="543" t="n">
        <v>0</v>
      </c>
      <c r="AD64" s="543" t="n">
        <v>0</v>
      </c>
      <c r="AE64" s="543" t="n">
        <v>0</v>
      </c>
      <c r="AF64" s="543" t="n">
        <v>0</v>
      </c>
      <c r="AG64" s="543" t="n">
        <v>0</v>
      </c>
      <c r="AH64" s="543" t="n">
        <v>0</v>
      </c>
      <c r="AI64" s="543" t="n">
        <v>0</v>
      </c>
      <c r="AJ64" s="543" t="n">
        <v>0</v>
      </c>
      <c r="AK64" s="543" t="n">
        <v>0</v>
      </c>
      <c r="AL64" s="543" t="n">
        <v>0</v>
      </c>
      <c r="AM64" s="543" t="n">
        <v>0</v>
      </c>
      <c r="AN64" s="543" t="n">
        <v>0</v>
      </c>
      <c r="AO64" s="543" t="n">
        <v>0</v>
      </c>
      <c r="AP64" s="543" t="n">
        <v>0</v>
      </c>
      <c r="AQ64" s="543" t="n">
        <v>0</v>
      </c>
      <c r="AR64" s="543" t="n">
        <v>0</v>
      </c>
      <c r="AS64" s="543" t="n">
        <v>0</v>
      </c>
      <c r="AT64" s="543" t="n">
        <v>0</v>
      </c>
      <c r="AU64" s="543" t="n">
        <v>0</v>
      </c>
      <c r="AV64" s="543" t="n">
        <v>0</v>
      </c>
      <c r="AW64" s="543" t="n">
        <v>0</v>
      </c>
      <c r="AX64" s="543" t="n">
        <v>0</v>
      </c>
      <c r="AY64" s="543" t="n">
        <v>0</v>
      </c>
      <c r="AZ64" s="543" t="n">
        <v>0</v>
      </c>
      <c r="BA64" s="543" t="n">
        <v>0</v>
      </c>
      <c r="BB64" s="543" t="n">
        <v>0</v>
      </c>
      <c r="BC64" s="543" t="n">
        <v>0</v>
      </c>
      <c r="BD64" s="543" t="n">
        <v>0</v>
      </c>
      <c r="BE64" s="543" t="n">
        <v>0</v>
      </c>
      <c r="BF64" s="543" t="n">
        <v>0</v>
      </c>
      <c r="BG64" s="543" t="n">
        <v>0</v>
      </c>
      <c r="BH64" s="543" t="n">
        <v>0</v>
      </c>
      <c r="BI64" s="543" t="n">
        <v>0</v>
      </c>
      <c r="BJ64" s="543" t="n">
        <v>0</v>
      </c>
      <c r="BK64" s="543" t="n">
        <v>0</v>
      </c>
      <c r="BL64" s="543" t="n">
        <v>0</v>
      </c>
      <c r="BM64" s="543" t="n">
        <v>0</v>
      </c>
      <c r="BN64" s="543" t="n">
        <v>0</v>
      </c>
      <c r="BO64" s="543" t="n">
        <v>0</v>
      </c>
      <c r="BP64" s="543" t="n">
        <v>0</v>
      </c>
      <c r="BQ64" s="543" t="n">
        <v>0</v>
      </c>
      <c r="BR64" s="543" t="n">
        <v>0</v>
      </c>
      <c r="BS64" s="543" t="n">
        <v>0</v>
      </c>
      <c r="BT64" s="543" t="n">
        <v>0</v>
      </c>
      <c r="BU64" s="543" t="n">
        <v>0</v>
      </c>
      <c r="BV64" s="543" t="n">
        <v>0</v>
      </c>
      <c r="BW64" s="543" t="n">
        <v>0</v>
      </c>
      <c r="BX64" s="543" t="n">
        <v>0</v>
      </c>
      <c r="BY64" s="543" t="n">
        <v>0</v>
      </c>
      <c r="BZ64" s="543" t="n">
        <v>0</v>
      </c>
      <c r="CA64" s="543" t="n">
        <v>0</v>
      </c>
      <c r="CB64" s="543" t="n">
        <v>0</v>
      </c>
      <c r="CC64" s="543" t="n">
        <v>0</v>
      </c>
      <c r="CD64" s="543" t="n">
        <v>0</v>
      </c>
      <c r="CE64" s="543" t="n">
        <v>0</v>
      </c>
      <c r="CF64" s="543" t="n">
        <v>0</v>
      </c>
      <c r="CG64" s="543" t="n">
        <v>0</v>
      </c>
      <c r="CH64" s="543" t="n">
        <v>0</v>
      </c>
      <c r="CI64" s="543" t="n">
        <v>0</v>
      </c>
      <c r="CJ64" s="543" t="n">
        <v>0</v>
      </c>
      <c r="CK64" s="543" t="n">
        <v>0</v>
      </c>
      <c r="CL64" s="543" t="n">
        <v>0</v>
      </c>
      <c r="CM64" s="543" t="n">
        <v>0</v>
      </c>
      <c r="CN64" s="543" t="n">
        <v>0</v>
      </c>
      <c r="CO64" s="543" t="n">
        <v>0</v>
      </c>
      <c r="CP64" s="543" t="n">
        <v>0</v>
      </c>
      <c r="CQ64" s="543" t="n">
        <v>0</v>
      </c>
      <c r="CR64" s="543" t="n">
        <v>0</v>
      </c>
      <c r="CS64" s="543" t="n">
        <v>0</v>
      </c>
      <c r="CT64" s="543" t="n">
        <v>0</v>
      </c>
      <c r="CU64" s="543" t="n">
        <v>0</v>
      </c>
      <c r="CV64" s="543" t="n">
        <v>0</v>
      </c>
      <c r="CW64" s="543" t="n">
        <v>0</v>
      </c>
      <c r="CX64" s="543" t="n">
        <v>0</v>
      </c>
      <c r="CY64" s="543" t="n">
        <v>0</v>
      </c>
      <c r="CZ64" s="543" t="n">
        <v>0</v>
      </c>
      <c r="DA64" s="543" t="n">
        <v>0</v>
      </c>
      <c r="DB64" s="543" t="n">
        <v>0</v>
      </c>
      <c r="DC64" s="543" t="n">
        <v>0</v>
      </c>
      <c r="DD64" s="543" t="n">
        <v>0</v>
      </c>
      <c r="DE64" s="543" t="n">
        <v>0</v>
      </c>
      <c r="DF64" s="543" t="n">
        <v>0</v>
      </c>
    </row>
    <row r="65" ht="15" customFormat="1" customHeight="1" s="381">
      <c r="A65" s="472" t="inlineStr">
        <is>
          <t>Ramsgate Dev Fee - Construction</t>
        </is>
      </c>
      <c r="C65" s="486" t="n">
        <v>23906.25</v>
      </c>
      <c r="D65" s="486" t="n">
        <v>23906.25</v>
      </c>
      <c r="E65" s="486" t="n">
        <v>23906.25</v>
      </c>
      <c r="F65" s="543" t="n">
        <v>23906.25</v>
      </c>
      <c r="G65" s="543" t="n">
        <v>23906.25</v>
      </c>
      <c r="H65" s="543" t="n">
        <v>23906.25</v>
      </c>
      <c r="I65" s="543" t="n">
        <v>23906.25</v>
      </c>
      <c r="J65" s="543" t="n">
        <v>23906.25</v>
      </c>
      <c r="K65" s="543" t="n">
        <v>23906.25</v>
      </c>
      <c r="L65" s="543" t="n">
        <v>23906.25</v>
      </c>
      <c r="M65" s="543" t="n">
        <v>23906.25</v>
      </c>
      <c r="N65" s="543" t="n">
        <v>23906.25</v>
      </c>
      <c r="O65" s="543" t="n">
        <v>23906.25</v>
      </c>
      <c r="P65" s="543" t="n">
        <v>23906.25</v>
      </c>
      <c r="Q65" s="543" t="n">
        <v>23906.25</v>
      </c>
      <c r="R65" s="543" t="n">
        <v>23906.25</v>
      </c>
      <c r="S65" s="543" t="n">
        <v>23906.25</v>
      </c>
      <c r="T65" s="543" t="n">
        <v>23906.25</v>
      </c>
      <c r="U65" s="543" t="n">
        <v>0</v>
      </c>
      <c r="V65" s="543" t="n">
        <v>0</v>
      </c>
      <c r="W65" s="543" t="n">
        <v>0</v>
      </c>
      <c r="X65" s="543" t="n">
        <v>0</v>
      </c>
      <c r="Y65" s="543" t="n">
        <v>0</v>
      </c>
      <c r="Z65" s="543" t="n">
        <v>0</v>
      </c>
      <c r="AA65" s="543" t="n">
        <v>0</v>
      </c>
      <c r="AB65" s="543" t="n">
        <v>0</v>
      </c>
      <c r="AC65" s="543" t="n">
        <v>0</v>
      </c>
      <c r="AD65" s="543" t="n">
        <v>0</v>
      </c>
      <c r="AE65" s="543" t="n">
        <v>0</v>
      </c>
      <c r="AF65" s="543" t="n">
        <v>0</v>
      </c>
      <c r="AG65" s="543" t="n">
        <v>0</v>
      </c>
      <c r="AH65" s="543" t="n">
        <v>0</v>
      </c>
      <c r="AI65" s="543" t="n">
        <v>0</v>
      </c>
      <c r="AJ65" s="543" t="n">
        <v>0</v>
      </c>
      <c r="AK65" s="543" t="n">
        <v>0</v>
      </c>
      <c r="AL65" s="543" t="n">
        <v>0</v>
      </c>
      <c r="AM65" s="543" t="n">
        <v>0</v>
      </c>
      <c r="AN65" s="543" t="n">
        <v>0</v>
      </c>
      <c r="AO65" s="543" t="n">
        <v>0</v>
      </c>
      <c r="AP65" s="543" t="n">
        <v>0</v>
      </c>
      <c r="AQ65" s="543" t="n">
        <v>0</v>
      </c>
      <c r="AR65" s="543" t="n">
        <v>0</v>
      </c>
      <c r="AS65" s="543" t="n">
        <v>0</v>
      </c>
      <c r="AT65" s="543" t="n">
        <v>0</v>
      </c>
      <c r="AU65" s="543" t="n">
        <v>0</v>
      </c>
      <c r="AV65" s="543" t="n">
        <v>0</v>
      </c>
      <c r="AW65" s="543" t="n">
        <v>0</v>
      </c>
      <c r="AX65" s="543" t="n">
        <v>0</v>
      </c>
      <c r="AY65" s="543" t="n">
        <v>0</v>
      </c>
      <c r="AZ65" s="543" t="n">
        <v>0</v>
      </c>
      <c r="BA65" s="543" t="n">
        <v>0</v>
      </c>
      <c r="BB65" s="543" t="n">
        <v>0</v>
      </c>
      <c r="BC65" s="543" t="n">
        <v>0</v>
      </c>
      <c r="BD65" s="543" t="n">
        <v>0</v>
      </c>
      <c r="BE65" s="543" t="n">
        <v>0</v>
      </c>
      <c r="BF65" s="543" t="n">
        <v>0</v>
      </c>
      <c r="BG65" s="543" t="n">
        <v>0</v>
      </c>
      <c r="BH65" s="543" t="n">
        <v>0</v>
      </c>
      <c r="BI65" s="543" t="n">
        <v>0</v>
      </c>
      <c r="BJ65" s="543" t="n">
        <v>0</v>
      </c>
      <c r="BK65" s="543" t="n">
        <v>0</v>
      </c>
      <c r="BL65" s="543" t="n">
        <v>0</v>
      </c>
      <c r="BM65" s="543" t="n">
        <v>0</v>
      </c>
      <c r="BN65" s="543" t="n">
        <v>0</v>
      </c>
      <c r="BO65" s="543" t="n">
        <v>0</v>
      </c>
      <c r="BP65" s="543" t="n">
        <v>0</v>
      </c>
      <c r="BQ65" s="543" t="n">
        <v>0</v>
      </c>
      <c r="BR65" s="543" t="n">
        <v>0</v>
      </c>
      <c r="BS65" s="543" t="n">
        <v>0</v>
      </c>
      <c r="BT65" s="543" t="n">
        <v>0</v>
      </c>
      <c r="BU65" s="543" t="n">
        <v>0</v>
      </c>
      <c r="BV65" s="543" t="n">
        <v>0</v>
      </c>
      <c r="BW65" s="543" t="n">
        <v>0</v>
      </c>
      <c r="BX65" s="543" t="n">
        <v>0</v>
      </c>
      <c r="BY65" s="543" t="n">
        <v>0</v>
      </c>
      <c r="BZ65" s="543" t="n">
        <v>0</v>
      </c>
      <c r="CA65" s="543" t="n">
        <v>0</v>
      </c>
      <c r="CB65" s="543" t="n">
        <v>0</v>
      </c>
      <c r="CC65" s="543" t="n">
        <v>0</v>
      </c>
      <c r="CD65" s="543" t="n">
        <v>0</v>
      </c>
      <c r="CE65" s="543" t="n">
        <v>0</v>
      </c>
      <c r="CF65" s="543" t="n">
        <v>0</v>
      </c>
      <c r="CG65" s="543" t="n">
        <v>0</v>
      </c>
      <c r="CH65" s="543" t="n">
        <v>0</v>
      </c>
      <c r="CI65" s="543" t="n">
        <v>0</v>
      </c>
      <c r="CJ65" s="543" t="n">
        <v>0</v>
      </c>
      <c r="CK65" s="543" t="n">
        <v>0</v>
      </c>
      <c r="CL65" s="543" t="n">
        <v>0</v>
      </c>
      <c r="CM65" s="543" t="n">
        <v>0</v>
      </c>
      <c r="CN65" s="543" t="n">
        <v>0</v>
      </c>
      <c r="CO65" s="543" t="n">
        <v>0</v>
      </c>
      <c r="CP65" s="543" t="n">
        <v>0</v>
      </c>
      <c r="CQ65" s="543" t="n">
        <v>0</v>
      </c>
      <c r="CR65" s="543" t="n">
        <v>0</v>
      </c>
      <c r="CS65" s="543" t="n">
        <v>0</v>
      </c>
      <c r="CT65" s="543" t="n">
        <v>0</v>
      </c>
      <c r="CU65" s="543" t="n">
        <v>0</v>
      </c>
      <c r="CV65" s="543" t="n">
        <v>0</v>
      </c>
      <c r="CW65" s="543" t="n">
        <v>0</v>
      </c>
      <c r="CX65" s="543" t="n">
        <v>0</v>
      </c>
      <c r="CY65" s="543" t="n">
        <v>0</v>
      </c>
      <c r="CZ65" s="543" t="n">
        <v>0</v>
      </c>
      <c r="DA65" s="543" t="n">
        <v>0</v>
      </c>
      <c r="DB65" s="543" t="n">
        <v>0</v>
      </c>
      <c r="DC65" s="543" t="n">
        <v>0</v>
      </c>
      <c r="DD65" s="543" t="n">
        <v>0</v>
      </c>
      <c r="DE65" s="543" t="n">
        <v>0</v>
      </c>
      <c r="DF65" s="543" t="n">
        <v>0</v>
      </c>
    </row>
    <row r="66" ht="15" customFormat="1" customHeight="1" s="381">
      <c r="A66" s="472" t="inlineStr">
        <is>
          <t>Ramsgate Dev Fee - 20% Occ</t>
        </is>
      </c>
      <c r="C66" s="486" t="n">
        <v>0</v>
      </c>
      <c r="D66" s="486" t="n">
        <v>0</v>
      </c>
      <c r="E66" s="486" t="n">
        <v>0</v>
      </c>
      <c r="F66" s="543" t="n">
        <v>0</v>
      </c>
      <c r="G66" s="543" t="n">
        <v>0</v>
      </c>
      <c r="H66" s="543" t="n">
        <v>0</v>
      </c>
      <c r="I66" s="543" t="n">
        <v>0</v>
      </c>
      <c r="J66" s="543" t="n">
        <v>0</v>
      </c>
      <c r="K66" s="543" t="n">
        <v>0</v>
      </c>
      <c r="L66" s="543" t="n">
        <v>0</v>
      </c>
      <c r="M66" s="543" t="n">
        <v>0</v>
      </c>
      <c r="N66" s="543" t="n">
        <v>0</v>
      </c>
      <c r="O66" s="543" t="n">
        <v>0</v>
      </c>
      <c r="P66" s="543" t="n">
        <v>0</v>
      </c>
      <c r="Q66" s="543" t="n">
        <v>0</v>
      </c>
      <c r="R66" s="543" t="n">
        <v>0</v>
      </c>
      <c r="S66" s="543" t="n">
        <v>0</v>
      </c>
      <c r="T66" s="543" t="n">
        <v>0</v>
      </c>
      <c r="U66" s="543" t="n">
        <v>0</v>
      </c>
      <c r="V66" s="543" t="n">
        <v>0</v>
      </c>
      <c r="W66" s="543" t="n">
        <v>0</v>
      </c>
      <c r="X66" s="543" t="n">
        <v>0</v>
      </c>
      <c r="Y66" s="543" t="n">
        <v>0</v>
      </c>
      <c r="Z66" s="543" t="n">
        <v>57375</v>
      </c>
      <c r="AA66" s="543" t="n">
        <v>0</v>
      </c>
      <c r="AB66" s="543" t="n">
        <v>0</v>
      </c>
      <c r="AC66" s="543" t="n">
        <v>0</v>
      </c>
      <c r="AD66" s="543" t="n">
        <v>0</v>
      </c>
      <c r="AE66" s="543" t="n">
        <v>0</v>
      </c>
      <c r="AF66" s="543" t="n">
        <v>0</v>
      </c>
      <c r="AG66" s="543" t="n">
        <v>0</v>
      </c>
      <c r="AH66" s="543" t="n">
        <v>0</v>
      </c>
      <c r="AI66" s="543" t="n">
        <v>0</v>
      </c>
      <c r="AJ66" s="543" t="n">
        <v>0</v>
      </c>
      <c r="AK66" s="543" t="n">
        <v>0</v>
      </c>
      <c r="AL66" s="543" t="n">
        <v>0</v>
      </c>
      <c r="AM66" s="543" t="n">
        <v>0</v>
      </c>
      <c r="AN66" s="543" t="n">
        <v>0</v>
      </c>
      <c r="AO66" s="543" t="n">
        <v>0</v>
      </c>
      <c r="AP66" s="543" t="n">
        <v>0</v>
      </c>
      <c r="AQ66" s="543" t="n">
        <v>0</v>
      </c>
      <c r="AR66" s="543" t="n">
        <v>0</v>
      </c>
      <c r="AS66" s="543" t="n">
        <v>0</v>
      </c>
      <c r="AT66" s="543" t="n">
        <v>0</v>
      </c>
      <c r="AU66" s="543" t="n">
        <v>0</v>
      </c>
      <c r="AV66" s="543" t="n">
        <v>0</v>
      </c>
      <c r="AW66" s="543" t="n">
        <v>0</v>
      </c>
      <c r="AX66" s="543" t="n">
        <v>0</v>
      </c>
      <c r="AY66" s="543" t="n">
        <v>0</v>
      </c>
      <c r="AZ66" s="543" t="n">
        <v>0</v>
      </c>
      <c r="BA66" s="543" t="n">
        <v>0</v>
      </c>
      <c r="BB66" s="543" t="n">
        <v>0</v>
      </c>
      <c r="BC66" s="543" t="n">
        <v>0</v>
      </c>
      <c r="BD66" s="543" t="n">
        <v>0</v>
      </c>
      <c r="BE66" s="543" t="n">
        <v>0</v>
      </c>
      <c r="BF66" s="543" t="n">
        <v>0</v>
      </c>
      <c r="BG66" s="543" t="n">
        <v>0</v>
      </c>
      <c r="BH66" s="543" t="n">
        <v>0</v>
      </c>
      <c r="BI66" s="543" t="n">
        <v>0</v>
      </c>
      <c r="BJ66" s="543" t="n">
        <v>0</v>
      </c>
      <c r="BK66" s="543" t="n">
        <v>0</v>
      </c>
      <c r="BL66" s="543" t="n">
        <v>0</v>
      </c>
      <c r="BM66" s="543" t="n">
        <v>0</v>
      </c>
      <c r="BN66" s="543" t="n">
        <v>0</v>
      </c>
      <c r="BO66" s="543" t="n">
        <v>0</v>
      </c>
      <c r="BP66" s="543" t="n">
        <v>0</v>
      </c>
      <c r="BQ66" s="543" t="n">
        <v>0</v>
      </c>
      <c r="BR66" s="543" t="n">
        <v>0</v>
      </c>
      <c r="BS66" s="543" t="n">
        <v>0</v>
      </c>
      <c r="BT66" s="543" t="n">
        <v>0</v>
      </c>
      <c r="BU66" s="543" t="n">
        <v>0</v>
      </c>
      <c r="BV66" s="543" t="n">
        <v>0</v>
      </c>
      <c r="BW66" s="543" t="n">
        <v>0</v>
      </c>
      <c r="BX66" s="543" t="n">
        <v>0</v>
      </c>
      <c r="BY66" s="543" t="n">
        <v>0</v>
      </c>
      <c r="BZ66" s="543" t="n">
        <v>0</v>
      </c>
      <c r="CA66" s="543" t="n">
        <v>0</v>
      </c>
      <c r="CB66" s="543" t="n">
        <v>0</v>
      </c>
      <c r="CC66" s="543" t="n">
        <v>0</v>
      </c>
      <c r="CD66" s="543" t="n">
        <v>0</v>
      </c>
      <c r="CE66" s="543" t="n">
        <v>0</v>
      </c>
      <c r="CF66" s="543" t="n">
        <v>0</v>
      </c>
      <c r="CG66" s="543" t="n">
        <v>0</v>
      </c>
      <c r="CH66" s="543" t="n">
        <v>0</v>
      </c>
      <c r="CI66" s="543" t="n">
        <v>0</v>
      </c>
      <c r="CJ66" s="543" t="n">
        <v>0</v>
      </c>
      <c r="CK66" s="543" t="n">
        <v>0</v>
      </c>
      <c r="CL66" s="543" t="n">
        <v>0</v>
      </c>
      <c r="CM66" s="543" t="n">
        <v>0</v>
      </c>
      <c r="CN66" s="543" t="n">
        <v>0</v>
      </c>
      <c r="CO66" s="543" t="n">
        <v>0</v>
      </c>
      <c r="CP66" s="543" t="n">
        <v>0</v>
      </c>
      <c r="CQ66" s="543" t="n">
        <v>0</v>
      </c>
      <c r="CR66" s="543" t="n">
        <v>0</v>
      </c>
      <c r="CS66" s="543" t="n">
        <v>0</v>
      </c>
      <c r="CT66" s="543" t="n">
        <v>0</v>
      </c>
      <c r="CU66" s="543" t="n">
        <v>0</v>
      </c>
      <c r="CV66" s="543" t="n">
        <v>0</v>
      </c>
      <c r="CW66" s="543" t="n">
        <v>0</v>
      </c>
      <c r="CX66" s="543" t="n">
        <v>0</v>
      </c>
      <c r="CY66" s="543" t="n">
        <v>0</v>
      </c>
      <c r="CZ66" s="543" t="n">
        <v>0</v>
      </c>
      <c r="DA66" s="543" t="n">
        <v>0</v>
      </c>
      <c r="DB66" s="543" t="n">
        <v>0</v>
      </c>
      <c r="DC66" s="543" t="n">
        <v>0</v>
      </c>
      <c r="DD66" s="543" t="n">
        <v>0</v>
      </c>
      <c r="DE66" s="543" t="n">
        <v>0</v>
      </c>
      <c r="DF66" s="543" t="n">
        <v>0</v>
      </c>
    </row>
    <row r="67" ht="15" customFormat="1" customHeight="1" s="381">
      <c r="A67" s="472" t="inlineStr">
        <is>
          <t>Ramsgate Dev Fee - 50% Occ</t>
        </is>
      </c>
      <c r="C67" s="486" t="n">
        <v>0</v>
      </c>
      <c r="D67" s="486" t="n">
        <v>0</v>
      </c>
      <c r="E67" s="486" t="n">
        <v>0</v>
      </c>
      <c r="F67" s="543" t="n">
        <v>0</v>
      </c>
      <c r="G67" s="543" t="n">
        <v>0</v>
      </c>
      <c r="H67" s="543" t="n">
        <v>0</v>
      </c>
      <c r="I67" s="543" t="n">
        <v>0</v>
      </c>
      <c r="J67" s="543" t="n">
        <v>0</v>
      </c>
      <c r="K67" s="543" t="n">
        <v>0</v>
      </c>
      <c r="L67" s="543" t="n">
        <v>0</v>
      </c>
      <c r="M67" s="543" t="n">
        <v>0</v>
      </c>
      <c r="N67" s="543" t="n">
        <v>0</v>
      </c>
      <c r="O67" s="543" t="n">
        <v>0</v>
      </c>
      <c r="P67" s="543" t="n">
        <v>0</v>
      </c>
      <c r="Q67" s="543" t="n">
        <v>0</v>
      </c>
      <c r="R67" s="543" t="n">
        <v>0</v>
      </c>
      <c r="S67" s="543" t="n">
        <v>0</v>
      </c>
      <c r="T67" s="543" t="n">
        <v>0</v>
      </c>
      <c r="U67" s="543" t="n">
        <v>0</v>
      </c>
      <c r="V67" s="543" t="n">
        <v>0</v>
      </c>
      <c r="W67" s="543" t="n">
        <v>0</v>
      </c>
      <c r="X67" s="543" t="n">
        <v>0</v>
      </c>
      <c r="Y67" s="543" t="n">
        <v>0</v>
      </c>
      <c r="Z67" s="543" t="n">
        <v>0</v>
      </c>
      <c r="AA67" s="543" t="n">
        <v>0</v>
      </c>
      <c r="AB67" s="543" t="n">
        <v>0</v>
      </c>
      <c r="AC67" s="543" t="n">
        <v>57375</v>
      </c>
      <c r="AD67" s="543" t="n">
        <v>0</v>
      </c>
      <c r="AE67" s="543" t="n">
        <v>0</v>
      </c>
      <c r="AF67" s="543" t="n">
        <v>0</v>
      </c>
      <c r="AG67" s="543" t="n">
        <v>0</v>
      </c>
      <c r="AH67" s="543" t="n">
        <v>0</v>
      </c>
      <c r="AI67" s="543" t="n">
        <v>0</v>
      </c>
      <c r="AJ67" s="543" t="n">
        <v>0</v>
      </c>
      <c r="AK67" s="543" t="n">
        <v>0</v>
      </c>
      <c r="AL67" s="543" t="n">
        <v>0</v>
      </c>
      <c r="AM67" s="543" t="n">
        <v>0</v>
      </c>
      <c r="AN67" s="543" t="n">
        <v>0</v>
      </c>
      <c r="AO67" s="543" t="n">
        <v>0</v>
      </c>
      <c r="AP67" s="543" t="n">
        <v>0</v>
      </c>
      <c r="AQ67" s="543" t="n">
        <v>0</v>
      </c>
      <c r="AR67" s="543" t="n">
        <v>0</v>
      </c>
      <c r="AS67" s="543" t="n">
        <v>0</v>
      </c>
      <c r="AT67" s="543" t="n">
        <v>0</v>
      </c>
      <c r="AU67" s="543" t="n">
        <v>0</v>
      </c>
      <c r="AV67" s="543" t="n">
        <v>0</v>
      </c>
      <c r="AW67" s="543" t="n">
        <v>0</v>
      </c>
      <c r="AX67" s="543" t="n">
        <v>0</v>
      </c>
      <c r="AY67" s="543" t="n">
        <v>0</v>
      </c>
      <c r="AZ67" s="543" t="n">
        <v>0</v>
      </c>
      <c r="BA67" s="543" t="n">
        <v>0</v>
      </c>
      <c r="BB67" s="543" t="n">
        <v>0</v>
      </c>
      <c r="BC67" s="543" t="n">
        <v>0</v>
      </c>
      <c r="BD67" s="543" t="n">
        <v>0</v>
      </c>
      <c r="BE67" s="543" t="n">
        <v>0</v>
      </c>
      <c r="BF67" s="543" t="n">
        <v>0</v>
      </c>
      <c r="BG67" s="543" t="n">
        <v>0</v>
      </c>
      <c r="BH67" s="543" t="n">
        <v>0</v>
      </c>
      <c r="BI67" s="543" t="n">
        <v>0</v>
      </c>
      <c r="BJ67" s="543" t="n">
        <v>0</v>
      </c>
      <c r="BK67" s="543" t="n">
        <v>0</v>
      </c>
      <c r="BL67" s="543" t="n">
        <v>0</v>
      </c>
      <c r="BM67" s="543" t="n">
        <v>0</v>
      </c>
      <c r="BN67" s="543" t="n">
        <v>0</v>
      </c>
      <c r="BO67" s="543" t="n">
        <v>0</v>
      </c>
      <c r="BP67" s="543" t="n">
        <v>0</v>
      </c>
      <c r="BQ67" s="543" t="n">
        <v>0</v>
      </c>
      <c r="BR67" s="543" t="n">
        <v>0</v>
      </c>
      <c r="BS67" s="543" t="n">
        <v>0</v>
      </c>
      <c r="BT67" s="543" t="n">
        <v>0</v>
      </c>
      <c r="BU67" s="543" t="n">
        <v>0</v>
      </c>
      <c r="BV67" s="543" t="n">
        <v>0</v>
      </c>
      <c r="BW67" s="543" t="n">
        <v>0</v>
      </c>
      <c r="BX67" s="543" t="n">
        <v>0</v>
      </c>
      <c r="BY67" s="543" t="n">
        <v>0</v>
      </c>
      <c r="BZ67" s="543" t="n">
        <v>0</v>
      </c>
      <c r="CA67" s="543" t="n">
        <v>0</v>
      </c>
      <c r="CB67" s="543" t="n">
        <v>0</v>
      </c>
      <c r="CC67" s="543" t="n">
        <v>0</v>
      </c>
      <c r="CD67" s="543" t="n">
        <v>0</v>
      </c>
      <c r="CE67" s="543" t="n">
        <v>0</v>
      </c>
      <c r="CF67" s="543" t="n">
        <v>0</v>
      </c>
      <c r="CG67" s="543" t="n">
        <v>0</v>
      </c>
      <c r="CH67" s="543" t="n">
        <v>0</v>
      </c>
      <c r="CI67" s="543" t="n">
        <v>0</v>
      </c>
      <c r="CJ67" s="543" t="n">
        <v>0</v>
      </c>
      <c r="CK67" s="543" t="n">
        <v>0</v>
      </c>
      <c r="CL67" s="543" t="n">
        <v>0</v>
      </c>
      <c r="CM67" s="543" t="n">
        <v>0</v>
      </c>
      <c r="CN67" s="543" t="n">
        <v>0</v>
      </c>
      <c r="CO67" s="543" t="n">
        <v>0</v>
      </c>
      <c r="CP67" s="543" t="n">
        <v>0</v>
      </c>
      <c r="CQ67" s="543" t="n">
        <v>0</v>
      </c>
      <c r="CR67" s="543" t="n">
        <v>0</v>
      </c>
      <c r="CS67" s="543" t="n">
        <v>0</v>
      </c>
      <c r="CT67" s="543" t="n">
        <v>0</v>
      </c>
      <c r="CU67" s="543" t="n">
        <v>0</v>
      </c>
      <c r="CV67" s="543" t="n">
        <v>0</v>
      </c>
      <c r="CW67" s="543" t="n">
        <v>0</v>
      </c>
      <c r="CX67" s="543" t="n">
        <v>0</v>
      </c>
      <c r="CY67" s="543" t="n">
        <v>0</v>
      </c>
      <c r="CZ67" s="543" t="n">
        <v>0</v>
      </c>
      <c r="DA67" s="543" t="n">
        <v>0</v>
      </c>
      <c r="DB67" s="543" t="n">
        <v>0</v>
      </c>
      <c r="DC67" s="543" t="n">
        <v>0</v>
      </c>
      <c r="DD67" s="543" t="n">
        <v>0</v>
      </c>
      <c r="DE67" s="543" t="n">
        <v>0</v>
      </c>
      <c r="DF67" s="543" t="n">
        <v>0</v>
      </c>
    </row>
    <row r="68" ht="15" customFormat="1" customHeight="1" s="381">
      <c r="A68" s="472" t="inlineStr">
        <is>
          <t>Ramsgate Dev Fee - 90% Occ</t>
        </is>
      </c>
      <c r="C68" s="486" t="n">
        <v>0</v>
      </c>
      <c r="D68" s="486" t="n">
        <v>0</v>
      </c>
      <c r="E68" s="486" t="n">
        <v>0</v>
      </c>
      <c r="F68" s="543" t="n">
        <v>0</v>
      </c>
      <c r="G68" s="543" t="n">
        <v>0</v>
      </c>
      <c r="H68" s="543" t="n">
        <v>0</v>
      </c>
      <c r="I68" s="543" t="n">
        <v>0</v>
      </c>
      <c r="J68" s="543" t="n">
        <v>0</v>
      </c>
      <c r="K68" s="543" t="n">
        <v>0</v>
      </c>
      <c r="L68" s="543" t="n">
        <v>0</v>
      </c>
      <c r="M68" s="543" t="n">
        <v>0</v>
      </c>
      <c r="N68" s="543" t="n">
        <v>0</v>
      </c>
      <c r="O68" s="543" t="n">
        <v>0</v>
      </c>
      <c r="P68" s="543" t="n">
        <v>0</v>
      </c>
      <c r="Q68" s="543" t="n">
        <v>0</v>
      </c>
      <c r="R68" s="543" t="n">
        <v>0</v>
      </c>
      <c r="S68" s="543" t="n">
        <v>0</v>
      </c>
      <c r="T68" s="543" t="n">
        <v>0</v>
      </c>
      <c r="U68" s="543" t="n">
        <v>0</v>
      </c>
      <c r="V68" s="543" t="n">
        <v>0</v>
      </c>
      <c r="W68" s="543" t="n">
        <v>0</v>
      </c>
      <c r="X68" s="543" t="n">
        <v>0</v>
      </c>
      <c r="Y68" s="543" t="n">
        <v>0</v>
      </c>
      <c r="Z68" s="543" t="n">
        <v>0</v>
      </c>
      <c r="AA68" s="543" t="n">
        <v>0</v>
      </c>
      <c r="AB68" s="543" t="n">
        <v>0</v>
      </c>
      <c r="AC68" s="543" t="n">
        <v>0</v>
      </c>
      <c r="AD68" s="543" t="n">
        <v>0</v>
      </c>
      <c r="AE68" s="543" t="n">
        <v>0</v>
      </c>
      <c r="AF68" s="543" t="n">
        <v>57375</v>
      </c>
      <c r="AG68" s="543" t="n">
        <v>0</v>
      </c>
      <c r="AH68" s="543" t="n">
        <v>0</v>
      </c>
      <c r="AI68" s="543" t="n">
        <v>0</v>
      </c>
      <c r="AJ68" s="543" t="n">
        <v>0</v>
      </c>
      <c r="AK68" s="543" t="n">
        <v>0</v>
      </c>
      <c r="AL68" s="543" t="n">
        <v>0</v>
      </c>
      <c r="AM68" s="543" t="n">
        <v>0</v>
      </c>
      <c r="AN68" s="543" t="n">
        <v>0</v>
      </c>
      <c r="AO68" s="543" t="n">
        <v>0</v>
      </c>
      <c r="AP68" s="543" t="n">
        <v>0</v>
      </c>
      <c r="AQ68" s="543" t="n">
        <v>0</v>
      </c>
      <c r="AR68" s="543" t="n">
        <v>0</v>
      </c>
      <c r="AS68" s="543" t="n">
        <v>0</v>
      </c>
      <c r="AT68" s="543" t="n">
        <v>0</v>
      </c>
      <c r="AU68" s="543" t="n">
        <v>0</v>
      </c>
      <c r="AV68" s="543" t="n">
        <v>0</v>
      </c>
      <c r="AW68" s="543" t="n">
        <v>0</v>
      </c>
      <c r="AX68" s="543" t="n">
        <v>0</v>
      </c>
      <c r="AY68" s="543" t="n">
        <v>0</v>
      </c>
      <c r="AZ68" s="543" t="n">
        <v>0</v>
      </c>
      <c r="BA68" s="543" t="n">
        <v>0</v>
      </c>
      <c r="BB68" s="543" t="n">
        <v>0</v>
      </c>
      <c r="BC68" s="543" t="n">
        <v>0</v>
      </c>
      <c r="BD68" s="543" t="n">
        <v>0</v>
      </c>
      <c r="BE68" s="543" t="n">
        <v>0</v>
      </c>
      <c r="BF68" s="543" t="n">
        <v>0</v>
      </c>
      <c r="BG68" s="543" t="n">
        <v>0</v>
      </c>
      <c r="BH68" s="543" t="n">
        <v>0</v>
      </c>
      <c r="BI68" s="543" t="n">
        <v>0</v>
      </c>
      <c r="BJ68" s="543" t="n">
        <v>0</v>
      </c>
      <c r="BK68" s="543" t="n">
        <v>0</v>
      </c>
      <c r="BL68" s="543" t="n">
        <v>0</v>
      </c>
      <c r="BM68" s="543" t="n">
        <v>0</v>
      </c>
      <c r="BN68" s="543" t="n">
        <v>0</v>
      </c>
      <c r="BO68" s="543" t="n">
        <v>0</v>
      </c>
      <c r="BP68" s="543" t="n">
        <v>0</v>
      </c>
      <c r="BQ68" s="543" t="n">
        <v>0</v>
      </c>
      <c r="BR68" s="543" t="n">
        <v>0</v>
      </c>
      <c r="BS68" s="543" t="n">
        <v>0</v>
      </c>
      <c r="BT68" s="543" t="n">
        <v>0</v>
      </c>
      <c r="BU68" s="543" t="n">
        <v>0</v>
      </c>
      <c r="BV68" s="543" t="n">
        <v>0</v>
      </c>
      <c r="BW68" s="543" t="n">
        <v>0</v>
      </c>
      <c r="BX68" s="543" t="n">
        <v>0</v>
      </c>
      <c r="BY68" s="543" t="n">
        <v>0</v>
      </c>
      <c r="BZ68" s="543" t="n">
        <v>0</v>
      </c>
      <c r="CA68" s="543" t="n">
        <v>0</v>
      </c>
      <c r="CB68" s="543" t="n">
        <v>0</v>
      </c>
      <c r="CC68" s="543" t="n">
        <v>0</v>
      </c>
      <c r="CD68" s="543" t="n">
        <v>0</v>
      </c>
      <c r="CE68" s="543" t="n">
        <v>0</v>
      </c>
      <c r="CF68" s="543" t="n">
        <v>0</v>
      </c>
      <c r="CG68" s="543" t="n">
        <v>0</v>
      </c>
      <c r="CH68" s="543" t="n">
        <v>0</v>
      </c>
      <c r="CI68" s="543" t="n">
        <v>0</v>
      </c>
      <c r="CJ68" s="543" t="n">
        <v>0</v>
      </c>
      <c r="CK68" s="543" t="n">
        <v>0</v>
      </c>
      <c r="CL68" s="543" t="n">
        <v>0</v>
      </c>
      <c r="CM68" s="543" t="n">
        <v>0</v>
      </c>
      <c r="CN68" s="543" t="n">
        <v>0</v>
      </c>
      <c r="CO68" s="543" t="n">
        <v>0</v>
      </c>
      <c r="CP68" s="543" t="n">
        <v>0</v>
      </c>
      <c r="CQ68" s="543" t="n">
        <v>0</v>
      </c>
      <c r="CR68" s="543" t="n">
        <v>0</v>
      </c>
      <c r="CS68" s="543" t="n">
        <v>0</v>
      </c>
      <c r="CT68" s="543" t="n">
        <v>0</v>
      </c>
      <c r="CU68" s="543" t="n">
        <v>0</v>
      </c>
      <c r="CV68" s="543" t="n">
        <v>0</v>
      </c>
      <c r="CW68" s="543" t="n">
        <v>0</v>
      </c>
      <c r="CX68" s="543" t="n">
        <v>0</v>
      </c>
      <c r="CY68" s="543" t="n">
        <v>0</v>
      </c>
      <c r="CZ68" s="543" t="n">
        <v>0</v>
      </c>
      <c r="DA68" s="543" t="n">
        <v>0</v>
      </c>
      <c r="DB68" s="543" t="n">
        <v>0</v>
      </c>
      <c r="DC68" s="543" t="n">
        <v>0</v>
      </c>
      <c r="DD68" s="543" t="n">
        <v>0</v>
      </c>
      <c r="DE68" s="543" t="n">
        <v>0</v>
      </c>
      <c r="DF68" s="543" t="n">
        <v>0</v>
      </c>
    </row>
    <row r="69" ht="15" customFormat="1" customHeight="1" s="381">
      <c r="A69" s="472" t="inlineStr">
        <is>
          <t>Crenshaw Development Fee</t>
        </is>
      </c>
      <c r="C69" s="547" t="n">
        <v>9375</v>
      </c>
      <c r="D69" s="547" t="n">
        <v>9375</v>
      </c>
      <c r="E69" s="547" t="n">
        <v>9375</v>
      </c>
      <c r="F69" s="543" t="n">
        <v>9375</v>
      </c>
      <c r="G69" s="543" t="n">
        <v>9375</v>
      </c>
      <c r="H69" s="543" t="n">
        <v>9375</v>
      </c>
      <c r="I69" s="543" t="n">
        <v>9375</v>
      </c>
      <c r="J69" s="543" t="n">
        <v>9375</v>
      </c>
      <c r="K69" s="543" t="n">
        <v>9375</v>
      </c>
      <c r="L69" s="543" t="n">
        <v>9375</v>
      </c>
      <c r="M69" s="543" t="n">
        <v>0</v>
      </c>
      <c r="N69" s="543" t="n">
        <v>0</v>
      </c>
      <c r="O69" s="543" t="n">
        <v>0</v>
      </c>
      <c r="P69" s="543" t="n">
        <v>0</v>
      </c>
      <c r="Q69" s="543" t="n">
        <v>0</v>
      </c>
      <c r="R69" s="543" t="n">
        <v>0</v>
      </c>
      <c r="S69" s="543" t="n">
        <v>0</v>
      </c>
      <c r="T69" s="543" t="n">
        <v>0</v>
      </c>
      <c r="U69" s="543" t="n">
        <v>0</v>
      </c>
      <c r="V69" s="543" t="n">
        <v>0</v>
      </c>
      <c r="W69" s="543" t="n">
        <v>0</v>
      </c>
      <c r="X69" s="543" t="n">
        <v>0</v>
      </c>
      <c r="Y69" s="543" t="n">
        <v>0</v>
      </c>
      <c r="Z69" s="543" t="n">
        <v>0</v>
      </c>
      <c r="AA69" s="543" t="n">
        <v>0</v>
      </c>
      <c r="AB69" s="543" t="n">
        <v>0</v>
      </c>
      <c r="AC69" s="543" t="n">
        <v>0</v>
      </c>
      <c r="AD69" s="543" t="n">
        <v>0</v>
      </c>
      <c r="AE69" s="543" t="n">
        <v>0</v>
      </c>
      <c r="AF69" s="543" t="n">
        <v>0</v>
      </c>
      <c r="AG69" s="543" t="n">
        <v>0</v>
      </c>
      <c r="AH69" s="543" t="n">
        <v>0</v>
      </c>
      <c r="AI69" s="543" t="n">
        <v>0</v>
      </c>
      <c r="AJ69" s="543" t="n">
        <v>0</v>
      </c>
      <c r="AK69" s="543" t="n">
        <v>0</v>
      </c>
      <c r="AL69" s="543" t="n">
        <v>0</v>
      </c>
      <c r="AM69" s="543" t="n">
        <v>0</v>
      </c>
      <c r="AN69" s="543" t="n">
        <v>0</v>
      </c>
      <c r="AO69" s="543" t="n">
        <v>0</v>
      </c>
      <c r="AP69" s="543" t="n">
        <v>0</v>
      </c>
      <c r="AQ69" s="543" t="n">
        <v>0</v>
      </c>
      <c r="AR69" s="543" t="n">
        <v>0</v>
      </c>
      <c r="AS69" s="543" t="n">
        <v>0</v>
      </c>
      <c r="AT69" s="543" t="n">
        <v>0</v>
      </c>
      <c r="AU69" s="543" t="n">
        <v>0</v>
      </c>
      <c r="AV69" s="543" t="n">
        <v>0</v>
      </c>
      <c r="AW69" s="543" t="n">
        <v>0</v>
      </c>
      <c r="AX69" s="543" t="n">
        <v>0</v>
      </c>
      <c r="AY69" s="543" t="n">
        <v>0</v>
      </c>
      <c r="AZ69" s="543" t="n">
        <v>0</v>
      </c>
      <c r="BA69" s="543" t="n">
        <v>0</v>
      </c>
      <c r="BB69" s="543" t="n">
        <v>0</v>
      </c>
      <c r="BC69" s="543" t="n">
        <v>0</v>
      </c>
      <c r="BD69" s="543" t="n">
        <v>0</v>
      </c>
      <c r="BE69" s="543" t="n">
        <v>0</v>
      </c>
      <c r="BF69" s="543" t="n">
        <v>0</v>
      </c>
      <c r="BG69" s="543" t="n">
        <v>0</v>
      </c>
      <c r="BH69" s="543" t="n">
        <v>0</v>
      </c>
      <c r="BI69" s="543" t="n">
        <v>0</v>
      </c>
      <c r="BJ69" s="543" t="n">
        <v>0</v>
      </c>
      <c r="BK69" s="543" t="n">
        <v>0</v>
      </c>
      <c r="BL69" s="543" t="n">
        <v>0</v>
      </c>
      <c r="BM69" s="543" t="n">
        <v>0</v>
      </c>
      <c r="BN69" s="543" t="n">
        <v>0</v>
      </c>
      <c r="BO69" s="543" t="n">
        <v>0</v>
      </c>
      <c r="BP69" s="543" t="n">
        <v>0</v>
      </c>
      <c r="BQ69" s="543" t="n">
        <v>0</v>
      </c>
      <c r="BR69" s="543" t="n">
        <v>0</v>
      </c>
      <c r="BS69" s="543" t="n">
        <v>0</v>
      </c>
      <c r="BT69" s="543" t="n">
        <v>0</v>
      </c>
      <c r="BU69" s="543" t="n">
        <v>0</v>
      </c>
      <c r="BV69" s="543" t="n">
        <v>0</v>
      </c>
      <c r="BW69" s="543" t="n">
        <v>0</v>
      </c>
      <c r="BX69" s="543" t="n">
        <v>0</v>
      </c>
      <c r="BY69" s="543" t="n">
        <v>0</v>
      </c>
      <c r="BZ69" s="543" t="n">
        <v>0</v>
      </c>
      <c r="CA69" s="543" t="n">
        <v>0</v>
      </c>
      <c r="CB69" s="543" t="n">
        <v>0</v>
      </c>
      <c r="CC69" s="543" t="n">
        <v>0</v>
      </c>
      <c r="CD69" s="543" t="n">
        <v>0</v>
      </c>
      <c r="CE69" s="543" t="n">
        <v>0</v>
      </c>
      <c r="CF69" s="543" t="n">
        <v>0</v>
      </c>
      <c r="CG69" s="543" t="n">
        <v>0</v>
      </c>
      <c r="CH69" s="543" t="n">
        <v>0</v>
      </c>
      <c r="CI69" s="543" t="n">
        <v>0</v>
      </c>
      <c r="CJ69" s="543" t="n">
        <v>0</v>
      </c>
      <c r="CK69" s="543" t="n">
        <v>0</v>
      </c>
      <c r="CL69" s="543" t="n">
        <v>0</v>
      </c>
      <c r="CM69" s="543" t="n">
        <v>0</v>
      </c>
      <c r="CN69" s="543" t="n">
        <v>0</v>
      </c>
      <c r="CO69" s="543" t="n">
        <v>0</v>
      </c>
      <c r="CP69" s="543" t="n">
        <v>0</v>
      </c>
      <c r="CQ69" s="543" t="n">
        <v>0</v>
      </c>
      <c r="CR69" s="543" t="n">
        <v>0</v>
      </c>
      <c r="CS69" s="543" t="n">
        <v>0</v>
      </c>
      <c r="CT69" s="543" t="n">
        <v>0</v>
      </c>
      <c r="CU69" s="543" t="n">
        <v>0</v>
      </c>
      <c r="CV69" s="543" t="n">
        <v>0</v>
      </c>
      <c r="CW69" s="543" t="n">
        <v>0</v>
      </c>
      <c r="CX69" s="543" t="n">
        <v>0</v>
      </c>
      <c r="CY69" s="543" t="n">
        <v>0</v>
      </c>
      <c r="CZ69" s="543" t="n">
        <v>0</v>
      </c>
      <c r="DA69" s="543" t="n">
        <v>0</v>
      </c>
      <c r="DB69" s="543" t="n">
        <v>0</v>
      </c>
      <c r="DC69" s="543" t="n">
        <v>0</v>
      </c>
      <c r="DD69" s="543" t="n">
        <v>0</v>
      </c>
      <c r="DE69" s="543" t="n">
        <v>0</v>
      </c>
      <c r="DF69" s="543" t="n">
        <v>0</v>
      </c>
    </row>
    <row r="70" ht="15" customFormat="1" customHeight="1" s="381">
      <c r="A70" s="472" t="inlineStr">
        <is>
          <t>12th &amp; Fir Developer Fee</t>
        </is>
      </c>
      <c r="C70" s="486" t="n">
        <v>0</v>
      </c>
      <c r="D70" s="486" t="n">
        <v>0</v>
      </c>
      <c r="E70" s="486" t="n">
        <v>0</v>
      </c>
      <c r="F70" s="543" t="n">
        <v>9500</v>
      </c>
      <c r="G70" s="543" t="n">
        <v>9500</v>
      </c>
      <c r="H70" s="543" t="n">
        <v>9500</v>
      </c>
      <c r="I70" s="543" t="n">
        <v>9500</v>
      </c>
      <c r="J70" s="543" t="n">
        <v>9500</v>
      </c>
      <c r="K70" s="543" t="n">
        <v>9500</v>
      </c>
      <c r="L70" s="543" t="n">
        <v>9500</v>
      </c>
      <c r="M70" s="543" t="n">
        <v>9500</v>
      </c>
      <c r="N70" s="543" t="n">
        <v>9500</v>
      </c>
      <c r="O70" s="543" t="n">
        <v>9500</v>
      </c>
      <c r="P70" s="543" t="n">
        <v>9500</v>
      </c>
      <c r="Q70" s="543" t="n">
        <v>9500</v>
      </c>
      <c r="R70" s="543" t="n">
        <v>9500</v>
      </c>
      <c r="S70" s="543" t="n">
        <v>9500</v>
      </c>
      <c r="T70" s="543" t="n">
        <v>9500</v>
      </c>
      <c r="U70" s="543" t="n">
        <v>9500</v>
      </c>
      <c r="V70" s="543" t="n">
        <v>9500</v>
      </c>
      <c r="W70" s="543" t="n">
        <v>9500</v>
      </c>
      <c r="X70" s="543" t="n">
        <v>9500</v>
      </c>
      <c r="Y70" s="543" t="n">
        <v>9500</v>
      </c>
      <c r="Z70" s="543" t="n">
        <v>9500</v>
      </c>
      <c r="AA70" s="543" t="n">
        <v>9500</v>
      </c>
      <c r="AB70" s="543" t="n">
        <v>9500</v>
      </c>
      <c r="AC70" s="543" t="n">
        <v>9500</v>
      </c>
      <c r="AD70" s="543" t="n">
        <v>9500</v>
      </c>
      <c r="AE70" s="543" t="n">
        <v>9500</v>
      </c>
      <c r="AF70" s="543" t="n">
        <v>9500</v>
      </c>
      <c r="AG70" s="543" t="n">
        <v>9500</v>
      </c>
      <c r="AH70" s="543" t="n">
        <v>9500</v>
      </c>
      <c r="AI70" s="543" t="n">
        <v>9500</v>
      </c>
      <c r="AJ70" s="543" t="n">
        <v>0</v>
      </c>
      <c r="AK70" s="543" t="n">
        <v>0</v>
      </c>
      <c r="AL70" s="543" t="n">
        <v>0</v>
      </c>
      <c r="AM70" s="543" t="n">
        <v>0</v>
      </c>
      <c r="AN70" s="543" t="n">
        <v>0</v>
      </c>
      <c r="AO70" s="543" t="n">
        <v>0</v>
      </c>
      <c r="AP70" s="543" t="n">
        <v>0</v>
      </c>
      <c r="AQ70" s="543" t="n">
        <v>0</v>
      </c>
      <c r="AR70" s="543" t="n">
        <v>0</v>
      </c>
      <c r="AS70" s="543" t="n">
        <v>0</v>
      </c>
      <c r="AT70" s="543" t="n">
        <v>0</v>
      </c>
      <c r="AU70" s="543" t="n">
        <v>0</v>
      </c>
      <c r="AV70" s="543" t="n">
        <v>0</v>
      </c>
      <c r="AW70" s="543" t="n">
        <v>0</v>
      </c>
      <c r="AX70" s="543" t="n">
        <v>0</v>
      </c>
      <c r="AY70" s="543" t="n">
        <v>0</v>
      </c>
      <c r="AZ70" s="543" t="n">
        <v>0</v>
      </c>
      <c r="BA70" s="543" t="n">
        <v>0</v>
      </c>
      <c r="BB70" s="543" t="n">
        <v>0</v>
      </c>
      <c r="BC70" s="543" t="n">
        <v>0</v>
      </c>
      <c r="BD70" s="543" t="n">
        <v>0</v>
      </c>
      <c r="BE70" s="543" t="n">
        <v>0</v>
      </c>
      <c r="BF70" s="543" t="n">
        <v>0</v>
      </c>
      <c r="BG70" s="543" t="n">
        <v>0</v>
      </c>
      <c r="BH70" s="543" t="n">
        <v>0</v>
      </c>
      <c r="BI70" s="543" t="n">
        <v>0</v>
      </c>
      <c r="BJ70" s="543" t="n">
        <v>0</v>
      </c>
      <c r="BK70" s="543" t="n">
        <v>0</v>
      </c>
      <c r="BL70" s="543" t="n">
        <v>0</v>
      </c>
      <c r="BM70" s="543" t="n">
        <v>0</v>
      </c>
      <c r="BN70" s="543" t="n">
        <v>0</v>
      </c>
      <c r="BO70" s="543" t="n">
        <v>0</v>
      </c>
      <c r="BP70" s="543" t="n">
        <v>0</v>
      </c>
      <c r="BQ70" s="543" t="n">
        <v>0</v>
      </c>
      <c r="BR70" s="543" t="n">
        <v>0</v>
      </c>
      <c r="BS70" s="543" t="n">
        <v>0</v>
      </c>
      <c r="BT70" s="543" t="n">
        <v>0</v>
      </c>
      <c r="BU70" s="543" t="n">
        <v>0</v>
      </c>
      <c r="BV70" s="543" t="n">
        <v>0</v>
      </c>
      <c r="BW70" s="543" t="n">
        <v>0</v>
      </c>
      <c r="BX70" s="543" t="n">
        <v>0</v>
      </c>
      <c r="BY70" s="543" t="n">
        <v>0</v>
      </c>
      <c r="BZ70" s="543" t="n">
        <v>0</v>
      </c>
      <c r="CA70" s="543" t="n">
        <v>0</v>
      </c>
      <c r="CB70" s="543" t="n">
        <v>0</v>
      </c>
      <c r="CC70" s="543" t="n">
        <v>0</v>
      </c>
      <c r="CD70" s="543" t="n">
        <v>0</v>
      </c>
      <c r="CE70" s="543" t="n">
        <v>0</v>
      </c>
      <c r="CF70" s="543" t="n">
        <v>0</v>
      </c>
      <c r="CG70" s="543" t="n">
        <v>0</v>
      </c>
      <c r="CH70" s="543" t="n">
        <v>0</v>
      </c>
      <c r="CI70" s="543" t="n">
        <v>0</v>
      </c>
      <c r="CJ70" s="543" t="n">
        <v>0</v>
      </c>
      <c r="CK70" s="543" t="n">
        <v>0</v>
      </c>
      <c r="CL70" s="543" t="n">
        <v>0</v>
      </c>
      <c r="CM70" s="543" t="n">
        <v>0</v>
      </c>
      <c r="CN70" s="543" t="n">
        <v>0</v>
      </c>
      <c r="CO70" s="543" t="n">
        <v>0</v>
      </c>
      <c r="CP70" s="543" t="n">
        <v>0</v>
      </c>
      <c r="CQ70" s="543" t="n">
        <v>0</v>
      </c>
      <c r="CR70" s="543" t="n">
        <v>0</v>
      </c>
      <c r="CS70" s="543" t="n">
        <v>0</v>
      </c>
      <c r="CT70" s="543" t="n">
        <v>0</v>
      </c>
      <c r="CU70" s="543" t="n">
        <v>0</v>
      </c>
      <c r="CV70" s="543" t="n">
        <v>0</v>
      </c>
      <c r="CW70" s="543" t="n">
        <v>0</v>
      </c>
      <c r="CX70" s="543" t="n">
        <v>0</v>
      </c>
      <c r="CY70" s="543" t="n">
        <v>0</v>
      </c>
      <c r="CZ70" s="543" t="n">
        <v>0</v>
      </c>
      <c r="DA70" s="543" t="n">
        <v>0</v>
      </c>
      <c r="DB70" s="543" t="n">
        <v>0</v>
      </c>
      <c r="DC70" s="543" t="n">
        <v>0</v>
      </c>
      <c r="DD70" s="543" t="n">
        <v>0</v>
      </c>
      <c r="DE70" s="543" t="n">
        <v>0</v>
      </c>
      <c r="DF70" s="543" t="n">
        <v>0</v>
      </c>
    </row>
    <row r="71" ht="15" customFormat="1" customHeight="1" s="381">
      <c r="A71" s="472" t="inlineStr">
        <is>
          <t>Klump Accounting Fee</t>
        </is>
      </c>
      <c r="C71" s="486" t="n">
        <v>0</v>
      </c>
      <c r="D71" s="486" t="n">
        <v>0</v>
      </c>
      <c r="E71" s="486" t="n">
        <v>0</v>
      </c>
      <c r="F71" s="543" t="n">
        <v>0</v>
      </c>
      <c r="G71" s="543" t="n">
        <v>0</v>
      </c>
      <c r="H71" s="543" t="n">
        <v>0</v>
      </c>
      <c r="I71" s="543" t="n">
        <v>0</v>
      </c>
      <c r="J71" s="543" t="n">
        <v>0</v>
      </c>
      <c r="K71" s="543" t="n">
        <v>0</v>
      </c>
      <c r="L71" s="543" t="n">
        <v>0</v>
      </c>
      <c r="M71" s="543" t="n">
        <v>0</v>
      </c>
      <c r="N71" s="543" t="n">
        <v>0</v>
      </c>
      <c r="O71" s="543" t="n">
        <v>0</v>
      </c>
      <c r="P71" s="543" t="n">
        <v>0</v>
      </c>
      <c r="Q71" s="543" t="n">
        <v>0</v>
      </c>
      <c r="R71" s="543" t="n">
        <v>0</v>
      </c>
      <c r="S71" s="543" t="n">
        <v>0</v>
      </c>
      <c r="T71" s="543" t="n">
        <v>0</v>
      </c>
      <c r="U71" s="543" t="n">
        <v>0</v>
      </c>
      <c r="V71" s="543" t="n">
        <v>0</v>
      </c>
      <c r="W71" s="543" t="n">
        <v>0</v>
      </c>
      <c r="X71" s="543" t="n">
        <v>0</v>
      </c>
      <c r="Y71" s="543" t="n">
        <v>0</v>
      </c>
      <c r="Z71" s="543" t="n">
        <v>0</v>
      </c>
      <c r="AA71" s="543" t="n">
        <v>0</v>
      </c>
      <c r="AB71" s="543" t="n">
        <v>0</v>
      </c>
      <c r="AC71" s="543" t="n">
        <v>0</v>
      </c>
      <c r="AD71" s="543" t="n">
        <v>0</v>
      </c>
      <c r="AE71" s="543" t="n">
        <v>0</v>
      </c>
      <c r="AF71" s="543" t="n">
        <v>0</v>
      </c>
      <c r="AG71" s="543" t="n">
        <v>0</v>
      </c>
      <c r="AH71" s="543" t="n">
        <v>0</v>
      </c>
      <c r="AI71" s="543" t="n">
        <v>0</v>
      </c>
      <c r="AJ71" s="543" t="n">
        <v>0</v>
      </c>
      <c r="AK71" s="543" t="n">
        <v>0</v>
      </c>
      <c r="AL71" s="543" t="n">
        <v>0</v>
      </c>
      <c r="AM71" s="543" t="n">
        <v>0</v>
      </c>
      <c r="AN71" s="543" t="n">
        <v>0</v>
      </c>
      <c r="AO71" s="543" t="n">
        <v>0</v>
      </c>
      <c r="AP71" s="543" t="n">
        <v>0</v>
      </c>
      <c r="AQ71" s="543" t="n">
        <v>0</v>
      </c>
      <c r="AR71" s="543" t="n">
        <v>0</v>
      </c>
      <c r="AS71" s="543" t="n">
        <v>0</v>
      </c>
      <c r="AT71" s="543" t="n">
        <v>0</v>
      </c>
      <c r="AU71" s="543" t="n">
        <v>0</v>
      </c>
      <c r="AV71" s="543" t="n">
        <v>0</v>
      </c>
      <c r="AW71" s="543" t="n">
        <v>0</v>
      </c>
      <c r="AX71" s="543" t="n">
        <v>0</v>
      </c>
      <c r="AY71" s="543" t="n">
        <v>0</v>
      </c>
      <c r="AZ71" s="543" t="n">
        <v>0</v>
      </c>
      <c r="BA71" s="543" t="n">
        <v>0</v>
      </c>
      <c r="BB71" s="543" t="n">
        <v>0</v>
      </c>
      <c r="BC71" s="543" t="n">
        <v>0</v>
      </c>
      <c r="BD71" s="543" t="n">
        <v>0</v>
      </c>
      <c r="BE71" s="543" t="n">
        <v>0</v>
      </c>
      <c r="BF71" s="543" t="n">
        <v>0</v>
      </c>
      <c r="BG71" s="543" t="n">
        <v>0</v>
      </c>
      <c r="BH71" s="543" t="n">
        <v>0</v>
      </c>
      <c r="BI71" s="543" t="n">
        <v>0</v>
      </c>
      <c r="BJ71" s="543" t="n">
        <v>0</v>
      </c>
      <c r="BK71" s="543" t="n">
        <v>0</v>
      </c>
      <c r="BL71" s="543" t="n">
        <v>0</v>
      </c>
      <c r="BM71" s="543" t="n">
        <v>0</v>
      </c>
      <c r="BN71" s="543" t="n">
        <v>0</v>
      </c>
      <c r="BO71" s="543" t="n">
        <v>0</v>
      </c>
      <c r="BP71" s="543" t="n">
        <v>0</v>
      </c>
      <c r="BQ71" s="543" t="n">
        <v>0</v>
      </c>
      <c r="BR71" s="543" t="n">
        <v>0</v>
      </c>
      <c r="BS71" s="543" t="n">
        <v>0</v>
      </c>
      <c r="BT71" s="543" t="n">
        <v>0</v>
      </c>
      <c r="BU71" s="543" t="n">
        <v>0</v>
      </c>
      <c r="BV71" s="543" t="n">
        <v>0</v>
      </c>
      <c r="BW71" s="543" t="n">
        <v>0</v>
      </c>
      <c r="BX71" s="543" t="n">
        <v>0</v>
      </c>
      <c r="BY71" s="543" t="n">
        <v>0</v>
      </c>
      <c r="BZ71" s="543" t="n">
        <v>0</v>
      </c>
      <c r="CA71" s="543" t="n">
        <v>0</v>
      </c>
      <c r="CB71" s="543" t="n">
        <v>0</v>
      </c>
      <c r="CC71" s="543" t="n">
        <v>0</v>
      </c>
      <c r="CD71" s="543" t="n">
        <v>0</v>
      </c>
      <c r="CE71" s="543" t="n">
        <v>0</v>
      </c>
      <c r="CF71" s="543" t="n">
        <v>0</v>
      </c>
      <c r="CG71" s="543" t="n">
        <v>0</v>
      </c>
      <c r="CH71" s="543" t="n">
        <v>0</v>
      </c>
      <c r="CI71" s="543" t="n">
        <v>0</v>
      </c>
      <c r="CJ71" s="543" t="n">
        <v>0</v>
      </c>
      <c r="CK71" s="543" t="n">
        <v>0</v>
      </c>
      <c r="CL71" s="543" t="n">
        <v>0</v>
      </c>
      <c r="CM71" s="543" t="n">
        <v>0</v>
      </c>
      <c r="CN71" s="543" t="n">
        <v>0</v>
      </c>
      <c r="CO71" s="543" t="n">
        <v>0</v>
      </c>
      <c r="CP71" s="543" t="n">
        <v>0</v>
      </c>
      <c r="CQ71" s="543" t="n">
        <v>0</v>
      </c>
      <c r="CR71" s="543" t="n">
        <v>0</v>
      </c>
      <c r="CS71" s="543" t="n">
        <v>0</v>
      </c>
      <c r="CT71" s="543" t="n">
        <v>0</v>
      </c>
      <c r="CU71" s="543" t="n">
        <v>0</v>
      </c>
      <c r="CV71" s="543" t="n">
        <v>0</v>
      </c>
      <c r="CW71" s="543" t="n">
        <v>0</v>
      </c>
      <c r="CX71" s="543" t="n">
        <v>0</v>
      </c>
      <c r="CY71" s="543" t="n">
        <v>0</v>
      </c>
      <c r="CZ71" s="543" t="n">
        <v>0</v>
      </c>
      <c r="DA71" s="543" t="n">
        <v>0</v>
      </c>
      <c r="DB71" s="543" t="n">
        <v>0</v>
      </c>
      <c r="DC71" s="543" t="n">
        <v>0</v>
      </c>
      <c r="DD71" s="543" t="n">
        <v>0</v>
      </c>
      <c r="DE71" s="543" t="n">
        <v>0</v>
      </c>
      <c r="DF71" s="543" t="n">
        <v>0</v>
      </c>
    </row>
    <row r="72" ht="15" customFormat="1" customHeight="1" s="381">
      <c r="A72" s="472" t="inlineStr">
        <is>
          <t>Klump Developer Fee</t>
        </is>
      </c>
      <c r="C72" s="486" t="n">
        <v>0</v>
      </c>
      <c r="D72" s="486" t="n">
        <v>0</v>
      </c>
      <c r="E72" s="486" t="n">
        <v>0</v>
      </c>
      <c r="F72" s="543" t="n">
        <v>0</v>
      </c>
      <c r="G72" s="543" t="n">
        <v>0</v>
      </c>
      <c r="H72" s="543" t="n">
        <v>0</v>
      </c>
      <c r="I72" s="543" t="n">
        <v>0</v>
      </c>
      <c r="J72" s="543" t="n">
        <v>0</v>
      </c>
      <c r="K72" s="543" t="n">
        <v>0</v>
      </c>
      <c r="L72" s="543" t="n">
        <v>0</v>
      </c>
      <c r="M72" s="543" t="n">
        <v>0</v>
      </c>
      <c r="N72" s="543" t="n">
        <v>0</v>
      </c>
      <c r="O72" s="543" t="n">
        <v>0</v>
      </c>
      <c r="P72" s="543" t="n">
        <v>0</v>
      </c>
      <c r="Q72" s="543" t="n">
        <v>0</v>
      </c>
      <c r="R72" s="543" t="n">
        <v>0</v>
      </c>
      <c r="S72" s="543" t="n">
        <v>0</v>
      </c>
      <c r="T72" s="543" t="n">
        <v>0</v>
      </c>
      <c r="U72" s="543" t="n">
        <v>0</v>
      </c>
      <c r="V72" s="543" t="n">
        <v>0</v>
      </c>
      <c r="W72" s="543" t="n">
        <v>0</v>
      </c>
      <c r="X72" s="543" t="n">
        <v>0</v>
      </c>
      <c r="Y72" s="543" t="n">
        <v>0</v>
      </c>
      <c r="Z72" s="543" t="n">
        <v>0</v>
      </c>
      <c r="AA72" s="543" t="n">
        <v>0</v>
      </c>
      <c r="AB72" s="543" t="n">
        <v>0</v>
      </c>
      <c r="AC72" s="543" t="n">
        <v>0</v>
      </c>
      <c r="AD72" s="543" t="n">
        <v>0</v>
      </c>
      <c r="AE72" s="543" t="n">
        <v>0</v>
      </c>
      <c r="AF72" s="543" t="n">
        <v>0</v>
      </c>
      <c r="AG72" s="543" t="n">
        <v>0</v>
      </c>
      <c r="AH72" s="543" t="n">
        <v>0</v>
      </c>
      <c r="AI72" s="543" t="n">
        <v>0</v>
      </c>
      <c r="AJ72" s="543" t="n">
        <v>0</v>
      </c>
      <c r="AK72" s="543" t="n">
        <v>0</v>
      </c>
      <c r="AL72" s="543" t="n">
        <v>0</v>
      </c>
      <c r="AM72" s="543" t="n">
        <v>0</v>
      </c>
      <c r="AN72" s="543" t="n">
        <v>0</v>
      </c>
      <c r="AO72" s="543" t="n">
        <v>0</v>
      </c>
      <c r="AP72" s="543" t="n">
        <v>0</v>
      </c>
      <c r="AQ72" s="543" t="n">
        <v>0</v>
      </c>
      <c r="AR72" s="543" t="n">
        <v>0</v>
      </c>
      <c r="AS72" s="543" t="n">
        <v>0</v>
      </c>
      <c r="AT72" s="543" t="n">
        <v>0</v>
      </c>
      <c r="AU72" s="543" t="n">
        <v>0</v>
      </c>
      <c r="AV72" s="543" t="n">
        <v>0</v>
      </c>
      <c r="AW72" s="543" t="n">
        <v>0</v>
      </c>
      <c r="AX72" s="543" t="n">
        <v>0</v>
      </c>
      <c r="AY72" s="543" t="n">
        <v>0</v>
      </c>
      <c r="AZ72" s="543" t="n">
        <v>0</v>
      </c>
      <c r="BA72" s="543" t="n">
        <v>0</v>
      </c>
      <c r="BB72" s="543" t="n">
        <v>0</v>
      </c>
      <c r="BC72" s="543" t="n">
        <v>0</v>
      </c>
      <c r="BD72" s="543" t="n">
        <v>0</v>
      </c>
      <c r="BE72" s="543" t="n">
        <v>0</v>
      </c>
      <c r="BF72" s="543" t="n">
        <v>0</v>
      </c>
      <c r="BG72" s="543" t="n">
        <v>0</v>
      </c>
      <c r="BH72" s="543" t="n">
        <v>0</v>
      </c>
      <c r="BI72" s="543" t="n">
        <v>0</v>
      </c>
      <c r="BJ72" s="543" t="n">
        <v>0</v>
      </c>
      <c r="BK72" s="543" t="n">
        <v>0</v>
      </c>
      <c r="BL72" s="543" t="n">
        <v>0</v>
      </c>
      <c r="BM72" s="543" t="n">
        <v>0</v>
      </c>
      <c r="BN72" s="543" t="n">
        <v>0</v>
      </c>
      <c r="BO72" s="543" t="n">
        <v>0</v>
      </c>
      <c r="BP72" s="543" t="n">
        <v>0</v>
      </c>
      <c r="BQ72" s="543" t="n">
        <v>0</v>
      </c>
      <c r="BR72" s="543" t="n">
        <v>0</v>
      </c>
      <c r="BS72" s="543" t="n">
        <v>0</v>
      </c>
      <c r="BT72" s="543" t="n">
        <v>0</v>
      </c>
      <c r="BU72" s="543" t="n">
        <v>0</v>
      </c>
      <c r="BV72" s="543" t="n">
        <v>0</v>
      </c>
      <c r="BW72" s="543" t="n">
        <v>0</v>
      </c>
      <c r="BX72" s="543" t="n">
        <v>0</v>
      </c>
      <c r="BY72" s="543" t="n">
        <v>0</v>
      </c>
      <c r="BZ72" s="543" t="n">
        <v>0</v>
      </c>
      <c r="CA72" s="543" t="n">
        <v>0</v>
      </c>
      <c r="CB72" s="543" t="n">
        <v>0</v>
      </c>
      <c r="CC72" s="543" t="n">
        <v>0</v>
      </c>
      <c r="CD72" s="543" t="n">
        <v>0</v>
      </c>
      <c r="CE72" s="543" t="n">
        <v>0</v>
      </c>
      <c r="CF72" s="543" t="n">
        <v>0</v>
      </c>
      <c r="CG72" s="543" t="n">
        <v>0</v>
      </c>
      <c r="CH72" s="543" t="n">
        <v>0</v>
      </c>
      <c r="CI72" s="543" t="n">
        <v>0</v>
      </c>
      <c r="CJ72" s="543" t="n">
        <v>0</v>
      </c>
      <c r="CK72" s="543" t="n">
        <v>0</v>
      </c>
      <c r="CL72" s="543" t="n">
        <v>0</v>
      </c>
      <c r="CM72" s="543" t="n">
        <v>0</v>
      </c>
      <c r="CN72" s="543" t="n">
        <v>0</v>
      </c>
      <c r="CO72" s="543" t="n">
        <v>0</v>
      </c>
      <c r="CP72" s="543" t="n">
        <v>0</v>
      </c>
      <c r="CQ72" s="543" t="n">
        <v>0</v>
      </c>
      <c r="CR72" s="543" t="n">
        <v>0</v>
      </c>
      <c r="CS72" s="543" t="n">
        <v>0</v>
      </c>
      <c r="CT72" s="543" t="n">
        <v>0</v>
      </c>
      <c r="CU72" s="543" t="n">
        <v>0</v>
      </c>
      <c r="CV72" s="543" t="n">
        <v>0</v>
      </c>
      <c r="CW72" s="543" t="n">
        <v>0</v>
      </c>
      <c r="CX72" s="543" t="n">
        <v>0</v>
      </c>
      <c r="CY72" s="543" t="n">
        <v>0</v>
      </c>
      <c r="CZ72" s="543" t="n">
        <v>0</v>
      </c>
      <c r="DA72" s="543" t="n">
        <v>0</v>
      </c>
      <c r="DB72" s="543" t="n">
        <v>0</v>
      </c>
      <c r="DC72" s="543" t="n">
        <v>0</v>
      </c>
      <c r="DD72" s="543" t="n">
        <v>0</v>
      </c>
      <c r="DE72" s="543" t="n">
        <v>0</v>
      </c>
      <c r="DF72" s="543" t="n">
        <v>0</v>
      </c>
    </row>
    <row r="73" ht="15" customFormat="1" customHeight="1" s="381">
      <c r="A73" s="472" t="inlineStr">
        <is>
          <t>Klump Guarantee Fee</t>
        </is>
      </c>
      <c r="C73" s="486" t="n">
        <v>0</v>
      </c>
      <c r="D73" s="486" t="n">
        <v>0</v>
      </c>
      <c r="E73" s="486" t="n">
        <v>0</v>
      </c>
      <c r="F73" s="543" t="n">
        <v>0</v>
      </c>
      <c r="G73" s="543" t="n">
        <v>0</v>
      </c>
      <c r="H73" s="543" t="n">
        <v>0</v>
      </c>
      <c r="I73" s="543" t="n">
        <v>0</v>
      </c>
      <c r="J73" s="543" t="n">
        <v>0</v>
      </c>
      <c r="K73" s="543" t="n">
        <v>0</v>
      </c>
      <c r="L73" s="543" t="n">
        <v>0</v>
      </c>
      <c r="M73" s="543" t="n">
        <v>0</v>
      </c>
      <c r="N73" s="543" t="n">
        <v>0</v>
      </c>
      <c r="O73" s="543" t="n">
        <v>0</v>
      </c>
      <c r="P73" s="543" t="n">
        <v>0</v>
      </c>
      <c r="Q73" s="543" t="n">
        <v>0</v>
      </c>
      <c r="R73" s="543" t="n">
        <v>0</v>
      </c>
      <c r="S73" s="543" t="n">
        <v>0</v>
      </c>
      <c r="T73" s="543" t="n">
        <v>0</v>
      </c>
      <c r="U73" s="543" t="n">
        <v>0</v>
      </c>
      <c r="V73" s="543" t="n">
        <v>0</v>
      </c>
      <c r="W73" s="543" t="n">
        <v>0</v>
      </c>
      <c r="X73" s="543" t="n">
        <v>0</v>
      </c>
      <c r="Y73" s="543" t="n">
        <v>0</v>
      </c>
      <c r="Z73" s="543" t="n">
        <v>0</v>
      </c>
      <c r="AA73" s="543" t="n">
        <v>0</v>
      </c>
      <c r="AB73" s="543" t="n">
        <v>0</v>
      </c>
      <c r="AC73" s="543" t="n">
        <v>0</v>
      </c>
      <c r="AD73" s="543" t="n">
        <v>0</v>
      </c>
      <c r="AE73" s="543" t="n">
        <v>0</v>
      </c>
      <c r="AF73" s="543" t="n">
        <v>0</v>
      </c>
      <c r="AG73" s="543" t="n">
        <v>0</v>
      </c>
      <c r="AH73" s="543" t="n">
        <v>0</v>
      </c>
      <c r="AI73" s="543" t="n">
        <v>0</v>
      </c>
      <c r="AJ73" s="543" t="n">
        <v>0</v>
      </c>
      <c r="AK73" s="543" t="n">
        <v>0</v>
      </c>
      <c r="AL73" s="543" t="n">
        <v>0</v>
      </c>
      <c r="AM73" s="543" t="n">
        <v>0</v>
      </c>
      <c r="AN73" s="543" t="n">
        <v>0</v>
      </c>
      <c r="AO73" s="543" t="n">
        <v>0</v>
      </c>
      <c r="AP73" s="543" t="n">
        <v>0</v>
      </c>
      <c r="AQ73" s="543" t="n">
        <v>0</v>
      </c>
      <c r="AR73" s="543" t="n">
        <v>0</v>
      </c>
      <c r="AS73" s="543" t="n">
        <v>0</v>
      </c>
      <c r="AT73" s="543" t="n">
        <v>0</v>
      </c>
      <c r="AU73" s="543" t="n">
        <v>0</v>
      </c>
      <c r="AV73" s="543" t="n">
        <v>0</v>
      </c>
      <c r="AW73" s="543" t="n">
        <v>0</v>
      </c>
      <c r="AX73" s="543" t="n">
        <v>0</v>
      </c>
      <c r="AY73" s="543" t="n">
        <v>0</v>
      </c>
      <c r="AZ73" s="543" t="n">
        <v>0</v>
      </c>
      <c r="BA73" s="543" t="n">
        <v>0</v>
      </c>
      <c r="BB73" s="543" t="n">
        <v>0</v>
      </c>
      <c r="BC73" s="543" t="n">
        <v>0</v>
      </c>
      <c r="BD73" s="543" t="n">
        <v>0</v>
      </c>
      <c r="BE73" s="543" t="n">
        <v>0</v>
      </c>
      <c r="BF73" s="543" t="n">
        <v>0</v>
      </c>
      <c r="BG73" s="543" t="n">
        <v>0</v>
      </c>
      <c r="BH73" s="543" t="n">
        <v>0</v>
      </c>
      <c r="BI73" s="543" t="n">
        <v>0</v>
      </c>
      <c r="BJ73" s="543" t="n">
        <v>0</v>
      </c>
      <c r="BK73" s="543" t="n">
        <v>0</v>
      </c>
      <c r="BL73" s="543" t="n">
        <v>0</v>
      </c>
      <c r="BM73" s="543" t="n">
        <v>0</v>
      </c>
      <c r="BN73" s="543" t="n">
        <v>0</v>
      </c>
      <c r="BO73" s="543" t="n">
        <v>0</v>
      </c>
      <c r="BP73" s="543" t="n">
        <v>0</v>
      </c>
      <c r="BQ73" s="543" t="n">
        <v>0</v>
      </c>
      <c r="BR73" s="543" t="n">
        <v>0</v>
      </c>
      <c r="BS73" s="543" t="n">
        <v>0</v>
      </c>
      <c r="BT73" s="543" t="n">
        <v>0</v>
      </c>
      <c r="BU73" s="543" t="n">
        <v>0</v>
      </c>
      <c r="BV73" s="543" t="n">
        <v>0</v>
      </c>
      <c r="BW73" s="543" t="n">
        <v>0</v>
      </c>
      <c r="BX73" s="543" t="n">
        <v>0</v>
      </c>
      <c r="BY73" s="543" t="n">
        <v>0</v>
      </c>
      <c r="BZ73" s="543" t="n">
        <v>0</v>
      </c>
      <c r="CA73" s="543" t="n">
        <v>0</v>
      </c>
      <c r="CB73" s="543" t="n">
        <v>0</v>
      </c>
      <c r="CC73" s="543" t="n">
        <v>0</v>
      </c>
      <c r="CD73" s="543" t="n">
        <v>0</v>
      </c>
      <c r="CE73" s="543" t="n">
        <v>0</v>
      </c>
      <c r="CF73" s="543" t="n">
        <v>0</v>
      </c>
      <c r="CG73" s="543" t="n">
        <v>0</v>
      </c>
      <c r="CH73" s="543" t="n">
        <v>0</v>
      </c>
      <c r="CI73" s="543" t="n">
        <v>0</v>
      </c>
      <c r="CJ73" s="543" t="n">
        <v>0</v>
      </c>
      <c r="CK73" s="543" t="n">
        <v>0</v>
      </c>
      <c r="CL73" s="543" t="n">
        <v>0</v>
      </c>
      <c r="CM73" s="543" t="n">
        <v>0</v>
      </c>
      <c r="CN73" s="543" t="n">
        <v>0</v>
      </c>
      <c r="CO73" s="543" t="n">
        <v>0</v>
      </c>
      <c r="CP73" s="543" t="n">
        <v>0</v>
      </c>
      <c r="CQ73" s="543" t="n">
        <v>0</v>
      </c>
      <c r="CR73" s="543" t="n">
        <v>0</v>
      </c>
      <c r="CS73" s="543" t="n">
        <v>0</v>
      </c>
      <c r="CT73" s="543" t="n">
        <v>0</v>
      </c>
      <c r="CU73" s="543" t="n">
        <v>0</v>
      </c>
      <c r="CV73" s="543" t="n">
        <v>0</v>
      </c>
      <c r="CW73" s="543" t="n">
        <v>0</v>
      </c>
      <c r="CX73" s="543" t="n">
        <v>0</v>
      </c>
      <c r="CY73" s="543" t="n">
        <v>0</v>
      </c>
      <c r="CZ73" s="543" t="n">
        <v>0</v>
      </c>
      <c r="DA73" s="543" t="n">
        <v>0</v>
      </c>
      <c r="DB73" s="543" t="n">
        <v>0</v>
      </c>
      <c r="DC73" s="543" t="n">
        <v>0</v>
      </c>
      <c r="DD73" s="543" t="n">
        <v>0</v>
      </c>
      <c r="DE73" s="543" t="n">
        <v>0</v>
      </c>
      <c r="DF73" s="543" t="n">
        <v>0</v>
      </c>
    </row>
    <row r="74" ht="15" customFormat="1" customHeight="1" s="381">
      <c r="A74" s="472" t="inlineStr">
        <is>
          <t>Scott Accounting Fee</t>
        </is>
      </c>
      <c r="C74" s="486" t="n">
        <v>0</v>
      </c>
      <c r="D74" s="486" t="n">
        <v>0</v>
      </c>
      <c r="E74" s="486" t="n">
        <v>0</v>
      </c>
      <c r="F74" s="543" t="n">
        <v>0</v>
      </c>
      <c r="G74" s="543" t="n">
        <v>0</v>
      </c>
      <c r="H74" s="543" t="n">
        <v>0</v>
      </c>
      <c r="I74" s="543" t="n">
        <v>0</v>
      </c>
      <c r="J74" s="543" t="n">
        <v>0</v>
      </c>
      <c r="K74" s="543" t="n">
        <v>0</v>
      </c>
      <c r="L74" s="543" t="n">
        <v>0</v>
      </c>
      <c r="M74" s="543" t="n">
        <v>0</v>
      </c>
      <c r="N74" s="543" t="n">
        <v>0</v>
      </c>
      <c r="O74" s="543" t="n">
        <v>0</v>
      </c>
      <c r="P74" s="543" t="n">
        <v>0</v>
      </c>
      <c r="Q74" s="543" t="n">
        <v>0</v>
      </c>
      <c r="R74" s="543" t="n">
        <v>0</v>
      </c>
      <c r="S74" s="543" t="n">
        <v>0</v>
      </c>
      <c r="T74" s="543" t="n">
        <v>0</v>
      </c>
      <c r="U74" s="543" t="n">
        <v>0</v>
      </c>
      <c r="V74" s="543" t="n">
        <v>0</v>
      </c>
      <c r="W74" s="543" t="n">
        <v>0</v>
      </c>
      <c r="X74" s="543" t="n">
        <v>0</v>
      </c>
      <c r="Y74" s="543" t="n">
        <v>0</v>
      </c>
      <c r="Z74" s="543" t="n">
        <v>0</v>
      </c>
      <c r="AA74" s="543" t="n">
        <v>0</v>
      </c>
      <c r="AB74" s="543" t="n">
        <v>0</v>
      </c>
      <c r="AC74" s="543" t="n">
        <v>0</v>
      </c>
      <c r="AD74" s="543" t="n">
        <v>0</v>
      </c>
      <c r="AE74" s="543" t="n">
        <v>0</v>
      </c>
      <c r="AF74" s="543" t="n">
        <v>0</v>
      </c>
      <c r="AG74" s="543" t="n">
        <v>0</v>
      </c>
      <c r="AH74" s="543" t="n">
        <v>0</v>
      </c>
      <c r="AI74" s="543" t="n">
        <v>0</v>
      </c>
      <c r="AJ74" s="543" t="n">
        <v>0</v>
      </c>
      <c r="AK74" s="543" t="n">
        <v>0</v>
      </c>
      <c r="AL74" s="543" t="n">
        <v>0</v>
      </c>
      <c r="AM74" s="543" t="n">
        <v>0</v>
      </c>
      <c r="AN74" s="543" t="n">
        <v>0</v>
      </c>
      <c r="AO74" s="543" t="n">
        <v>0</v>
      </c>
      <c r="AP74" s="543" t="n">
        <v>0</v>
      </c>
      <c r="AQ74" s="543" t="n">
        <v>0</v>
      </c>
      <c r="AR74" s="543" t="n">
        <v>0</v>
      </c>
      <c r="AS74" s="543" t="n">
        <v>0</v>
      </c>
      <c r="AT74" s="543" t="n">
        <v>0</v>
      </c>
      <c r="AU74" s="543" t="n">
        <v>0</v>
      </c>
      <c r="AV74" s="543" t="n">
        <v>0</v>
      </c>
      <c r="AW74" s="543" t="n">
        <v>0</v>
      </c>
      <c r="AX74" s="543" t="n">
        <v>0</v>
      </c>
      <c r="AY74" s="543" t="n">
        <v>0</v>
      </c>
      <c r="AZ74" s="543" t="n">
        <v>0</v>
      </c>
      <c r="BA74" s="543" t="n">
        <v>0</v>
      </c>
      <c r="BB74" s="543" t="n">
        <v>0</v>
      </c>
      <c r="BC74" s="543" t="n">
        <v>0</v>
      </c>
      <c r="BD74" s="543" t="n">
        <v>0</v>
      </c>
      <c r="BE74" s="543" t="n">
        <v>0</v>
      </c>
      <c r="BF74" s="543" t="n">
        <v>0</v>
      </c>
      <c r="BG74" s="543" t="n">
        <v>0</v>
      </c>
      <c r="BH74" s="543" t="n">
        <v>0</v>
      </c>
      <c r="BI74" s="543" t="n">
        <v>0</v>
      </c>
      <c r="BJ74" s="543" t="n">
        <v>0</v>
      </c>
      <c r="BK74" s="543" t="n">
        <v>0</v>
      </c>
      <c r="BL74" s="543" t="n">
        <v>0</v>
      </c>
      <c r="BM74" s="543" t="n">
        <v>0</v>
      </c>
      <c r="BN74" s="543" t="n">
        <v>0</v>
      </c>
      <c r="BO74" s="543" t="n">
        <v>0</v>
      </c>
      <c r="BP74" s="543" t="n">
        <v>0</v>
      </c>
      <c r="BQ74" s="543" t="n">
        <v>0</v>
      </c>
      <c r="BR74" s="543" t="n">
        <v>0</v>
      </c>
      <c r="BS74" s="543" t="n">
        <v>0</v>
      </c>
      <c r="BT74" s="543" t="n">
        <v>0</v>
      </c>
      <c r="BU74" s="543" t="n">
        <v>0</v>
      </c>
      <c r="BV74" s="543" t="n">
        <v>0</v>
      </c>
      <c r="BW74" s="543" t="n">
        <v>0</v>
      </c>
      <c r="BX74" s="543" t="n">
        <v>0</v>
      </c>
      <c r="BY74" s="543" t="n">
        <v>0</v>
      </c>
      <c r="BZ74" s="543" t="n">
        <v>0</v>
      </c>
      <c r="CA74" s="543" t="n">
        <v>0</v>
      </c>
      <c r="CB74" s="543" t="n">
        <v>0</v>
      </c>
      <c r="CC74" s="543" t="n">
        <v>0</v>
      </c>
      <c r="CD74" s="543" t="n">
        <v>0</v>
      </c>
      <c r="CE74" s="543" t="n">
        <v>0</v>
      </c>
      <c r="CF74" s="543" t="n">
        <v>0</v>
      </c>
      <c r="CG74" s="543" t="n">
        <v>0</v>
      </c>
      <c r="CH74" s="543" t="n">
        <v>0</v>
      </c>
      <c r="CI74" s="543" t="n">
        <v>0</v>
      </c>
      <c r="CJ74" s="543" t="n">
        <v>0</v>
      </c>
      <c r="CK74" s="543" t="n">
        <v>0</v>
      </c>
      <c r="CL74" s="543" t="n">
        <v>0</v>
      </c>
      <c r="CM74" s="543" t="n">
        <v>0</v>
      </c>
      <c r="CN74" s="543" t="n">
        <v>0</v>
      </c>
      <c r="CO74" s="543" t="n">
        <v>0</v>
      </c>
      <c r="CP74" s="543" t="n">
        <v>0</v>
      </c>
      <c r="CQ74" s="543" t="n">
        <v>0</v>
      </c>
      <c r="CR74" s="543" t="n">
        <v>0</v>
      </c>
      <c r="CS74" s="543" t="n">
        <v>0</v>
      </c>
      <c r="CT74" s="543" t="n">
        <v>0</v>
      </c>
      <c r="CU74" s="543" t="n">
        <v>0</v>
      </c>
      <c r="CV74" s="543" t="n">
        <v>0</v>
      </c>
      <c r="CW74" s="543" t="n">
        <v>0</v>
      </c>
      <c r="CX74" s="543" t="n">
        <v>0</v>
      </c>
      <c r="CY74" s="543" t="n">
        <v>0</v>
      </c>
      <c r="CZ74" s="543" t="n">
        <v>0</v>
      </c>
      <c r="DA74" s="543" t="n">
        <v>0</v>
      </c>
      <c r="DB74" s="543" t="n">
        <v>0</v>
      </c>
      <c r="DC74" s="543" t="n">
        <v>0</v>
      </c>
      <c r="DD74" s="543" t="n">
        <v>0</v>
      </c>
      <c r="DE74" s="543" t="n">
        <v>0</v>
      </c>
      <c r="DF74" s="543" t="n">
        <v>0</v>
      </c>
    </row>
    <row r="75" ht="15" customFormat="1" customHeight="1" s="381">
      <c r="A75" s="472" t="inlineStr">
        <is>
          <t>Scott Developer Fee</t>
        </is>
      </c>
      <c r="C75" s="486" t="n">
        <v>0</v>
      </c>
      <c r="D75" s="486" t="n">
        <v>0</v>
      </c>
      <c r="E75" s="486" t="n">
        <v>0</v>
      </c>
      <c r="F75" s="543" t="n">
        <v>0</v>
      </c>
      <c r="G75" s="543" t="n">
        <v>0</v>
      </c>
      <c r="H75" s="543" t="n">
        <v>0</v>
      </c>
      <c r="I75" s="543" t="n">
        <v>0</v>
      </c>
      <c r="J75" s="543" t="n">
        <v>0</v>
      </c>
      <c r="K75" s="543" t="n">
        <v>0</v>
      </c>
      <c r="L75" s="543" t="n">
        <v>0</v>
      </c>
      <c r="M75" s="543" t="n">
        <v>0</v>
      </c>
      <c r="N75" s="543" t="n">
        <v>0</v>
      </c>
      <c r="O75" s="543" t="n">
        <v>0</v>
      </c>
      <c r="P75" s="543" t="n">
        <v>0</v>
      </c>
      <c r="Q75" s="543" t="n">
        <v>0</v>
      </c>
      <c r="R75" s="543" t="n">
        <v>0</v>
      </c>
      <c r="S75" s="543" t="n">
        <v>0</v>
      </c>
      <c r="T75" s="543" t="n">
        <v>0</v>
      </c>
      <c r="U75" s="543" t="n">
        <v>0</v>
      </c>
      <c r="V75" s="543" t="n">
        <v>0</v>
      </c>
      <c r="W75" s="543" t="n">
        <v>0</v>
      </c>
      <c r="X75" s="543" t="n">
        <v>0</v>
      </c>
      <c r="Y75" s="543" t="n">
        <v>0</v>
      </c>
      <c r="Z75" s="543" t="n">
        <v>0</v>
      </c>
      <c r="AA75" s="543" t="n">
        <v>0</v>
      </c>
      <c r="AB75" s="543" t="n">
        <v>0</v>
      </c>
      <c r="AC75" s="543" t="n">
        <v>0</v>
      </c>
      <c r="AD75" s="543" t="n">
        <v>0</v>
      </c>
      <c r="AE75" s="543" t="n">
        <v>0</v>
      </c>
      <c r="AF75" s="543" t="n">
        <v>0</v>
      </c>
      <c r="AG75" s="543" t="n">
        <v>0</v>
      </c>
      <c r="AH75" s="543" t="n">
        <v>0</v>
      </c>
      <c r="AI75" s="543" t="n">
        <v>0</v>
      </c>
      <c r="AJ75" s="543" t="n">
        <v>0</v>
      </c>
      <c r="AK75" s="543" t="n">
        <v>0</v>
      </c>
      <c r="AL75" s="543" t="n">
        <v>0</v>
      </c>
      <c r="AM75" s="543" t="n">
        <v>0</v>
      </c>
      <c r="AN75" s="543" t="n">
        <v>0</v>
      </c>
      <c r="AO75" s="543" t="n">
        <v>0</v>
      </c>
      <c r="AP75" s="543" t="n">
        <v>0</v>
      </c>
      <c r="AQ75" s="543" t="n">
        <v>0</v>
      </c>
      <c r="AR75" s="543" t="n">
        <v>0</v>
      </c>
      <c r="AS75" s="543" t="n">
        <v>0</v>
      </c>
      <c r="AT75" s="543" t="n">
        <v>0</v>
      </c>
      <c r="AU75" s="543" t="n">
        <v>0</v>
      </c>
      <c r="AV75" s="543" t="n">
        <v>0</v>
      </c>
      <c r="AW75" s="543" t="n">
        <v>0</v>
      </c>
      <c r="AX75" s="543" t="n">
        <v>0</v>
      </c>
      <c r="AY75" s="543" t="n">
        <v>0</v>
      </c>
      <c r="AZ75" s="543" t="n">
        <v>0</v>
      </c>
      <c r="BA75" s="543" t="n">
        <v>0</v>
      </c>
      <c r="BB75" s="543" t="n">
        <v>0</v>
      </c>
      <c r="BC75" s="543" t="n">
        <v>0</v>
      </c>
      <c r="BD75" s="543" t="n">
        <v>0</v>
      </c>
      <c r="BE75" s="543" t="n">
        <v>0</v>
      </c>
      <c r="BF75" s="543" t="n">
        <v>0</v>
      </c>
      <c r="BG75" s="543" t="n">
        <v>0</v>
      </c>
      <c r="BH75" s="543" t="n">
        <v>0</v>
      </c>
      <c r="BI75" s="543" t="n">
        <v>0</v>
      </c>
      <c r="BJ75" s="543" t="n">
        <v>0</v>
      </c>
      <c r="BK75" s="543" t="n">
        <v>0</v>
      </c>
      <c r="BL75" s="543" t="n">
        <v>0</v>
      </c>
      <c r="BM75" s="543" t="n">
        <v>0</v>
      </c>
      <c r="BN75" s="543" t="n">
        <v>0</v>
      </c>
      <c r="BO75" s="543" t="n">
        <v>0</v>
      </c>
      <c r="BP75" s="543" t="n">
        <v>0</v>
      </c>
      <c r="BQ75" s="543" t="n">
        <v>0</v>
      </c>
      <c r="BR75" s="543" t="n">
        <v>0</v>
      </c>
      <c r="BS75" s="543" t="n">
        <v>0</v>
      </c>
      <c r="BT75" s="543" t="n">
        <v>0</v>
      </c>
      <c r="BU75" s="543" t="n">
        <v>0</v>
      </c>
      <c r="BV75" s="543" t="n">
        <v>0</v>
      </c>
      <c r="BW75" s="543" t="n">
        <v>0</v>
      </c>
      <c r="BX75" s="543" t="n">
        <v>0</v>
      </c>
      <c r="BY75" s="543" t="n">
        <v>0</v>
      </c>
      <c r="BZ75" s="543" t="n">
        <v>0</v>
      </c>
      <c r="CA75" s="543" t="n">
        <v>0</v>
      </c>
      <c r="CB75" s="543" t="n">
        <v>0</v>
      </c>
      <c r="CC75" s="543" t="n">
        <v>0</v>
      </c>
      <c r="CD75" s="543" t="n">
        <v>0</v>
      </c>
      <c r="CE75" s="543" t="n">
        <v>0</v>
      </c>
      <c r="CF75" s="543" t="n">
        <v>0</v>
      </c>
      <c r="CG75" s="543" t="n">
        <v>0</v>
      </c>
      <c r="CH75" s="543" t="n">
        <v>0</v>
      </c>
      <c r="CI75" s="543" t="n">
        <v>0</v>
      </c>
      <c r="CJ75" s="543" t="n">
        <v>0</v>
      </c>
      <c r="CK75" s="543" t="n">
        <v>0</v>
      </c>
      <c r="CL75" s="543" t="n">
        <v>0</v>
      </c>
      <c r="CM75" s="543" t="n">
        <v>0</v>
      </c>
      <c r="CN75" s="543" t="n">
        <v>0</v>
      </c>
      <c r="CO75" s="543" t="n">
        <v>0</v>
      </c>
      <c r="CP75" s="543" t="n">
        <v>0</v>
      </c>
      <c r="CQ75" s="543" t="n">
        <v>0</v>
      </c>
      <c r="CR75" s="543" t="n">
        <v>0</v>
      </c>
      <c r="CS75" s="543" t="n">
        <v>0</v>
      </c>
      <c r="CT75" s="543" t="n">
        <v>0</v>
      </c>
      <c r="CU75" s="543" t="n">
        <v>0</v>
      </c>
      <c r="CV75" s="543" t="n">
        <v>0</v>
      </c>
      <c r="CW75" s="543" t="n">
        <v>0</v>
      </c>
      <c r="CX75" s="543" t="n">
        <v>0</v>
      </c>
      <c r="CY75" s="543" t="n">
        <v>0</v>
      </c>
      <c r="CZ75" s="543" t="n">
        <v>0</v>
      </c>
      <c r="DA75" s="543" t="n">
        <v>0</v>
      </c>
      <c r="DB75" s="543" t="n">
        <v>0</v>
      </c>
      <c r="DC75" s="543" t="n">
        <v>0</v>
      </c>
      <c r="DD75" s="543" t="n">
        <v>0</v>
      </c>
      <c r="DE75" s="543" t="n">
        <v>0</v>
      </c>
      <c r="DF75" s="543" t="n">
        <v>0</v>
      </c>
    </row>
    <row r="76" ht="15" customFormat="1" customHeight="1" s="381">
      <c r="A76" s="472" t="inlineStr">
        <is>
          <t>Scott Guarantee Fee</t>
        </is>
      </c>
      <c r="C76" s="486" t="n">
        <v>0</v>
      </c>
      <c r="D76" s="486" t="n">
        <v>0</v>
      </c>
      <c r="E76" s="486" t="n">
        <v>0</v>
      </c>
      <c r="F76" s="543" t="n">
        <v>0</v>
      </c>
      <c r="G76" s="543" t="n">
        <v>0</v>
      </c>
      <c r="H76" s="543" t="n">
        <v>0</v>
      </c>
      <c r="I76" s="543" t="n">
        <v>0</v>
      </c>
      <c r="J76" s="543" t="n">
        <v>0</v>
      </c>
      <c r="K76" s="543" t="n">
        <v>0</v>
      </c>
      <c r="L76" s="543" t="n">
        <v>0</v>
      </c>
      <c r="M76" s="543" t="n">
        <v>0</v>
      </c>
      <c r="N76" s="543" t="n">
        <v>0</v>
      </c>
      <c r="O76" s="543" t="n">
        <v>0</v>
      </c>
      <c r="P76" s="543" t="n">
        <v>0</v>
      </c>
      <c r="Q76" s="543" t="n">
        <v>0</v>
      </c>
      <c r="R76" s="543" t="n">
        <v>0</v>
      </c>
      <c r="S76" s="543" t="n">
        <v>0</v>
      </c>
      <c r="T76" s="543" t="n">
        <v>0</v>
      </c>
      <c r="U76" s="543" t="n">
        <v>0</v>
      </c>
      <c r="V76" s="543" t="n">
        <v>0</v>
      </c>
      <c r="W76" s="543" t="n">
        <v>0</v>
      </c>
      <c r="X76" s="543" t="n">
        <v>0</v>
      </c>
      <c r="Y76" s="543" t="n">
        <v>0</v>
      </c>
      <c r="Z76" s="543" t="n">
        <v>0</v>
      </c>
      <c r="AA76" s="543" t="n">
        <v>0</v>
      </c>
      <c r="AB76" s="543" t="n">
        <v>0</v>
      </c>
      <c r="AC76" s="543" t="n">
        <v>0</v>
      </c>
      <c r="AD76" s="543" t="n">
        <v>0</v>
      </c>
      <c r="AE76" s="543" t="n">
        <v>0</v>
      </c>
      <c r="AF76" s="543" t="n">
        <v>0</v>
      </c>
      <c r="AG76" s="543" t="n">
        <v>0</v>
      </c>
      <c r="AH76" s="543" t="n">
        <v>0</v>
      </c>
      <c r="AI76" s="543" t="n">
        <v>0</v>
      </c>
      <c r="AJ76" s="543" t="n">
        <v>0</v>
      </c>
      <c r="AK76" s="543" t="n">
        <v>0</v>
      </c>
      <c r="AL76" s="543" t="n">
        <v>0</v>
      </c>
      <c r="AM76" s="543" t="n">
        <v>0</v>
      </c>
      <c r="AN76" s="543" t="n">
        <v>0</v>
      </c>
      <c r="AO76" s="543" t="n">
        <v>0</v>
      </c>
      <c r="AP76" s="543" t="n">
        <v>0</v>
      </c>
      <c r="AQ76" s="543" t="n">
        <v>0</v>
      </c>
      <c r="AR76" s="543" t="n">
        <v>0</v>
      </c>
      <c r="AS76" s="543" t="n">
        <v>0</v>
      </c>
      <c r="AT76" s="543" t="n">
        <v>0</v>
      </c>
      <c r="AU76" s="543" t="n">
        <v>0</v>
      </c>
      <c r="AV76" s="543" t="n">
        <v>0</v>
      </c>
      <c r="AW76" s="543" t="n">
        <v>0</v>
      </c>
      <c r="AX76" s="543" t="n">
        <v>0</v>
      </c>
      <c r="AY76" s="543" t="n">
        <v>0</v>
      </c>
      <c r="AZ76" s="543" t="n">
        <v>0</v>
      </c>
      <c r="BA76" s="543" t="n">
        <v>0</v>
      </c>
      <c r="BB76" s="543" t="n">
        <v>0</v>
      </c>
      <c r="BC76" s="543" t="n">
        <v>0</v>
      </c>
      <c r="BD76" s="543" t="n">
        <v>0</v>
      </c>
      <c r="BE76" s="543" t="n">
        <v>0</v>
      </c>
      <c r="BF76" s="543" t="n">
        <v>0</v>
      </c>
      <c r="BG76" s="543" t="n">
        <v>0</v>
      </c>
      <c r="BH76" s="543" t="n">
        <v>0</v>
      </c>
      <c r="BI76" s="543" t="n">
        <v>0</v>
      </c>
      <c r="BJ76" s="543" t="n">
        <v>0</v>
      </c>
      <c r="BK76" s="543" t="n">
        <v>0</v>
      </c>
      <c r="BL76" s="543" t="n">
        <v>0</v>
      </c>
      <c r="BM76" s="543" t="n">
        <v>0</v>
      </c>
      <c r="BN76" s="543" t="n">
        <v>0</v>
      </c>
      <c r="BO76" s="543" t="n">
        <v>0</v>
      </c>
      <c r="BP76" s="543" t="n">
        <v>0</v>
      </c>
      <c r="BQ76" s="543" t="n">
        <v>0</v>
      </c>
      <c r="BR76" s="543" t="n">
        <v>0</v>
      </c>
      <c r="BS76" s="543" t="n">
        <v>0</v>
      </c>
      <c r="BT76" s="543" t="n">
        <v>0</v>
      </c>
      <c r="BU76" s="543" t="n">
        <v>0</v>
      </c>
      <c r="BV76" s="543" t="n">
        <v>0</v>
      </c>
      <c r="BW76" s="543" t="n">
        <v>0</v>
      </c>
      <c r="BX76" s="543" t="n">
        <v>0</v>
      </c>
      <c r="BY76" s="543" t="n">
        <v>0</v>
      </c>
      <c r="BZ76" s="543" t="n">
        <v>0</v>
      </c>
      <c r="CA76" s="543" t="n">
        <v>0</v>
      </c>
      <c r="CB76" s="543" t="n">
        <v>0</v>
      </c>
      <c r="CC76" s="543" t="n">
        <v>0</v>
      </c>
      <c r="CD76" s="543" t="n">
        <v>0</v>
      </c>
      <c r="CE76" s="543" t="n">
        <v>0</v>
      </c>
      <c r="CF76" s="543" t="n">
        <v>0</v>
      </c>
      <c r="CG76" s="543" t="n">
        <v>0</v>
      </c>
      <c r="CH76" s="543" t="n">
        <v>0</v>
      </c>
      <c r="CI76" s="543" t="n">
        <v>0</v>
      </c>
      <c r="CJ76" s="543" t="n">
        <v>0</v>
      </c>
      <c r="CK76" s="543" t="n">
        <v>0</v>
      </c>
      <c r="CL76" s="543" t="n">
        <v>0</v>
      </c>
      <c r="CM76" s="543" t="n">
        <v>0</v>
      </c>
      <c r="CN76" s="543" t="n">
        <v>0</v>
      </c>
      <c r="CO76" s="543" t="n">
        <v>0</v>
      </c>
      <c r="CP76" s="543" t="n">
        <v>0</v>
      </c>
      <c r="CQ76" s="543" t="n">
        <v>0</v>
      </c>
      <c r="CR76" s="543" t="n">
        <v>0</v>
      </c>
      <c r="CS76" s="543" t="n">
        <v>0</v>
      </c>
      <c r="CT76" s="543" t="n">
        <v>0</v>
      </c>
      <c r="CU76" s="543" t="n">
        <v>0</v>
      </c>
      <c r="CV76" s="543" t="n">
        <v>0</v>
      </c>
      <c r="CW76" s="543" t="n">
        <v>0</v>
      </c>
      <c r="CX76" s="543" t="n">
        <v>0</v>
      </c>
      <c r="CY76" s="543" t="n">
        <v>0</v>
      </c>
      <c r="CZ76" s="543" t="n">
        <v>0</v>
      </c>
      <c r="DA76" s="543" t="n">
        <v>0</v>
      </c>
      <c r="DB76" s="543" t="n">
        <v>0</v>
      </c>
      <c r="DC76" s="543" t="n">
        <v>0</v>
      </c>
      <c r="DD76" s="543" t="n">
        <v>0</v>
      </c>
      <c r="DE76" s="543" t="n">
        <v>0</v>
      </c>
      <c r="DF76" s="543" t="n">
        <v>0</v>
      </c>
    </row>
    <row r="77" ht="15" customFormat="1" customHeight="1" s="381">
      <c r="A77" s="472" t="inlineStr">
        <is>
          <t>Francis LIHTC Revenue (SP Share)</t>
        </is>
      </c>
      <c r="C77" s="486" t="n">
        <v>0</v>
      </c>
      <c r="D77" s="486" t="n">
        <v>0</v>
      </c>
      <c r="E77" s="486" t="n">
        <v>0</v>
      </c>
      <c r="F77" s="543" t="n">
        <v>0</v>
      </c>
      <c r="G77" s="543" t="n">
        <v>0</v>
      </c>
      <c r="H77" s="543" t="n">
        <v>0</v>
      </c>
      <c r="I77" s="543" t="n">
        <v>0</v>
      </c>
      <c r="J77" s="543" t="n">
        <v>0</v>
      </c>
      <c r="K77" s="543" t="n">
        <v>0</v>
      </c>
      <c r="L77" s="543" t="n">
        <v>0</v>
      </c>
      <c r="M77" s="543" t="n">
        <v>0</v>
      </c>
      <c r="N77" s="543" t="n">
        <v>0</v>
      </c>
      <c r="O77" s="543" t="n">
        <v>0</v>
      </c>
      <c r="P77" s="543" t="n">
        <v>0</v>
      </c>
      <c r="Q77" s="543" t="n">
        <v>0</v>
      </c>
      <c r="R77" s="543" t="n">
        <v>0</v>
      </c>
      <c r="S77" s="543" t="n">
        <v>0</v>
      </c>
      <c r="T77" s="543" t="n">
        <v>0</v>
      </c>
      <c r="U77" s="543" t="n">
        <v>0</v>
      </c>
      <c r="V77" s="543" t="n">
        <v>0</v>
      </c>
      <c r="W77" s="543" t="n">
        <v>0</v>
      </c>
      <c r="X77" s="543" t="n">
        <v>0</v>
      </c>
      <c r="Y77" s="543" t="n">
        <v>0</v>
      </c>
      <c r="Z77" s="543" t="n">
        <v>0</v>
      </c>
      <c r="AA77" s="543" t="n">
        <v>0</v>
      </c>
      <c r="AB77" s="543" t="n">
        <v>0</v>
      </c>
      <c r="AC77" s="543" t="n">
        <v>0</v>
      </c>
      <c r="AD77" s="543" t="n">
        <v>0</v>
      </c>
      <c r="AE77" s="543" t="n">
        <v>0</v>
      </c>
      <c r="AF77" s="543" t="n">
        <v>0</v>
      </c>
      <c r="AG77" s="543" t="n">
        <v>0</v>
      </c>
      <c r="AH77" s="543" t="n">
        <v>0</v>
      </c>
      <c r="AI77" s="543" t="n">
        <v>0</v>
      </c>
      <c r="AJ77" s="543" t="n">
        <v>0</v>
      </c>
      <c r="AK77" s="543" t="n">
        <v>0</v>
      </c>
      <c r="AL77" s="543" t="n">
        <v>0</v>
      </c>
      <c r="AM77" s="543" t="n">
        <v>0</v>
      </c>
      <c r="AN77" s="543" t="n">
        <v>0</v>
      </c>
      <c r="AO77" s="543" t="n">
        <v>0</v>
      </c>
      <c r="AP77" s="543" t="n">
        <v>0</v>
      </c>
      <c r="AQ77" s="543" t="n">
        <v>0</v>
      </c>
      <c r="AR77" s="543" t="n">
        <v>0</v>
      </c>
      <c r="AS77" s="543" t="n">
        <v>0</v>
      </c>
      <c r="AT77" s="543" t="n">
        <v>0</v>
      </c>
      <c r="AU77" s="543" t="n">
        <v>81683</v>
      </c>
      <c r="AV77" s="543" t="n">
        <v>0</v>
      </c>
      <c r="AW77" s="543" t="n">
        <v>0</v>
      </c>
      <c r="AX77" s="543" t="n">
        <v>81682</v>
      </c>
      <c r="AY77" s="543" t="n">
        <v>0</v>
      </c>
      <c r="AZ77" s="543" t="n">
        <v>0</v>
      </c>
      <c r="BA77" s="543" t="n">
        <v>81682</v>
      </c>
      <c r="BB77" s="543" t="n">
        <v>0</v>
      </c>
      <c r="BC77" s="543" t="n">
        <v>0</v>
      </c>
      <c r="BD77" s="543" t="n">
        <v>81682</v>
      </c>
      <c r="BE77" s="543" t="n">
        <v>0</v>
      </c>
      <c r="BF77" s="543" t="n">
        <v>0</v>
      </c>
      <c r="BG77" s="543" t="n">
        <v>59178</v>
      </c>
      <c r="BH77" s="543" t="n">
        <v>0</v>
      </c>
      <c r="BI77" s="543" t="n">
        <v>0</v>
      </c>
      <c r="BJ77" s="543" t="n">
        <v>59176</v>
      </c>
      <c r="BK77" s="543" t="n">
        <v>0</v>
      </c>
      <c r="BL77" s="543" t="n">
        <v>0</v>
      </c>
      <c r="BM77" s="543" t="n">
        <v>59176</v>
      </c>
      <c r="BN77" s="543" t="n">
        <v>0</v>
      </c>
      <c r="BO77" s="543" t="n">
        <v>0</v>
      </c>
      <c r="BP77" s="543" t="n">
        <v>59176</v>
      </c>
      <c r="BQ77" s="543" t="n">
        <v>0</v>
      </c>
      <c r="BR77" s="543" t="n">
        <v>0</v>
      </c>
      <c r="BS77" s="543" t="n">
        <v>67763</v>
      </c>
      <c r="BT77" s="543" t="n">
        <v>0</v>
      </c>
      <c r="BU77" s="543" t="n">
        <v>0</v>
      </c>
      <c r="BV77" s="543" t="n">
        <v>67762</v>
      </c>
      <c r="BW77" s="543" t="n">
        <v>0</v>
      </c>
      <c r="BX77" s="543" t="n">
        <v>0</v>
      </c>
      <c r="BY77" s="543" t="n">
        <v>67762</v>
      </c>
      <c r="BZ77" s="543" t="n">
        <v>0</v>
      </c>
      <c r="CA77" s="543" t="n">
        <v>0</v>
      </c>
      <c r="CB77" s="543" t="n">
        <v>67762</v>
      </c>
      <c r="CC77" s="543" t="n">
        <v>0</v>
      </c>
      <c r="CD77" s="543" t="n">
        <v>0</v>
      </c>
      <c r="CE77" s="543" t="n">
        <v>76499</v>
      </c>
      <c r="CF77" s="543" t="n">
        <v>0</v>
      </c>
      <c r="CG77" s="543" t="n">
        <v>0</v>
      </c>
      <c r="CH77" s="543" t="n">
        <v>76499</v>
      </c>
      <c r="CI77" s="543" t="n">
        <v>0</v>
      </c>
      <c r="CJ77" s="543" t="n">
        <v>0</v>
      </c>
      <c r="CK77" s="543" t="n">
        <v>76499</v>
      </c>
      <c r="CL77" s="543" t="n">
        <v>76499</v>
      </c>
      <c r="CM77" s="543" t="n">
        <v>76499</v>
      </c>
      <c r="CN77" s="543" t="n">
        <v>76499</v>
      </c>
      <c r="CO77" s="543" t="n">
        <v>76499</v>
      </c>
      <c r="CP77" s="543" t="n">
        <v>76499</v>
      </c>
      <c r="CQ77" s="543" t="n">
        <v>76499</v>
      </c>
      <c r="CR77" s="543" t="n">
        <v>76499</v>
      </c>
      <c r="CS77" s="543" t="n">
        <v>76499</v>
      </c>
      <c r="CT77" s="543" t="n">
        <v>76499</v>
      </c>
      <c r="CU77" s="543" t="n">
        <v>76499</v>
      </c>
      <c r="CV77" s="543" t="n">
        <v>76499</v>
      </c>
      <c r="CW77" s="543" t="n">
        <v>76499</v>
      </c>
      <c r="CX77" s="543" t="n">
        <v>76499</v>
      </c>
      <c r="CY77" s="543" t="n">
        <v>76499</v>
      </c>
      <c r="CZ77" s="543" t="n">
        <v>76499</v>
      </c>
      <c r="DA77" s="543" t="n">
        <v>76499</v>
      </c>
      <c r="DB77" s="543" t="n">
        <v>76499</v>
      </c>
      <c r="DC77" s="543" t="n">
        <v>76499</v>
      </c>
      <c r="DD77" s="543" t="n">
        <v>76499</v>
      </c>
      <c r="DE77" s="543" t="n">
        <v>76499</v>
      </c>
      <c r="DF77" s="543" t="n">
        <v>76499</v>
      </c>
    </row>
    <row r="78" ht="15" customFormat="1" customHeight="1" s="381">
      <c r="A78" s="472" t="inlineStr">
        <is>
          <t>Reseda LIHTC Revenue (SP Share)</t>
        </is>
      </c>
      <c r="C78" s="486" t="n">
        <v>0</v>
      </c>
      <c r="D78" s="486" t="n">
        <v>0</v>
      </c>
      <c r="E78" s="486" t="n">
        <v>0</v>
      </c>
      <c r="F78" s="543" t="n">
        <v>0</v>
      </c>
      <c r="G78" s="543" t="n">
        <v>0</v>
      </c>
      <c r="H78" s="543" t="n">
        <v>0</v>
      </c>
      <c r="I78" s="543" t="n">
        <v>0</v>
      </c>
      <c r="J78" s="543" t="n">
        <v>0</v>
      </c>
      <c r="K78" s="543" t="n">
        <v>0</v>
      </c>
      <c r="L78" s="543" t="n">
        <v>0</v>
      </c>
      <c r="M78" s="543" t="n">
        <v>0</v>
      </c>
      <c r="N78" s="543" t="n">
        <v>0</v>
      </c>
      <c r="O78" s="543" t="n">
        <v>0</v>
      </c>
      <c r="P78" s="543" t="n">
        <v>0</v>
      </c>
      <c r="Q78" s="543" t="n">
        <v>0</v>
      </c>
      <c r="R78" s="543" t="n">
        <v>0</v>
      </c>
      <c r="S78" s="543" t="n">
        <v>0</v>
      </c>
      <c r="T78" s="543" t="n">
        <v>0</v>
      </c>
      <c r="U78" s="543" t="n">
        <v>0</v>
      </c>
      <c r="V78" s="543" t="n">
        <v>0</v>
      </c>
      <c r="W78" s="543" t="n">
        <v>0</v>
      </c>
      <c r="X78" s="543" t="n">
        <v>0</v>
      </c>
      <c r="Y78" s="543" t="n">
        <v>0</v>
      </c>
      <c r="Z78" s="543" t="n">
        <v>0</v>
      </c>
      <c r="AA78" s="543" t="n">
        <v>0</v>
      </c>
      <c r="AB78" s="543" t="n">
        <v>0</v>
      </c>
      <c r="AC78" s="543" t="n">
        <v>0</v>
      </c>
      <c r="AD78" s="543" t="n">
        <v>0</v>
      </c>
      <c r="AE78" s="543" t="n">
        <v>0</v>
      </c>
      <c r="AF78" s="543" t="n">
        <v>0</v>
      </c>
      <c r="AG78" s="543" t="n">
        <v>0</v>
      </c>
      <c r="AH78" s="543" t="n">
        <v>0</v>
      </c>
      <c r="AI78" s="543" t="n">
        <v>0</v>
      </c>
      <c r="AJ78" s="543" t="n">
        <v>0</v>
      </c>
      <c r="AK78" s="543" t="n">
        <v>0</v>
      </c>
      <c r="AL78" s="543" t="n">
        <v>0</v>
      </c>
      <c r="AM78" s="543" t="n">
        <v>0</v>
      </c>
      <c r="AN78" s="543" t="n">
        <v>0</v>
      </c>
      <c r="AO78" s="543" t="n">
        <v>0</v>
      </c>
      <c r="AP78" s="543" t="n">
        <v>0</v>
      </c>
      <c r="AQ78" s="543" t="n">
        <v>0</v>
      </c>
      <c r="AR78" s="543" t="n">
        <v>0</v>
      </c>
      <c r="AS78" s="543" t="n">
        <v>0</v>
      </c>
      <c r="AT78" s="543" t="n">
        <v>0</v>
      </c>
      <c r="AU78" s="543" t="n">
        <v>0</v>
      </c>
      <c r="AV78" s="543" t="n">
        <v>0</v>
      </c>
      <c r="AW78" s="543" t="n">
        <v>0</v>
      </c>
      <c r="AX78" s="543" t="n">
        <v>0</v>
      </c>
      <c r="AY78" s="543" t="n">
        <v>0</v>
      </c>
      <c r="AZ78" s="543" t="n">
        <v>0</v>
      </c>
      <c r="BA78" s="543" t="n">
        <v>0</v>
      </c>
      <c r="BB78" s="543" t="n">
        <v>0</v>
      </c>
      <c r="BC78" s="543" t="n">
        <v>0</v>
      </c>
      <c r="BD78" s="543" t="n">
        <v>851839</v>
      </c>
      <c r="BE78" s="543" t="n">
        <v>0</v>
      </c>
      <c r="BF78" s="543" t="n">
        <v>0</v>
      </c>
      <c r="BG78" s="543" t="n">
        <v>71700</v>
      </c>
      <c r="BH78" s="543" t="n">
        <v>0</v>
      </c>
      <c r="BI78" s="543" t="n">
        <v>0</v>
      </c>
      <c r="BJ78" s="543" t="n">
        <v>71700</v>
      </c>
      <c r="BK78" s="543" t="n">
        <v>0</v>
      </c>
      <c r="BL78" s="543" t="n">
        <v>0</v>
      </c>
      <c r="BM78" s="543" t="n">
        <v>71700</v>
      </c>
      <c r="BN78" s="543" t="n">
        <v>0</v>
      </c>
      <c r="BO78" s="543" t="n">
        <v>0</v>
      </c>
      <c r="BP78" s="543" t="n">
        <v>71700</v>
      </c>
      <c r="BQ78" s="543" t="n">
        <v>0</v>
      </c>
      <c r="BR78" s="543" t="n">
        <v>0</v>
      </c>
      <c r="BS78" s="543" t="n">
        <v>74643</v>
      </c>
      <c r="BT78" s="543" t="n">
        <v>0</v>
      </c>
      <c r="BU78" s="543" t="n">
        <v>0</v>
      </c>
      <c r="BV78" s="543" t="n">
        <v>74640</v>
      </c>
      <c r="BW78" s="543" t="n">
        <v>0</v>
      </c>
      <c r="BX78" s="543" t="n">
        <v>0</v>
      </c>
      <c r="BY78" s="543" t="n">
        <v>74640</v>
      </c>
      <c r="BZ78" s="543" t="n">
        <v>0</v>
      </c>
      <c r="CA78" s="543" t="n">
        <v>0</v>
      </c>
      <c r="CB78" s="543" t="n">
        <v>74640</v>
      </c>
      <c r="CC78" s="543" t="n">
        <v>0</v>
      </c>
      <c r="CD78" s="543" t="n">
        <v>0</v>
      </c>
      <c r="CE78" s="543" t="n">
        <v>81363</v>
      </c>
      <c r="CF78" s="543" t="n">
        <v>0</v>
      </c>
      <c r="CG78" s="543" t="n">
        <v>0</v>
      </c>
      <c r="CH78" s="543" t="n">
        <v>81362</v>
      </c>
      <c r="CI78" s="543" t="n">
        <v>0</v>
      </c>
      <c r="CJ78" s="543" t="n">
        <v>0</v>
      </c>
      <c r="CK78" s="543" t="n">
        <v>81362</v>
      </c>
      <c r="CL78" s="543" t="n">
        <v>81362</v>
      </c>
      <c r="CM78" s="543" t="n">
        <v>81362</v>
      </c>
      <c r="CN78" s="543" t="n">
        <v>81362</v>
      </c>
      <c r="CO78" s="543" t="n">
        <v>81362</v>
      </c>
      <c r="CP78" s="543" t="n">
        <v>81362</v>
      </c>
      <c r="CQ78" s="543" t="n">
        <v>81362</v>
      </c>
      <c r="CR78" s="543" t="n">
        <v>81362</v>
      </c>
      <c r="CS78" s="543" t="n">
        <v>81362</v>
      </c>
      <c r="CT78" s="543" t="n">
        <v>81362</v>
      </c>
      <c r="CU78" s="543" t="n">
        <v>81362</v>
      </c>
      <c r="CV78" s="543" t="n">
        <v>81362</v>
      </c>
      <c r="CW78" s="543" t="n">
        <v>81362</v>
      </c>
      <c r="CX78" s="543" t="n">
        <v>81362</v>
      </c>
      <c r="CY78" s="543" t="n">
        <v>81362</v>
      </c>
      <c r="CZ78" s="543" t="n">
        <v>81362</v>
      </c>
      <c r="DA78" s="543" t="n">
        <v>81362</v>
      </c>
      <c r="DB78" s="543" t="n">
        <v>81362</v>
      </c>
      <c r="DC78" s="543" t="n">
        <v>81362</v>
      </c>
      <c r="DD78" s="543" t="n">
        <v>81362</v>
      </c>
      <c r="DE78" s="543" t="n">
        <v>81362</v>
      </c>
      <c r="DF78" s="543" t="n">
        <v>81362</v>
      </c>
    </row>
    <row r="79" ht="15" customFormat="1" customHeight="1" s="381">
      <c r="A79" s="472" t="inlineStr">
        <is>
          <t>3rd St LIHTC Revenue (SP Share)</t>
        </is>
      </c>
      <c r="C79" s="486" t="n">
        <v>0</v>
      </c>
      <c r="D79" s="486" t="n">
        <v>0</v>
      </c>
      <c r="E79" s="486" t="n">
        <v>0</v>
      </c>
      <c r="F79" s="543" t="n">
        <v>0</v>
      </c>
      <c r="G79" s="543" t="n">
        <v>0</v>
      </c>
      <c r="H79" s="543" t="n">
        <v>0</v>
      </c>
      <c r="I79" s="543" t="n">
        <v>0</v>
      </c>
      <c r="J79" s="543" t="n">
        <v>0</v>
      </c>
      <c r="K79" s="543" t="n">
        <v>0</v>
      </c>
      <c r="L79" s="543" t="n">
        <v>0</v>
      </c>
      <c r="M79" s="543" t="n">
        <v>0</v>
      </c>
      <c r="N79" s="543" t="n">
        <v>0</v>
      </c>
      <c r="O79" s="543" t="n">
        <v>0</v>
      </c>
      <c r="P79" s="543" t="n">
        <v>0</v>
      </c>
      <c r="Q79" s="543" t="n">
        <v>0</v>
      </c>
      <c r="R79" s="543" t="n">
        <v>0</v>
      </c>
      <c r="S79" s="543" t="n">
        <v>0</v>
      </c>
      <c r="T79" s="543" t="n">
        <v>0</v>
      </c>
      <c r="U79" s="543" t="n">
        <v>0</v>
      </c>
      <c r="V79" s="543" t="n">
        <v>0</v>
      </c>
      <c r="W79" s="543" t="n">
        <v>0</v>
      </c>
      <c r="X79" s="543" t="n">
        <v>0</v>
      </c>
      <c r="Y79" s="543" t="n">
        <v>0</v>
      </c>
      <c r="Z79" s="543" t="n">
        <v>0</v>
      </c>
      <c r="AA79" s="543" t="n">
        <v>0</v>
      </c>
      <c r="AB79" s="543" t="n">
        <v>0</v>
      </c>
      <c r="AC79" s="543" t="n">
        <v>0</v>
      </c>
      <c r="AD79" s="543" t="n">
        <v>0</v>
      </c>
      <c r="AE79" s="543" t="n">
        <v>0</v>
      </c>
      <c r="AF79" s="543" t="n">
        <v>0</v>
      </c>
      <c r="AG79" s="543" t="n">
        <v>0</v>
      </c>
      <c r="AH79" s="543" t="n">
        <v>0</v>
      </c>
      <c r="AI79" s="543" t="n">
        <v>0</v>
      </c>
      <c r="AJ79" s="543" t="n">
        <v>0</v>
      </c>
      <c r="AK79" s="543" t="n">
        <v>0</v>
      </c>
      <c r="AL79" s="543" t="n">
        <v>0</v>
      </c>
      <c r="AM79" s="543" t="n">
        <v>0</v>
      </c>
      <c r="AN79" s="543" t="n">
        <v>0</v>
      </c>
      <c r="AO79" s="543" t="n">
        <v>0</v>
      </c>
      <c r="AP79" s="543" t="n">
        <v>0</v>
      </c>
      <c r="AQ79" s="543" t="n">
        <v>0</v>
      </c>
      <c r="AR79" s="543" t="n">
        <v>0</v>
      </c>
      <c r="AS79" s="543" t="n">
        <v>0</v>
      </c>
      <c r="AT79" s="543" t="n">
        <v>0</v>
      </c>
      <c r="AU79" s="543" t="n">
        <v>0</v>
      </c>
      <c r="AV79" s="543" t="n">
        <v>0</v>
      </c>
      <c r="AW79" s="543" t="n">
        <v>0</v>
      </c>
      <c r="AX79" s="543" t="n">
        <v>0</v>
      </c>
      <c r="AY79" s="543" t="n">
        <v>0</v>
      </c>
      <c r="AZ79" s="543" t="n">
        <v>0</v>
      </c>
      <c r="BA79" s="543" t="n">
        <v>0</v>
      </c>
      <c r="BB79" s="543" t="n">
        <v>0</v>
      </c>
      <c r="BC79" s="543" t="n">
        <v>0</v>
      </c>
      <c r="BD79" s="543" t="n">
        <v>0</v>
      </c>
      <c r="BE79" s="543" t="n">
        <v>0</v>
      </c>
      <c r="BF79" s="543" t="n">
        <v>0</v>
      </c>
      <c r="BG79" s="543" t="n">
        <v>0</v>
      </c>
      <c r="BH79" s="543" t="n">
        <v>0</v>
      </c>
      <c r="BI79" s="543" t="n">
        <v>0</v>
      </c>
      <c r="BJ79" s="543" t="n">
        <v>0</v>
      </c>
      <c r="BK79" s="543" t="n">
        <v>0</v>
      </c>
      <c r="BL79" s="543" t="n">
        <v>0</v>
      </c>
      <c r="BM79" s="543" t="n">
        <v>0</v>
      </c>
      <c r="BN79" s="543" t="n">
        <v>0</v>
      </c>
      <c r="BO79" s="543" t="n">
        <v>0</v>
      </c>
      <c r="BP79" s="543" t="n">
        <v>0</v>
      </c>
      <c r="BQ79" s="543" t="n">
        <v>0</v>
      </c>
      <c r="BR79" s="543" t="n">
        <v>0</v>
      </c>
      <c r="BS79" s="543" t="n">
        <v>0</v>
      </c>
      <c r="BT79" s="543" t="n">
        <v>0</v>
      </c>
      <c r="BU79" s="543" t="n">
        <v>0</v>
      </c>
      <c r="BV79" s="543" t="n">
        <v>0</v>
      </c>
      <c r="BW79" s="543" t="n">
        <v>0</v>
      </c>
      <c r="BX79" s="543" t="n">
        <v>0</v>
      </c>
      <c r="BY79" s="543" t="n">
        <v>0</v>
      </c>
      <c r="BZ79" s="543" t="n">
        <v>0</v>
      </c>
      <c r="CA79" s="543" t="n">
        <v>0</v>
      </c>
      <c r="CB79" s="543" t="n">
        <v>73156</v>
      </c>
      <c r="CC79" s="543" t="n">
        <v>0</v>
      </c>
      <c r="CD79" s="543" t="n">
        <v>0</v>
      </c>
      <c r="CE79" s="543" t="n">
        <v>73155</v>
      </c>
      <c r="CF79" s="543" t="n">
        <v>0</v>
      </c>
      <c r="CG79" s="543" t="n">
        <v>0</v>
      </c>
      <c r="CH79" s="543" t="n">
        <v>73155</v>
      </c>
      <c r="CI79" s="543" t="n">
        <v>0</v>
      </c>
      <c r="CJ79" s="543" t="n">
        <v>0</v>
      </c>
      <c r="CK79" s="543" t="n">
        <v>73155</v>
      </c>
      <c r="CL79" s="543" t="n">
        <v>73155</v>
      </c>
      <c r="CM79" s="543" t="n">
        <v>73155</v>
      </c>
      <c r="CN79" s="543" t="n">
        <v>73155</v>
      </c>
      <c r="CO79" s="543" t="n">
        <v>73155</v>
      </c>
      <c r="CP79" s="543" t="n">
        <v>73155</v>
      </c>
      <c r="CQ79" s="543" t="n">
        <v>73155</v>
      </c>
      <c r="CR79" s="543" t="n">
        <v>73155</v>
      </c>
      <c r="CS79" s="543" t="n">
        <v>73155</v>
      </c>
      <c r="CT79" s="543" t="n">
        <v>73155</v>
      </c>
      <c r="CU79" s="543" t="n">
        <v>73155</v>
      </c>
      <c r="CV79" s="543" t="n">
        <v>73155</v>
      </c>
      <c r="CW79" s="543" t="n">
        <v>73155</v>
      </c>
      <c r="CX79" s="543" t="n">
        <v>73155</v>
      </c>
      <c r="CY79" s="543" t="n">
        <v>73155</v>
      </c>
      <c r="CZ79" s="543" t="n">
        <v>73155</v>
      </c>
      <c r="DA79" s="543" t="n">
        <v>73155</v>
      </c>
      <c r="DB79" s="543" t="n">
        <v>73155</v>
      </c>
      <c r="DC79" s="543" t="n">
        <v>73155</v>
      </c>
      <c r="DD79" s="543" t="n">
        <v>73155</v>
      </c>
      <c r="DE79" s="543" t="n">
        <v>73155</v>
      </c>
      <c r="DF79" s="543" t="n">
        <v>73155</v>
      </c>
    </row>
    <row r="80" ht="15" customFormat="1" customHeight="1" s="381">
      <c r="A80" s="472" t="inlineStr">
        <is>
          <t>Uplifters Total to SP</t>
        </is>
      </c>
      <c r="C80" s="486" t="n">
        <v>0</v>
      </c>
      <c r="D80" s="486" t="n">
        <v>0</v>
      </c>
      <c r="E80" s="486" t="n">
        <v>0</v>
      </c>
      <c r="F80" s="543" t="n">
        <v>0</v>
      </c>
      <c r="G80" s="543" t="n">
        <v>0</v>
      </c>
      <c r="H80" s="543" t="n">
        <v>0</v>
      </c>
      <c r="I80" s="543" t="n">
        <v>0</v>
      </c>
      <c r="J80" s="543" t="n">
        <v>0</v>
      </c>
      <c r="K80" s="543" t="n">
        <v>0</v>
      </c>
      <c r="L80" s="543" t="n">
        <v>0</v>
      </c>
      <c r="M80" s="543" t="n">
        <v>0</v>
      </c>
      <c r="N80" s="543" t="n">
        <v>0</v>
      </c>
      <c r="O80" s="543" t="n">
        <v>0</v>
      </c>
      <c r="P80" s="543" t="n">
        <v>0</v>
      </c>
      <c r="Q80" s="543" t="n">
        <v>0</v>
      </c>
      <c r="R80" s="543" t="n">
        <v>0</v>
      </c>
      <c r="S80" s="543" t="n">
        <v>0</v>
      </c>
      <c r="T80" s="543" t="n">
        <v>0</v>
      </c>
      <c r="U80" s="543" t="n">
        <v>0</v>
      </c>
      <c r="V80" s="543" t="n">
        <v>0</v>
      </c>
      <c r="W80" s="543" t="n">
        <v>0</v>
      </c>
      <c r="X80" s="543" t="n">
        <v>0</v>
      </c>
      <c r="Y80" s="543" t="n">
        <v>0</v>
      </c>
      <c r="Z80" s="543" t="n">
        <v>0</v>
      </c>
      <c r="AA80" s="543" t="n">
        <v>0</v>
      </c>
      <c r="AB80" s="543" t="n">
        <v>0</v>
      </c>
      <c r="AC80" s="543" t="n">
        <v>0</v>
      </c>
      <c r="AD80" s="543" t="n">
        <v>0</v>
      </c>
      <c r="AE80" s="543" t="n">
        <v>0</v>
      </c>
      <c r="AF80" s="543" t="n">
        <v>0</v>
      </c>
      <c r="AG80" s="543" t="n">
        <v>0</v>
      </c>
      <c r="AH80" s="543" t="n">
        <v>0</v>
      </c>
      <c r="AI80" s="543" t="n">
        <v>0</v>
      </c>
      <c r="AJ80" s="543" t="n">
        <v>0</v>
      </c>
      <c r="AK80" s="543" t="n">
        <v>0</v>
      </c>
      <c r="AL80" s="543" t="n">
        <v>0</v>
      </c>
      <c r="AM80" s="543" t="n">
        <v>0</v>
      </c>
      <c r="AN80" s="543" t="n">
        <v>0</v>
      </c>
      <c r="AO80" s="543" t="n">
        <v>0</v>
      </c>
      <c r="AP80" s="543" t="n">
        <v>0</v>
      </c>
      <c r="AQ80" s="543" t="n">
        <v>0</v>
      </c>
      <c r="AR80" s="543" t="n">
        <v>0</v>
      </c>
      <c r="AS80" s="543" t="n">
        <v>0</v>
      </c>
      <c r="AT80" s="543" t="n">
        <v>0</v>
      </c>
      <c r="AU80" s="543" t="n">
        <v>0</v>
      </c>
      <c r="AV80" s="543" t="n">
        <v>0</v>
      </c>
      <c r="AW80" s="543" t="n">
        <v>0</v>
      </c>
      <c r="AX80" s="543" t="n">
        <v>0</v>
      </c>
      <c r="AY80" s="543" t="n">
        <v>0</v>
      </c>
      <c r="AZ80" s="543" t="n">
        <v>0</v>
      </c>
      <c r="BA80" s="543" t="n">
        <v>0</v>
      </c>
      <c r="BB80" s="543" t="n">
        <v>0</v>
      </c>
      <c r="BC80" s="543" t="n">
        <v>0</v>
      </c>
      <c r="BD80" s="543" t="n">
        <v>0</v>
      </c>
      <c r="BE80" s="543" t="n">
        <v>0</v>
      </c>
      <c r="BF80" s="543" t="n">
        <v>0</v>
      </c>
      <c r="BG80" s="543" t="n">
        <v>0</v>
      </c>
      <c r="BH80" s="543" t="n">
        <v>0</v>
      </c>
      <c r="BI80" s="543" t="n">
        <v>0</v>
      </c>
      <c r="BJ80" s="543" t="n">
        <v>0</v>
      </c>
      <c r="BK80" s="543" t="n">
        <v>0</v>
      </c>
      <c r="BL80" s="543" t="n">
        <v>0</v>
      </c>
      <c r="BM80" s="543" t="n">
        <v>0</v>
      </c>
      <c r="BN80" s="543" t="n">
        <v>0</v>
      </c>
      <c r="BO80" s="543" t="n">
        <v>0</v>
      </c>
      <c r="BP80" s="543" t="n">
        <v>0</v>
      </c>
      <c r="BQ80" s="543" t="n">
        <v>0</v>
      </c>
      <c r="BR80" s="543" t="n">
        <v>0</v>
      </c>
      <c r="BS80" s="543" t="n">
        <v>0</v>
      </c>
      <c r="BT80" s="543" t="n">
        <v>0</v>
      </c>
      <c r="BU80" s="543" t="n">
        <v>0</v>
      </c>
      <c r="BV80" s="543" t="n">
        <v>0</v>
      </c>
      <c r="BW80" s="543" t="n">
        <v>0</v>
      </c>
      <c r="BX80" s="543" t="n">
        <v>0</v>
      </c>
      <c r="BY80" s="543" t="n">
        <v>0</v>
      </c>
      <c r="BZ80" s="543" t="n">
        <v>0</v>
      </c>
      <c r="CA80" s="543" t="n">
        <v>0</v>
      </c>
      <c r="CB80" s="543" t="n">
        <v>0</v>
      </c>
      <c r="CC80" s="543" t="n">
        <v>0</v>
      </c>
      <c r="CD80" s="543" t="n">
        <v>0</v>
      </c>
      <c r="CE80" s="543" t="n">
        <v>0</v>
      </c>
      <c r="CF80" s="543" t="n">
        <v>0</v>
      </c>
      <c r="CG80" s="543" t="n">
        <v>0</v>
      </c>
      <c r="CH80" s="543" t="n">
        <v>0</v>
      </c>
      <c r="CI80" s="543" t="n">
        <v>0</v>
      </c>
      <c r="CJ80" s="543" t="n">
        <v>0</v>
      </c>
      <c r="CK80" s="543" t="n">
        <v>0</v>
      </c>
      <c r="CL80" s="543" t="n">
        <v>0</v>
      </c>
      <c r="CM80" s="543" t="n">
        <v>0</v>
      </c>
      <c r="CN80" s="543" t="n">
        <v>0</v>
      </c>
      <c r="CO80" s="543" t="n">
        <v>0</v>
      </c>
      <c r="CP80" s="543" t="n">
        <v>0</v>
      </c>
      <c r="CQ80" s="543" t="n">
        <v>0</v>
      </c>
      <c r="CR80" s="543" t="n">
        <v>0</v>
      </c>
      <c r="CS80" s="543" t="n">
        <v>0</v>
      </c>
      <c r="CT80" s="543" t="n">
        <v>0</v>
      </c>
      <c r="CU80" s="543" t="n">
        <v>0</v>
      </c>
      <c r="CV80" s="543" t="n">
        <v>0</v>
      </c>
      <c r="CW80" s="543" t="n">
        <v>0</v>
      </c>
      <c r="CX80" s="543" t="n">
        <v>0</v>
      </c>
      <c r="CY80" s="543" t="n">
        <v>0</v>
      </c>
      <c r="CZ80" s="543" t="n">
        <v>0</v>
      </c>
      <c r="DA80" s="543" t="n">
        <v>0</v>
      </c>
      <c r="DB80" s="543" t="n">
        <v>0</v>
      </c>
      <c r="DC80" s="543" t="n">
        <v>0</v>
      </c>
      <c r="DD80" s="543" t="n">
        <v>0</v>
      </c>
      <c r="DE80" s="543" t="n">
        <v>0</v>
      </c>
      <c r="DF80" s="543" t="n">
        <v>0</v>
      </c>
    </row>
    <row r="81" ht="15" customFormat="1" customHeight="1" s="381">
      <c r="A81" s="477" t="inlineStr">
        <is>
          <t>Total Six Peak Revenue</t>
        </is>
      </c>
      <c r="C81" s="547" t="n">
        <v>34114.58</v>
      </c>
      <c r="D81" s="547" t="n">
        <v>34114.58</v>
      </c>
      <c r="E81" s="547" t="n">
        <v>34114.58</v>
      </c>
      <c r="F81" s="549" t="n">
        <v>43614.58</v>
      </c>
      <c r="G81" s="549" t="n">
        <v>43614.58</v>
      </c>
      <c r="H81" s="549" t="n">
        <v>43614.58</v>
      </c>
      <c r="I81" s="549" t="n">
        <v>43614.58</v>
      </c>
      <c r="J81" s="549" t="n">
        <v>43614.58</v>
      </c>
      <c r="K81" s="549" t="n">
        <v>42781.25</v>
      </c>
      <c r="L81" s="549" t="n">
        <v>42781.25</v>
      </c>
      <c r="M81" s="549" t="n">
        <v>33406.25</v>
      </c>
      <c r="N81" s="549" t="n">
        <v>33406.25</v>
      </c>
      <c r="O81" s="549" t="n">
        <v>33406.25</v>
      </c>
      <c r="P81" s="549" t="n">
        <v>33406.25</v>
      </c>
      <c r="Q81" s="549" t="n">
        <v>33406.25</v>
      </c>
      <c r="R81" s="549" t="n">
        <v>33406.25</v>
      </c>
      <c r="S81" s="549" t="n">
        <v>33406.25</v>
      </c>
      <c r="T81" s="549" t="n">
        <v>33406.25</v>
      </c>
      <c r="U81" s="549" t="n">
        <v>9500</v>
      </c>
      <c r="V81" s="549" t="n">
        <v>9500</v>
      </c>
      <c r="W81" s="549" t="n">
        <v>9500</v>
      </c>
      <c r="X81" s="549" t="n">
        <v>9500</v>
      </c>
      <c r="Y81" s="549" t="n">
        <v>9500</v>
      </c>
      <c r="Z81" s="549" t="n">
        <v>66875</v>
      </c>
      <c r="AA81" s="549" t="n">
        <v>9500</v>
      </c>
      <c r="AB81" s="549" t="n">
        <v>9500</v>
      </c>
      <c r="AC81" s="549" t="n">
        <v>66875</v>
      </c>
      <c r="AD81" s="549" t="n">
        <v>9500</v>
      </c>
      <c r="AE81" s="549" t="n">
        <v>9500</v>
      </c>
      <c r="AF81" s="549" t="n">
        <v>66875</v>
      </c>
      <c r="AG81" s="549" t="n">
        <v>9500</v>
      </c>
      <c r="AH81" s="549" t="n">
        <v>9500</v>
      </c>
      <c r="AI81" s="549" t="n">
        <v>9500</v>
      </c>
      <c r="AJ81" s="549" t="n">
        <v>0</v>
      </c>
      <c r="AK81" s="549" t="n">
        <v>0</v>
      </c>
      <c r="AL81" s="549" t="n">
        <v>0</v>
      </c>
      <c r="AM81" s="549" t="n">
        <v>0</v>
      </c>
      <c r="AN81" s="549" t="n">
        <v>0</v>
      </c>
      <c r="AO81" s="549" t="n">
        <v>0</v>
      </c>
      <c r="AP81" s="549" t="n">
        <v>0</v>
      </c>
      <c r="AQ81" s="549" t="n">
        <v>0</v>
      </c>
      <c r="AR81" s="549" t="n">
        <v>0</v>
      </c>
      <c r="AS81" s="549" t="n">
        <v>0</v>
      </c>
      <c r="AT81" s="549" t="n">
        <v>0</v>
      </c>
      <c r="AU81" s="549" t="n">
        <v>81683</v>
      </c>
      <c r="AV81" s="549" t="n">
        <v>0</v>
      </c>
      <c r="AW81" s="549" t="n">
        <v>0</v>
      </c>
      <c r="AX81" s="549" t="n">
        <v>81682</v>
      </c>
      <c r="AY81" s="549" t="n">
        <v>0</v>
      </c>
      <c r="AZ81" s="549" t="n">
        <v>0</v>
      </c>
      <c r="BA81" s="549" t="n">
        <v>81682</v>
      </c>
      <c r="BB81" s="549" t="n">
        <v>0</v>
      </c>
      <c r="BC81" s="549" t="n">
        <v>0</v>
      </c>
      <c r="BD81" s="549" t="n">
        <v>933521</v>
      </c>
      <c r="BE81" s="549" t="n">
        <v>0</v>
      </c>
      <c r="BF81" s="549" t="n">
        <v>0</v>
      </c>
      <c r="BG81" s="549" t="n">
        <v>130878</v>
      </c>
      <c r="BH81" s="549" t="n">
        <v>0</v>
      </c>
      <c r="BI81" s="549" t="n">
        <v>0</v>
      </c>
      <c r="BJ81" s="549" t="n">
        <v>130876</v>
      </c>
      <c r="BK81" s="549" t="n">
        <v>0</v>
      </c>
      <c r="BL81" s="549" t="n">
        <v>0</v>
      </c>
      <c r="BM81" s="549" t="n">
        <v>130876</v>
      </c>
      <c r="BN81" s="549" t="n">
        <v>0</v>
      </c>
      <c r="BO81" s="549" t="n">
        <v>0</v>
      </c>
      <c r="BP81" s="549" t="n">
        <v>130876</v>
      </c>
      <c r="BQ81" s="549" t="n">
        <v>0</v>
      </c>
      <c r="BR81" s="549" t="n">
        <v>0</v>
      </c>
      <c r="BS81" s="549" t="n">
        <v>142406</v>
      </c>
      <c r="BT81" s="549" t="n">
        <v>0</v>
      </c>
      <c r="BU81" s="549" t="n">
        <v>0</v>
      </c>
      <c r="BV81" s="549" t="n">
        <v>142402</v>
      </c>
      <c r="BW81" s="549" t="n">
        <v>0</v>
      </c>
      <c r="BX81" s="549" t="n">
        <v>0</v>
      </c>
      <c r="BY81" s="549" t="n">
        <v>142402</v>
      </c>
      <c r="BZ81" s="549" t="n">
        <v>0</v>
      </c>
      <c r="CA81" s="549" t="n">
        <v>0</v>
      </c>
      <c r="CB81" s="549" t="n">
        <v>215558</v>
      </c>
      <c r="CC81" s="549" t="n">
        <v>0</v>
      </c>
      <c r="CD81" s="549" t="n">
        <v>0</v>
      </c>
      <c r="CE81" s="549" t="n">
        <v>231017</v>
      </c>
      <c r="CF81" s="549" t="n">
        <v>0</v>
      </c>
      <c r="CG81" s="549" t="n">
        <v>0</v>
      </c>
      <c r="CH81" s="549" t="n">
        <v>231016</v>
      </c>
      <c r="CI81" s="549" t="n">
        <v>0</v>
      </c>
      <c r="CJ81" s="549" t="n">
        <v>0</v>
      </c>
      <c r="CK81" s="549" t="n">
        <v>231016</v>
      </c>
      <c r="CL81" s="549" t="n">
        <v>231016</v>
      </c>
      <c r="CM81" s="549" t="n">
        <v>231016</v>
      </c>
      <c r="CN81" s="549" t="n">
        <v>231016</v>
      </c>
      <c r="CO81" s="549" t="n">
        <v>231016</v>
      </c>
      <c r="CP81" s="549" t="n">
        <v>231016</v>
      </c>
      <c r="CQ81" s="549" t="n">
        <v>231016</v>
      </c>
      <c r="CR81" s="549" t="n">
        <v>231016</v>
      </c>
      <c r="CS81" s="549" t="n">
        <v>231016</v>
      </c>
      <c r="CT81" s="549" t="n">
        <v>231016</v>
      </c>
      <c r="CU81" s="549" t="n">
        <v>231016</v>
      </c>
      <c r="CV81" s="549" t="n">
        <v>231016</v>
      </c>
      <c r="CW81" s="549" t="n">
        <v>231016</v>
      </c>
      <c r="CX81" s="549" t="n">
        <v>231016</v>
      </c>
      <c r="CY81" s="549" t="n">
        <v>231016</v>
      </c>
      <c r="CZ81" s="549" t="n">
        <v>231016</v>
      </c>
      <c r="DA81" s="549" t="n">
        <v>231016</v>
      </c>
      <c r="DB81" s="549" t="n">
        <v>231016</v>
      </c>
      <c r="DC81" s="549" t="n">
        <v>231016</v>
      </c>
      <c r="DD81" s="549" t="n">
        <v>231016</v>
      </c>
      <c r="DE81" s="549" t="n">
        <v>231016</v>
      </c>
      <c r="DF81" s="549" t="n">
        <v>231016</v>
      </c>
    </row>
    <row r="82" ht="15" customFormat="1" customHeight="1" s="381">
      <c r="A82" s="472" t="n"/>
      <c r="C82" s="486" t="n">
        <v>0</v>
      </c>
      <c r="D82" s="486" t="n">
        <v>0</v>
      </c>
      <c r="E82" s="486" t="n">
        <v>0</v>
      </c>
      <c r="F82" s="543" t="n">
        <v>0</v>
      </c>
      <c r="G82" s="543" t="n">
        <v>0</v>
      </c>
      <c r="H82" s="543" t="n">
        <v>0</v>
      </c>
      <c r="I82" s="543" t="n">
        <v>0</v>
      </c>
      <c r="J82" s="543" t="n">
        <v>0</v>
      </c>
      <c r="K82" s="543" t="n">
        <v>0</v>
      </c>
      <c r="L82" s="543" t="n">
        <v>0</v>
      </c>
      <c r="M82" s="543" t="n">
        <v>0</v>
      </c>
      <c r="N82" s="543" t="n">
        <v>0</v>
      </c>
      <c r="O82" s="543" t="n">
        <v>0</v>
      </c>
      <c r="P82" s="543" t="n">
        <v>0</v>
      </c>
      <c r="Q82" s="543" t="n">
        <v>0</v>
      </c>
      <c r="R82" s="543" t="n">
        <v>0</v>
      </c>
      <c r="S82" s="543" t="n">
        <v>0</v>
      </c>
      <c r="T82" s="543" t="n">
        <v>0</v>
      </c>
      <c r="U82" s="543" t="n">
        <v>0</v>
      </c>
      <c r="V82" s="543" t="n">
        <v>0</v>
      </c>
      <c r="W82" s="543" t="n">
        <v>0</v>
      </c>
      <c r="X82" s="543" t="n">
        <v>0</v>
      </c>
      <c r="Y82" s="543" t="n">
        <v>0</v>
      </c>
      <c r="Z82" s="543" t="n">
        <v>0</v>
      </c>
      <c r="AA82" s="543" t="n">
        <v>0</v>
      </c>
      <c r="AB82" s="543" t="n">
        <v>0</v>
      </c>
      <c r="AC82" s="543" t="n">
        <v>0</v>
      </c>
      <c r="AD82" s="543" t="n">
        <v>0</v>
      </c>
      <c r="AE82" s="543" t="n">
        <v>0</v>
      </c>
      <c r="AF82" s="543" t="n">
        <v>0</v>
      </c>
      <c r="AG82" s="543" t="n">
        <v>0</v>
      </c>
      <c r="AH82" s="543" t="n">
        <v>0</v>
      </c>
      <c r="AI82" s="543" t="n">
        <v>0</v>
      </c>
      <c r="AJ82" s="543" t="n">
        <v>0</v>
      </c>
      <c r="AK82" s="543" t="n">
        <v>0</v>
      </c>
      <c r="AL82" s="543" t="n">
        <v>0</v>
      </c>
      <c r="AM82" s="543" t="n">
        <v>0</v>
      </c>
      <c r="AN82" s="543" t="n">
        <v>0</v>
      </c>
      <c r="AO82" s="543" t="n">
        <v>0</v>
      </c>
      <c r="AP82" s="543" t="n">
        <v>0</v>
      </c>
      <c r="AQ82" s="543" t="n">
        <v>0</v>
      </c>
      <c r="AR82" s="543" t="n">
        <v>0</v>
      </c>
      <c r="AS82" s="543" t="n">
        <v>0</v>
      </c>
      <c r="AT82" s="543" t="n">
        <v>0</v>
      </c>
      <c r="AU82" s="543" t="n">
        <v>0</v>
      </c>
      <c r="AV82" s="543" t="n">
        <v>0</v>
      </c>
      <c r="AW82" s="543" t="n">
        <v>0</v>
      </c>
      <c r="AX82" s="543" t="n">
        <v>0</v>
      </c>
      <c r="AY82" s="543" t="n">
        <v>0</v>
      </c>
      <c r="AZ82" s="543" t="n">
        <v>0</v>
      </c>
      <c r="BA82" s="543" t="n">
        <v>0</v>
      </c>
      <c r="BB82" s="543" t="n">
        <v>0</v>
      </c>
      <c r="BC82" s="543" t="n">
        <v>0</v>
      </c>
      <c r="BD82" s="543" t="n">
        <v>0</v>
      </c>
      <c r="BE82" s="543" t="n">
        <v>0</v>
      </c>
      <c r="BF82" s="543" t="n">
        <v>0</v>
      </c>
      <c r="BG82" s="543" t="n">
        <v>0</v>
      </c>
      <c r="BH82" s="543" t="n">
        <v>0</v>
      </c>
      <c r="BI82" s="543" t="n">
        <v>0</v>
      </c>
      <c r="BJ82" s="543" t="n">
        <v>0</v>
      </c>
      <c r="BK82" s="543" t="n">
        <v>0</v>
      </c>
      <c r="BL82" s="543" t="n">
        <v>0</v>
      </c>
      <c r="BM82" s="543" t="n">
        <v>0</v>
      </c>
      <c r="BN82" s="543" t="n">
        <v>0</v>
      </c>
      <c r="BO82" s="543" t="n">
        <v>0</v>
      </c>
      <c r="BP82" s="543" t="n">
        <v>0</v>
      </c>
      <c r="BQ82" s="543" t="n">
        <v>0</v>
      </c>
      <c r="BR82" s="543" t="n">
        <v>0</v>
      </c>
      <c r="BS82" s="543" t="n">
        <v>0</v>
      </c>
      <c r="BT82" s="543" t="n">
        <v>0</v>
      </c>
      <c r="BU82" s="543" t="n">
        <v>0</v>
      </c>
      <c r="BV82" s="543" t="n">
        <v>0</v>
      </c>
      <c r="BW82" s="543" t="n">
        <v>0</v>
      </c>
      <c r="BX82" s="543" t="n">
        <v>0</v>
      </c>
      <c r="BY82" s="543" t="n">
        <v>0</v>
      </c>
      <c r="BZ82" s="543" t="n">
        <v>0</v>
      </c>
      <c r="CA82" s="543" t="n">
        <v>0</v>
      </c>
      <c r="CB82" s="543" t="n">
        <v>0</v>
      </c>
      <c r="CC82" s="543" t="n">
        <v>0</v>
      </c>
      <c r="CD82" s="543" t="n">
        <v>0</v>
      </c>
      <c r="CE82" s="543" t="n">
        <v>0</v>
      </c>
      <c r="CF82" s="543" t="n">
        <v>0</v>
      </c>
      <c r="CG82" s="543" t="n">
        <v>0</v>
      </c>
      <c r="CH82" s="543" t="n">
        <v>0</v>
      </c>
      <c r="CI82" s="543" t="n">
        <v>0</v>
      </c>
      <c r="CJ82" s="543" t="n">
        <v>0</v>
      </c>
      <c r="CK82" s="543" t="n">
        <v>0</v>
      </c>
      <c r="CL82" s="543" t="n">
        <v>0</v>
      </c>
      <c r="CM82" s="543" t="n">
        <v>0</v>
      </c>
      <c r="CN82" s="543" t="n">
        <v>0</v>
      </c>
      <c r="CO82" s="543" t="n">
        <v>0</v>
      </c>
      <c r="CP82" s="543" t="n">
        <v>0</v>
      </c>
      <c r="CQ82" s="543" t="n">
        <v>0</v>
      </c>
      <c r="CR82" s="543" t="n">
        <v>0</v>
      </c>
      <c r="CS82" s="543" t="n">
        <v>0</v>
      </c>
      <c r="CT82" s="543" t="n">
        <v>0</v>
      </c>
      <c r="CU82" s="543" t="n">
        <v>0</v>
      </c>
      <c r="CV82" s="543" t="n">
        <v>0</v>
      </c>
      <c r="CW82" s="543" t="n">
        <v>0</v>
      </c>
      <c r="CX82" s="543" t="n">
        <v>0</v>
      </c>
      <c r="CY82" s="543" t="n">
        <v>0</v>
      </c>
      <c r="CZ82" s="543" t="n">
        <v>0</v>
      </c>
      <c r="DA82" s="543" t="n">
        <v>0</v>
      </c>
      <c r="DB82" s="543" t="n">
        <v>0</v>
      </c>
      <c r="DC82" s="543" t="n">
        <v>0</v>
      </c>
      <c r="DD82" s="543" t="n">
        <v>0</v>
      </c>
      <c r="DE82" s="543" t="n">
        <v>0</v>
      </c>
      <c r="DF82" s="543" t="n">
        <v>0</v>
      </c>
    </row>
    <row r="83" ht="15" customFormat="1" customHeight="1" s="381">
      <c r="A83" s="472" t="inlineStr">
        <is>
          <t>5000-1000 Payroll</t>
        </is>
      </c>
      <c r="C83" s="486" t="n">
        <v>-54421</v>
      </c>
      <c r="D83" s="486" t="n">
        <v>-54166.68</v>
      </c>
      <c r="E83" s="486" t="n">
        <v>-54166.68</v>
      </c>
      <c r="F83" s="543" t="n">
        <v>-11458.3333333333</v>
      </c>
      <c r="G83" s="543" t="n">
        <v>-11458.3333333333</v>
      </c>
      <c r="H83" s="543" t="n">
        <v>-11458.3333333333</v>
      </c>
      <c r="I83" s="543" t="n">
        <v>-11458.3333333333</v>
      </c>
      <c r="J83" s="543" t="n">
        <v>-11458.3333333333</v>
      </c>
      <c r="K83" s="543" t="n">
        <v>-11458.3333333333</v>
      </c>
      <c r="L83" s="543" t="n">
        <v>-11458.3333333333</v>
      </c>
      <c r="M83" s="543" t="n">
        <v>-11458.3333333333</v>
      </c>
      <c r="N83" s="543" t="n">
        <v>-11458.3333333333</v>
      </c>
      <c r="O83" s="543" t="n">
        <v>-11458.3333333333</v>
      </c>
      <c r="P83" s="543" t="n">
        <v>-11458.3333333333</v>
      </c>
      <c r="Q83" s="543" t="n">
        <v>-11458.3333333333</v>
      </c>
      <c r="R83" s="543" t="n">
        <v>-11687.5</v>
      </c>
      <c r="S83" s="543" t="n">
        <v>-11687.5</v>
      </c>
      <c r="T83" s="543" t="n">
        <v>-11687.5</v>
      </c>
      <c r="U83" s="543" t="n">
        <v>-11687.5</v>
      </c>
      <c r="V83" s="543" t="n">
        <v>-11687.5</v>
      </c>
      <c r="W83" s="543" t="n">
        <v>-11687.5</v>
      </c>
      <c r="X83" s="543" t="n">
        <v>-11687.5</v>
      </c>
      <c r="Y83" s="543" t="n">
        <v>-11687.5</v>
      </c>
      <c r="Z83" s="543" t="n">
        <v>-11687.5</v>
      </c>
      <c r="AA83" s="543" t="n">
        <v>-11687.5</v>
      </c>
      <c r="AB83" s="543" t="n">
        <v>-11687.5</v>
      </c>
      <c r="AC83" s="543" t="n">
        <v>-11687.5</v>
      </c>
      <c r="AD83" s="543" t="n">
        <v>-11921.25</v>
      </c>
      <c r="AE83" s="543" t="n">
        <v>-11921.25</v>
      </c>
      <c r="AF83" s="543" t="n">
        <v>-11921.25</v>
      </c>
      <c r="AG83" s="543" t="n">
        <v>-11921.25</v>
      </c>
      <c r="AH83" s="543" t="n">
        <v>-11921.25</v>
      </c>
      <c r="AI83" s="543" t="n">
        <v>-11921.25</v>
      </c>
      <c r="AJ83" s="543" t="n">
        <v>-11921.25</v>
      </c>
      <c r="AK83" s="543" t="n">
        <v>-11921.25</v>
      </c>
      <c r="AL83" s="543" t="n">
        <v>-11921.25</v>
      </c>
      <c r="AM83" s="543" t="n">
        <v>-11921.25</v>
      </c>
      <c r="AN83" s="543" t="n">
        <v>-11921.25</v>
      </c>
      <c r="AO83" s="543" t="n">
        <v>-11921.25</v>
      </c>
      <c r="AP83" s="543" t="n">
        <v>-12159.675</v>
      </c>
      <c r="AQ83" s="543" t="n">
        <v>-12159.675</v>
      </c>
      <c r="AR83" s="543" t="n">
        <v>-12159.675</v>
      </c>
      <c r="AS83" s="543" t="n">
        <v>-12159.675</v>
      </c>
      <c r="AT83" s="543" t="n">
        <v>-12159.675</v>
      </c>
      <c r="AU83" s="543" t="n">
        <v>-12159.675</v>
      </c>
      <c r="AV83" s="543" t="n">
        <v>-12159.675</v>
      </c>
      <c r="AW83" s="543" t="n">
        <v>-12159.675</v>
      </c>
      <c r="AX83" s="543" t="n">
        <v>-12159.675</v>
      </c>
      <c r="AY83" s="543" t="n">
        <v>-12159.675</v>
      </c>
      <c r="AZ83" s="543" t="n">
        <v>-12159.675</v>
      </c>
      <c r="BA83" s="543" t="n">
        <v>-12159.675</v>
      </c>
      <c r="BB83" s="543" t="n">
        <v>-12402.8685</v>
      </c>
      <c r="BC83" s="543" t="n">
        <v>-12402.8685</v>
      </c>
      <c r="BD83" s="543" t="n">
        <v>-12402.8685</v>
      </c>
      <c r="BE83" s="543" t="n">
        <v>-12402.8685</v>
      </c>
      <c r="BF83" s="543" t="n">
        <v>-12402.8685</v>
      </c>
      <c r="BG83" s="543" t="n">
        <v>-12402.8685</v>
      </c>
      <c r="BH83" s="543" t="n">
        <v>-12402.8685</v>
      </c>
      <c r="BI83" s="543" t="n">
        <v>-12402.8685</v>
      </c>
      <c r="BJ83" s="543" t="n">
        <v>-12402.8685</v>
      </c>
      <c r="BK83" s="543" t="n">
        <v>-12402.8685</v>
      </c>
      <c r="BL83" s="543" t="n">
        <v>-12402.8685</v>
      </c>
      <c r="BM83" s="543" t="n">
        <v>-12402.8685</v>
      </c>
      <c r="BN83" s="543" t="n">
        <v>-12650.92587</v>
      </c>
      <c r="BO83" s="543" t="n">
        <v>-12650.92587</v>
      </c>
      <c r="BP83" s="543" t="n">
        <v>-12650.92587</v>
      </c>
      <c r="BQ83" s="543" t="n">
        <v>-12650.92587</v>
      </c>
      <c r="BR83" s="543" t="n">
        <v>-12650.92587</v>
      </c>
      <c r="BS83" s="543" t="n">
        <v>-12650.92587</v>
      </c>
      <c r="BT83" s="543" t="n">
        <v>-12650.92587</v>
      </c>
      <c r="BU83" s="543" t="n">
        <v>-12650.92587</v>
      </c>
      <c r="BV83" s="543" t="n">
        <v>-12650.92587</v>
      </c>
      <c r="BW83" s="543" t="n">
        <v>-12650.92587</v>
      </c>
      <c r="BX83" s="543" t="n">
        <v>-12650.92587</v>
      </c>
      <c r="BY83" s="543" t="n">
        <v>-12650.92587</v>
      </c>
      <c r="BZ83" s="543" t="n">
        <v>-12903.9443874</v>
      </c>
      <c r="CA83" s="543" t="n">
        <v>-12903.9443874</v>
      </c>
      <c r="CB83" s="543" t="n">
        <v>-12903.9443874</v>
      </c>
      <c r="CC83" s="543" t="n">
        <v>-12903.9443874</v>
      </c>
      <c r="CD83" s="543" t="n">
        <v>-12903.9443874</v>
      </c>
      <c r="CE83" s="543" t="n">
        <v>-12903.9443874</v>
      </c>
      <c r="CF83" s="543" t="n">
        <v>-12903.9443874</v>
      </c>
      <c r="CG83" s="543" t="n">
        <v>-12903.9443874</v>
      </c>
      <c r="CH83" s="543" t="n">
        <v>-12903.9443874</v>
      </c>
      <c r="CI83" s="543" t="n">
        <v>-12903.9443874</v>
      </c>
      <c r="CJ83" s="543" t="n">
        <v>-12903.9443874</v>
      </c>
      <c r="CK83" s="543" t="n">
        <v>-12903.9443874</v>
      </c>
      <c r="CL83" s="543" t="n">
        <v>-13162.023275148</v>
      </c>
      <c r="CM83" s="543" t="n">
        <v>-13162.023275148</v>
      </c>
      <c r="CN83" s="543" t="n">
        <v>-13162.023275148</v>
      </c>
      <c r="CO83" s="543" t="n">
        <v>-13162.023275148</v>
      </c>
      <c r="CP83" s="543" t="n">
        <v>-13162.023275148</v>
      </c>
      <c r="CQ83" s="543" t="n">
        <v>-13162.023275148</v>
      </c>
      <c r="CR83" s="543" t="n">
        <v>-13162.023275148</v>
      </c>
      <c r="CS83" s="543" t="n">
        <v>-13162.023275148</v>
      </c>
      <c r="CT83" s="543" t="n">
        <v>-13162.023275148</v>
      </c>
      <c r="CU83" s="543" t="n">
        <v>-13162.023275148</v>
      </c>
      <c r="CV83" s="543" t="n">
        <v>-13162.023275148</v>
      </c>
      <c r="CW83" s="543" t="n">
        <v>-13162.023275148</v>
      </c>
      <c r="CX83" s="543" t="n">
        <v>-13425.263740651</v>
      </c>
      <c r="CY83" s="543" t="n">
        <v>-13425.263740651</v>
      </c>
      <c r="CZ83" s="543" t="n">
        <v>-13425.263740651</v>
      </c>
      <c r="DA83" s="543" t="n">
        <v>-13425.263740651</v>
      </c>
      <c r="DB83" s="543" t="n">
        <v>-13425.263740651</v>
      </c>
      <c r="DC83" s="543" t="n">
        <v>-13425.263740651</v>
      </c>
      <c r="DD83" s="543" t="n">
        <v>-13425.263740651</v>
      </c>
      <c r="DE83" s="543" t="n">
        <v>-13425.263740651</v>
      </c>
      <c r="DF83" s="543" t="n">
        <v>-13425.263740651</v>
      </c>
    </row>
    <row r="84" ht="15" customFormat="1" customHeight="1" s="381">
      <c r="A84" s="472" t="inlineStr">
        <is>
          <t>5000-1001 Payroll Taxes</t>
        </is>
      </c>
      <c r="C84" s="486" t="n">
        <v>-5302</v>
      </c>
      <c r="D84" s="486" t="n">
        <v>-4279.79</v>
      </c>
      <c r="E84" s="486" t="n">
        <v>-4145.97</v>
      </c>
      <c r="F84" s="543" t="n">
        <v>-802.0833333333341</v>
      </c>
      <c r="G84" s="543" t="n">
        <v>-802.0833333333341</v>
      </c>
      <c r="H84" s="543" t="n">
        <v>-802.0833333333341</v>
      </c>
      <c r="I84" s="543" t="n">
        <v>-802.0833333333341</v>
      </c>
      <c r="J84" s="543" t="n">
        <v>-802.0833333333341</v>
      </c>
      <c r="K84" s="543" t="n">
        <v>-802.0833333333341</v>
      </c>
      <c r="L84" s="543" t="n">
        <v>-802.0833333333341</v>
      </c>
      <c r="M84" s="543" t="n">
        <v>-802.0833333333341</v>
      </c>
      <c r="N84" s="543" t="n">
        <v>-802.0833333333341</v>
      </c>
      <c r="O84" s="543" t="n">
        <v>-802.0833333333341</v>
      </c>
      <c r="P84" s="543" t="n">
        <v>-802.0833333333341</v>
      </c>
      <c r="Q84" s="543" t="n">
        <v>-802.0833333333341</v>
      </c>
      <c r="R84" s="543" t="n">
        <v>-818.125</v>
      </c>
      <c r="S84" s="543" t="n">
        <v>-818.125</v>
      </c>
      <c r="T84" s="543" t="n">
        <v>-818.125</v>
      </c>
      <c r="U84" s="543" t="n">
        <v>-818.125</v>
      </c>
      <c r="V84" s="543" t="n">
        <v>-818.125</v>
      </c>
      <c r="W84" s="543" t="n">
        <v>-818.125</v>
      </c>
      <c r="X84" s="543" t="n">
        <v>-818.125</v>
      </c>
      <c r="Y84" s="543" t="n">
        <v>-818.125</v>
      </c>
      <c r="Z84" s="543" t="n">
        <v>-818.125</v>
      </c>
      <c r="AA84" s="543" t="n">
        <v>-818.125</v>
      </c>
      <c r="AB84" s="543" t="n">
        <v>-818.125</v>
      </c>
      <c r="AC84" s="543" t="n">
        <v>-818.125</v>
      </c>
      <c r="AD84" s="543" t="n">
        <v>-834.4875</v>
      </c>
      <c r="AE84" s="543" t="n">
        <v>-834.4875</v>
      </c>
      <c r="AF84" s="543" t="n">
        <v>-834.4875</v>
      </c>
      <c r="AG84" s="543" t="n">
        <v>-834.4875</v>
      </c>
      <c r="AH84" s="543" t="n">
        <v>-834.4875</v>
      </c>
      <c r="AI84" s="543" t="n">
        <v>-834.4875</v>
      </c>
      <c r="AJ84" s="543" t="n">
        <v>-834.4875</v>
      </c>
      <c r="AK84" s="543" t="n">
        <v>-834.4875</v>
      </c>
      <c r="AL84" s="543" t="n">
        <v>-834.4875</v>
      </c>
      <c r="AM84" s="543" t="n">
        <v>-834.4875</v>
      </c>
      <c r="AN84" s="543" t="n">
        <v>-834.4875</v>
      </c>
      <c r="AO84" s="543" t="n">
        <v>-834.4875</v>
      </c>
      <c r="AP84" s="543" t="n">
        <v>-851.17725</v>
      </c>
      <c r="AQ84" s="543" t="n">
        <v>-851.17725</v>
      </c>
      <c r="AR84" s="543" t="n">
        <v>-851.17725</v>
      </c>
      <c r="AS84" s="543" t="n">
        <v>-851.17725</v>
      </c>
      <c r="AT84" s="543" t="n">
        <v>-851.17725</v>
      </c>
      <c r="AU84" s="543" t="n">
        <v>-851.17725</v>
      </c>
      <c r="AV84" s="543" t="n">
        <v>-851.17725</v>
      </c>
      <c r="AW84" s="543" t="n">
        <v>-851.17725</v>
      </c>
      <c r="AX84" s="543" t="n">
        <v>-851.17725</v>
      </c>
      <c r="AY84" s="543" t="n">
        <v>-851.17725</v>
      </c>
      <c r="AZ84" s="543" t="n">
        <v>-851.17725</v>
      </c>
      <c r="BA84" s="543" t="n">
        <v>-851.17725</v>
      </c>
      <c r="BB84" s="543" t="n">
        <v>-868.200795</v>
      </c>
      <c r="BC84" s="543" t="n">
        <v>-868.200795</v>
      </c>
      <c r="BD84" s="543" t="n">
        <v>-868.200795</v>
      </c>
      <c r="BE84" s="543" t="n">
        <v>-868.200795</v>
      </c>
      <c r="BF84" s="543" t="n">
        <v>-868.200795</v>
      </c>
      <c r="BG84" s="543" t="n">
        <v>-868.200795</v>
      </c>
      <c r="BH84" s="543" t="n">
        <v>-868.200795</v>
      </c>
      <c r="BI84" s="543" t="n">
        <v>-868.200795</v>
      </c>
      <c r="BJ84" s="543" t="n">
        <v>-868.200795</v>
      </c>
      <c r="BK84" s="543" t="n">
        <v>-868.200795</v>
      </c>
      <c r="BL84" s="543" t="n">
        <v>-868.200795</v>
      </c>
      <c r="BM84" s="543" t="n">
        <v>-868.200795</v>
      </c>
      <c r="BN84" s="543" t="n">
        <v>-885.5648109</v>
      </c>
      <c r="BO84" s="543" t="n">
        <v>-885.5648109</v>
      </c>
      <c r="BP84" s="543" t="n">
        <v>-885.5648109</v>
      </c>
      <c r="BQ84" s="543" t="n">
        <v>-885.5648109</v>
      </c>
      <c r="BR84" s="543" t="n">
        <v>-885.5648109</v>
      </c>
      <c r="BS84" s="543" t="n">
        <v>-885.5648109</v>
      </c>
      <c r="BT84" s="543" t="n">
        <v>-885.5648109</v>
      </c>
      <c r="BU84" s="543" t="n">
        <v>-885.5648109</v>
      </c>
      <c r="BV84" s="543" t="n">
        <v>-885.5648109</v>
      </c>
      <c r="BW84" s="543" t="n">
        <v>-885.5648109</v>
      </c>
      <c r="BX84" s="543" t="n">
        <v>-885.5648109</v>
      </c>
      <c r="BY84" s="543" t="n">
        <v>-885.5648109</v>
      </c>
      <c r="BZ84" s="543" t="n">
        <v>-903.276107118</v>
      </c>
      <c r="CA84" s="543" t="n">
        <v>-903.276107118</v>
      </c>
      <c r="CB84" s="543" t="n">
        <v>-903.276107118</v>
      </c>
      <c r="CC84" s="543" t="n">
        <v>-903.276107118</v>
      </c>
      <c r="CD84" s="543" t="n">
        <v>-903.276107118</v>
      </c>
      <c r="CE84" s="543" t="n">
        <v>-903.276107118</v>
      </c>
      <c r="CF84" s="543" t="n">
        <v>-903.276107118</v>
      </c>
      <c r="CG84" s="543" t="n">
        <v>-903.276107118</v>
      </c>
      <c r="CH84" s="543" t="n">
        <v>-903.276107118</v>
      </c>
      <c r="CI84" s="543" t="n">
        <v>-903.276107118</v>
      </c>
      <c r="CJ84" s="543" t="n">
        <v>-903.276107118</v>
      </c>
      <c r="CK84" s="543" t="n">
        <v>-903.276107118</v>
      </c>
      <c r="CL84" s="543" t="n">
        <v>-921.34162926036</v>
      </c>
      <c r="CM84" s="543" t="n">
        <v>-921.34162926036</v>
      </c>
      <c r="CN84" s="543" t="n">
        <v>-921.34162926036</v>
      </c>
      <c r="CO84" s="543" t="n">
        <v>-921.34162926036</v>
      </c>
      <c r="CP84" s="543" t="n">
        <v>-921.34162926036</v>
      </c>
      <c r="CQ84" s="543" t="n">
        <v>-921.34162926036</v>
      </c>
      <c r="CR84" s="543" t="n">
        <v>-921.34162926036</v>
      </c>
      <c r="CS84" s="543" t="n">
        <v>-921.34162926036</v>
      </c>
      <c r="CT84" s="543" t="n">
        <v>-921.34162926036</v>
      </c>
      <c r="CU84" s="543" t="n">
        <v>0</v>
      </c>
      <c r="CV84" s="543" t="n">
        <v>0</v>
      </c>
      <c r="CW84" s="543" t="n">
        <v>0</v>
      </c>
      <c r="CX84" s="543" t="n">
        <v>0</v>
      </c>
      <c r="CY84" s="543" t="n">
        <v>0</v>
      </c>
      <c r="CZ84" s="543" t="n">
        <v>0</v>
      </c>
      <c r="DA84" s="543" t="n">
        <v>0</v>
      </c>
      <c r="DB84" s="543" t="n">
        <v>0</v>
      </c>
      <c r="DC84" s="543" t="n">
        <v>0</v>
      </c>
      <c r="DD84" s="543" t="n">
        <v>0</v>
      </c>
      <c r="DE84" s="543" t="n">
        <v>0</v>
      </c>
      <c r="DF84" s="543" t="n">
        <v>0</v>
      </c>
    </row>
    <row r="85" ht="15" customFormat="1" customHeight="1" s="381">
      <c r="A85" s="472" t="inlineStr">
        <is>
          <t>5000-1002 Employee Benefits</t>
        </is>
      </c>
      <c r="C85" s="486" t="n">
        <v>-12137.77</v>
      </c>
      <c r="D85" s="486" t="n">
        <v>-12137.78</v>
      </c>
      <c r="E85" s="486" t="n">
        <v>-12137.78</v>
      </c>
      <c r="F85" s="543" t="n">
        <v>-572.916666666667</v>
      </c>
      <c r="G85" s="543" t="n">
        <v>-572.916666666667</v>
      </c>
      <c r="H85" s="543" t="n">
        <v>-572.916666666667</v>
      </c>
      <c r="I85" s="543" t="n">
        <v>-572.916666666667</v>
      </c>
      <c r="J85" s="543" t="n">
        <v>-572.916666666667</v>
      </c>
      <c r="K85" s="543" t="n">
        <v>-572.916666666667</v>
      </c>
      <c r="L85" s="543" t="n">
        <v>-572.916666666667</v>
      </c>
      <c r="M85" s="543" t="n">
        <v>-572.916666666667</v>
      </c>
      <c r="N85" s="543" t="n">
        <v>-572.916666666667</v>
      </c>
      <c r="O85" s="543" t="n">
        <v>-572.916666666667</v>
      </c>
      <c r="P85" s="543" t="n">
        <v>-572.916666666667</v>
      </c>
      <c r="Q85" s="543" t="n">
        <v>-572.916666666667</v>
      </c>
      <c r="R85" s="543" t="n">
        <v>-584.375</v>
      </c>
      <c r="S85" s="543" t="n">
        <v>-584.375</v>
      </c>
      <c r="T85" s="543" t="n">
        <v>-584.375</v>
      </c>
      <c r="U85" s="543" t="n">
        <v>-584.375</v>
      </c>
      <c r="V85" s="543" t="n">
        <v>-584.375</v>
      </c>
      <c r="W85" s="543" t="n">
        <v>-584.375</v>
      </c>
      <c r="X85" s="543" t="n">
        <v>-584.375</v>
      </c>
      <c r="Y85" s="543" t="n">
        <v>-584.375</v>
      </c>
      <c r="Z85" s="543" t="n">
        <v>-584.375</v>
      </c>
      <c r="AA85" s="543" t="n">
        <v>-584.375</v>
      </c>
      <c r="AB85" s="543" t="n">
        <v>-584.375</v>
      </c>
      <c r="AC85" s="543" t="n">
        <v>-584.375</v>
      </c>
      <c r="AD85" s="543" t="n">
        <v>-596.0625</v>
      </c>
      <c r="AE85" s="543" t="n">
        <v>-596.0625</v>
      </c>
      <c r="AF85" s="543" t="n">
        <v>-596.0625</v>
      </c>
      <c r="AG85" s="543" t="n">
        <v>-596.0625</v>
      </c>
      <c r="AH85" s="543" t="n">
        <v>-596.0625</v>
      </c>
      <c r="AI85" s="543" t="n">
        <v>-596.0625</v>
      </c>
      <c r="AJ85" s="543" t="n">
        <v>-596.0625</v>
      </c>
      <c r="AK85" s="543" t="n">
        <v>-596.0625</v>
      </c>
      <c r="AL85" s="543" t="n">
        <v>-596.0625</v>
      </c>
      <c r="AM85" s="543" t="n">
        <v>-596.0625</v>
      </c>
      <c r="AN85" s="543" t="n">
        <v>-596.0625</v>
      </c>
      <c r="AO85" s="543" t="n">
        <v>-596.0625</v>
      </c>
      <c r="AP85" s="543" t="n">
        <v>-607.98375</v>
      </c>
      <c r="AQ85" s="543" t="n">
        <v>-607.98375</v>
      </c>
      <c r="AR85" s="543" t="n">
        <v>-607.98375</v>
      </c>
      <c r="AS85" s="543" t="n">
        <v>-607.98375</v>
      </c>
      <c r="AT85" s="543" t="n">
        <v>-607.98375</v>
      </c>
      <c r="AU85" s="543" t="n">
        <v>-607.98375</v>
      </c>
      <c r="AV85" s="543" t="n">
        <v>-607.98375</v>
      </c>
      <c r="AW85" s="543" t="n">
        <v>-607.98375</v>
      </c>
      <c r="AX85" s="543" t="n">
        <v>-607.98375</v>
      </c>
      <c r="AY85" s="543" t="n">
        <v>-607.98375</v>
      </c>
      <c r="AZ85" s="543" t="n">
        <v>-607.98375</v>
      </c>
      <c r="BA85" s="543" t="n">
        <v>-607.98375</v>
      </c>
      <c r="BB85" s="543" t="n">
        <v>-620.143425</v>
      </c>
      <c r="BC85" s="543" t="n">
        <v>-620.143425</v>
      </c>
      <c r="BD85" s="543" t="n">
        <v>-620.143425</v>
      </c>
      <c r="BE85" s="543" t="n">
        <v>-620.143425</v>
      </c>
      <c r="BF85" s="543" t="n">
        <v>-620.143425</v>
      </c>
      <c r="BG85" s="543" t="n">
        <v>-620.143425</v>
      </c>
      <c r="BH85" s="543" t="n">
        <v>-620.143425</v>
      </c>
      <c r="BI85" s="543" t="n">
        <v>-620.143425</v>
      </c>
      <c r="BJ85" s="543" t="n">
        <v>-620.143425</v>
      </c>
      <c r="BK85" s="543" t="n">
        <v>-620.143425</v>
      </c>
      <c r="BL85" s="543" t="n">
        <v>-620.143425</v>
      </c>
      <c r="BM85" s="543" t="n">
        <v>-620.143425</v>
      </c>
      <c r="BN85" s="543" t="n">
        <v>-632.5462935</v>
      </c>
      <c r="BO85" s="543" t="n">
        <v>-632.5462935</v>
      </c>
      <c r="BP85" s="543" t="n">
        <v>-632.5462935</v>
      </c>
      <c r="BQ85" s="543" t="n">
        <v>-632.5462935</v>
      </c>
      <c r="BR85" s="543" t="n">
        <v>-632.5462935</v>
      </c>
      <c r="BS85" s="543" t="n">
        <v>-632.5462935</v>
      </c>
      <c r="BT85" s="543" t="n">
        <v>-632.5462935</v>
      </c>
      <c r="BU85" s="543" t="n">
        <v>-632.5462935</v>
      </c>
      <c r="BV85" s="543" t="n">
        <v>-632.5462935</v>
      </c>
      <c r="BW85" s="543" t="n">
        <v>-632.5462935</v>
      </c>
      <c r="BX85" s="543" t="n">
        <v>-632.5462935</v>
      </c>
      <c r="BY85" s="543" t="n">
        <v>-632.5462935</v>
      </c>
      <c r="BZ85" s="543" t="n">
        <v>-645.19721937</v>
      </c>
      <c r="CA85" s="543" t="n">
        <v>-645.19721937</v>
      </c>
      <c r="CB85" s="543" t="n">
        <v>-645.19721937</v>
      </c>
      <c r="CC85" s="543" t="n">
        <v>-645.19721937</v>
      </c>
      <c r="CD85" s="543" t="n">
        <v>-645.19721937</v>
      </c>
      <c r="CE85" s="543" t="n">
        <v>-645.19721937</v>
      </c>
      <c r="CF85" s="543" t="n">
        <v>-645.19721937</v>
      </c>
      <c r="CG85" s="543" t="n">
        <v>-645.19721937</v>
      </c>
      <c r="CH85" s="543" t="n">
        <v>-645.19721937</v>
      </c>
      <c r="CI85" s="543" t="n">
        <v>-645.19721937</v>
      </c>
      <c r="CJ85" s="543" t="n">
        <v>-645.19721937</v>
      </c>
      <c r="CK85" s="543" t="n">
        <v>-645.19721937</v>
      </c>
      <c r="CL85" s="543" t="n">
        <v>-658.1011637573999</v>
      </c>
      <c r="CM85" s="543" t="n">
        <v>-658.1011637573999</v>
      </c>
      <c r="CN85" s="543" t="n">
        <v>-658.1011637573999</v>
      </c>
      <c r="CO85" s="543" t="n">
        <v>-658.1011637573999</v>
      </c>
      <c r="CP85" s="543" t="n">
        <v>-658.1011637573999</v>
      </c>
      <c r="CQ85" s="543" t="n">
        <v>-658.1011637573999</v>
      </c>
      <c r="CR85" s="543" t="n">
        <v>-658.1011637573999</v>
      </c>
      <c r="CS85" s="543" t="n">
        <v>-658.1011637573999</v>
      </c>
      <c r="CT85" s="543" t="n">
        <v>-658.1011637573999</v>
      </c>
      <c r="CU85" s="543" t="n">
        <v>0</v>
      </c>
      <c r="CV85" s="543" t="n">
        <v>0</v>
      </c>
      <c r="CW85" s="543" t="n">
        <v>0</v>
      </c>
      <c r="CX85" s="543" t="n">
        <v>0</v>
      </c>
      <c r="CY85" s="543" t="n">
        <v>0</v>
      </c>
      <c r="CZ85" s="543" t="n">
        <v>0</v>
      </c>
      <c r="DA85" s="543" t="n">
        <v>0</v>
      </c>
      <c r="DB85" s="543" t="n">
        <v>0</v>
      </c>
      <c r="DC85" s="543" t="n">
        <v>0</v>
      </c>
      <c r="DD85" s="543" t="n">
        <v>0</v>
      </c>
      <c r="DE85" s="543" t="n">
        <v>0</v>
      </c>
      <c r="DF85" s="543" t="n">
        <v>0</v>
      </c>
    </row>
    <row r="86" ht="15" customFormat="1" customHeight="1" s="381">
      <c r="A86" s="472" t="inlineStr">
        <is>
          <t>5000-1003 Workers Comp</t>
        </is>
      </c>
      <c r="C86" s="486" t="n">
        <v>-475.76</v>
      </c>
      <c r="D86" s="486" t="n">
        <v>-475.76</v>
      </c>
      <c r="E86" s="486" t="n">
        <v>-475.76</v>
      </c>
      <c r="F86" s="543" t="n">
        <v>-229.166666666667</v>
      </c>
      <c r="G86" s="543" t="n">
        <v>-229.166666666667</v>
      </c>
      <c r="H86" s="543" t="n">
        <v>-229.166666666667</v>
      </c>
      <c r="I86" s="543" t="n">
        <v>-229.166666666667</v>
      </c>
      <c r="J86" s="543" t="n">
        <v>-229.166666666667</v>
      </c>
      <c r="K86" s="543" t="n">
        <v>-229.166666666667</v>
      </c>
      <c r="L86" s="543" t="n">
        <v>-229.166666666667</v>
      </c>
      <c r="M86" s="543" t="n">
        <v>-229.166666666667</v>
      </c>
      <c r="N86" s="543" t="n">
        <v>-229.166666666667</v>
      </c>
      <c r="O86" s="543" t="n">
        <v>-229.166666666667</v>
      </c>
      <c r="P86" s="543" t="n">
        <v>-229.166666666667</v>
      </c>
      <c r="Q86" s="543" t="n">
        <v>-229.166666666667</v>
      </c>
      <c r="R86" s="543" t="n">
        <v>-233.75</v>
      </c>
      <c r="S86" s="543" t="n">
        <v>-233.75</v>
      </c>
      <c r="T86" s="543" t="n">
        <v>-233.75</v>
      </c>
      <c r="U86" s="543" t="n">
        <v>-233.75</v>
      </c>
      <c r="V86" s="543" t="n">
        <v>-233.75</v>
      </c>
      <c r="W86" s="543" t="n">
        <v>-233.75</v>
      </c>
      <c r="X86" s="543" t="n">
        <v>-233.75</v>
      </c>
      <c r="Y86" s="543" t="n">
        <v>-233.75</v>
      </c>
      <c r="Z86" s="543" t="n">
        <v>-233.75</v>
      </c>
      <c r="AA86" s="543" t="n">
        <v>-233.75</v>
      </c>
      <c r="AB86" s="543" t="n">
        <v>-233.75</v>
      </c>
      <c r="AC86" s="543" t="n">
        <v>-233.75</v>
      </c>
      <c r="AD86" s="543" t="n">
        <v>-238.425</v>
      </c>
      <c r="AE86" s="543" t="n">
        <v>-238.425</v>
      </c>
      <c r="AF86" s="543" t="n">
        <v>-238.425</v>
      </c>
      <c r="AG86" s="543" t="n">
        <v>-238.425</v>
      </c>
      <c r="AH86" s="543" t="n">
        <v>-238.425</v>
      </c>
      <c r="AI86" s="543" t="n">
        <v>-238.425</v>
      </c>
      <c r="AJ86" s="543" t="n">
        <v>-238.425</v>
      </c>
      <c r="AK86" s="543" t="n">
        <v>-238.425</v>
      </c>
      <c r="AL86" s="543" t="n">
        <v>-238.425</v>
      </c>
      <c r="AM86" s="543" t="n">
        <v>-238.425</v>
      </c>
      <c r="AN86" s="543" t="n">
        <v>-238.425</v>
      </c>
      <c r="AO86" s="543" t="n">
        <v>-238.425</v>
      </c>
      <c r="AP86" s="543" t="n">
        <v>-243.1935</v>
      </c>
      <c r="AQ86" s="543" t="n">
        <v>-243.1935</v>
      </c>
      <c r="AR86" s="543" t="n">
        <v>-243.1935</v>
      </c>
      <c r="AS86" s="543" t="n">
        <v>-243.1935</v>
      </c>
      <c r="AT86" s="543" t="n">
        <v>-243.1935</v>
      </c>
      <c r="AU86" s="543" t="n">
        <v>-243.1935</v>
      </c>
      <c r="AV86" s="543" t="n">
        <v>-243.1935</v>
      </c>
      <c r="AW86" s="543" t="n">
        <v>-243.1935</v>
      </c>
      <c r="AX86" s="543" t="n">
        <v>-243.1935</v>
      </c>
      <c r="AY86" s="543" t="n">
        <v>-243.1935</v>
      </c>
      <c r="AZ86" s="543" t="n">
        <v>-243.1935</v>
      </c>
      <c r="BA86" s="543" t="n">
        <v>-243.1935</v>
      </c>
      <c r="BB86" s="543" t="n">
        <v>-248.05737</v>
      </c>
      <c r="BC86" s="543" t="n">
        <v>-248.05737</v>
      </c>
      <c r="BD86" s="543" t="n">
        <v>-248.05737</v>
      </c>
      <c r="BE86" s="543" t="n">
        <v>-248.05737</v>
      </c>
      <c r="BF86" s="543" t="n">
        <v>-248.05737</v>
      </c>
      <c r="BG86" s="543" t="n">
        <v>-248.05737</v>
      </c>
      <c r="BH86" s="543" t="n">
        <v>-248.05737</v>
      </c>
      <c r="BI86" s="543" t="n">
        <v>-248.05737</v>
      </c>
      <c r="BJ86" s="543" t="n">
        <v>-248.05737</v>
      </c>
      <c r="BK86" s="543" t="n">
        <v>-248.05737</v>
      </c>
      <c r="BL86" s="543" t="n">
        <v>-248.05737</v>
      </c>
      <c r="BM86" s="543" t="n">
        <v>-248.05737</v>
      </c>
      <c r="BN86" s="543" t="n">
        <v>-253.0185174</v>
      </c>
      <c r="BO86" s="543" t="n">
        <v>-253.0185174</v>
      </c>
      <c r="BP86" s="543" t="n">
        <v>-253.0185174</v>
      </c>
      <c r="BQ86" s="543" t="n">
        <v>-253.0185174</v>
      </c>
      <c r="BR86" s="543" t="n">
        <v>-253.0185174</v>
      </c>
      <c r="BS86" s="543" t="n">
        <v>-253.0185174</v>
      </c>
      <c r="BT86" s="543" t="n">
        <v>-253.0185174</v>
      </c>
      <c r="BU86" s="543" t="n">
        <v>-253.0185174</v>
      </c>
      <c r="BV86" s="543" t="n">
        <v>-253.0185174</v>
      </c>
      <c r="BW86" s="543" t="n">
        <v>-253.0185174</v>
      </c>
      <c r="BX86" s="543" t="n">
        <v>-253.0185174</v>
      </c>
      <c r="BY86" s="543" t="n">
        <v>-253.0185174</v>
      </c>
      <c r="BZ86" s="543" t="n">
        <v>-258.078887748</v>
      </c>
      <c r="CA86" s="543" t="n">
        <v>-258.078887748</v>
      </c>
      <c r="CB86" s="543" t="n">
        <v>-258.078887748</v>
      </c>
      <c r="CC86" s="543" t="n">
        <v>-258.078887748</v>
      </c>
      <c r="CD86" s="543" t="n">
        <v>-258.078887748</v>
      </c>
      <c r="CE86" s="543" t="n">
        <v>-258.078887748</v>
      </c>
      <c r="CF86" s="543" t="n">
        <v>-258.078887748</v>
      </c>
      <c r="CG86" s="543" t="n">
        <v>-258.078887748</v>
      </c>
      <c r="CH86" s="543" t="n">
        <v>-258.078887748</v>
      </c>
      <c r="CI86" s="543" t="n">
        <v>-258.078887748</v>
      </c>
      <c r="CJ86" s="543" t="n">
        <v>-258.078887748</v>
      </c>
      <c r="CK86" s="543" t="n">
        <v>-258.078887748</v>
      </c>
      <c r="CL86" s="543" t="n">
        <v>-263.24046550296</v>
      </c>
      <c r="CM86" s="543" t="n">
        <v>-263.24046550296</v>
      </c>
      <c r="CN86" s="543" t="n">
        <v>-263.24046550296</v>
      </c>
      <c r="CO86" s="543" t="n">
        <v>-263.24046550296</v>
      </c>
      <c r="CP86" s="543" t="n">
        <v>-263.24046550296</v>
      </c>
      <c r="CQ86" s="543" t="n">
        <v>-263.24046550296</v>
      </c>
      <c r="CR86" s="543" t="n">
        <v>-263.24046550296</v>
      </c>
      <c r="CS86" s="543" t="n">
        <v>-263.24046550296</v>
      </c>
      <c r="CT86" s="543" t="n">
        <v>-263.24046550296</v>
      </c>
      <c r="CU86" s="543" t="n">
        <v>0</v>
      </c>
      <c r="CV86" s="543" t="n">
        <v>0</v>
      </c>
      <c r="CW86" s="543" t="n">
        <v>0</v>
      </c>
      <c r="CX86" s="543" t="n">
        <v>0</v>
      </c>
      <c r="CY86" s="543" t="n">
        <v>0</v>
      </c>
      <c r="CZ86" s="543" t="n">
        <v>0</v>
      </c>
      <c r="DA86" s="543" t="n">
        <v>0</v>
      </c>
      <c r="DB86" s="543" t="n">
        <v>0</v>
      </c>
      <c r="DC86" s="543" t="n">
        <v>0</v>
      </c>
      <c r="DD86" s="543" t="n">
        <v>0</v>
      </c>
      <c r="DE86" s="543" t="n">
        <v>0</v>
      </c>
      <c r="DF86" s="543" t="n">
        <v>0</v>
      </c>
    </row>
    <row r="87" ht="15" customFormat="1" customHeight="1" s="381">
      <c r="A87" s="472" t="inlineStr">
        <is>
          <t>5000-1005 Payroll Servicing Fees</t>
        </is>
      </c>
      <c r="C87" s="486" t="n">
        <v>-2200.12</v>
      </c>
      <c r="D87" s="486" t="n">
        <v>-2200.12</v>
      </c>
      <c r="E87" s="486" t="n">
        <v>-2200.12</v>
      </c>
      <c r="F87" s="543" t="n">
        <v>-57.2916666666667</v>
      </c>
      <c r="G87" s="543" t="n">
        <v>-57.2916666666667</v>
      </c>
      <c r="H87" s="543" t="n">
        <v>-57.2916666666667</v>
      </c>
      <c r="I87" s="543" t="n">
        <v>-57.2916666666667</v>
      </c>
      <c r="J87" s="543" t="n">
        <v>-57.2916666666667</v>
      </c>
      <c r="K87" s="543" t="n">
        <v>-57.2916666666667</v>
      </c>
      <c r="L87" s="543" t="n">
        <v>-57.2916666666667</v>
      </c>
      <c r="M87" s="543" t="n">
        <v>-57.2916666666667</v>
      </c>
      <c r="N87" s="543" t="n">
        <v>-57.2916666666667</v>
      </c>
      <c r="O87" s="543" t="n">
        <v>-57.2916666666667</v>
      </c>
      <c r="P87" s="543" t="n">
        <v>-57.2916666666667</v>
      </c>
      <c r="Q87" s="543" t="n">
        <v>-57.2916666666667</v>
      </c>
      <c r="R87" s="543" t="n">
        <v>-58.4375</v>
      </c>
      <c r="S87" s="543" t="n">
        <v>-58.4375</v>
      </c>
      <c r="T87" s="543" t="n">
        <v>-58.4375</v>
      </c>
      <c r="U87" s="543" t="n">
        <v>-58.4375</v>
      </c>
      <c r="V87" s="543" t="n">
        <v>-58.4375</v>
      </c>
      <c r="W87" s="543" t="n">
        <v>-58.4375</v>
      </c>
      <c r="X87" s="543" t="n">
        <v>-58.4375</v>
      </c>
      <c r="Y87" s="543" t="n">
        <v>-58.4375</v>
      </c>
      <c r="Z87" s="543" t="n">
        <v>-58.4375</v>
      </c>
      <c r="AA87" s="543" t="n">
        <v>-58.4375</v>
      </c>
      <c r="AB87" s="543" t="n">
        <v>-58.4375</v>
      </c>
      <c r="AC87" s="543" t="n">
        <v>-58.4375</v>
      </c>
      <c r="AD87" s="543" t="n">
        <v>-59.60625</v>
      </c>
      <c r="AE87" s="543" t="n">
        <v>-59.60625</v>
      </c>
      <c r="AF87" s="543" t="n">
        <v>-59.60625</v>
      </c>
      <c r="AG87" s="543" t="n">
        <v>-59.60625</v>
      </c>
      <c r="AH87" s="543" t="n">
        <v>-59.60625</v>
      </c>
      <c r="AI87" s="543" t="n">
        <v>-59.60625</v>
      </c>
      <c r="AJ87" s="543" t="n">
        <v>-59.60625</v>
      </c>
      <c r="AK87" s="543" t="n">
        <v>-59.60625</v>
      </c>
      <c r="AL87" s="543" t="n">
        <v>-59.60625</v>
      </c>
      <c r="AM87" s="543" t="n">
        <v>-59.60625</v>
      </c>
      <c r="AN87" s="543" t="n">
        <v>-59.60625</v>
      </c>
      <c r="AO87" s="543" t="n">
        <v>-59.60625</v>
      </c>
      <c r="AP87" s="543" t="n">
        <v>-60.798375</v>
      </c>
      <c r="AQ87" s="543" t="n">
        <v>-60.798375</v>
      </c>
      <c r="AR87" s="543" t="n">
        <v>-60.798375</v>
      </c>
      <c r="AS87" s="543" t="n">
        <v>-60.798375</v>
      </c>
      <c r="AT87" s="543" t="n">
        <v>-60.798375</v>
      </c>
      <c r="AU87" s="543" t="n">
        <v>-60.798375</v>
      </c>
      <c r="AV87" s="543" t="n">
        <v>-60.798375</v>
      </c>
      <c r="AW87" s="543" t="n">
        <v>-60.798375</v>
      </c>
      <c r="AX87" s="543" t="n">
        <v>-60.798375</v>
      </c>
      <c r="AY87" s="543" t="n">
        <v>-60.798375</v>
      </c>
      <c r="AZ87" s="543" t="n">
        <v>-60.798375</v>
      </c>
      <c r="BA87" s="543" t="n">
        <v>-60.798375</v>
      </c>
      <c r="BB87" s="543" t="n">
        <v>-62.0143425</v>
      </c>
      <c r="BC87" s="543" t="n">
        <v>-62.0143425</v>
      </c>
      <c r="BD87" s="543" t="n">
        <v>-62.0143425</v>
      </c>
      <c r="BE87" s="543" t="n">
        <v>-62.0143425</v>
      </c>
      <c r="BF87" s="543" t="n">
        <v>-62.0143425</v>
      </c>
      <c r="BG87" s="543" t="n">
        <v>-62.0143425</v>
      </c>
      <c r="BH87" s="543" t="n">
        <v>-62.0143425</v>
      </c>
      <c r="BI87" s="543" t="n">
        <v>-62.0143425</v>
      </c>
      <c r="BJ87" s="543" t="n">
        <v>-62.0143425</v>
      </c>
      <c r="BK87" s="543" t="n">
        <v>-62.0143425</v>
      </c>
      <c r="BL87" s="543" t="n">
        <v>-62.0143425</v>
      </c>
      <c r="BM87" s="543" t="n">
        <v>-62.0143425</v>
      </c>
      <c r="BN87" s="543" t="n">
        <v>-63.25462935</v>
      </c>
      <c r="BO87" s="543" t="n">
        <v>-63.25462935</v>
      </c>
      <c r="BP87" s="543" t="n">
        <v>-63.25462935</v>
      </c>
      <c r="BQ87" s="543" t="n">
        <v>-63.25462935</v>
      </c>
      <c r="BR87" s="543" t="n">
        <v>-63.25462935</v>
      </c>
      <c r="BS87" s="543" t="n">
        <v>-63.25462935</v>
      </c>
      <c r="BT87" s="543" t="n">
        <v>-63.25462935</v>
      </c>
      <c r="BU87" s="543" t="n">
        <v>-63.25462935</v>
      </c>
      <c r="BV87" s="543" t="n">
        <v>-63.25462935</v>
      </c>
      <c r="BW87" s="543" t="n">
        <v>-63.25462935</v>
      </c>
      <c r="BX87" s="543" t="n">
        <v>-63.25462935</v>
      </c>
      <c r="BY87" s="543" t="n">
        <v>-63.25462935</v>
      </c>
      <c r="BZ87" s="543" t="n">
        <v>-64.519721937</v>
      </c>
      <c r="CA87" s="543" t="n">
        <v>-64.519721937</v>
      </c>
      <c r="CB87" s="543" t="n">
        <v>-64.519721937</v>
      </c>
      <c r="CC87" s="543" t="n">
        <v>-64.519721937</v>
      </c>
      <c r="CD87" s="543" t="n">
        <v>-64.519721937</v>
      </c>
      <c r="CE87" s="543" t="n">
        <v>-64.519721937</v>
      </c>
      <c r="CF87" s="543" t="n">
        <v>-64.519721937</v>
      </c>
      <c r="CG87" s="543" t="n">
        <v>-64.519721937</v>
      </c>
      <c r="CH87" s="543" t="n">
        <v>-64.519721937</v>
      </c>
      <c r="CI87" s="543" t="n">
        <v>-64.519721937</v>
      </c>
      <c r="CJ87" s="543" t="n">
        <v>-64.519721937</v>
      </c>
      <c r="CK87" s="543" t="n">
        <v>-64.519721937</v>
      </c>
      <c r="CL87" s="543" t="n">
        <v>-65.81011637573999</v>
      </c>
      <c r="CM87" s="543" t="n">
        <v>-65.81011637573999</v>
      </c>
      <c r="CN87" s="543" t="n">
        <v>-65.81011637573999</v>
      </c>
      <c r="CO87" s="543" t="n">
        <v>-65.81011637573999</v>
      </c>
      <c r="CP87" s="543" t="n">
        <v>-65.81011637573999</v>
      </c>
      <c r="CQ87" s="543" t="n">
        <v>-65.81011637573999</v>
      </c>
      <c r="CR87" s="543" t="n">
        <v>-65.81011637573999</v>
      </c>
      <c r="CS87" s="543" t="n">
        <v>-65.81011637573999</v>
      </c>
      <c r="CT87" s="543" t="n">
        <v>-65.81011637573999</v>
      </c>
      <c r="CU87" s="543" t="n">
        <v>0</v>
      </c>
      <c r="CV87" s="543" t="n">
        <v>0</v>
      </c>
      <c r="CW87" s="543" t="n">
        <v>0</v>
      </c>
      <c r="CX87" s="543" t="n">
        <v>0</v>
      </c>
      <c r="CY87" s="543" t="n">
        <v>0</v>
      </c>
      <c r="CZ87" s="543" t="n">
        <v>0</v>
      </c>
      <c r="DA87" s="543" t="n">
        <v>0</v>
      </c>
      <c r="DB87" s="543" t="n">
        <v>0</v>
      </c>
      <c r="DC87" s="543" t="n">
        <v>0</v>
      </c>
      <c r="DD87" s="543" t="n">
        <v>0</v>
      </c>
      <c r="DE87" s="543" t="n">
        <v>0</v>
      </c>
      <c r="DF87" s="543" t="n">
        <v>0</v>
      </c>
    </row>
    <row r="88" ht="15" customFormat="1" customHeight="1" s="381">
      <c r="A88" s="472" t="inlineStr">
        <is>
          <t>5100-1000 Rent Expense</t>
        </is>
      </c>
      <c r="C88" s="486" t="n">
        <v>-8848.65</v>
      </c>
      <c r="D88" s="486" t="n">
        <v>-8817.629999999999</v>
      </c>
      <c r="E88" s="486" t="n">
        <v>-3775.91</v>
      </c>
      <c r="F88" s="543" t="n">
        <v>-8500</v>
      </c>
      <c r="G88" s="543" t="n">
        <v>-8500</v>
      </c>
      <c r="H88" s="543" t="n">
        <v>-8500</v>
      </c>
      <c r="I88" s="543" t="n">
        <v>-8500</v>
      </c>
      <c r="J88" s="543" t="n">
        <v>-8500</v>
      </c>
      <c r="K88" s="543" t="n">
        <v>-8500</v>
      </c>
      <c r="L88" s="543" t="n">
        <v>-8500</v>
      </c>
      <c r="M88" s="543" t="n">
        <v>-8500</v>
      </c>
      <c r="N88" s="543" t="n">
        <v>-8500</v>
      </c>
      <c r="O88" s="543" t="n">
        <v>-8500</v>
      </c>
      <c r="P88" s="543" t="n">
        <v>-8500</v>
      </c>
      <c r="Q88" s="543" t="n">
        <v>-8500</v>
      </c>
      <c r="R88" s="543" t="n">
        <v>-8670</v>
      </c>
      <c r="S88" s="543" t="n">
        <v>-8670</v>
      </c>
      <c r="T88" s="543" t="n">
        <v>-8670</v>
      </c>
      <c r="U88" s="543" t="n">
        <v>-8670</v>
      </c>
      <c r="V88" s="543" t="n">
        <v>-8670</v>
      </c>
      <c r="W88" s="543" t="n">
        <v>-8670</v>
      </c>
      <c r="X88" s="543" t="n">
        <v>-8670</v>
      </c>
      <c r="Y88" s="543" t="n">
        <v>-8670</v>
      </c>
      <c r="Z88" s="543" t="n">
        <v>-8670</v>
      </c>
      <c r="AA88" s="543" t="n">
        <v>-8670</v>
      </c>
      <c r="AB88" s="543" t="n">
        <v>-8670</v>
      </c>
      <c r="AC88" s="543" t="n">
        <v>-8670</v>
      </c>
      <c r="AD88" s="543" t="n">
        <v>-8843.4</v>
      </c>
      <c r="AE88" s="543" t="n">
        <v>-8843.4</v>
      </c>
      <c r="AF88" s="543" t="n">
        <v>-8843.4</v>
      </c>
      <c r="AG88" s="543" t="n">
        <v>-8843.4</v>
      </c>
      <c r="AH88" s="543" t="n">
        <v>-8843.4</v>
      </c>
      <c r="AI88" s="543" t="n">
        <v>-8843.4</v>
      </c>
      <c r="AJ88" s="543" t="n">
        <v>-8843.4</v>
      </c>
      <c r="AK88" s="543" t="n">
        <v>-8843.4</v>
      </c>
      <c r="AL88" s="543" t="n">
        <v>-8843.4</v>
      </c>
      <c r="AM88" s="543" t="n">
        <v>-8843.4</v>
      </c>
      <c r="AN88" s="543" t="n">
        <v>-8843.4</v>
      </c>
      <c r="AO88" s="543" t="n">
        <v>-8843.4</v>
      </c>
      <c r="AP88" s="543" t="n">
        <v>-9020.268</v>
      </c>
      <c r="AQ88" s="543" t="n">
        <v>-9020.268</v>
      </c>
      <c r="AR88" s="543" t="n">
        <v>-9020.268</v>
      </c>
      <c r="AS88" s="543" t="n">
        <v>-9020.268</v>
      </c>
      <c r="AT88" s="543" t="n">
        <v>-9020.268</v>
      </c>
      <c r="AU88" s="543" t="n">
        <v>-9020.268</v>
      </c>
      <c r="AV88" s="543" t="n">
        <v>-9020.268</v>
      </c>
      <c r="AW88" s="543" t="n">
        <v>-9020.268</v>
      </c>
      <c r="AX88" s="543" t="n">
        <v>-9020.268</v>
      </c>
      <c r="AY88" s="543" t="n">
        <v>-9020.268</v>
      </c>
      <c r="AZ88" s="543" t="n">
        <v>-9020.268</v>
      </c>
      <c r="BA88" s="543" t="n">
        <v>-9020.268</v>
      </c>
      <c r="BB88" s="543" t="n">
        <v>-9200.673360000001</v>
      </c>
      <c r="BC88" s="543" t="n">
        <v>-9200.673360000001</v>
      </c>
      <c r="BD88" s="543" t="n">
        <v>-9200.673360000001</v>
      </c>
      <c r="BE88" s="543" t="n">
        <v>-9200.673360000001</v>
      </c>
      <c r="BF88" s="543" t="n">
        <v>-9200.673360000001</v>
      </c>
      <c r="BG88" s="543" t="n">
        <v>-9200.673360000001</v>
      </c>
      <c r="BH88" s="543" t="n">
        <v>-9200.673360000001</v>
      </c>
      <c r="BI88" s="543" t="n">
        <v>-9200.673360000001</v>
      </c>
      <c r="BJ88" s="543" t="n">
        <v>-9200.673360000001</v>
      </c>
      <c r="BK88" s="543" t="n">
        <v>-9200.673360000001</v>
      </c>
      <c r="BL88" s="543" t="n">
        <v>-9200.673360000001</v>
      </c>
      <c r="BM88" s="543" t="n">
        <v>-9200.673360000001</v>
      </c>
      <c r="BN88" s="543" t="n">
        <v>-9384.686827199999</v>
      </c>
      <c r="BO88" s="543" t="n">
        <v>-9384.686827199999</v>
      </c>
      <c r="BP88" s="543" t="n">
        <v>-9384.686827199999</v>
      </c>
      <c r="BQ88" s="543" t="n">
        <v>-9384.686827199999</v>
      </c>
      <c r="BR88" s="543" t="n">
        <v>-9384.686827199999</v>
      </c>
      <c r="BS88" s="543" t="n">
        <v>-9384.686827199999</v>
      </c>
      <c r="BT88" s="543" t="n">
        <v>-9384.686827199999</v>
      </c>
      <c r="BU88" s="543" t="n">
        <v>-9384.686827199999</v>
      </c>
      <c r="BV88" s="543" t="n">
        <v>-9384.686827199999</v>
      </c>
      <c r="BW88" s="543" t="n">
        <v>-9384.686827199999</v>
      </c>
      <c r="BX88" s="543" t="n">
        <v>-9384.686827199999</v>
      </c>
      <c r="BY88" s="543" t="n">
        <v>-9384.686827199999</v>
      </c>
      <c r="BZ88" s="543" t="n">
        <v>-9572.380563744</v>
      </c>
      <c r="CA88" s="543" t="n">
        <v>-9572.380563744</v>
      </c>
      <c r="CB88" s="543" t="n">
        <v>-9572.380563744</v>
      </c>
      <c r="CC88" s="543" t="n">
        <v>-9572.380563744</v>
      </c>
      <c r="CD88" s="543" t="n">
        <v>-9572.380563744</v>
      </c>
      <c r="CE88" s="543" t="n">
        <v>-9572.380563744</v>
      </c>
      <c r="CF88" s="543" t="n">
        <v>-9572.380563744</v>
      </c>
      <c r="CG88" s="543" t="n">
        <v>-9572.380563744</v>
      </c>
      <c r="CH88" s="543" t="n">
        <v>-9572.380563744</v>
      </c>
      <c r="CI88" s="543" t="n">
        <v>-9572.380563744</v>
      </c>
      <c r="CJ88" s="543" t="n">
        <v>-9572.380563744</v>
      </c>
      <c r="CK88" s="543" t="n">
        <v>-9572.380563744</v>
      </c>
      <c r="CL88" s="543" t="n">
        <v>-9763.82817501888</v>
      </c>
      <c r="CM88" s="543" t="n">
        <v>-9763.82817501888</v>
      </c>
      <c r="CN88" s="543" t="n">
        <v>-9763.82817501888</v>
      </c>
      <c r="CO88" s="543" t="n">
        <v>-9763.82817501888</v>
      </c>
      <c r="CP88" s="543" t="n">
        <v>-9763.82817501888</v>
      </c>
      <c r="CQ88" s="543" t="n">
        <v>-9763.82817501888</v>
      </c>
      <c r="CR88" s="543" t="n">
        <v>-9763.82817501888</v>
      </c>
      <c r="CS88" s="543" t="n">
        <v>-9763.82817501888</v>
      </c>
      <c r="CT88" s="543" t="n">
        <v>-9763.82817501888</v>
      </c>
      <c r="CU88" s="543" t="n">
        <v>-9763.82817501888</v>
      </c>
      <c r="CV88" s="543" t="n">
        <v>-9763.82817501888</v>
      </c>
      <c r="CW88" s="543" t="n">
        <v>-9763.82817501888</v>
      </c>
      <c r="CX88" s="543" t="n">
        <v>-9959.10473851926</v>
      </c>
      <c r="CY88" s="543" t="n">
        <v>-9959.10473851926</v>
      </c>
      <c r="CZ88" s="543" t="n">
        <v>-9959.10473851926</v>
      </c>
      <c r="DA88" s="543" t="n">
        <v>-9959.10473851926</v>
      </c>
      <c r="DB88" s="543" t="n">
        <v>-9959.10473851926</v>
      </c>
      <c r="DC88" s="543" t="n">
        <v>-9959.10473851926</v>
      </c>
      <c r="DD88" s="543" t="n">
        <v>-9959.10473851926</v>
      </c>
      <c r="DE88" s="543" t="n">
        <v>-9959.10473851926</v>
      </c>
      <c r="DF88" s="543" t="n">
        <v>-9959.10473851926</v>
      </c>
    </row>
    <row r="89" ht="15" customFormat="1" customHeight="1" s="381">
      <c r="A89" s="472" t="inlineStr">
        <is>
          <t>5200-1000 Office Supplies and Expenses</t>
        </is>
      </c>
      <c r="C89" s="486" t="n">
        <v>-1722.9</v>
      </c>
      <c r="D89" s="486" t="n">
        <v>0</v>
      </c>
      <c r="E89" s="486" t="n">
        <v>-28.51</v>
      </c>
      <c r="F89" s="543" t="n">
        <v>-583.8</v>
      </c>
      <c r="G89" s="543" t="n">
        <v>-583.8</v>
      </c>
      <c r="H89" s="543" t="n">
        <v>-583.8</v>
      </c>
      <c r="I89" s="543" t="n">
        <v>-583.8</v>
      </c>
      <c r="J89" s="543" t="n">
        <v>-583.8</v>
      </c>
      <c r="K89" s="543" t="n">
        <v>-583.8</v>
      </c>
      <c r="L89" s="543" t="n">
        <v>-583.8</v>
      </c>
      <c r="M89" s="543" t="n">
        <v>-583.8</v>
      </c>
      <c r="N89" s="543" t="n">
        <v>-583.8</v>
      </c>
      <c r="O89" s="543" t="n">
        <v>-583.8</v>
      </c>
      <c r="P89" s="543" t="n">
        <v>-583.8</v>
      </c>
      <c r="Q89" s="543" t="n">
        <v>-583.8</v>
      </c>
      <c r="R89" s="543" t="n">
        <v>-595.476</v>
      </c>
      <c r="S89" s="543" t="n">
        <v>-595.476</v>
      </c>
      <c r="T89" s="543" t="n">
        <v>-595.476</v>
      </c>
      <c r="U89" s="543" t="n">
        <v>-595.476</v>
      </c>
      <c r="V89" s="543" t="n">
        <v>-595.476</v>
      </c>
      <c r="W89" s="543" t="n">
        <v>-595.476</v>
      </c>
      <c r="X89" s="543" t="n">
        <v>-595.476</v>
      </c>
      <c r="Y89" s="543" t="n">
        <v>-595.476</v>
      </c>
      <c r="Z89" s="543" t="n">
        <v>-595.476</v>
      </c>
      <c r="AA89" s="543" t="n">
        <v>-595.476</v>
      </c>
      <c r="AB89" s="543" t="n">
        <v>-595.476</v>
      </c>
      <c r="AC89" s="543" t="n">
        <v>-595.476</v>
      </c>
      <c r="AD89" s="543" t="n">
        <v>-607.38552</v>
      </c>
      <c r="AE89" s="543" t="n">
        <v>-607.38552</v>
      </c>
      <c r="AF89" s="543" t="n">
        <v>-607.38552</v>
      </c>
      <c r="AG89" s="543" t="n">
        <v>-607.38552</v>
      </c>
      <c r="AH89" s="543" t="n">
        <v>-607.38552</v>
      </c>
      <c r="AI89" s="543" t="n">
        <v>-607.38552</v>
      </c>
      <c r="AJ89" s="543" t="n">
        <v>-607.38552</v>
      </c>
      <c r="AK89" s="543" t="n">
        <v>-607.38552</v>
      </c>
      <c r="AL89" s="543" t="n">
        <v>-607.38552</v>
      </c>
      <c r="AM89" s="543" t="n">
        <v>-607.38552</v>
      </c>
      <c r="AN89" s="543" t="n">
        <v>-607.38552</v>
      </c>
      <c r="AO89" s="543" t="n">
        <v>-607.38552</v>
      </c>
      <c r="AP89" s="543" t="n">
        <v>-619.5332304</v>
      </c>
      <c r="AQ89" s="543" t="n">
        <v>-619.5332304</v>
      </c>
      <c r="AR89" s="543" t="n">
        <v>-619.5332304</v>
      </c>
      <c r="AS89" s="543" t="n">
        <v>-619.5332304</v>
      </c>
      <c r="AT89" s="543" t="n">
        <v>-619.5332304</v>
      </c>
      <c r="AU89" s="543" t="n">
        <v>-619.5332304</v>
      </c>
      <c r="AV89" s="543" t="n">
        <v>-619.5332304</v>
      </c>
      <c r="AW89" s="543" t="n">
        <v>-619.5332304</v>
      </c>
      <c r="AX89" s="543" t="n">
        <v>-619.5332304</v>
      </c>
      <c r="AY89" s="543" t="n">
        <v>-619.5332304</v>
      </c>
      <c r="AZ89" s="543" t="n">
        <v>-619.5332304</v>
      </c>
      <c r="BA89" s="543" t="n">
        <v>-619.5332304</v>
      </c>
      <c r="BB89" s="543" t="n">
        <v>-631.923895008</v>
      </c>
      <c r="BC89" s="543" t="n">
        <v>-631.923895008</v>
      </c>
      <c r="BD89" s="543" t="n">
        <v>-631.923895008</v>
      </c>
      <c r="BE89" s="543" t="n">
        <v>-631.923895008</v>
      </c>
      <c r="BF89" s="543" t="n">
        <v>-631.923895008</v>
      </c>
      <c r="BG89" s="543" t="n">
        <v>-631.923895008</v>
      </c>
      <c r="BH89" s="543" t="n">
        <v>-631.923895008</v>
      </c>
      <c r="BI89" s="543" t="n">
        <v>-631.923895008</v>
      </c>
      <c r="BJ89" s="543" t="n">
        <v>-631.923895008</v>
      </c>
      <c r="BK89" s="543" t="n">
        <v>-631.923895008</v>
      </c>
      <c r="BL89" s="543" t="n">
        <v>-631.923895008</v>
      </c>
      <c r="BM89" s="543" t="n">
        <v>-631.923895008</v>
      </c>
      <c r="BN89" s="543" t="n">
        <v>-644.56237290816</v>
      </c>
      <c r="BO89" s="543" t="n">
        <v>-644.56237290816</v>
      </c>
      <c r="BP89" s="543" t="n">
        <v>-644.56237290816</v>
      </c>
      <c r="BQ89" s="543" t="n">
        <v>-644.56237290816</v>
      </c>
      <c r="BR89" s="543" t="n">
        <v>-644.56237290816</v>
      </c>
      <c r="BS89" s="543" t="n">
        <v>-644.56237290816</v>
      </c>
      <c r="BT89" s="543" t="n">
        <v>-644.56237290816</v>
      </c>
      <c r="BU89" s="543" t="n">
        <v>-644.56237290816</v>
      </c>
      <c r="BV89" s="543" t="n">
        <v>-644.56237290816</v>
      </c>
      <c r="BW89" s="543" t="n">
        <v>-644.56237290816</v>
      </c>
      <c r="BX89" s="543" t="n">
        <v>-644.56237290816</v>
      </c>
      <c r="BY89" s="543" t="n">
        <v>-644.56237290816</v>
      </c>
      <c r="BZ89" s="543" t="n">
        <v>-657.453620366323</v>
      </c>
      <c r="CA89" s="543" t="n">
        <v>-657.453620366323</v>
      </c>
      <c r="CB89" s="543" t="n">
        <v>-657.453620366323</v>
      </c>
      <c r="CC89" s="543" t="n">
        <v>-657.453620366323</v>
      </c>
      <c r="CD89" s="543" t="n">
        <v>-657.453620366323</v>
      </c>
      <c r="CE89" s="543" t="n">
        <v>-657.453620366323</v>
      </c>
      <c r="CF89" s="543" t="n">
        <v>-657.453620366323</v>
      </c>
      <c r="CG89" s="543" t="n">
        <v>-657.453620366323</v>
      </c>
      <c r="CH89" s="543" t="n">
        <v>-657.453620366323</v>
      </c>
      <c r="CI89" s="543" t="n">
        <v>-657.453620366323</v>
      </c>
      <c r="CJ89" s="543" t="n">
        <v>-657.453620366323</v>
      </c>
      <c r="CK89" s="543" t="n">
        <v>-657.453620366323</v>
      </c>
      <c r="CL89" s="543" t="n">
        <v>-670.60269277365</v>
      </c>
      <c r="CM89" s="543" t="n">
        <v>-670.60269277365</v>
      </c>
      <c r="CN89" s="543" t="n">
        <v>-670.60269277365</v>
      </c>
      <c r="CO89" s="543" t="n">
        <v>-670.60269277365</v>
      </c>
      <c r="CP89" s="543" t="n">
        <v>-670.60269277365</v>
      </c>
      <c r="CQ89" s="543" t="n">
        <v>-670.60269277365</v>
      </c>
      <c r="CR89" s="543" t="n">
        <v>-670.60269277365</v>
      </c>
      <c r="CS89" s="543" t="n">
        <v>-670.60269277365</v>
      </c>
      <c r="CT89" s="543" t="n">
        <v>-670.60269277365</v>
      </c>
      <c r="CU89" s="543" t="n">
        <v>-670.60269277365</v>
      </c>
      <c r="CV89" s="543" t="n">
        <v>-670.60269277365</v>
      </c>
      <c r="CW89" s="543" t="n">
        <v>-670.60269277365</v>
      </c>
      <c r="CX89" s="543" t="n">
        <v>-684.014746629123</v>
      </c>
      <c r="CY89" s="543" t="n">
        <v>-684.014746629123</v>
      </c>
      <c r="CZ89" s="543" t="n">
        <v>-684.014746629123</v>
      </c>
      <c r="DA89" s="543" t="n">
        <v>-684.014746629123</v>
      </c>
      <c r="DB89" s="543" t="n">
        <v>-684.014746629123</v>
      </c>
      <c r="DC89" s="543" t="n">
        <v>-684.014746629123</v>
      </c>
      <c r="DD89" s="543" t="n">
        <v>-684.014746629123</v>
      </c>
      <c r="DE89" s="543" t="n">
        <v>-684.014746629123</v>
      </c>
      <c r="DF89" s="543" t="n">
        <v>-684.014746629123</v>
      </c>
    </row>
    <row r="90" ht="15" customFormat="1" customHeight="1" s="381">
      <c r="A90" s="472" t="inlineStr">
        <is>
          <t>5200-1053 IT Software and Subscriptions</t>
        </is>
      </c>
      <c r="C90" s="547" t="n">
        <v>-246.85</v>
      </c>
      <c r="D90" s="547" t="n">
        <v>0</v>
      </c>
      <c r="E90" s="547" t="n">
        <v>-4246.73</v>
      </c>
      <c r="F90" s="543" t="n">
        <v>-1497.86</v>
      </c>
      <c r="G90" s="543" t="n">
        <v>-1497.86</v>
      </c>
      <c r="H90" s="543" t="n">
        <v>-1497.86</v>
      </c>
      <c r="I90" s="543" t="n">
        <v>-1497.86</v>
      </c>
      <c r="J90" s="543" t="n">
        <v>-1497.86</v>
      </c>
      <c r="K90" s="543" t="n">
        <v>-1497.86</v>
      </c>
      <c r="L90" s="543" t="n">
        <v>-1497.86</v>
      </c>
      <c r="M90" s="543" t="n">
        <v>-1497.86</v>
      </c>
      <c r="N90" s="543" t="n">
        <v>-1497.86</v>
      </c>
      <c r="O90" s="543" t="n">
        <v>-1497.86</v>
      </c>
      <c r="P90" s="543" t="n">
        <v>-1497.86</v>
      </c>
      <c r="Q90" s="543" t="n">
        <v>-1497.86</v>
      </c>
      <c r="R90" s="543" t="n">
        <v>-1527.8172</v>
      </c>
      <c r="S90" s="543" t="n">
        <v>-1527.8172</v>
      </c>
      <c r="T90" s="543" t="n">
        <v>-1527.8172</v>
      </c>
      <c r="U90" s="543" t="n">
        <v>-1527.8172</v>
      </c>
      <c r="V90" s="543" t="n">
        <v>-1527.8172</v>
      </c>
      <c r="W90" s="543" t="n">
        <v>-1527.8172</v>
      </c>
      <c r="X90" s="543" t="n">
        <v>-1527.8172</v>
      </c>
      <c r="Y90" s="543" t="n">
        <v>-1527.8172</v>
      </c>
      <c r="Z90" s="543" t="n">
        <v>-1527.8172</v>
      </c>
      <c r="AA90" s="543" t="n">
        <v>-1527.8172</v>
      </c>
      <c r="AB90" s="543" t="n">
        <v>-1527.8172</v>
      </c>
      <c r="AC90" s="543" t="n">
        <v>-1527.8172</v>
      </c>
      <c r="AD90" s="543" t="n">
        <v>-1558.373544</v>
      </c>
      <c r="AE90" s="543" t="n">
        <v>-1558.373544</v>
      </c>
      <c r="AF90" s="543" t="n">
        <v>-1558.373544</v>
      </c>
      <c r="AG90" s="543" t="n">
        <v>-1558.373544</v>
      </c>
      <c r="AH90" s="543" t="n">
        <v>-1558.373544</v>
      </c>
      <c r="AI90" s="543" t="n">
        <v>-1558.373544</v>
      </c>
      <c r="AJ90" s="543" t="n">
        <v>-1558.373544</v>
      </c>
      <c r="AK90" s="543" t="n">
        <v>-1558.373544</v>
      </c>
      <c r="AL90" s="543" t="n">
        <v>-1558.373544</v>
      </c>
      <c r="AM90" s="543" t="n">
        <v>-1558.373544</v>
      </c>
      <c r="AN90" s="543" t="n">
        <v>-1558.373544</v>
      </c>
      <c r="AO90" s="543" t="n">
        <v>-1558.373544</v>
      </c>
      <c r="AP90" s="543" t="n">
        <v>-1589.54101488</v>
      </c>
      <c r="AQ90" s="543" t="n">
        <v>-1589.54101488</v>
      </c>
      <c r="AR90" s="543" t="n">
        <v>-1589.54101488</v>
      </c>
      <c r="AS90" s="543" t="n">
        <v>-1589.54101488</v>
      </c>
      <c r="AT90" s="543" t="n">
        <v>-1589.54101488</v>
      </c>
      <c r="AU90" s="543" t="n">
        <v>-1589.54101488</v>
      </c>
      <c r="AV90" s="543" t="n">
        <v>-1589.54101488</v>
      </c>
      <c r="AW90" s="543" t="n">
        <v>-1589.54101488</v>
      </c>
      <c r="AX90" s="543" t="n">
        <v>-1589.54101488</v>
      </c>
      <c r="AY90" s="543" t="n">
        <v>-1589.54101488</v>
      </c>
      <c r="AZ90" s="543" t="n">
        <v>-1589.54101488</v>
      </c>
      <c r="BA90" s="543" t="n">
        <v>-1589.54101488</v>
      </c>
      <c r="BB90" s="543" t="n">
        <v>-1621.3318351776</v>
      </c>
      <c r="BC90" s="543" t="n">
        <v>-1621.3318351776</v>
      </c>
      <c r="BD90" s="543" t="n">
        <v>-1621.3318351776</v>
      </c>
      <c r="BE90" s="543" t="n">
        <v>-1621.3318351776</v>
      </c>
      <c r="BF90" s="543" t="n">
        <v>-1621.3318351776</v>
      </c>
      <c r="BG90" s="543" t="n">
        <v>-1621.3318351776</v>
      </c>
      <c r="BH90" s="543" t="n">
        <v>-1621.3318351776</v>
      </c>
      <c r="BI90" s="543" t="n">
        <v>-1621.3318351776</v>
      </c>
      <c r="BJ90" s="543" t="n">
        <v>-1621.3318351776</v>
      </c>
      <c r="BK90" s="543" t="n">
        <v>-1621.3318351776</v>
      </c>
      <c r="BL90" s="543" t="n">
        <v>-1621.3318351776</v>
      </c>
      <c r="BM90" s="543" t="n">
        <v>-1621.3318351776</v>
      </c>
      <c r="BN90" s="543" t="n">
        <v>-1653.75847188115</v>
      </c>
      <c r="BO90" s="543" t="n">
        <v>-1653.75847188115</v>
      </c>
      <c r="BP90" s="543" t="n">
        <v>-1653.75847188115</v>
      </c>
      <c r="BQ90" s="543" t="n">
        <v>-1653.75847188115</v>
      </c>
      <c r="BR90" s="543" t="n">
        <v>-1653.75847188115</v>
      </c>
      <c r="BS90" s="543" t="n">
        <v>-1653.75847188115</v>
      </c>
      <c r="BT90" s="543" t="n">
        <v>-1653.75847188115</v>
      </c>
      <c r="BU90" s="543" t="n">
        <v>-1653.75847188115</v>
      </c>
      <c r="BV90" s="543" t="n">
        <v>-1653.75847188115</v>
      </c>
      <c r="BW90" s="543" t="n">
        <v>-1653.75847188115</v>
      </c>
      <c r="BX90" s="543" t="n">
        <v>-1653.75847188115</v>
      </c>
      <c r="BY90" s="543" t="n">
        <v>-1653.75847188115</v>
      </c>
      <c r="BZ90" s="543" t="n">
        <v>-1686.83364131878</v>
      </c>
      <c r="CA90" s="543" t="n">
        <v>-1686.83364131878</v>
      </c>
      <c r="CB90" s="543" t="n">
        <v>-1686.83364131878</v>
      </c>
      <c r="CC90" s="543" t="n">
        <v>-1686.83364131878</v>
      </c>
      <c r="CD90" s="543" t="n">
        <v>-1686.83364131878</v>
      </c>
      <c r="CE90" s="543" t="n">
        <v>-1686.83364131878</v>
      </c>
      <c r="CF90" s="543" t="n">
        <v>-1686.83364131878</v>
      </c>
      <c r="CG90" s="543" t="n">
        <v>-1686.83364131878</v>
      </c>
      <c r="CH90" s="543" t="n">
        <v>-1686.83364131878</v>
      </c>
      <c r="CI90" s="543" t="n">
        <v>-1686.83364131878</v>
      </c>
      <c r="CJ90" s="543" t="n">
        <v>-1686.83364131878</v>
      </c>
      <c r="CK90" s="543" t="n">
        <v>-1686.83364131878</v>
      </c>
      <c r="CL90" s="543" t="n">
        <v>-1720.57031414515</v>
      </c>
      <c r="CM90" s="543" t="n">
        <v>-1720.57031414515</v>
      </c>
      <c r="CN90" s="543" t="n">
        <v>-1720.57031414515</v>
      </c>
      <c r="CO90" s="543" t="n">
        <v>-1720.57031414515</v>
      </c>
      <c r="CP90" s="543" t="n">
        <v>-1720.57031414515</v>
      </c>
      <c r="CQ90" s="543" t="n">
        <v>-1720.57031414515</v>
      </c>
      <c r="CR90" s="543" t="n">
        <v>-1720.57031414515</v>
      </c>
      <c r="CS90" s="543" t="n">
        <v>-1720.57031414515</v>
      </c>
      <c r="CT90" s="543" t="n">
        <v>-1720.57031414515</v>
      </c>
      <c r="CU90" s="543" t="n">
        <v>-1720.57031414515</v>
      </c>
      <c r="CV90" s="543" t="n">
        <v>-1720.57031414515</v>
      </c>
      <c r="CW90" s="543" t="n">
        <v>-1720.57031414515</v>
      </c>
      <c r="CX90" s="543" t="n">
        <v>-1754.98172042805</v>
      </c>
      <c r="CY90" s="543" t="n">
        <v>-1754.98172042805</v>
      </c>
      <c r="CZ90" s="543" t="n">
        <v>-1754.98172042805</v>
      </c>
      <c r="DA90" s="543" t="n">
        <v>-1754.98172042805</v>
      </c>
      <c r="DB90" s="543" t="n">
        <v>-1754.98172042805</v>
      </c>
      <c r="DC90" s="543" t="n">
        <v>-1754.98172042805</v>
      </c>
      <c r="DD90" s="543" t="n">
        <v>-1754.98172042805</v>
      </c>
      <c r="DE90" s="543" t="n">
        <v>-1754.98172042805</v>
      </c>
      <c r="DF90" s="543" t="n">
        <v>-1754.98172042805</v>
      </c>
    </row>
    <row r="91" ht="15" customFormat="1" customHeight="1" s="381">
      <c r="A91" s="472" t="inlineStr">
        <is>
          <t>5200-1060 Website Design</t>
        </is>
      </c>
      <c r="C91" s="486" t="n">
        <v>0</v>
      </c>
      <c r="D91" s="486" t="n">
        <v>0</v>
      </c>
      <c r="E91" s="486" t="n">
        <v>-870</v>
      </c>
      <c r="F91" s="543" t="n">
        <v>-290</v>
      </c>
      <c r="G91" s="543" t="n">
        <v>-290</v>
      </c>
      <c r="H91" s="543" t="n">
        <v>-290</v>
      </c>
      <c r="I91" s="543" t="n">
        <v>-290</v>
      </c>
      <c r="J91" s="543" t="n">
        <v>-290</v>
      </c>
      <c r="K91" s="543" t="n">
        <v>-290</v>
      </c>
      <c r="L91" s="543" t="n">
        <v>-290</v>
      </c>
      <c r="M91" s="543" t="n">
        <v>-290</v>
      </c>
      <c r="N91" s="543" t="n">
        <v>-290</v>
      </c>
      <c r="O91" s="543" t="n">
        <v>-290</v>
      </c>
      <c r="P91" s="543" t="n">
        <v>-290</v>
      </c>
      <c r="Q91" s="543" t="n">
        <v>-290</v>
      </c>
      <c r="R91" s="543" t="n">
        <v>-295.8</v>
      </c>
      <c r="S91" s="543" t="n">
        <v>-295.8</v>
      </c>
      <c r="T91" s="543" t="n">
        <v>-295.8</v>
      </c>
      <c r="U91" s="543" t="n">
        <v>-295.8</v>
      </c>
      <c r="V91" s="543" t="n">
        <v>-295.8</v>
      </c>
      <c r="W91" s="543" t="n">
        <v>-295.8</v>
      </c>
      <c r="X91" s="543" t="n">
        <v>-295.8</v>
      </c>
      <c r="Y91" s="543" t="n">
        <v>-295.8</v>
      </c>
      <c r="Z91" s="543" t="n">
        <v>-295.8</v>
      </c>
      <c r="AA91" s="543" t="n">
        <v>-295.8</v>
      </c>
      <c r="AB91" s="543" t="n">
        <v>-295.8</v>
      </c>
      <c r="AC91" s="543" t="n">
        <v>-295.8</v>
      </c>
      <c r="AD91" s="543" t="n">
        <v>-301.716</v>
      </c>
      <c r="AE91" s="543" t="n">
        <v>-301.716</v>
      </c>
      <c r="AF91" s="543" t="n">
        <v>-301.716</v>
      </c>
      <c r="AG91" s="543" t="n">
        <v>-301.716</v>
      </c>
      <c r="AH91" s="543" t="n">
        <v>-301.716</v>
      </c>
      <c r="AI91" s="543" t="n">
        <v>-301.716</v>
      </c>
      <c r="AJ91" s="543" t="n">
        <v>-301.716</v>
      </c>
      <c r="AK91" s="543" t="n">
        <v>-301.716</v>
      </c>
      <c r="AL91" s="543" t="n">
        <v>-301.716</v>
      </c>
      <c r="AM91" s="543" t="n">
        <v>-301.716</v>
      </c>
      <c r="AN91" s="543" t="n">
        <v>-301.716</v>
      </c>
      <c r="AO91" s="543" t="n">
        <v>-301.716</v>
      </c>
      <c r="AP91" s="543" t="n">
        <v>-307.75032</v>
      </c>
      <c r="AQ91" s="543" t="n">
        <v>-307.75032</v>
      </c>
      <c r="AR91" s="543" t="n">
        <v>-307.75032</v>
      </c>
      <c r="AS91" s="543" t="n">
        <v>-307.75032</v>
      </c>
      <c r="AT91" s="543" t="n">
        <v>-307.75032</v>
      </c>
      <c r="AU91" s="543" t="n">
        <v>-307.75032</v>
      </c>
      <c r="AV91" s="543" t="n">
        <v>-307.75032</v>
      </c>
      <c r="AW91" s="543" t="n">
        <v>-307.75032</v>
      </c>
      <c r="AX91" s="543" t="n">
        <v>-307.75032</v>
      </c>
      <c r="AY91" s="543" t="n">
        <v>-307.75032</v>
      </c>
      <c r="AZ91" s="543" t="n">
        <v>-307.75032</v>
      </c>
      <c r="BA91" s="543" t="n">
        <v>-307.75032</v>
      </c>
      <c r="BB91" s="543" t="n">
        <v>-313.9053264</v>
      </c>
      <c r="BC91" s="543" t="n">
        <v>-313.9053264</v>
      </c>
      <c r="BD91" s="543" t="n">
        <v>-313.9053264</v>
      </c>
      <c r="BE91" s="543" t="n">
        <v>-313.9053264</v>
      </c>
      <c r="BF91" s="543" t="n">
        <v>-313.9053264</v>
      </c>
      <c r="BG91" s="543" t="n">
        <v>-313.9053264</v>
      </c>
      <c r="BH91" s="543" t="n">
        <v>-313.9053264</v>
      </c>
      <c r="BI91" s="543" t="n">
        <v>-313.9053264</v>
      </c>
      <c r="BJ91" s="543" t="n">
        <v>-313.9053264</v>
      </c>
      <c r="BK91" s="543" t="n">
        <v>-313.9053264</v>
      </c>
      <c r="BL91" s="543" t="n">
        <v>-313.9053264</v>
      </c>
      <c r="BM91" s="543" t="n">
        <v>-313.9053264</v>
      </c>
      <c r="BN91" s="543" t="n">
        <v>-320.183432928</v>
      </c>
      <c r="BO91" s="543" t="n">
        <v>-320.183432928</v>
      </c>
      <c r="BP91" s="543" t="n">
        <v>-320.183432928</v>
      </c>
      <c r="BQ91" s="543" t="n">
        <v>-320.183432928</v>
      </c>
      <c r="BR91" s="543" t="n">
        <v>-320.183432928</v>
      </c>
      <c r="BS91" s="543" t="n">
        <v>-320.183432928</v>
      </c>
      <c r="BT91" s="543" t="n">
        <v>-320.183432928</v>
      </c>
      <c r="BU91" s="543" t="n">
        <v>-320.183432928</v>
      </c>
      <c r="BV91" s="543" t="n">
        <v>-320.183432928</v>
      </c>
      <c r="BW91" s="543" t="n">
        <v>-320.183432928</v>
      </c>
      <c r="BX91" s="543" t="n">
        <v>-320.183432928</v>
      </c>
      <c r="BY91" s="543" t="n">
        <v>-320.183432928</v>
      </c>
      <c r="BZ91" s="543" t="n">
        <v>-326.58710158656</v>
      </c>
      <c r="CA91" s="543" t="n">
        <v>-326.58710158656</v>
      </c>
      <c r="CB91" s="543" t="n">
        <v>-326.58710158656</v>
      </c>
      <c r="CC91" s="543" t="n">
        <v>-326.58710158656</v>
      </c>
      <c r="CD91" s="543" t="n">
        <v>-326.58710158656</v>
      </c>
      <c r="CE91" s="543" t="n">
        <v>-326.58710158656</v>
      </c>
      <c r="CF91" s="543" t="n">
        <v>-326.58710158656</v>
      </c>
      <c r="CG91" s="543" t="n">
        <v>-326.58710158656</v>
      </c>
      <c r="CH91" s="543" t="n">
        <v>-326.58710158656</v>
      </c>
      <c r="CI91" s="543" t="n">
        <v>-326.58710158656</v>
      </c>
      <c r="CJ91" s="543" t="n">
        <v>-326.58710158656</v>
      </c>
      <c r="CK91" s="543" t="n">
        <v>-326.58710158656</v>
      </c>
      <c r="CL91" s="543" t="n">
        <v>-333.118843618291</v>
      </c>
      <c r="CM91" s="543" t="n">
        <v>-333.118843618291</v>
      </c>
      <c r="CN91" s="543" t="n">
        <v>-333.118843618291</v>
      </c>
      <c r="CO91" s="543" t="n">
        <v>-333.118843618291</v>
      </c>
      <c r="CP91" s="543" t="n">
        <v>-333.118843618291</v>
      </c>
      <c r="CQ91" s="543" t="n">
        <v>-333.118843618291</v>
      </c>
      <c r="CR91" s="543" t="n">
        <v>-333.118843618291</v>
      </c>
      <c r="CS91" s="543" t="n">
        <v>-333.118843618291</v>
      </c>
      <c r="CT91" s="543" t="n">
        <v>-333.118843618291</v>
      </c>
      <c r="CU91" s="543" t="n">
        <v>-333.118843618291</v>
      </c>
      <c r="CV91" s="543" t="n">
        <v>-333.118843618291</v>
      </c>
      <c r="CW91" s="543" t="n">
        <v>-333.118843618291</v>
      </c>
      <c r="CX91" s="543" t="n">
        <v>-339.781220490657</v>
      </c>
      <c r="CY91" s="543" t="n">
        <v>-339.781220490657</v>
      </c>
      <c r="CZ91" s="543" t="n">
        <v>-339.781220490657</v>
      </c>
      <c r="DA91" s="543" t="n">
        <v>-339.781220490657</v>
      </c>
      <c r="DB91" s="543" t="n">
        <v>-339.781220490657</v>
      </c>
      <c r="DC91" s="543" t="n">
        <v>-339.781220490657</v>
      </c>
      <c r="DD91" s="543" t="n">
        <v>-339.781220490657</v>
      </c>
      <c r="DE91" s="543" t="n">
        <v>-339.781220490657</v>
      </c>
      <c r="DF91" s="543" t="n">
        <v>-339.781220490657</v>
      </c>
    </row>
    <row r="92" ht="15" customFormat="1" customHeight="1" s="381">
      <c r="A92" s="482" t="inlineStr">
        <is>
          <t>5200-1061 Website Hosting</t>
        </is>
      </c>
      <c r="C92" s="544" t="n">
        <v>-245</v>
      </c>
      <c r="D92" s="544" t="n">
        <v>-245</v>
      </c>
      <c r="E92" s="544" t="n">
        <v>-245</v>
      </c>
      <c r="F92" s="544" t="n">
        <v>-245</v>
      </c>
      <c r="G92" s="544" t="n">
        <v>-245</v>
      </c>
      <c r="H92" s="544" t="n">
        <v>-245</v>
      </c>
      <c r="I92" s="544" t="n">
        <v>-245</v>
      </c>
      <c r="J92" s="544" t="n">
        <v>-245</v>
      </c>
      <c r="K92" s="544" t="n">
        <v>-245</v>
      </c>
      <c r="L92" s="544" t="n">
        <v>-245</v>
      </c>
      <c r="M92" s="544" t="n">
        <v>-245</v>
      </c>
      <c r="N92" s="544" t="n">
        <v>-245</v>
      </c>
      <c r="O92" s="544" t="n">
        <v>-245</v>
      </c>
      <c r="P92" s="544" t="n">
        <v>-245</v>
      </c>
      <c r="Q92" s="544" t="n">
        <v>-245</v>
      </c>
      <c r="R92" s="544" t="n">
        <v>-249.9</v>
      </c>
      <c r="S92" s="544" t="n">
        <v>-249.9</v>
      </c>
      <c r="T92" s="544" t="n">
        <v>-249.9</v>
      </c>
      <c r="U92" s="544" t="n">
        <v>-249.9</v>
      </c>
      <c r="V92" s="544" t="n">
        <v>-249.9</v>
      </c>
      <c r="W92" s="544" t="n">
        <v>-249.9</v>
      </c>
      <c r="X92" s="544" t="n">
        <v>-249.9</v>
      </c>
      <c r="Y92" s="544" t="n">
        <v>-249.9</v>
      </c>
      <c r="Z92" s="544" t="n">
        <v>-249.9</v>
      </c>
      <c r="AA92" s="544" t="n">
        <v>-249.9</v>
      </c>
      <c r="AB92" s="544" t="n">
        <v>-249.9</v>
      </c>
      <c r="AC92" s="544" t="n">
        <v>-249.9</v>
      </c>
      <c r="AD92" s="544" t="n">
        <v>-254.898</v>
      </c>
      <c r="AE92" s="544" t="n">
        <v>-254.898</v>
      </c>
      <c r="AF92" s="544" t="n">
        <v>-254.898</v>
      </c>
      <c r="AG92" s="544" t="n">
        <v>-254.898</v>
      </c>
      <c r="AH92" s="544" t="n">
        <v>-254.898</v>
      </c>
      <c r="AI92" s="544" t="n">
        <v>-254.898</v>
      </c>
      <c r="AJ92" s="544" t="n">
        <v>-254.898</v>
      </c>
      <c r="AK92" s="544" t="n">
        <v>-254.898</v>
      </c>
      <c r="AL92" s="544" t="n">
        <v>-254.898</v>
      </c>
      <c r="AM92" s="544" t="n">
        <v>-254.898</v>
      </c>
      <c r="AN92" s="544" t="n">
        <v>-254.898</v>
      </c>
      <c r="AO92" s="544" t="n">
        <v>-254.898</v>
      </c>
      <c r="AP92" s="544" t="n">
        <v>-259.99596</v>
      </c>
      <c r="AQ92" s="544" t="n">
        <v>-259.99596</v>
      </c>
      <c r="AR92" s="544" t="n">
        <v>-259.99596</v>
      </c>
      <c r="AS92" s="544" t="n">
        <v>-259.99596</v>
      </c>
      <c r="AT92" s="544" t="n">
        <v>-259.99596</v>
      </c>
      <c r="AU92" s="544" t="n">
        <v>-259.99596</v>
      </c>
      <c r="AV92" s="544" t="n">
        <v>-259.99596</v>
      </c>
      <c r="AW92" s="544" t="n">
        <v>-259.99596</v>
      </c>
      <c r="AX92" s="544" t="n">
        <v>-259.99596</v>
      </c>
      <c r="AY92" s="544" t="n">
        <v>-259.99596</v>
      </c>
      <c r="AZ92" s="544" t="n">
        <v>-259.99596</v>
      </c>
      <c r="BA92" s="544" t="n">
        <v>-259.99596</v>
      </c>
      <c r="BB92" s="544" t="n">
        <v>-265.1958792</v>
      </c>
      <c r="BC92" s="544" t="n">
        <v>-265.1958792</v>
      </c>
      <c r="BD92" s="544" t="n">
        <v>-265.1958792</v>
      </c>
      <c r="BE92" s="544" t="n">
        <v>-265.1958792</v>
      </c>
      <c r="BF92" s="544" t="n">
        <v>-265.1958792</v>
      </c>
      <c r="BG92" s="544" t="n">
        <v>-265.1958792</v>
      </c>
      <c r="BH92" s="544" t="n">
        <v>-265.1958792</v>
      </c>
      <c r="BI92" s="544" t="n">
        <v>-265.1958792</v>
      </c>
      <c r="BJ92" s="544" t="n">
        <v>-265.1958792</v>
      </c>
      <c r="BK92" s="544" t="n">
        <v>-265.1958792</v>
      </c>
      <c r="BL92" s="544" t="n">
        <v>-265.1958792</v>
      </c>
      <c r="BM92" s="544" t="n">
        <v>-265.1958792</v>
      </c>
      <c r="BN92" s="544" t="n">
        <v>-270.499796784</v>
      </c>
      <c r="BO92" s="544" t="n">
        <v>-270.499796784</v>
      </c>
      <c r="BP92" s="544" t="n">
        <v>-270.499796784</v>
      </c>
      <c r="BQ92" s="544" t="n">
        <v>-270.499796784</v>
      </c>
      <c r="BR92" s="544" t="n">
        <v>-270.499796784</v>
      </c>
      <c r="BS92" s="544" t="n">
        <v>-270.499796784</v>
      </c>
      <c r="BT92" s="544" t="n">
        <v>-270.499796784</v>
      </c>
      <c r="BU92" s="544" t="n">
        <v>-270.499796784</v>
      </c>
      <c r="BV92" s="544" t="n">
        <v>-270.499796784</v>
      </c>
      <c r="BW92" s="544" t="n">
        <v>-270.499796784</v>
      </c>
      <c r="BX92" s="544" t="n">
        <v>-270.499796784</v>
      </c>
      <c r="BY92" s="544" t="n">
        <v>-270.499796784</v>
      </c>
      <c r="BZ92" s="544" t="n">
        <v>-275.90979271968</v>
      </c>
      <c r="CA92" s="544" t="n">
        <v>-275.90979271968</v>
      </c>
      <c r="CB92" s="544" t="n">
        <v>-275.90979271968</v>
      </c>
      <c r="CC92" s="544" t="n">
        <v>-275.90979271968</v>
      </c>
      <c r="CD92" s="544" t="n">
        <v>-275.90979271968</v>
      </c>
      <c r="CE92" s="544" t="n">
        <v>-275.90979271968</v>
      </c>
      <c r="CF92" s="544" t="n">
        <v>-275.90979271968</v>
      </c>
      <c r="CG92" s="544" t="n">
        <v>-275.90979271968</v>
      </c>
      <c r="CH92" s="544" t="n">
        <v>-275.90979271968</v>
      </c>
      <c r="CI92" s="544" t="n">
        <v>-275.90979271968</v>
      </c>
      <c r="CJ92" s="544" t="n">
        <v>-275.90979271968</v>
      </c>
      <c r="CK92" s="544" t="n">
        <v>-275.90979271968</v>
      </c>
      <c r="CL92" s="544" t="n">
        <v>-281.427988574074</v>
      </c>
      <c r="CM92" s="544" t="n">
        <v>-281.427988574074</v>
      </c>
      <c r="CN92" s="544" t="n">
        <v>-281.427988574074</v>
      </c>
      <c r="CO92" s="544" t="n">
        <v>-281.427988574074</v>
      </c>
      <c r="CP92" s="544" t="n">
        <v>-281.427988574074</v>
      </c>
      <c r="CQ92" s="544" t="n">
        <v>-281.427988574074</v>
      </c>
      <c r="CR92" s="544" t="n">
        <v>-281.427988574074</v>
      </c>
      <c r="CS92" s="544" t="n">
        <v>-281.427988574074</v>
      </c>
      <c r="CT92" s="544" t="n">
        <v>-281.427988574074</v>
      </c>
      <c r="CU92" s="544" t="n">
        <v>-281.427988574074</v>
      </c>
      <c r="CV92" s="544" t="n">
        <v>-281.427988574074</v>
      </c>
      <c r="CW92" s="544" t="n">
        <v>-281.427988574074</v>
      </c>
      <c r="CX92" s="544" t="n">
        <v>-287.056548345555</v>
      </c>
      <c r="CY92" s="544" t="n">
        <v>-287.056548345555</v>
      </c>
      <c r="CZ92" s="544" t="n">
        <v>-287.056548345555</v>
      </c>
      <c r="DA92" s="544" t="n">
        <v>-287.056548345555</v>
      </c>
      <c r="DB92" s="544" t="n">
        <v>-287.056548345555</v>
      </c>
      <c r="DC92" s="544" t="n">
        <v>-287.056548345555</v>
      </c>
      <c r="DD92" s="544" t="n">
        <v>-287.056548345555</v>
      </c>
      <c r="DE92" s="544" t="n">
        <v>-287.056548345555</v>
      </c>
      <c r="DF92" s="544" t="n">
        <v>-287.056548345555</v>
      </c>
    </row>
    <row r="93" ht="15" customFormat="1" customHeight="1" s="381">
      <c r="A93" s="482" t="inlineStr">
        <is>
          <t>5300-1000 Travel and Lodging</t>
        </is>
      </c>
      <c r="C93" s="544" t="n">
        <v>-986.5700000000001</v>
      </c>
      <c r="D93" s="544" t="n">
        <v>-1254.61</v>
      </c>
      <c r="E93" s="544" t="n">
        <v>-1297.31</v>
      </c>
      <c r="F93" s="544" t="n">
        <v>-1179.5</v>
      </c>
      <c r="G93" s="544" t="n">
        <v>-1179.5</v>
      </c>
      <c r="H93" s="544" t="n">
        <v>-1179.5</v>
      </c>
      <c r="I93" s="544" t="n">
        <v>-1179.5</v>
      </c>
      <c r="J93" s="544" t="n">
        <v>-1179.5</v>
      </c>
      <c r="K93" s="544" t="n">
        <v>-1179.5</v>
      </c>
      <c r="L93" s="544" t="n">
        <v>-1179.5</v>
      </c>
      <c r="M93" s="544" t="n">
        <v>-1179.5</v>
      </c>
      <c r="N93" s="544" t="n">
        <v>-1179.5</v>
      </c>
      <c r="O93" s="544" t="n">
        <v>-1179.5</v>
      </c>
      <c r="P93" s="544" t="n">
        <v>-1179.5</v>
      </c>
      <c r="Q93" s="544" t="n">
        <v>-1179.5</v>
      </c>
      <c r="R93" s="544" t="n">
        <v>-1203.09</v>
      </c>
      <c r="S93" s="544" t="n">
        <v>-1203.09</v>
      </c>
      <c r="T93" s="544" t="n">
        <v>-1203.09</v>
      </c>
      <c r="U93" s="544" t="n">
        <v>-1203.09</v>
      </c>
      <c r="V93" s="544" t="n">
        <v>-1203.09</v>
      </c>
      <c r="W93" s="544" t="n">
        <v>-1203.09</v>
      </c>
      <c r="X93" s="544" t="n">
        <v>-1203.09</v>
      </c>
      <c r="Y93" s="544" t="n">
        <v>-1203.09</v>
      </c>
      <c r="Z93" s="544" t="n">
        <v>-1203.09</v>
      </c>
      <c r="AA93" s="544" t="n">
        <v>-1203.09</v>
      </c>
      <c r="AB93" s="544" t="n">
        <v>-1203.09</v>
      </c>
      <c r="AC93" s="544" t="n">
        <v>-1203.09</v>
      </c>
      <c r="AD93" s="544" t="n">
        <v>-1227.1518</v>
      </c>
      <c r="AE93" s="544" t="n">
        <v>-1227.1518</v>
      </c>
      <c r="AF93" s="544" t="n">
        <v>-1227.1518</v>
      </c>
      <c r="AG93" s="544" t="n">
        <v>-1227.1518</v>
      </c>
      <c r="AH93" s="544" t="n">
        <v>-1227.1518</v>
      </c>
      <c r="AI93" s="544" t="n">
        <v>-1227.1518</v>
      </c>
      <c r="AJ93" s="544" t="n">
        <v>-1227.1518</v>
      </c>
      <c r="AK93" s="544" t="n">
        <v>-1227.1518</v>
      </c>
      <c r="AL93" s="544" t="n">
        <v>-1227.1518</v>
      </c>
      <c r="AM93" s="544" t="n">
        <v>-1227.1518</v>
      </c>
      <c r="AN93" s="544" t="n">
        <v>-1227.1518</v>
      </c>
      <c r="AO93" s="544" t="n">
        <v>-1227.1518</v>
      </c>
      <c r="AP93" s="544" t="n">
        <v>-1251.694836</v>
      </c>
      <c r="AQ93" s="544" t="n">
        <v>-1251.694836</v>
      </c>
      <c r="AR93" s="544" t="n">
        <v>-1251.694836</v>
      </c>
      <c r="AS93" s="544" t="n">
        <v>-1251.694836</v>
      </c>
      <c r="AT93" s="544" t="n">
        <v>-1251.694836</v>
      </c>
      <c r="AU93" s="544" t="n">
        <v>-1251.694836</v>
      </c>
      <c r="AV93" s="544" t="n">
        <v>-1251.694836</v>
      </c>
      <c r="AW93" s="544" t="n">
        <v>-1251.694836</v>
      </c>
      <c r="AX93" s="544" t="n">
        <v>-1251.694836</v>
      </c>
      <c r="AY93" s="544" t="n">
        <v>-1251.694836</v>
      </c>
      <c r="AZ93" s="544" t="n">
        <v>-1251.694836</v>
      </c>
      <c r="BA93" s="544" t="n">
        <v>-1251.694836</v>
      </c>
      <c r="BB93" s="544" t="n">
        <v>-1276.72873272</v>
      </c>
      <c r="BC93" s="544" t="n">
        <v>-1276.72873272</v>
      </c>
      <c r="BD93" s="544" t="n">
        <v>-1276.72873272</v>
      </c>
      <c r="BE93" s="544" t="n">
        <v>-1276.72873272</v>
      </c>
      <c r="BF93" s="544" t="n">
        <v>-1276.72873272</v>
      </c>
      <c r="BG93" s="544" t="n">
        <v>-1276.72873272</v>
      </c>
      <c r="BH93" s="544" t="n">
        <v>-1276.72873272</v>
      </c>
      <c r="BI93" s="544" t="n">
        <v>-1276.72873272</v>
      </c>
      <c r="BJ93" s="544" t="n">
        <v>-1276.72873272</v>
      </c>
      <c r="BK93" s="544" t="n">
        <v>-1276.72873272</v>
      </c>
      <c r="BL93" s="544" t="n">
        <v>-1276.72873272</v>
      </c>
      <c r="BM93" s="544" t="n">
        <v>-1276.72873272</v>
      </c>
      <c r="BN93" s="544" t="n">
        <v>-1302.2633073744</v>
      </c>
      <c r="BO93" s="544" t="n">
        <v>-1302.2633073744</v>
      </c>
      <c r="BP93" s="544" t="n">
        <v>-1302.2633073744</v>
      </c>
      <c r="BQ93" s="544" t="n">
        <v>-1302.2633073744</v>
      </c>
      <c r="BR93" s="544" t="n">
        <v>-1302.2633073744</v>
      </c>
      <c r="BS93" s="544" t="n">
        <v>-1302.2633073744</v>
      </c>
      <c r="BT93" s="544" t="n">
        <v>-1302.2633073744</v>
      </c>
      <c r="BU93" s="544" t="n">
        <v>-1302.2633073744</v>
      </c>
      <c r="BV93" s="544" t="n">
        <v>-1302.2633073744</v>
      </c>
      <c r="BW93" s="544" t="n">
        <v>-1302.2633073744</v>
      </c>
      <c r="BX93" s="544" t="n">
        <v>-1302.2633073744</v>
      </c>
      <c r="BY93" s="544" t="n">
        <v>-1302.2633073744</v>
      </c>
      <c r="BZ93" s="544" t="n">
        <v>-1328.30857352189</v>
      </c>
      <c r="CA93" s="544" t="n">
        <v>-1328.30857352189</v>
      </c>
      <c r="CB93" s="544" t="n">
        <v>-1328.30857352189</v>
      </c>
      <c r="CC93" s="544" t="n">
        <v>-1328.30857352189</v>
      </c>
      <c r="CD93" s="544" t="n">
        <v>-1328.30857352189</v>
      </c>
      <c r="CE93" s="544" t="n">
        <v>-1328.30857352189</v>
      </c>
      <c r="CF93" s="544" t="n">
        <v>-1328.30857352189</v>
      </c>
      <c r="CG93" s="544" t="n">
        <v>-1328.30857352189</v>
      </c>
      <c r="CH93" s="544" t="n">
        <v>-1328.30857352189</v>
      </c>
      <c r="CI93" s="544" t="n">
        <v>-1328.30857352189</v>
      </c>
      <c r="CJ93" s="544" t="n">
        <v>-1328.30857352189</v>
      </c>
      <c r="CK93" s="544" t="n">
        <v>-1328.30857352189</v>
      </c>
      <c r="CL93" s="544" t="n">
        <v>-1354.87474499233</v>
      </c>
      <c r="CM93" s="544" t="n">
        <v>-1354.87474499233</v>
      </c>
      <c r="CN93" s="544" t="n">
        <v>-1354.87474499233</v>
      </c>
      <c r="CO93" s="544" t="n">
        <v>-1354.87474499233</v>
      </c>
      <c r="CP93" s="544" t="n">
        <v>-1354.87474499233</v>
      </c>
      <c r="CQ93" s="544" t="n">
        <v>-1354.87474499233</v>
      </c>
      <c r="CR93" s="544" t="n">
        <v>-1354.87474499233</v>
      </c>
      <c r="CS93" s="544" t="n">
        <v>-1354.87474499233</v>
      </c>
      <c r="CT93" s="544" t="n">
        <v>-1354.87474499233</v>
      </c>
      <c r="CU93" s="544" t="n">
        <v>-1354.87474499233</v>
      </c>
      <c r="CV93" s="544" t="n">
        <v>-1354.87474499233</v>
      </c>
      <c r="CW93" s="544" t="n">
        <v>-1354.87474499233</v>
      </c>
      <c r="CX93" s="544" t="n">
        <v>-1381.97223989217</v>
      </c>
      <c r="CY93" s="544" t="n">
        <v>-1381.97223989217</v>
      </c>
      <c r="CZ93" s="544" t="n">
        <v>-1381.97223989217</v>
      </c>
      <c r="DA93" s="544" t="n">
        <v>-1381.97223989217</v>
      </c>
      <c r="DB93" s="544" t="n">
        <v>-1381.97223989217</v>
      </c>
      <c r="DC93" s="544" t="n">
        <v>-1381.97223989217</v>
      </c>
      <c r="DD93" s="544" t="n">
        <v>-1381.97223989217</v>
      </c>
      <c r="DE93" s="544" t="n">
        <v>-1381.97223989217</v>
      </c>
      <c r="DF93" s="544" t="n">
        <v>-1381.97223989217</v>
      </c>
    </row>
    <row r="94" ht="15" customFormat="1" customHeight="1" s="381">
      <c r="A94" s="482" t="inlineStr">
        <is>
          <t>5300-1001 Public Transportation</t>
        </is>
      </c>
      <c r="C94" s="544" t="n">
        <v>-588.66</v>
      </c>
      <c r="D94" s="544" t="n">
        <v>-22.94</v>
      </c>
      <c r="E94" s="544" t="n">
        <v>-487.3</v>
      </c>
      <c r="F94" s="544" t="n">
        <v>-366.3</v>
      </c>
      <c r="G94" s="544" t="n">
        <v>-366.3</v>
      </c>
      <c r="H94" s="544" t="n">
        <v>-366.3</v>
      </c>
      <c r="I94" s="544" t="n">
        <v>-366.3</v>
      </c>
      <c r="J94" s="544" t="n">
        <v>-366.3</v>
      </c>
      <c r="K94" s="544" t="n">
        <v>-366.3</v>
      </c>
      <c r="L94" s="544" t="n">
        <v>-366.3</v>
      </c>
      <c r="M94" s="544" t="n">
        <v>-366.3</v>
      </c>
      <c r="N94" s="544" t="n">
        <v>-366.3</v>
      </c>
      <c r="O94" s="544" t="n">
        <v>-366.3</v>
      </c>
      <c r="P94" s="544" t="n">
        <v>-366.3</v>
      </c>
      <c r="Q94" s="544" t="n">
        <v>-366.3</v>
      </c>
      <c r="R94" s="544" t="n">
        <v>-373.626</v>
      </c>
      <c r="S94" s="544" t="n">
        <v>-373.626</v>
      </c>
      <c r="T94" s="544" t="n">
        <v>-373.626</v>
      </c>
      <c r="U94" s="544" t="n">
        <v>-373.626</v>
      </c>
      <c r="V94" s="544" t="n">
        <v>-373.626</v>
      </c>
      <c r="W94" s="544" t="n">
        <v>-373.626</v>
      </c>
      <c r="X94" s="544" t="n">
        <v>-373.626</v>
      </c>
      <c r="Y94" s="544" t="n">
        <v>-373.626</v>
      </c>
      <c r="Z94" s="544" t="n">
        <v>-373.626</v>
      </c>
      <c r="AA94" s="544" t="n">
        <v>-373.626</v>
      </c>
      <c r="AB94" s="544" t="n">
        <v>-373.626</v>
      </c>
      <c r="AC94" s="544" t="n">
        <v>-373.626</v>
      </c>
      <c r="AD94" s="544" t="n">
        <v>-381.09852</v>
      </c>
      <c r="AE94" s="544" t="n">
        <v>-381.09852</v>
      </c>
      <c r="AF94" s="544" t="n">
        <v>-381.09852</v>
      </c>
      <c r="AG94" s="544" t="n">
        <v>-381.09852</v>
      </c>
      <c r="AH94" s="544" t="n">
        <v>-381.09852</v>
      </c>
      <c r="AI94" s="544" t="n">
        <v>-381.09852</v>
      </c>
      <c r="AJ94" s="544" t="n">
        <v>-381.09852</v>
      </c>
      <c r="AK94" s="544" t="n">
        <v>-381.09852</v>
      </c>
      <c r="AL94" s="544" t="n">
        <v>-381.09852</v>
      </c>
      <c r="AM94" s="544" t="n">
        <v>-381.09852</v>
      </c>
      <c r="AN94" s="544" t="n">
        <v>-381.09852</v>
      </c>
      <c r="AO94" s="544" t="n">
        <v>-381.09852</v>
      </c>
      <c r="AP94" s="544" t="n">
        <v>-388.7204904</v>
      </c>
      <c r="AQ94" s="544" t="n">
        <v>-388.7204904</v>
      </c>
      <c r="AR94" s="544" t="n">
        <v>-388.7204904</v>
      </c>
      <c r="AS94" s="544" t="n">
        <v>-388.7204904</v>
      </c>
      <c r="AT94" s="544" t="n">
        <v>-388.7204904</v>
      </c>
      <c r="AU94" s="544" t="n">
        <v>-388.7204904</v>
      </c>
      <c r="AV94" s="544" t="n">
        <v>-388.7204904</v>
      </c>
      <c r="AW94" s="544" t="n">
        <v>-388.7204904</v>
      </c>
      <c r="AX94" s="544" t="n">
        <v>-388.7204904</v>
      </c>
      <c r="AY94" s="544" t="n">
        <v>-388.7204904</v>
      </c>
      <c r="AZ94" s="544" t="n">
        <v>-388.7204904</v>
      </c>
      <c r="BA94" s="544" t="n">
        <v>-388.7204904</v>
      </c>
      <c r="BB94" s="544" t="n">
        <v>-396.494900208</v>
      </c>
      <c r="BC94" s="544" t="n">
        <v>-396.494900208</v>
      </c>
      <c r="BD94" s="544" t="n">
        <v>-396.494900208</v>
      </c>
      <c r="BE94" s="544" t="n">
        <v>-396.494900208</v>
      </c>
      <c r="BF94" s="544" t="n">
        <v>-396.494900208</v>
      </c>
      <c r="BG94" s="544" t="n">
        <v>-396.494900208</v>
      </c>
      <c r="BH94" s="544" t="n">
        <v>-396.494900208</v>
      </c>
      <c r="BI94" s="544" t="n">
        <v>-396.494900208</v>
      </c>
      <c r="BJ94" s="544" t="n">
        <v>-396.494900208</v>
      </c>
      <c r="BK94" s="544" t="n">
        <v>-396.494900208</v>
      </c>
      <c r="BL94" s="544" t="n">
        <v>-396.494900208</v>
      </c>
      <c r="BM94" s="544" t="n">
        <v>-396.494900208</v>
      </c>
      <c r="BN94" s="544" t="n">
        <v>-404.42479821216</v>
      </c>
      <c r="BO94" s="544" t="n">
        <v>-404.42479821216</v>
      </c>
      <c r="BP94" s="544" t="n">
        <v>-404.42479821216</v>
      </c>
      <c r="BQ94" s="544" t="n">
        <v>-404.42479821216</v>
      </c>
      <c r="BR94" s="544" t="n">
        <v>-404.42479821216</v>
      </c>
      <c r="BS94" s="544" t="n">
        <v>-404.42479821216</v>
      </c>
      <c r="BT94" s="544" t="n">
        <v>-404.42479821216</v>
      </c>
      <c r="BU94" s="544" t="n">
        <v>-404.42479821216</v>
      </c>
      <c r="BV94" s="544" t="n">
        <v>-404.42479821216</v>
      </c>
      <c r="BW94" s="544" t="n">
        <v>-404.42479821216</v>
      </c>
      <c r="BX94" s="544" t="n">
        <v>-404.42479821216</v>
      </c>
      <c r="BY94" s="544" t="n">
        <v>-404.42479821216</v>
      </c>
      <c r="BZ94" s="544" t="n">
        <v>-412.513294176403</v>
      </c>
      <c r="CA94" s="544" t="n">
        <v>-412.513294176403</v>
      </c>
      <c r="CB94" s="544" t="n">
        <v>-412.513294176403</v>
      </c>
      <c r="CC94" s="544" t="n">
        <v>-412.513294176403</v>
      </c>
      <c r="CD94" s="544" t="n">
        <v>-412.513294176403</v>
      </c>
      <c r="CE94" s="544" t="n">
        <v>-412.513294176403</v>
      </c>
      <c r="CF94" s="544" t="n">
        <v>-412.513294176403</v>
      </c>
      <c r="CG94" s="544" t="n">
        <v>-412.513294176403</v>
      </c>
      <c r="CH94" s="544" t="n">
        <v>-412.513294176403</v>
      </c>
      <c r="CI94" s="544" t="n">
        <v>-412.513294176403</v>
      </c>
      <c r="CJ94" s="544" t="n">
        <v>-412.513294176403</v>
      </c>
      <c r="CK94" s="544" t="n">
        <v>-412.513294176403</v>
      </c>
      <c r="CL94" s="544" t="n">
        <v>-420.763560059931</v>
      </c>
      <c r="CM94" s="544" t="n">
        <v>-420.763560059931</v>
      </c>
      <c r="CN94" s="544" t="n">
        <v>-420.763560059931</v>
      </c>
      <c r="CO94" s="544" t="n">
        <v>-420.763560059931</v>
      </c>
      <c r="CP94" s="544" t="n">
        <v>-420.763560059931</v>
      </c>
      <c r="CQ94" s="544" t="n">
        <v>-420.763560059931</v>
      </c>
      <c r="CR94" s="544" t="n">
        <v>-420.763560059931</v>
      </c>
      <c r="CS94" s="544" t="n">
        <v>-420.763560059931</v>
      </c>
      <c r="CT94" s="544" t="n">
        <v>-420.763560059931</v>
      </c>
      <c r="CU94" s="544" t="n">
        <v>-420.763560059931</v>
      </c>
      <c r="CV94" s="544" t="n">
        <v>-420.763560059931</v>
      </c>
      <c r="CW94" s="544" t="n">
        <v>-420.763560059931</v>
      </c>
      <c r="CX94" s="544" t="n">
        <v>-429.17883126113</v>
      </c>
      <c r="CY94" s="544" t="n">
        <v>-429.17883126113</v>
      </c>
      <c r="CZ94" s="544" t="n">
        <v>-429.17883126113</v>
      </c>
      <c r="DA94" s="544" t="n">
        <v>-429.17883126113</v>
      </c>
      <c r="DB94" s="544" t="n">
        <v>-429.17883126113</v>
      </c>
      <c r="DC94" s="544" t="n">
        <v>-429.17883126113</v>
      </c>
      <c r="DD94" s="544" t="n">
        <v>-429.17883126113</v>
      </c>
      <c r="DE94" s="544" t="n">
        <v>-429.17883126113</v>
      </c>
      <c r="DF94" s="544" t="n">
        <v>-429.17883126113</v>
      </c>
    </row>
    <row r="95" ht="15" customFormat="1" customHeight="1" s="381">
      <c r="A95" s="482" t="inlineStr">
        <is>
          <t>5300-1002 Parking</t>
        </is>
      </c>
      <c r="C95" s="544" t="n">
        <v>0</v>
      </c>
      <c r="D95" s="544" t="n">
        <v>-92.75</v>
      </c>
      <c r="E95" s="544" t="n">
        <v>-57.46</v>
      </c>
      <c r="F95" s="544" t="n">
        <v>-50.07</v>
      </c>
      <c r="G95" s="544" t="n">
        <v>-50.07</v>
      </c>
      <c r="H95" s="544" t="n">
        <v>-50.07</v>
      </c>
      <c r="I95" s="544" t="n">
        <v>-50.07</v>
      </c>
      <c r="J95" s="544" t="n">
        <v>-50.07</v>
      </c>
      <c r="K95" s="544" t="n">
        <v>-50.07</v>
      </c>
      <c r="L95" s="544" t="n">
        <v>-50.07</v>
      </c>
      <c r="M95" s="544" t="n">
        <v>-50.07</v>
      </c>
      <c r="N95" s="544" t="n">
        <v>-50.07</v>
      </c>
      <c r="O95" s="544" t="n">
        <v>-50.07</v>
      </c>
      <c r="P95" s="544" t="n">
        <v>-50.07</v>
      </c>
      <c r="Q95" s="544" t="n">
        <v>-50.07</v>
      </c>
      <c r="R95" s="544" t="n">
        <v>-51.0714</v>
      </c>
      <c r="S95" s="544" t="n">
        <v>-51.0714</v>
      </c>
      <c r="T95" s="544" t="n">
        <v>-51.0714</v>
      </c>
      <c r="U95" s="544" t="n">
        <v>-51.0714</v>
      </c>
      <c r="V95" s="544" t="n">
        <v>-51.0714</v>
      </c>
      <c r="W95" s="544" t="n">
        <v>-51.0714</v>
      </c>
      <c r="X95" s="544" t="n">
        <v>-51.0714</v>
      </c>
      <c r="Y95" s="544" t="n">
        <v>-51.0714</v>
      </c>
      <c r="Z95" s="544" t="n">
        <v>-51.0714</v>
      </c>
      <c r="AA95" s="544" t="n">
        <v>-51.0714</v>
      </c>
      <c r="AB95" s="544" t="n">
        <v>-51.0714</v>
      </c>
      <c r="AC95" s="544" t="n">
        <v>-51.0714</v>
      </c>
      <c r="AD95" s="544" t="n">
        <v>-52.092828</v>
      </c>
      <c r="AE95" s="544" t="n">
        <v>-52.092828</v>
      </c>
      <c r="AF95" s="544" t="n">
        <v>-52.092828</v>
      </c>
      <c r="AG95" s="544" t="n">
        <v>-52.092828</v>
      </c>
      <c r="AH95" s="544" t="n">
        <v>-52.092828</v>
      </c>
      <c r="AI95" s="544" t="n">
        <v>-52.092828</v>
      </c>
      <c r="AJ95" s="544" t="n">
        <v>-52.092828</v>
      </c>
      <c r="AK95" s="544" t="n">
        <v>-52.092828</v>
      </c>
      <c r="AL95" s="544" t="n">
        <v>-52.092828</v>
      </c>
      <c r="AM95" s="544" t="n">
        <v>-52.092828</v>
      </c>
      <c r="AN95" s="544" t="n">
        <v>-52.092828</v>
      </c>
      <c r="AO95" s="544" t="n">
        <v>-52.092828</v>
      </c>
      <c r="AP95" s="544" t="n">
        <v>-53.13468456</v>
      </c>
      <c r="AQ95" s="544" t="n">
        <v>-53.13468456</v>
      </c>
      <c r="AR95" s="544" t="n">
        <v>-53.13468456</v>
      </c>
      <c r="AS95" s="544" t="n">
        <v>-53.13468456</v>
      </c>
      <c r="AT95" s="544" t="n">
        <v>-53.13468456</v>
      </c>
      <c r="AU95" s="544" t="n">
        <v>-53.13468456</v>
      </c>
      <c r="AV95" s="544" t="n">
        <v>-53.13468456</v>
      </c>
      <c r="AW95" s="544" t="n">
        <v>-53.13468456</v>
      </c>
      <c r="AX95" s="544" t="n">
        <v>-53.13468456</v>
      </c>
      <c r="AY95" s="544" t="n">
        <v>-53.13468456</v>
      </c>
      <c r="AZ95" s="544" t="n">
        <v>-53.13468456</v>
      </c>
      <c r="BA95" s="544" t="n">
        <v>-53.13468456</v>
      </c>
      <c r="BB95" s="544" t="n">
        <v>-54.1973782512</v>
      </c>
      <c r="BC95" s="544" t="n">
        <v>-54.1973782512</v>
      </c>
      <c r="BD95" s="544" t="n">
        <v>-54.1973782512</v>
      </c>
      <c r="BE95" s="544" t="n">
        <v>-54.1973782512</v>
      </c>
      <c r="BF95" s="544" t="n">
        <v>-54.1973782512</v>
      </c>
      <c r="BG95" s="544" t="n">
        <v>-54.1973782512</v>
      </c>
      <c r="BH95" s="544" t="n">
        <v>-54.1973782512</v>
      </c>
      <c r="BI95" s="544" t="n">
        <v>-54.1973782512</v>
      </c>
      <c r="BJ95" s="544" t="n">
        <v>-54.1973782512</v>
      </c>
      <c r="BK95" s="544" t="n">
        <v>-54.1973782512</v>
      </c>
      <c r="BL95" s="544" t="n">
        <v>-54.1973782512</v>
      </c>
      <c r="BM95" s="544" t="n">
        <v>-54.1973782512</v>
      </c>
      <c r="BN95" s="544" t="n">
        <v>-55.281325816224</v>
      </c>
      <c r="BO95" s="544" t="n">
        <v>-55.281325816224</v>
      </c>
      <c r="BP95" s="544" t="n">
        <v>-55.281325816224</v>
      </c>
      <c r="BQ95" s="544" t="n">
        <v>-55.281325816224</v>
      </c>
      <c r="BR95" s="544" t="n">
        <v>-55.281325816224</v>
      </c>
      <c r="BS95" s="544" t="n">
        <v>-55.281325816224</v>
      </c>
      <c r="BT95" s="544" t="n">
        <v>-55.281325816224</v>
      </c>
      <c r="BU95" s="544" t="n">
        <v>-55.281325816224</v>
      </c>
      <c r="BV95" s="544" t="n">
        <v>-55.281325816224</v>
      </c>
      <c r="BW95" s="544" t="n">
        <v>-55.281325816224</v>
      </c>
      <c r="BX95" s="544" t="n">
        <v>-55.281325816224</v>
      </c>
      <c r="BY95" s="544" t="n">
        <v>-55.281325816224</v>
      </c>
      <c r="BZ95" s="544" t="n">
        <v>-56.3869523325485</v>
      </c>
      <c r="CA95" s="544" t="n">
        <v>-56.3869523325485</v>
      </c>
      <c r="CB95" s="544" t="n">
        <v>-56.3869523325485</v>
      </c>
      <c r="CC95" s="544" t="n">
        <v>-56.3869523325485</v>
      </c>
      <c r="CD95" s="544" t="n">
        <v>-56.3869523325485</v>
      </c>
      <c r="CE95" s="544" t="n">
        <v>-56.3869523325485</v>
      </c>
      <c r="CF95" s="544" t="n">
        <v>-56.3869523325485</v>
      </c>
      <c r="CG95" s="544" t="n">
        <v>-56.3869523325485</v>
      </c>
      <c r="CH95" s="544" t="n">
        <v>-56.3869523325485</v>
      </c>
      <c r="CI95" s="544" t="n">
        <v>-56.3869523325485</v>
      </c>
      <c r="CJ95" s="544" t="n">
        <v>-56.3869523325485</v>
      </c>
      <c r="CK95" s="544" t="n">
        <v>-56.3869523325485</v>
      </c>
      <c r="CL95" s="544" t="n">
        <v>-57.5146913791995</v>
      </c>
      <c r="CM95" s="544" t="n">
        <v>-57.5146913791995</v>
      </c>
      <c r="CN95" s="544" t="n">
        <v>-57.5146913791995</v>
      </c>
      <c r="CO95" s="544" t="n">
        <v>-57.5146913791995</v>
      </c>
      <c r="CP95" s="544" t="n">
        <v>-57.5146913791995</v>
      </c>
      <c r="CQ95" s="544" t="n">
        <v>-57.5146913791995</v>
      </c>
      <c r="CR95" s="544" t="n">
        <v>-57.5146913791995</v>
      </c>
      <c r="CS95" s="544" t="n">
        <v>-57.5146913791995</v>
      </c>
      <c r="CT95" s="544" t="n">
        <v>-57.5146913791995</v>
      </c>
      <c r="CU95" s="544" t="n">
        <v>-57.5146913791995</v>
      </c>
      <c r="CV95" s="544" t="n">
        <v>-57.5146913791995</v>
      </c>
      <c r="CW95" s="544" t="n">
        <v>-57.5146913791995</v>
      </c>
      <c r="CX95" s="544" t="n">
        <v>-58.6649852067835</v>
      </c>
      <c r="CY95" s="544" t="n">
        <v>-58.6649852067835</v>
      </c>
      <c r="CZ95" s="544" t="n">
        <v>-58.6649852067835</v>
      </c>
      <c r="DA95" s="544" t="n">
        <v>-58.6649852067835</v>
      </c>
      <c r="DB95" s="544" t="n">
        <v>-58.6649852067835</v>
      </c>
      <c r="DC95" s="544" t="n">
        <v>-58.6649852067835</v>
      </c>
      <c r="DD95" s="544" t="n">
        <v>-58.6649852067835</v>
      </c>
      <c r="DE95" s="544" t="n">
        <v>-58.6649852067835</v>
      </c>
      <c r="DF95" s="544" t="n">
        <v>-58.6649852067835</v>
      </c>
    </row>
    <row r="96" ht="15" customFormat="1" customHeight="1" s="381">
      <c r="A96" s="482" t="inlineStr">
        <is>
          <t>5300-1050 Meals and Entertainment</t>
        </is>
      </c>
      <c r="C96" s="544" t="n">
        <v>-640.88</v>
      </c>
      <c r="D96" s="544" t="n">
        <v>-872.64</v>
      </c>
      <c r="E96" s="544" t="n">
        <v>-1175.78</v>
      </c>
      <c r="F96" s="544" t="n">
        <v>-896.4299999999999</v>
      </c>
      <c r="G96" s="544" t="n">
        <v>-896.4299999999999</v>
      </c>
      <c r="H96" s="544" t="n">
        <v>-896.4299999999999</v>
      </c>
      <c r="I96" s="544" t="n">
        <v>-896.4299999999999</v>
      </c>
      <c r="J96" s="544" t="n">
        <v>-896.4299999999999</v>
      </c>
      <c r="K96" s="544" t="n">
        <v>-896.4299999999999</v>
      </c>
      <c r="L96" s="544" t="n">
        <v>-896.4299999999999</v>
      </c>
      <c r="M96" s="544" t="n">
        <v>-896.4299999999999</v>
      </c>
      <c r="N96" s="544" t="n">
        <v>-896.4299999999999</v>
      </c>
      <c r="O96" s="544" t="n">
        <v>-896.4299999999999</v>
      </c>
      <c r="P96" s="544" t="n">
        <v>-896.4299999999999</v>
      </c>
      <c r="Q96" s="544" t="n">
        <v>-896.4299999999999</v>
      </c>
      <c r="R96" s="544" t="n">
        <v>-914.3586</v>
      </c>
      <c r="S96" s="544" t="n">
        <v>-914.3586</v>
      </c>
      <c r="T96" s="544" t="n">
        <v>-914.3586</v>
      </c>
      <c r="U96" s="544" t="n">
        <v>-914.3586</v>
      </c>
      <c r="V96" s="544" t="n">
        <v>-914.3586</v>
      </c>
      <c r="W96" s="544" t="n">
        <v>-914.3586</v>
      </c>
      <c r="X96" s="544" t="n">
        <v>-914.3586</v>
      </c>
      <c r="Y96" s="544" t="n">
        <v>-914.3586</v>
      </c>
      <c r="Z96" s="544" t="n">
        <v>-914.3586</v>
      </c>
      <c r="AA96" s="544" t="n">
        <v>-914.3586</v>
      </c>
      <c r="AB96" s="544" t="n">
        <v>-914.3586</v>
      </c>
      <c r="AC96" s="544" t="n">
        <v>-914.3586</v>
      </c>
      <c r="AD96" s="544" t="n">
        <v>-932.645772</v>
      </c>
      <c r="AE96" s="544" t="n">
        <v>-932.645772</v>
      </c>
      <c r="AF96" s="544" t="n">
        <v>-932.645772</v>
      </c>
      <c r="AG96" s="544" t="n">
        <v>-932.645772</v>
      </c>
      <c r="AH96" s="544" t="n">
        <v>-932.645772</v>
      </c>
      <c r="AI96" s="544" t="n">
        <v>-932.645772</v>
      </c>
      <c r="AJ96" s="544" t="n">
        <v>-932.645772</v>
      </c>
      <c r="AK96" s="544" t="n">
        <v>-932.645772</v>
      </c>
      <c r="AL96" s="544" t="n">
        <v>-932.645772</v>
      </c>
      <c r="AM96" s="544" t="n">
        <v>-932.645772</v>
      </c>
      <c r="AN96" s="544" t="n">
        <v>-932.645772</v>
      </c>
      <c r="AO96" s="544" t="n">
        <v>-932.645772</v>
      </c>
      <c r="AP96" s="544" t="n">
        <v>-951.29868744</v>
      </c>
      <c r="AQ96" s="544" t="n">
        <v>-951.29868744</v>
      </c>
      <c r="AR96" s="544" t="n">
        <v>-951.29868744</v>
      </c>
      <c r="AS96" s="544" t="n">
        <v>-951.29868744</v>
      </c>
      <c r="AT96" s="544" t="n">
        <v>-951.29868744</v>
      </c>
      <c r="AU96" s="544" t="n">
        <v>-951.29868744</v>
      </c>
      <c r="AV96" s="544" t="n">
        <v>-951.29868744</v>
      </c>
      <c r="AW96" s="544" t="n">
        <v>-951.29868744</v>
      </c>
      <c r="AX96" s="544" t="n">
        <v>-951.29868744</v>
      </c>
      <c r="AY96" s="544" t="n">
        <v>-951.29868744</v>
      </c>
      <c r="AZ96" s="544" t="n">
        <v>-951.29868744</v>
      </c>
      <c r="BA96" s="544" t="n">
        <v>-951.29868744</v>
      </c>
      <c r="BB96" s="544" t="n">
        <v>-970.3246611888</v>
      </c>
      <c r="BC96" s="544" t="n">
        <v>-970.3246611888</v>
      </c>
      <c r="BD96" s="544" t="n">
        <v>-970.3246611888</v>
      </c>
      <c r="BE96" s="544" t="n">
        <v>-970.3246611888</v>
      </c>
      <c r="BF96" s="544" t="n">
        <v>-970.3246611888</v>
      </c>
      <c r="BG96" s="544" t="n">
        <v>-970.3246611888</v>
      </c>
      <c r="BH96" s="544" t="n">
        <v>-970.3246611888</v>
      </c>
      <c r="BI96" s="544" t="n">
        <v>-970.3246611888</v>
      </c>
      <c r="BJ96" s="544" t="n">
        <v>-970.3246611888</v>
      </c>
      <c r="BK96" s="544" t="n">
        <v>-970.3246611888</v>
      </c>
      <c r="BL96" s="544" t="n">
        <v>-970.3246611888</v>
      </c>
      <c r="BM96" s="544" t="n">
        <v>-970.3246611888</v>
      </c>
      <c r="BN96" s="544" t="n">
        <v>-989.731154412576</v>
      </c>
      <c r="BO96" s="544" t="n">
        <v>-989.731154412576</v>
      </c>
      <c r="BP96" s="544" t="n">
        <v>-989.731154412576</v>
      </c>
      <c r="BQ96" s="544" t="n">
        <v>-989.731154412576</v>
      </c>
      <c r="BR96" s="544" t="n">
        <v>-989.731154412576</v>
      </c>
      <c r="BS96" s="544" t="n">
        <v>-989.731154412576</v>
      </c>
      <c r="BT96" s="544" t="n">
        <v>-989.731154412576</v>
      </c>
      <c r="BU96" s="544" t="n">
        <v>-989.731154412576</v>
      </c>
      <c r="BV96" s="544" t="n">
        <v>-989.731154412576</v>
      </c>
      <c r="BW96" s="544" t="n">
        <v>-989.731154412576</v>
      </c>
      <c r="BX96" s="544" t="n">
        <v>-989.731154412576</v>
      </c>
      <c r="BY96" s="544" t="n">
        <v>-989.731154412576</v>
      </c>
      <c r="BZ96" s="544" t="n">
        <v>-1009.52577750083</v>
      </c>
      <c r="CA96" s="544" t="n">
        <v>-1009.52577750083</v>
      </c>
      <c r="CB96" s="544" t="n">
        <v>-1009.52577750083</v>
      </c>
      <c r="CC96" s="544" t="n">
        <v>-1009.52577750083</v>
      </c>
      <c r="CD96" s="544" t="n">
        <v>-1009.52577750083</v>
      </c>
      <c r="CE96" s="544" t="n">
        <v>-1009.52577750083</v>
      </c>
      <c r="CF96" s="544" t="n">
        <v>-1009.52577750083</v>
      </c>
      <c r="CG96" s="544" t="n">
        <v>-1009.52577750083</v>
      </c>
      <c r="CH96" s="544" t="n">
        <v>-1009.52577750083</v>
      </c>
      <c r="CI96" s="544" t="n">
        <v>-1009.52577750083</v>
      </c>
      <c r="CJ96" s="544" t="n">
        <v>-1009.52577750083</v>
      </c>
      <c r="CK96" s="544" t="n">
        <v>-1009.52577750083</v>
      </c>
      <c r="CL96" s="544" t="n">
        <v>-1029.71629305084</v>
      </c>
      <c r="CM96" s="544" t="n">
        <v>-1029.71629305084</v>
      </c>
      <c r="CN96" s="544" t="n">
        <v>-1029.71629305084</v>
      </c>
      <c r="CO96" s="544" t="n">
        <v>-1029.71629305084</v>
      </c>
      <c r="CP96" s="544" t="n">
        <v>-1029.71629305084</v>
      </c>
      <c r="CQ96" s="544" t="n">
        <v>-1029.71629305084</v>
      </c>
      <c r="CR96" s="544" t="n">
        <v>-1029.71629305084</v>
      </c>
      <c r="CS96" s="544" t="n">
        <v>-1029.71629305084</v>
      </c>
      <c r="CT96" s="544" t="n">
        <v>-1029.71629305084</v>
      </c>
      <c r="CU96" s="544" t="n">
        <v>-1029.71629305084</v>
      </c>
      <c r="CV96" s="544" t="n">
        <v>-1029.71629305084</v>
      </c>
      <c r="CW96" s="544" t="n">
        <v>-1029.71629305084</v>
      </c>
      <c r="CX96" s="544" t="n">
        <v>-1050.31061891186</v>
      </c>
      <c r="CY96" s="544" t="n">
        <v>-1050.31061891186</v>
      </c>
      <c r="CZ96" s="544" t="n">
        <v>-1050.31061891186</v>
      </c>
      <c r="DA96" s="544" t="n">
        <v>-1050.31061891186</v>
      </c>
      <c r="DB96" s="544" t="n">
        <v>-1050.31061891186</v>
      </c>
      <c r="DC96" s="544" t="n">
        <v>-1050.31061891186</v>
      </c>
      <c r="DD96" s="544" t="n">
        <v>-1050.31061891186</v>
      </c>
      <c r="DE96" s="544" t="n">
        <v>-1050.31061891186</v>
      </c>
      <c r="DF96" s="544" t="n">
        <v>-1050.31061891186</v>
      </c>
    </row>
    <row r="97" ht="15" customFormat="1" customHeight="1" s="381">
      <c r="A97" s="482" t="inlineStr">
        <is>
          <t>5500-1000 Legal and Professional Fees</t>
        </is>
      </c>
      <c r="C97" s="544" t="n">
        <v>0</v>
      </c>
      <c r="D97" s="544" t="n">
        <v>0</v>
      </c>
      <c r="E97" s="544" t="n">
        <v>-38050.5</v>
      </c>
      <c r="F97" s="544" t="n">
        <v>-2000</v>
      </c>
      <c r="G97" s="544" t="n">
        <v>-2000</v>
      </c>
      <c r="H97" s="544" t="n">
        <v>-2000</v>
      </c>
      <c r="I97" s="544" t="n">
        <v>-2000</v>
      </c>
      <c r="J97" s="544" t="n">
        <v>-2000</v>
      </c>
      <c r="K97" s="544" t="n">
        <v>-2000</v>
      </c>
      <c r="L97" s="544" t="n">
        <v>-2000</v>
      </c>
      <c r="M97" s="544" t="n">
        <v>-2000</v>
      </c>
      <c r="N97" s="544" t="n">
        <v>-2000</v>
      </c>
      <c r="O97" s="544" t="n">
        <v>-2000</v>
      </c>
      <c r="P97" s="544" t="n">
        <v>-2000</v>
      </c>
      <c r="Q97" s="544" t="n">
        <v>-2000</v>
      </c>
      <c r="R97" s="544" t="n">
        <v>-2040</v>
      </c>
      <c r="S97" s="544" t="n">
        <v>-2040</v>
      </c>
      <c r="T97" s="544" t="n">
        <v>-2040</v>
      </c>
      <c r="U97" s="544" t="n">
        <v>-2040</v>
      </c>
      <c r="V97" s="544" t="n">
        <v>-2040</v>
      </c>
      <c r="W97" s="544" t="n">
        <v>-2040</v>
      </c>
      <c r="X97" s="544" t="n">
        <v>-2040</v>
      </c>
      <c r="Y97" s="544" t="n">
        <v>-2040</v>
      </c>
      <c r="Z97" s="544" t="n">
        <v>-2040</v>
      </c>
      <c r="AA97" s="544" t="n">
        <v>-2040</v>
      </c>
      <c r="AB97" s="544" t="n">
        <v>-2040</v>
      </c>
      <c r="AC97" s="544" t="n">
        <v>-2040</v>
      </c>
      <c r="AD97" s="544" t="n">
        <v>-2080.8</v>
      </c>
      <c r="AE97" s="544" t="n">
        <v>-2080.8</v>
      </c>
      <c r="AF97" s="544" t="n">
        <v>-2080.8</v>
      </c>
      <c r="AG97" s="544" t="n">
        <v>-2080.8</v>
      </c>
      <c r="AH97" s="544" t="n">
        <v>-2080.8</v>
      </c>
      <c r="AI97" s="544" t="n">
        <v>-2080.8</v>
      </c>
      <c r="AJ97" s="544" t="n">
        <v>-2080.8</v>
      </c>
      <c r="AK97" s="544" t="n">
        <v>-2080.8</v>
      </c>
      <c r="AL97" s="544" t="n">
        <v>-2080.8</v>
      </c>
      <c r="AM97" s="544" t="n">
        <v>-2080.8</v>
      </c>
      <c r="AN97" s="544" t="n">
        <v>-2080.8</v>
      </c>
      <c r="AO97" s="544" t="n">
        <v>-2080.8</v>
      </c>
      <c r="AP97" s="544" t="n">
        <v>-2122.416</v>
      </c>
      <c r="AQ97" s="544" t="n">
        <v>-2122.416</v>
      </c>
      <c r="AR97" s="544" t="n">
        <v>-2122.416</v>
      </c>
      <c r="AS97" s="544" t="n">
        <v>-2122.416</v>
      </c>
      <c r="AT97" s="544" t="n">
        <v>-2122.416</v>
      </c>
      <c r="AU97" s="544" t="n">
        <v>-2122.416</v>
      </c>
      <c r="AV97" s="544" t="n">
        <v>-2122.416</v>
      </c>
      <c r="AW97" s="544" t="n">
        <v>-2122.416</v>
      </c>
      <c r="AX97" s="544" t="n">
        <v>-2122.416</v>
      </c>
      <c r="AY97" s="544" t="n">
        <v>-2122.416</v>
      </c>
      <c r="AZ97" s="544" t="n">
        <v>-2122.416</v>
      </c>
      <c r="BA97" s="544" t="n">
        <v>-2122.416</v>
      </c>
      <c r="BB97" s="544" t="n">
        <v>-2164.86432</v>
      </c>
      <c r="BC97" s="544" t="n">
        <v>-2164.86432</v>
      </c>
      <c r="BD97" s="544" t="n">
        <v>-2164.86432</v>
      </c>
      <c r="BE97" s="544" t="n">
        <v>-2164.86432</v>
      </c>
      <c r="BF97" s="544" t="n">
        <v>-2164.86432</v>
      </c>
      <c r="BG97" s="544" t="n">
        <v>-2164.86432</v>
      </c>
      <c r="BH97" s="544" t="n">
        <v>-2164.86432</v>
      </c>
      <c r="BI97" s="544" t="n">
        <v>-2164.86432</v>
      </c>
      <c r="BJ97" s="544" t="n">
        <v>-2164.86432</v>
      </c>
      <c r="BK97" s="544" t="n">
        <v>-2164.86432</v>
      </c>
      <c r="BL97" s="544" t="n">
        <v>-2164.86432</v>
      </c>
      <c r="BM97" s="544" t="n">
        <v>-2164.86432</v>
      </c>
      <c r="BN97" s="544" t="n">
        <v>-2208.1616064</v>
      </c>
      <c r="BO97" s="544" t="n">
        <v>-2208.1616064</v>
      </c>
      <c r="BP97" s="544" t="n">
        <v>-2208.1616064</v>
      </c>
      <c r="BQ97" s="544" t="n">
        <v>-2208.1616064</v>
      </c>
      <c r="BR97" s="544" t="n">
        <v>-2208.1616064</v>
      </c>
      <c r="BS97" s="544" t="n">
        <v>-2208.1616064</v>
      </c>
      <c r="BT97" s="544" t="n">
        <v>-2208.1616064</v>
      </c>
      <c r="BU97" s="544" t="n">
        <v>-2208.1616064</v>
      </c>
      <c r="BV97" s="544" t="n">
        <v>-2208.1616064</v>
      </c>
      <c r="BW97" s="544" t="n">
        <v>-2208.1616064</v>
      </c>
      <c r="BX97" s="544" t="n">
        <v>-2208.1616064</v>
      </c>
      <c r="BY97" s="544" t="n">
        <v>-2208.1616064</v>
      </c>
      <c r="BZ97" s="544" t="n">
        <v>-2252.324838528</v>
      </c>
      <c r="CA97" s="544" t="n">
        <v>-2252.324838528</v>
      </c>
      <c r="CB97" s="544" t="n">
        <v>-2252.324838528</v>
      </c>
      <c r="CC97" s="544" t="n">
        <v>-2252.324838528</v>
      </c>
      <c r="CD97" s="544" t="n">
        <v>-2252.324838528</v>
      </c>
      <c r="CE97" s="544" t="n">
        <v>-2252.324838528</v>
      </c>
      <c r="CF97" s="544" t="n">
        <v>-2252.324838528</v>
      </c>
      <c r="CG97" s="544" t="n">
        <v>-2252.324838528</v>
      </c>
      <c r="CH97" s="544" t="n">
        <v>-2252.324838528</v>
      </c>
      <c r="CI97" s="544" t="n">
        <v>-2252.324838528</v>
      </c>
      <c r="CJ97" s="544" t="n">
        <v>-2252.324838528</v>
      </c>
      <c r="CK97" s="544" t="n">
        <v>-2252.324838528</v>
      </c>
      <c r="CL97" s="544" t="n">
        <v>-2297.37133529856</v>
      </c>
      <c r="CM97" s="544" t="n">
        <v>-2297.37133529856</v>
      </c>
      <c r="CN97" s="544" t="n">
        <v>-2297.37133529856</v>
      </c>
      <c r="CO97" s="544" t="n">
        <v>-2297.37133529856</v>
      </c>
      <c r="CP97" s="544" t="n">
        <v>-2297.37133529856</v>
      </c>
      <c r="CQ97" s="544" t="n">
        <v>-2297.37133529856</v>
      </c>
      <c r="CR97" s="544" t="n">
        <v>-2297.37133529856</v>
      </c>
      <c r="CS97" s="544" t="n">
        <v>-2297.37133529856</v>
      </c>
      <c r="CT97" s="544" t="n">
        <v>-2297.37133529856</v>
      </c>
      <c r="CU97" s="544" t="n">
        <v>-2297.37133529856</v>
      </c>
      <c r="CV97" s="544" t="n">
        <v>-2297.37133529856</v>
      </c>
      <c r="CW97" s="544" t="n">
        <v>-2297.37133529856</v>
      </c>
      <c r="CX97" s="544" t="n">
        <v>-2343.31876200453</v>
      </c>
      <c r="CY97" s="544" t="n">
        <v>-2343.31876200453</v>
      </c>
      <c r="CZ97" s="544" t="n">
        <v>-2343.31876200453</v>
      </c>
      <c r="DA97" s="544" t="n">
        <v>-2343.31876200453</v>
      </c>
      <c r="DB97" s="544" t="n">
        <v>-2343.31876200453</v>
      </c>
      <c r="DC97" s="544" t="n">
        <v>-2343.31876200453</v>
      </c>
      <c r="DD97" s="544" t="n">
        <v>-2343.31876200453</v>
      </c>
      <c r="DE97" s="544" t="n">
        <v>-2343.31876200453</v>
      </c>
      <c r="DF97" s="544" t="n">
        <v>-2343.31876200453</v>
      </c>
    </row>
    <row r="98" ht="15" customFormat="1" customHeight="1" s="381">
      <c r="A98" s="472" t="inlineStr">
        <is>
          <t>5500-1002 Accounting Consulting and Overhead</t>
        </is>
      </c>
      <c r="C98" s="486" t="n">
        <v>-4097.78</v>
      </c>
      <c r="D98" s="486" t="n">
        <v>-1950.2</v>
      </c>
      <c r="E98" s="486" t="n">
        <v>-1978.2</v>
      </c>
      <c r="F98" s="543" t="n">
        <v>-2675.39</v>
      </c>
      <c r="G98" s="543" t="n">
        <v>-2675.39</v>
      </c>
      <c r="H98" s="543" t="n">
        <v>-2675.39</v>
      </c>
      <c r="I98" s="543" t="n">
        <v>-2675.39</v>
      </c>
      <c r="J98" s="543" t="n">
        <v>-2675.39</v>
      </c>
      <c r="K98" s="543" t="n">
        <v>-2675.39</v>
      </c>
      <c r="L98" s="543" t="n">
        <v>-2675.39</v>
      </c>
      <c r="M98" s="543" t="n">
        <v>-2675.39</v>
      </c>
      <c r="N98" s="543" t="n">
        <v>-2675.39</v>
      </c>
      <c r="O98" s="543" t="n">
        <v>-2675.39</v>
      </c>
      <c r="P98" s="543" t="n">
        <v>-2675.39</v>
      </c>
      <c r="Q98" s="543" t="n">
        <v>-2675.39</v>
      </c>
      <c r="R98" s="543" t="n">
        <v>-2728.8978</v>
      </c>
      <c r="S98" s="543" t="n">
        <v>-2728.8978</v>
      </c>
      <c r="T98" s="543" t="n">
        <v>-2728.8978</v>
      </c>
      <c r="U98" s="543" t="n">
        <v>-2728.8978</v>
      </c>
      <c r="V98" s="543" t="n">
        <v>-2728.8978</v>
      </c>
      <c r="W98" s="543" t="n">
        <v>-2728.8978</v>
      </c>
      <c r="X98" s="543" t="n">
        <v>-2728.8978</v>
      </c>
      <c r="Y98" s="543" t="n">
        <v>-2728.8978</v>
      </c>
      <c r="Z98" s="543" t="n">
        <v>-2728.8978</v>
      </c>
      <c r="AA98" s="543" t="n">
        <v>-2728.8978</v>
      </c>
      <c r="AB98" s="543" t="n">
        <v>-2728.8978</v>
      </c>
      <c r="AC98" s="543" t="n">
        <v>-2728.8978</v>
      </c>
      <c r="AD98" s="543" t="n">
        <v>-2783.475756</v>
      </c>
      <c r="AE98" s="543" t="n">
        <v>-2783.475756</v>
      </c>
      <c r="AF98" s="543" t="n">
        <v>-2783.475756</v>
      </c>
      <c r="AG98" s="543" t="n">
        <v>-2783.475756</v>
      </c>
      <c r="AH98" s="543" t="n">
        <v>-2783.475756</v>
      </c>
      <c r="AI98" s="543" t="n">
        <v>-2783.475756</v>
      </c>
      <c r="AJ98" s="543" t="n">
        <v>-2783.475756</v>
      </c>
      <c r="AK98" s="543" t="n">
        <v>-2783.475756</v>
      </c>
      <c r="AL98" s="543" t="n">
        <v>-2783.475756</v>
      </c>
      <c r="AM98" s="543" t="n">
        <v>-2783.475756</v>
      </c>
      <c r="AN98" s="543" t="n">
        <v>-2783.475756</v>
      </c>
      <c r="AO98" s="543" t="n">
        <v>-2783.475756</v>
      </c>
      <c r="AP98" s="543" t="n">
        <v>-2839.14527112</v>
      </c>
      <c r="AQ98" s="543" t="n">
        <v>-2839.14527112</v>
      </c>
      <c r="AR98" s="543" t="n">
        <v>-2839.14527112</v>
      </c>
      <c r="AS98" s="543" t="n">
        <v>-2839.14527112</v>
      </c>
      <c r="AT98" s="543" t="n">
        <v>-2839.14527112</v>
      </c>
      <c r="AU98" s="543" t="n">
        <v>-2839.14527112</v>
      </c>
      <c r="AV98" s="543" t="n">
        <v>-2839.14527112</v>
      </c>
      <c r="AW98" s="543" t="n">
        <v>-2839.14527112</v>
      </c>
      <c r="AX98" s="543" t="n">
        <v>-2839.14527112</v>
      </c>
      <c r="AY98" s="543" t="n">
        <v>-2839.14527112</v>
      </c>
      <c r="AZ98" s="543" t="n">
        <v>-2839.14527112</v>
      </c>
      <c r="BA98" s="543" t="n">
        <v>-2839.14527112</v>
      </c>
      <c r="BB98" s="543" t="n">
        <v>-2895.9281765424</v>
      </c>
      <c r="BC98" s="543" t="n">
        <v>-2895.9281765424</v>
      </c>
      <c r="BD98" s="543" t="n">
        <v>-2895.9281765424</v>
      </c>
      <c r="BE98" s="543" t="n">
        <v>-2895.9281765424</v>
      </c>
      <c r="BF98" s="543" t="n">
        <v>-2895.9281765424</v>
      </c>
      <c r="BG98" s="543" t="n">
        <v>-2895.9281765424</v>
      </c>
      <c r="BH98" s="543" t="n">
        <v>-2895.9281765424</v>
      </c>
      <c r="BI98" s="543" t="n">
        <v>-2895.9281765424</v>
      </c>
      <c r="BJ98" s="543" t="n">
        <v>-2895.9281765424</v>
      </c>
      <c r="BK98" s="543" t="n">
        <v>-2895.9281765424</v>
      </c>
      <c r="BL98" s="543" t="n">
        <v>-2895.9281765424</v>
      </c>
      <c r="BM98" s="543" t="n">
        <v>-2895.9281765424</v>
      </c>
      <c r="BN98" s="543" t="n">
        <v>-2953.84674007325</v>
      </c>
      <c r="BO98" s="543" t="n">
        <v>-2953.84674007325</v>
      </c>
      <c r="BP98" s="543" t="n">
        <v>-2953.84674007325</v>
      </c>
      <c r="BQ98" s="543" t="n">
        <v>-2953.84674007325</v>
      </c>
      <c r="BR98" s="543" t="n">
        <v>-2953.84674007325</v>
      </c>
      <c r="BS98" s="543" t="n">
        <v>-2953.84674007325</v>
      </c>
      <c r="BT98" s="543" t="n">
        <v>-2953.84674007325</v>
      </c>
      <c r="BU98" s="543" t="n">
        <v>-2953.84674007325</v>
      </c>
      <c r="BV98" s="543" t="n">
        <v>-2953.84674007325</v>
      </c>
      <c r="BW98" s="543" t="n">
        <v>-2953.84674007325</v>
      </c>
      <c r="BX98" s="543" t="n">
        <v>-2953.84674007325</v>
      </c>
      <c r="BY98" s="543" t="n">
        <v>-2953.84674007325</v>
      </c>
      <c r="BZ98" s="543" t="n">
        <v>-3012.92367487471</v>
      </c>
      <c r="CA98" s="543" t="n">
        <v>-3012.92367487471</v>
      </c>
      <c r="CB98" s="543" t="n">
        <v>-3012.92367487471</v>
      </c>
      <c r="CC98" s="543" t="n">
        <v>-3012.92367487471</v>
      </c>
      <c r="CD98" s="543" t="n">
        <v>-3012.92367487471</v>
      </c>
      <c r="CE98" s="543" t="n">
        <v>-3012.92367487471</v>
      </c>
      <c r="CF98" s="543" t="n">
        <v>-3012.92367487471</v>
      </c>
      <c r="CG98" s="543" t="n">
        <v>-3012.92367487471</v>
      </c>
      <c r="CH98" s="543" t="n">
        <v>-3012.92367487471</v>
      </c>
      <c r="CI98" s="543" t="n">
        <v>-3012.92367487471</v>
      </c>
      <c r="CJ98" s="543" t="n">
        <v>-3012.92367487471</v>
      </c>
      <c r="CK98" s="543" t="n">
        <v>-3012.92367487471</v>
      </c>
      <c r="CL98" s="543" t="n">
        <v>-3073.18214837221</v>
      </c>
      <c r="CM98" s="543" t="n">
        <v>-3073.18214837221</v>
      </c>
      <c r="CN98" s="543" t="n">
        <v>-3073.18214837221</v>
      </c>
      <c r="CO98" s="543" t="n">
        <v>-3073.18214837221</v>
      </c>
      <c r="CP98" s="543" t="n">
        <v>-3073.18214837221</v>
      </c>
      <c r="CQ98" s="543" t="n">
        <v>-3073.18214837221</v>
      </c>
      <c r="CR98" s="543" t="n">
        <v>-3073.18214837221</v>
      </c>
      <c r="CS98" s="543" t="n">
        <v>-3073.18214837221</v>
      </c>
      <c r="CT98" s="543" t="n">
        <v>-3073.18214837221</v>
      </c>
      <c r="CU98" s="543" t="n">
        <v>-3073.18214837221</v>
      </c>
      <c r="CV98" s="543" t="n">
        <v>-3073.18214837221</v>
      </c>
      <c r="CW98" s="543" t="n">
        <v>-3073.18214837221</v>
      </c>
      <c r="CX98" s="543" t="n">
        <v>-3134.64579133965</v>
      </c>
      <c r="CY98" s="543" t="n">
        <v>-3134.64579133965</v>
      </c>
      <c r="CZ98" s="543" t="n">
        <v>-3134.64579133965</v>
      </c>
      <c r="DA98" s="543" t="n">
        <v>-3134.64579133965</v>
      </c>
      <c r="DB98" s="543" t="n">
        <v>-3134.64579133965</v>
      </c>
      <c r="DC98" s="543" t="n">
        <v>-3134.64579133965</v>
      </c>
      <c r="DD98" s="543" t="n">
        <v>-3134.64579133965</v>
      </c>
      <c r="DE98" s="543" t="n">
        <v>-3134.64579133965</v>
      </c>
      <c r="DF98" s="543" t="n">
        <v>-3134.64579133965</v>
      </c>
    </row>
    <row r="99" ht="15" customFormat="1" customHeight="1" s="381">
      <c r="A99" s="472" t="inlineStr">
        <is>
          <t>5500-1004 Consultants and Other Professional Expenses</t>
        </is>
      </c>
      <c r="C99" s="486" t="n">
        <v>-28038</v>
      </c>
      <c r="D99" s="486" t="n">
        <v>-29387.5</v>
      </c>
      <c r="E99" s="486" t="n">
        <v>-28083</v>
      </c>
      <c r="F99" s="543" t="n">
        <v>-8625</v>
      </c>
      <c r="G99" s="543" t="n">
        <v>-8625</v>
      </c>
      <c r="H99" s="543" t="n">
        <v>-8625</v>
      </c>
      <c r="I99" s="543" t="n">
        <v>-8625</v>
      </c>
      <c r="J99" s="543" t="n">
        <v>-8625</v>
      </c>
      <c r="K99" s="543" t="n">
        <v>-8625</v>
      </c>
      <c r="L99" s="543" t="n">
        <v>-8625</v>
      </c>
      <c r="M99" s="543" t="n">
        <v>-8625</v>
      </c>
      <c r="N99" s="543" t="n">
        <v>-8625</v>
      </c>
      <c r="O99" s="543" t="n">
        <v>-8625</v>
      </c>
      <c r="P99" s="543" t="n">
        <v>-8625</v>
      </c>
      <c r="Q99" s="543" t="n">
        <v>-8625</v>
      </c>
      <c r="R99" s="543" t="n">
        <v>-8797.5</v>
      </c>
      <c r="S99" s="543" t="n">
        <v>-8797.5</v>
      </c>
      <c r="T99" s="543" t="n">
        <v>-8797.5</v>
      </c>
      <c r="U99" s="543" t="n">
        <v>-8797.5</v>
      </c>
      <c r="V99" s="543" t="n">
        <v>-8797.5</v>
      </c>
      <c r="W99" s="543" t="n">
        <v>-8797.5</v>
      </c>
      <c r="X99" s="543" t="n">
        <v>-8797.5</v>
      </c>
      <c r="Y99" s="543" t="n">
        <v>-8797.5</v>
      </c>
      <c r="Z99" s="543" t="n">
        <v>-8797.5</v>
      </c>
      <c r="AA99" s="543" t="n">
        <v>-8797.5</v>
      </c>
      <c r="AB99" s="543" t="n">
        <v>-8797.5</v>
      </c>
      <c r="AC99" s="543" t="n">
        <v>-8797.5</v>
      </c>
      <c r="AD99" s="543" t="n">
        <v>-8973.450000000001</v>
      </c>
      <c r="AE99" s="543" t="n">
        <v>-8973.450000000001</v>
      </c>
      <c r="AF99" s="543" t="n">
        <v>-8973.450000000001</v>
      </c>
      <c r="AG99" s="543" t="n">
        <v>-8973.450000000001</v>
      </c>
      <c r="AH99" s="543" t="n">
        <v>-8973.450000000001</v>
      </c>
      <c r="AI99" s="543" t="n">
        <v>-8973.450000000001</v>
      </c>
      <c r="AJ99" s="543" t="n">
        <v>-8973.450000000001</v>
      </c>
      <c r="AK99" s="543" t="n">
        <v>-8973.450000000001</v>
      </c>
      <c r="AL99" s="543" t="n">
        <v>-8973.450000000001</v>
      </c>
      <c r="AM99" s="543" t="n">
        <v>-8973.450000000001</v>
      </c>
      <c r="AN99" s="543" t="n">
        <v>-8973.450000000001</v>
      </c>
      <c r="AO99" s="543" t="n">
        <v>-8973.450000000001</v>
      </c>
      <c r="AP99" s="543" t="n">
        <v>-9152.919</v>
      </c>
      <c r="AQ99" s="543" t="n">
        <v>-9152.919</v>
      </c>
      <c r="AR99" s="543" t="n">
        <v>-9152.919</v>
      </c>
      <c r="AS99" s="543" t="n">
        <v>-9152.919</v>
      </c>
      <c r="AT99" s="543" t="n">
        <v>-9152.919</v>
      </c>
      <c r="AU99" s="543" t="n">
        <v>-9152.919</v>
      </c>
      <c r="AV99" s="543" t="n">
        <v>-9152.919</v>
      </c>
      <c r="AW99" s="543" t="n">
        <v>-9152.919</v>
      </c>
      <c r="AX99" s="543" t="n">
        <v>-9152.919</v>
      </c>
      <c r="AY99" s="543" t="n">
        <v>-9152.919</v>
      </c>
      <c r="AZ99" s="543" t="n">
        <v>-9152.919</v>
      </c>
      <c r="BA99" s="543" t="n">
        <v>-9152.919</v>
      </c>
      <c r="BB99" s="543" t="n">
        <v>-9335.97738</v>
      </c>
      <c r="BC99" s="543" t="n">
        <v>-9335.97738</v>
      </c>
      <c r="BD99" s="543" t="n">
        <v>-9335.97738</v>
      </c>
      <c r="BE99" s="543" t="n">
        <v>-9335.97738</v>
      </c>
      <c r="BF99" s="543" t="n">
        <v>-9335.97738</v>
      </c>
      <c r="BG99" s="543" t="n">
        <v>-9335.97738</v>
      </c>
      <c r="BH99" s="543" t="n">
        <v>-9335.97738</v>
      </c>
      <c r="BI99" s="543" t="n">
        <v>-9335.97738</v>
      </c>
      <c r="BJ99" s="543" t="n">
        <v>-9335.97738</v>
      </c>
      <c r="BK99" s="543" t="n">
        <v>-9335.97738</v>
      </c>
      <c r="BL99" s="543" t="n">
        <v>-9335.97738</v>
      </c>
      <c r="BM99" s="543" t="n">
        <v>-9335.97738</v>
      </c>
      <c r="BN99" s="543" t="n">
        <v>-9522.6969276</v>
      </c>
      <c r="BO99" s="543" t="n">
        <v>-9522.6969276</v>
      </c>
      <c r="BP99" s="543" t="n">
        <v>-9522.6969276</v>
      </c>
      <c r="BQ99" s="543" t="n">
        <v>-9522.6969276</v>
      </c>
      <c r="BR99" s="543" t="n">
        <v>-9522.6969276</v>
      </c>
      <c r="BS99" s="543" t="n">
        <v>-9522.6969276</v>
      </c>
      <c r="BT99" s="543" t="n">
        <v>-9522.6969276</v>
      </c>
      <c r="BU99" s="543" t="n">
        <v>-9522.6969276</v>
      </c>
      <c r="BV99" s="543" t="n">
        <v>-9522.6969276</v>
      </c>
      <c r="BW99" s="543" t="n">
        <v>-9522.6969276</v>
      </c>
      <c r="BX99" s="543" t="n">
        <v>-9522.6969276</v>
      </c>
      <c r="BY99" s="543" t="n">
        <v>-9522.6969276</v>
      </c>
      <c r="BZ99" s="543" t="n">
        <v>-9713.150866152</v>
      </c>
      <c r="CA99" s="543" t="n">
        <v>-9713.150866152</v>
      </c>
      <c r="CB99" s="543" t="n">
        <v>-9713.150866152</v>
      </c>
      <c r="CC99" s="543" t="n">
        <v>-9713.150866152</v>
      </c>
      <c r="CD99" s="543" t="n">
        <v>-9713.150866152</v>
      </c>
      <c r="CE99" s="543" t="n">
        <v>-9713.150866152</v>
      </c>
      <c r="CF99" s="543" t="n">
        <v>-9713.150866152</v>
      </c>
      <c r="CG99" s="543" t="n">
        <v>-9713.150866152</v>
      </c>
      <c r="CH99" s="543" t="n">
        <v>-9713.150866152</v>
      </c>
      <c r="CI99" s="543" t="n">
        <v>-9713.150866152</v>
      </c>
      <c r="CJ99" s="543" t="n">
        <v>-9713.150866152</v>
      </c>
      <c r="CK99" s="543" t="n">
        <v>-9713.150866152</v>
      </c>
      <c r="CL99" s="543" t="n">
        <v>-9907.413883475039</v>
      </c>
      <c r="CM99" s="543" t="n">
        <v>-9907.413883475039</v>
      </c>
      <c r="CN99" s="543" t="n">
        <v>-9907.413883475039</v>
      </c>
      <c r="CO99" s="543" t="n">
        <v>-9907.413883475039</v>
      </c>
      <c r="CP99" s="543" t="n">
        <v>-9907.413883475039</v>
      </c>
      <c r="CQ99" s="543" t="n">
        <v>-9907.413883475039</v>
      </c>
      <c r="CR99" s="543" t="n">
        <v>-9907.413883475039</v>
      </c>
      <c r="CS99" s="543" t="n">
        <v>-9907.413883475039</v>
      </c>
      <c r="CT99" s="543" t="n">
        <v>-9907.413883475039</v>
      </c>
      <c r="CU99" s="543" t="n">
        <v>-9907.413883475039</v>
      </c>
      <c r="CV99" s="543" t="n">
        <v>-9907.413883475039</v>
      </c>
      <c r="CW99" s="543" t="n">
        <v>-9907.413883475039</v>
      </c>
      <c r="CX99" s="543" t="n">
        <v>-10105.5621611445</v>
      </c>
      <c r="CY99" s="543" t="n">
        <v>-10105.5621611445</v>
      </c>
      <c r="CZ99" s="543" t="n">
        <v>-10105.5621611445</v>
      </c>
      <c r="DA99" s="543" t="n">
        <v>-10105.5621611445</v>
      </c>
      <c r="DB99" s="543" t="n">
        <v>-10105.5621611445</v>
      </c>
      <c r="DC99" s="543" t="n">
        <v>-10105.5621611445</v>
      </c>
      <c r="DD99" s="543" t="n">
        <v>-10105.5621611445</v>
      </c>
      <c r="DE99" s="543" t="n">
        <v>-10105.5621611445</v>
      </c>
      <c r="DF99" s="543" t="n">
        <v>-10105.5621611445</v>
      </c>
    </row>
    <row r="100" ht="15" customFormat="1" customHeight="1" s="381">
      <c r="A100" s="482" t="inlineStr">
        <is>
          <t>5500-1007 Dues and Subscriptions</t>
        </is>
      </c>
      <c r="C100" s="544" t="n">
        <v>-268</v>
      </c>
      <c r="D100" s="544" t="n">
        <v>-2088.75</v>
      </c>
      <c r="E100" s="544" t="n">
        <v>-2401.75</v>
      </c>
      <c r="F100" s="544" t="n">
        <v>-1586.17</v>
      </c>
      <c r="G100" s="544" t="n">
        <v>-1586.17</v>
      </c>
      <c r="H100" s="544" t="n">
        <v>-1586.17</v>
      </c>
      <c r="I100" s="544" t="n">
        <v>-1586.17</v>
      </c>
      <c r="J100" s="544" t="n">
        <v>-1586.17</v>
      </c>
      <c r="K100" s="544" t="n">
        <v>-1586.17</v>
      </c>
      <c r="L100" s="544" t="n">
        <v>-1586.17</v>
      </c>
      <c r="M100" s="544" t="n">
        <v>-1586.17</v>
      </c>
      <c r="N100" s="544" t="n">
        <v>-1586.17</v>
      </c>
      <c r="O100" s="544" t="n">
        <v>-1586.17</v>
      </c>
      <c r="P100" s="544" t="n">
        <v>-1586.17</v>
      </c>
      <c r="Q100" s="544" t="n">
        <v>-1586.17</v>
      </c>
      <c r="R100" s="544" t="n">
        <v>-1617.8934</v>
      </c>
      <c r="S100" s="544" t="n">
        <v>-1617.8934</v>
      </c>
      <c r="T100" s="544" t="n">
        <v>-1617.8934</v>
      </c>
      <c r="U100" s="544" t="n">
        <v>-1617.8934</v>
      </c>
      <c r="V100" s="544" t="n">
        <v>-1617.8934</v>
      </c>
      <c r="W100" s="544" t="n">
        <v>-1617.8934</v>
      </c>
      <c r="X100" s="544" t="n">
        <v>-1617.8934</v>
      </c>
      <c r="Y100" s="544" t="n">
        <v>-1617.8934</v>
      </c>
      <c r="Z100" s="544" t="n">
        <v>-1617.8934</v>
      </c>
      <c r="AA100" s="544" t="n">
        <v>-1617.8934</v>
      </c>
      <c r="AB100" s="544" t="n">
        <v>-1617.8934</v>
      </c>
      <c r="AC100" s="544" t="n">
        <v>-1617.8934</v>
      </c>
      <c r="AD100" s="544" t="n">
        <v>-1650.251268</v>
      </c>
      <c r="AE100" s="544" t="n">
        <v>-1650.251268</v>
      </c>
      <c r="AF100" s="544" t="n">
        <v>-1650.251268</v>
      </c>
      <c r="AG100" s="544" t="n">
        <v>-1650.251268</v>
      </c>
      <c r="AH100" s="544" t="n">
        <v>-1650.251268</v>
      </c>
      <c r="AI100" s="544" t="n">
        <v>-1650.251268</v>
      </c>
      <c r="AJ100" s="544" t="n">
        <v>-1650.251268</v>
      </c>
      <c r="AK100" s="544" t="n">
        <v>-1650.251268</v>
      </c>
      <c r="AL100" s="544" t="n">
        <v>-1650.251268</v>
      </c>
      <c r="AM100" s="544" t="n">
        <v>-1650.251268</v>
      </c>
      <c r="AN100" s="544" t="n">
        <v>-1650.251268</v>
      </c>
      <c r="AO100" s="544" t="n">
        <v>-1650.251268</v>
      </c>
      <c r="AP100" s="544" t="n">
        <v>-1683.25629336</v>
      </c>
      <c r="AQ100" s="544" t="n">
        <v>-1683.25629336</v>
      </c>
      <c r="AR100" s="544" t="n">
        <v>-1683.25629336</v>
      </c>
      <c r="AS100" s="544" t="n">
        <v>-1683.25629336</v>
      </c>
      <c r="AT100" s="544" t="n">
        <v>-1683.25629336</v>
      </c>
      <c r="AU100" s="544" t="n">
        <v>-1683.25629336</v>
      </c>
      <c r="AV100" s="544" t="n">
        <v>-1683.25629336</v>
      </c>
      <c r="AW100" s="544" t="n">
        <v>-1683.25629336</v>
      </c>
      <c r="AX100" s="544" t="n">
        <v>-1683.25629336</v>
      </c>
      <c r="AY100" s="544" t="n">
        <v>-1683.25629336</v>
      </c>
      <c r="AZ100" s="544" t="n">
        <v>-1683.25629336</v>
      </c>
      <c r="BA100" s="544" t="n">
        <v>-1683.25629336</v>
      </c>
      <c r="BB100" s="544" t="n">
        <v>-1716.9214192272</v>
      </c>
      <c r="BC100" s="544" t="n">
        <v>-1716.9214192272</v>
      </c>
      <c r="BD100" s="544" t="n">
        <v>-1716.9214192272</v>
      </c>
      <c r="BE100" s="544" t="n">
        <v>-1716.9214192272</v>
      </c>
      <c r="BF100" s="544" t="n">
        <v>-1716.9214192272</v>
      </c>
      <c r="BG100" s="544" t="n">
        <v>-1716.9214192272</v>
      </c>
      <c r="BH100" s="544" t="n">
        <v>-1716.9214192272</v>
      </c>
      <c r="BI100" s="544" t="n">
        <v>-1716.9214192272</v>
      </c>
      <c r="BJ100" s="544" t="n">
        <v>-1716.9214192272</v>
      </c>
      <c r="BK100" s="544" t="n">
        <v>-1716.9214192272</v>
      </c>
      <c r="BL100" s="544" t="n">
        <v>-1716.9214192272</v>
      </c>
      <c r="BM100" s="544" t="n">
        <v>-1716.9214192272</v>
      </c>
      <c r="BN100" s="544" t="n">
        <v>-1751.25984761174</v>
      </c>
      <c r="BO100" s="544" t="n">
        <v>-1751.25984761174</v>
      </c>
      <c r="BP100" s="544" t="n">
        <v>-1751.25984761174</v>
      </c>
      <c r="BQ100" s="544" t="n">
        <v>-1751.25984761174</v>
      </c>
      <c r="BR100" s="544" t="n">
        <v>-1751.25984761174</v>
      </c>
      <c r="BS100" s="544" t="n">
        <v>-1751.25984761174</v>
      </c>
      <c r="BT100" s="544" t="n">
        <v>-1751.25984761174</v>
      </c>
      <c r="BU100" s="544" t="n">
        <v>-1751.25984761174</v>
      </c>
      <c r="BV100" s="544" t="n">
        <v>-1751.25984761174</v>
      </c>
      <c r="BW100" s="544" t="n">
        <v>-1751.25984761174</v>
      </c>
      <c r="BX100" s="544" t="n">
        <v>-1751.25984761174</v>
      </c>
      <c r="BY100" s="544" t="n">
        <v>-1751.25984761174</v>
      </c>
      <c r="BZ100" s="544" t="n">
        <v>-1786.28504456398</v>
      </c>
      <c r="CA100" s="544" t="n">
        <v>-1786.28504456398</v>
      </c>
      <c r="CB100" s="544" t="n">
        <v>-1786.28504456398</v>
      </c>
      <c r="CC100" s="544" t="n">
        <v>-1786.28504456398</v>
      </c>
      <c r="CD100" s="544" t="n">
        <v>-1786.28504456398</v>
      </c>
      <c r="CE100" s="544" t="n">
        <v>-1786.28504456398</v>
      </c>
      <c r="CF100" s="544" t="n">
        <v>-1786.28504456398</v>
      </c>
      <c r="CG100" s="544" t="n">
        <v>-1786.28504456398</v>
      </c>
      <c r="CH100" s="544" t="n">
        <v>-1786.28504456398</v>
      </c>
      <c r="CI100" s="544" t="n">
        <v>-1786.28504456398</v>
      </c>
      <c r="CJ100" s="544" t="n">
        <v>-1786.28504456398</v>
      </c>
      <c r="CK100" s="544" t="n">
        <v>-1786.28504456398</v>
      </c>
      <c r="CL100" s="544" t="n">
        <v>-1822.01074545526</v>
      </c>
      <c r="CM100" s="544" t="n">
        <v>-1822.01074545526</v>
      </c>
      <c r="CN100" s="544" t="n">
        <v>-1822.01074545526</v>
      </c>
      <c r="CO100" s="544" t="n">
        <v>-1822.01074545526</v>
      </c>
      <c r="CP100" s="544" t="n">
        <v>-1822.01074545526</v>
      </c>
      <c r="CQ100" s="544" t="n">
        <v>-1822.01074545526</v>
      </c>
      <c r="CR100" s="544" t="n">
        <v>-1822.01074545526</v>
      </c>
      <c r="CS100" s="544" t="n">
        <v>-1822.01074545526</v>
      </c>
      <c r="CT100" s="544" t="n">
        <v>-1822.01074545526</v>
      </c>
      <c r="CU100" s="544" t="n">
        <v>-1822.01074545526</v>
      </c>
      <c r="CV100" s="544" t="n">
        <v>-1822.01074545526</v>
      </c>
      <c r="CW100" s="544" t="n">
        <v>-1822.01074545526</v>
      </c>
      <c r="CX100" s="544" t="n">
        <v>-1858.45096036436</v>
      </c>
      <c r="CY100" s="544" t="n">
        <v>-1858.45096036436</v>
      </c>
      <c r="CZ100" s="544" t="n">
        <v>-1858.45096036436</v>
      </c>
      <c r="DA100" s="544" t="n">
        <v>-1858.45096036436</v>
      </c>
      <c r="DB100" s="544" t="n">
        <v>-1858.45096036436</v>
      </c>
      <c r="DC100" s="544" t="n">
        <v>-1858.45096036436</v>
      </c>
      <c r="DD100" s="544" t="n">
        <v>-1858.45096036436</v>
      </c>
      <c r="DE100" s="544" t="n">
        <v>-1858.45096036436</v>
      </c>
      <c r="DF100" s="544" t="n">
        <v>-1858.45096036436</v>
      </c>
    </row>
    <row r="101" ht="15" customFormat="1" customHeight="1" s="381">
      <c r="A101" s="482" t="inlineStr">
        <is>
          <t>5500-1009 Entity Filing and Formation Fees</t>
        </is>
      </c>
      <c r="C101" s="544" t="n">
        <v>-341.83</v>
      </c>
      <c r="D101" s="544" t="n">
        <v>-728</v>
      </c>
      <c r="E101" s="544" t="n">
        <v>-15256.75</v>
      </c>
      <c r="F101" s="544" t="n">
        <v>-5442.19</v>
      </c>
      <c r="G101" s="544" t="n">
        <v>-5442.19</v>
      </c>
      <c r="H101" s="544" t="n">
        <v>-5442.19</v>
      </c>
      <c r="I101" s="544" t="n">
        <v>-5442.19</v>
      </c>
      <c r="J101" s="544" t="n">
        <v>-5442.19</v>
      </c>
      <c r="K101" s="544" t="n">
        <v>-5442.19</v>
      </c>
      <c r="L101" s="544" t="n">
        <v>-5442.19</v>
      </c>
      <c r="M101" s="544" t="n">
        <v>-5442.19</v>
      </c>
      <c r="N101" s="544" t="n">
        <v>-5442.19</v>
      </c>
      <c r="O101" s="544" t="n">
        <v>-5442.19</v>
      </c>
      <c r="P101" s="544" t="n">
        <v>-5442.19</v>
      </c>
      <c r="Q101" s="544" t="n">
        <v>-5442.19</v>
      </c>
      <c r="R101" s="544" t="n">
        <v>-5551.0338</v>
      </c>
      <c r="S101" s="544" t="n">
        <v>-5551.0338</v>
      </c>
      <c r="T101" s="544" t="n">
        <v>-5551.0338</v>
      </c>
      <c r="U101" s="544" t="n">
        <v>-5551.0338</v>
      </c>
      <c r="V101" s="544" t="n">
        <v>-5551.0338</v>
      </c>
      <c r="W101" s="544" t="n">
        <v>-5551.0338</v>
      </c>
      <c r="X101" s="544" t="n">
        <v>-5551.0338</v>
      </c>
      <c r="Y101" s="544" t="n">
        <v>-5551.0338</v>
      </c>
      <c r="Z101" s="544" t="n">
        <v>-5551.0338</v>
      </c>
      <c r="AA101" s="544" t="n">
        <v>-5551.0338</v>
      </c>
      <c r="AB101" s="544" t="n">
        <v>-5551.0338</v>
      </c>
      <c r="AC101" s="544" t="n">
        <v>-5551.0338</v>
      </c>
      <c r="AD101" s="544" t="n">
        <v>-5662.054476</v>
      </c>
      <c r="AE101" s="544" t="n">
        <v>-5662.054476</v>
      </c>
      <c r="AF101" s="544" t="n">
        <v>-5662.054476</v>
      </c>
      <c r="AG101" s="544" t="n">
        <v>-5662.054476</v>
      </c>
      <c r="AH101" s="544" t="n">
        <v>-5662.054476</v>
      </c>
      <c r="AI101" s="544" t="n">
        <v>-5662.054476</v>
      </c>
      <c r="AJ101" s="544" t="n">
        <v>-5662.054476</v>
      </c>
      <c r="AK101" s="544" t="n">
        <v>-5662.054476</v>
      </c>
      <c r="AL101" s="544" t="n">
        <v>-5662.054476</v>
      </c>
      <c r="AM101" s="544" t="n">
        <v>-5662.054476</v>
      </c>
      <c r="AN101" s="544" t="n">
        <v>-5662.054476</v>
      </c>
      <c r="AO101" s="544" t="n">
        <v>-5662.054476</v>
      </c>
      <c r="AP101" s="544" t="n">
        <v>-5775.29556552</v>
      </c>
      <c r="AQ101" s="544" t="n">
        <v>-5775.29556552</v>
      </c>
      <c r="AR101" s="544" t="n">
        <v>-5775.29556552</v>
      </c>
      <c r="AS101" s="544" t="n">
        <v>-5775.29556552</v>
      </c>
      <c r="AT101" s="544" t="n">
        <v>-5775.29556552</v>
      </c>
      <c r="AU101" s="544" t="n">
        <v>-5775.29556552</v>
      </c>
      <c r="AV101" s="544" t="n">
        <v>-5775.29556552</v>
      </c>
      <c r="AW101" s="544" t="n">
        <v>-5775.29556552</v>
      </c>
      <c r="AX101" s="544" t="n">
        <v>-5775.29556552</v>
      </c>
      <c r="AY101" s="544" t="n">
        <v>-5775.29556552</v>
      </c>
      <c r="AZ101" s="544" t="n">
        <v>-5775.29556552</v>
      </c>
      <c r="BA101" s="544" t="n">
        <v>-5775.29556552</v>
      </c>
      <c r="BB101" s="544" t="n">
        <v>-5890.8014768304</v>
      </c>
      <c r="BC101" s="544" t="n">
        <v>-5890.8014768304</v>
      </c>
      <c r="BD101" s="544" t="n">
        <v>-5890.8014768304</v>
      </c>
      <c r="BE101" s="544" t="n">
        <v>-5890.8014768304</v>
      </c>
      <c r="BF101" s="544" t="n">
        <v>-5890.8014768304</v>
      </c>
      <c r="BG101" s="544" t="n">
        <v>-5890.8014768304</v>
      </c>
      <c r="BH101" s="544" t="n">
        <v>-5890.8014768304</v>
      </c>
      <c r="BI101" s="544" t="n">
        <v>-5890.8014768304</v>
      </c>
      <c r="BJ101" s="544" t="n">
        <v>-5890.8014768304</v>
      </c>
      <c r="BK101" s="544" t="n">
        <v>-5890.8014768304</v>
      </c>
      <c r="BL101" s="544" t="n">
        <v>-5890.8014768304</v>
      </c>
      <c r="BM101" s="544" t="n">
        <v>-5890.8014768304</v>
      </c>
      <c r="BN101" s="544" t="n">
        <v>-6008.61750636701</v>
      </c>
      <c r="BO101" s="544" t="n">
        <v>-6008.61750636701</v>
      </c>
      <c r="BP101" s="544" t="n">
        <v>-6008.61750636701</v>
      </c>
      <c r="BQ101" s="544" t="n">
        <v>-6008.61750636701</v>
      </c>
      <c r="BR101" s="544" t="n">
        <v>-6008.61750636701</v>
      </c>
      <c r="BS101" s="544" t="n">
        <v>-6008.61750636701</v>
      </c>
      <c r="BT101" s="544" t="n">
        <v>-6008.61750636701</v>
      </c>
      <c r="BU101" s="544" t="n">
        <v>-6008.61750636701</v>
      </c>
      <c r="BV101" s="544" t="n">
        <v>-6008.61750636701</v>
      </c>
      <c r="BW101" s="544" t="n">
        <v>-6008.61750636701</v>
      </c>
      <c r="BX101" s="544" t="n">
        <v>-6008.61750636701</v>
      </c>
      <c r="BY101" s="544" t="n">
        <v>-6008.61750636701</v>
      </c>
      <c r="BZ101" s="544" t="n">
        <v>-6128.78985649435</v>
      </c>
      <c r="CA101" s="544" t="n">
        <v>-6128.78985649435</v>
      </c>
      <c r="CB101" s="544" t="n">
        <v>-6128.78985649435</v>
      </c>
      <c r="CC101" s="544" t="n">
        <v>-6128.78985649435</v>
      </c>
      <c r="CD101" s="544" t="n">
        <v>-6128.78985649435</v>
      </c>
      <c r="CE101" s="544" t="n">
        <v>-6128.78985649435</v>
      </c>
      <c r="CF101" s="544" t="n">
        <v>-6128.78985649435</v>
      </c>
      <c r="CG101" s="544" t="n">
        <v>-6128.78985649435</v>
      </c>
      <c r="CH101" s="544" t="n">
        <v>-6128.78985649435</v>
      </c>
      <c r="CI101" s="544" t="n">
        <v>-6128.78985649435</v>
      </c>
      <c r="CJ101" s="544" t="n">
        <v>-6128.78985649435</v>
      </c>
      <c r="CK101" s="544" t="n">
        <v>-6128.78985649435</v>
      </c>
      <c r="CL101" s="544" t="n">
        <v>-6251.36565362424</v>
      </c>
      <c r="CM101" s="544" t="n">
        <v>-6251.36565362424</v>
      </c>
      <c r="CN101" s="544" t="n">
        <v>-6251.36565362424</v>
      </c>
      <c r="CO101" s="544" t="n">
        <v>-6251.36565362424</v>
      </c>
      <c r="CP101" s="544" t="n">
        <v>-6251.36565362424</v>
      </c>
      <c r="CQ101" s="544" t="n">
        <v>-6251.36565362424</v>
      </c>
      <c r="CR101" s="544" t="n">
        <v>-6251.36565362424</v>
      </c>
      <c r="CS101" s="544" t="n">
        <v>-6251.36565362424</v>
      </c>
      <c r="CT101" s="544" t="n">
        <v>-6251.36565362424</v>
      </c>
      <c r="CU101" s="544" t="n">
        <v>-6251.36565362424</v>
      </c>
      <c r="CV101" s="544" t="n">
        <v>-6251.36565362424</v>
      </c>
      <c r="CW101" s="544" t="n">
        <v>-6251.36565362424</v>
      </c>
      <c r="CX101" s="544" t="n">
        <v>-6376.39296669672</v>
      </c>
      <c r="CY101" s="544" t="n">
        <v>-6376.39296669672</v>
      </c>
      <c r="CZ101" s="544" t="n">
        <v>-6376.39296669672</v>
      </c>
      <c r="DA101" s="544" t="n">
        <v>-6376.39296669672</v>
      </c>
      <c r="DB101" s="544" t="n">
        <v>-6376.39296669672</v>
      </c>
      <c r="DC101" s="544" t="n">
        <v>-6376.39296669672</v>
      </c>
      <c r="DD101" s="544" t="n">
        <v>-6376.39296669672</v>
      </c>
      <c r="DE101" s="544" t="n">
        <v>-6376.39296669672</v>
      </c>
      <c r="DF101" s="544" t="n">
        <v>-6376.39296669672</v>
      </c>
    </row>
    <row r="102" ht="15" customFormat="1" customHeight="1" s="381">
      <c r="A102" s="488" t="inlineStr">
        <is>
          <t>5500-1010 Investment Management Software</t>
        </is>
      </c>
      <c r="C102" s="544" t="n">
        <v>-1905.31</v>
      </c>
      <c r="D102" s="544" t="n">
        <v>-1905.31</v>
      </c>
      <c r="E102" s="544" t="n">
        <v>-1905.31</v>
      </c>
      <c r="F102" s="544" t="n">
        <v>-1905.31</v>
      </c>
      <c r="G102" s="544" t="n">
        <v>-1905.31</v>
      </c>
      <c r="H102" s="544" t="n">
        <v>-1905.31</v>
      </c>
      <c r="I102" s="544" t="n">
        <v>-1905.31</v>
      </c>
      <c r="J102" s="544" t="n">
        <v>-1905.31</v>
      </c>
      <c r="K102" s="544" t="n">
        <v>-1905.31</v>
      </c>
      <c r="L102" s="544" t="n">
        <v>-1905.31</v>
      </c>
      <c r="M102" s="544" t="n">
        <v>-1905.31</v>
      </c>
      <c r="N102" s="544" t="n">
        <v>-1905.31</v>
      </c>
      <c r="O102" s="544" t="n">
        <v>-1905.31</v>
      </c>
      <c r="P102" s="544" t="n">
        <v>-1905.31</v>
      </c>
      <c r="Q102" s="544" t="n">
        <v>-1905.31</v>
      </c>
      <c r="R102" s="544" t="n">
        <v>-1943.4162</v>
      </c>
      <c r="S102" s="544" t="n">
        <v>-1943.4162</v>
      </c>
      <c r="T102" s="544" t="n">
        <v>-1943.4162</v>
      </c>
      <c r="U102" s="544" t="n">
        <v>-1943.4162</v>
      </c>
      <c r="V102" s="544" t="n">
        <v>-1943.4162</v>
      </c>
      <c r="W102" s="544" t="n">
        <v>-1943.4162</v>
      </c>
      <c r="X102" s="544" t="n">
        <v>-1943.4162</v>
      </c>
      <c r="Y102" s="544" t="n">
        <v>-1943.4162</v>
      </c>
      <c r="Z102" s="544" t="n">
        <v>-1943.4162</v>
      </c>
      <c r="AA102" s="544" t="n">
        <v>-1943.4162</v>
      </c>
      <c r="AB102" s="544" t="n">
        <v>-1943.4162</v>
      </c>
      <c r="AC102" s="544" t="n">
        <v>-1943.4162</v>
      </c>
      <c r="AD102" s="544" t="n">
        <v>-1982.284524</v>
      </c>
      <c r="AE102" s="544" t="n">
        <v>-1982.284524</v>
      </c>
      <c r="AF102" s="544" t="n">
        <v>-1982.284524</v>
      </c>
      <c r="AG102" s="544" t="n">
        <v>-1982.284524</v>
      </c>
      <c r="AH102" s="544" t="n">
        <v>-1982.284524</v>
      </c>
      <c r="AI102" s="544" t="n">
        <v>-1982.284524</v>
      </c>
      <c r="AJ102" s="544" t="n">
        <v>-1982.284524</v>
      </c>
      <c r="AK102" s="544" t="n">
        <v>-1982.284524</v>
      </c>
      <c r="AL102" s="544" t="n">
        <v>-1982.284524</v>
      </c>
      <c r="AM102" s="544" t="n">
        <v>-1982.284524</v>
      </c>
      <c r="AN102" s="544" t="n">
        <v>-1982.284524</v>
      </c>
      <c r="AO102" s="544" t="n">
        <v>-1982.284524</v>
      </c>
      <c r="AP102" s="544" t="n">
        <v>-2021.93021448</v>
      </c>
      <c r="AQ102" s="544" t="n">
        <v>-2021.93021448</v>
      </c>
      <c r="AR102" s="544" t="n">
        <v>-2021.93021448</v>
      </c>
      <c r="AS102" s="544" t="n">
        <v>-2021.93021448</v>
      </c>
      <c r="AT102" s="544" t="n">
        <v>-2021.93021448</v>
      </c>
      <c r="AU102" s="544" t="n">
        <v>-2021.93021448</v>
      </c>
      <c r="AV102" s="544" t="n">
        <v>-2021.93021448</v>
      </c>
      <c r="AW102" s="544" t="n">
        <v>-2021.93021448</v>
      </c>
      <c r="AX102" s="544" t="n">
        <v>-2021.93021448</v>
      </c>
      <c r="AY102" s="544" t="n">
        <v>-2021.93021448</v>
      </c>
      <c r="AZ102" s="544" t="n">
        <v>-2021.93021448</v>
      </c>
      <c r="BA102" s="544" t="n">
        <v>-2021.93021448</v>
      </c>
      <c r="BB102" s="544" t="n">
        <v>-2062.3688187696</v>
      </c>
      <c r="BC102" s="544" t="n">
        <v>-2062.3688187696</v>
      </c>
      <c r="BD102" s="544" t="n">
        <v>-2062.3688187696</v>
      </c>
      <c r="BE102" s="544" t="n">
        <v>-2062.3688187696</v>
      </c>
      <c r="BF102" s="544" t="n">
        <v>-2062.3688187696</v>
      </c>
      <c r="BG102" s="544" t="n">
        <v>-2062.3688187696</v>
      </c>
      <c r="BH102" s="544" t="n">
        <v>-2062.3688187696</v>
      </c>
      <c r="BI102" s="544" t="n">
        <v>-2062.3688187696</v>
      </c>
      <c r="BJ102" s="544" t="n">
        <v>-2062.3688187696</v>
      </c>
      <c r="BK102" s="544" t="n">
        <v>-2062.3688187696</v>
      </c>
      <c r="BL102" s="544" t="n">
        <v>-2062.3688187696</v>
      </c>
      <c r="BM102" s="544" t="n">
        <v>-2062.3688187696</v>
      </c>
      <c r="BN102" s="544" t="n">
        <v>-2103.61619514499</v>
      </c>
      <c r="BO102" s="544" t="n">
        <v>-2103.61619514499</v>
      </c>
      <c r="BP102" s="544" t="n">
        <v>-2103.61619514499</v>
      </c>
      <c r="BQ102" s="544" t="n">
        <v>-2103.61619514499</v>
      </c>
      <c r="BR102" s="544" t="n">
        <v>-2103.61619514499</v>
      </c>
      <c r="BS102" s="544" t="n">
        <v>-2103.61619514499</v>
      </c>
      <c r="BT102" s="544" t="n">
        <v>-2103.61619514499</v>
      </c>
      <c r="BU102" s="544" t="n">
        <v>-2103.61619514499</v>
      </c>
      <c r="BV102" s="544" t="n">
        <v>-2103.61619514499</v>
      </c>
      <c r="BW102" s="544" t="n">
        <v>-2103.61619514499</v>
      </c>
      <c r="BX102" s="544" t="n">
        <v>-2103.61619514499</v>
      </c>
      <c r="BY102" s="544" t="n">
        <v>-2103.61619514499</v>
      </c>
      <c r="BZ102" s="544" t="n">
        <v>-2145.68851904789</v>
      </c>
      <c r="CA102" s="544" t="n">
        <v>-2145.68851904789</v>
      </c>
      <c r="CB102" s="544" t="n">
        <v>-2145.68851904789</v>
      </c>
      <c r="CC102" s="544" t="n">
        <v>-2145.68851904789</v>
      </c>
      <c r="CD102" s="544" t="n">
        <v>-2145.68851904789</v>
      </c>
      <c r="CE102" s="544" t="n">
        <v>-2145.68851904789</v>
      </c>
      <c r="CF102" s="544" t="n">
        <v>-2145.68851904789</v>
      </c>
      <c r="CG102" s="544" t="n">
        <v>-2145.68851904789</v>
      </c>
      <c r="CH102" s="544" t="n">
        <v>-2145.68851904789</v>
      </c>
      <c r="CI102" s="544" t="n">
        <v>-2145.68851904789</v>
      </c>
      <c r="CJ102" s="544" t="n">
        <v>-2145.68851904789</v>
      </c>
      <c r="CK102" s="544" t="n">
        <v>-2145.68851904789</v>
      </c>
      <c r="CL102" s="544" t="n">
        <v>-2188.60228942885</v>
      </c>
      <c r="CM102" s="544" t="n">
        <v>-2188.60228942885</v>
      </c>
      <c r="CN102" s="544" t="n">
        <v>-2188.60228942885</v>
      </c>
      <c r="CO102" s="544" t="n">
        <v>-2188.60228942885</v>
      </c>
      <c r="CP102" s="544" t="n">
        <v>-2188.60228942885</v>
      </c>
      <c r="CQ102" s="544" t="n">
        <v>-2188.60228942885</v>
      </c>
      <c r="CR102" s="544" t="n">
        <v>-2188.60228942885</v>
      </c>
      <c r="CS102" s="544" t="n">
        <v>-2188.60228942885</v>
      </c>
      <c r="CT102" s="544" t="n">
        <v>-2188.60228942885</v>
      </c>
      <c r="CU102" s="544" t="n">
        <v>-2188.60228942885</v>
      </c>
      <c r="CV102" s="544" t="n">
        <v>-2188.60228942885</v>
      </c>
      <c r="CW102" s="544" t="n">
        <v>-2188.60228942885</v>
      </c>
      <c r="CX102" s="544" t="n">
        <v>-2232.37433521743</v>
      </c>
      <c r="CY102" s="544" t="n">
        <v>-2232.37433521743</v>
      </c>
      <c r="CZ102" s="544" t="n">
        <v>-2232.37433521743</v>
      </c>
      <c r="DA102" s="544" t="n">
        <v>-2232.37433521743</v>
      </c>
      <c r="DB102" s="544" t="n">
        <v>-2232.37433521743</v>
      </c>
      <c r="DC102" s="544" t="n">
        <v>-2232.37433521743</v>
      </c>
      <c r="DD102" s="544" t="n">
        <v>-2232.37433521743</v>
      </c>
      <c r="DE102" s="544" t="n">
        <v>-2232.37433521743</v>
      </c>
      <c r="DF102" s="544" t="n">
        <v>-2232.37433521743</v>
      </c>
    </row>
    <row r="103" ht="15" customFormat="1" customHeight="1" s="381">
      <c r="A103" s="488" t="inlineStr">
        <is>
          <t>5500-1053 E&amp;O/D&amp;O Insurance</t>
        </is>
      </c>
      <c r="C103" s="544" t="n">
        <v>-2100</v>
      </c>
      <c r="D103" s="544" t="n">
        <v>-2100</v>
      </c>
      <c r="E103" s="544" t="n">
        <v>-2100</v>
      </c>
      <c r="F103" s="544" t="n">
        <v>-2100</v>
      </c>
      <c r="G103" s="544" t="n">
        <v>-2100</v>
      </c>
      <c r="H103" s="544" t="n">
        <v>-2100</v>
      </c>
      <c r="I103" s="544" t="n">
        <v>-2100</v>
      </c>
      <c r="J103" s="544" t="n">
        <v>-2100</v>
      </c>
      <c r="K103" s="544" t="n">
        <v>-2100</v>
      </c>
      <c r="L103" s="544" t="n">
        <v>-2100</v>
      </c>
      <c r="M103" s="544" t="n">
        <v>-2100</v>
      </c>
      <c r="N103" s="544" t="n">
        <v>-2100</v>
      </c>
      <c r="O103" s="544" t="n">
        <v>-2100</v>
      </c>
      <c r="P103" s="544" t="n">
        <v>-2100</v>
      </c>
      <c r="Q103" s="544" t="n">
        <v>-2100</v>
      </c>
      <c r="R103" s="544" t="n">
        <v>-2142</v>
      </c>
      <c r="S103" s="544" t="n">
        <v>-2142</v>
      </c>
      <c r="T103" s="544" t="n">
        <v>-2142</v>
      </c>
      <c r="U103" s="544" t="n">
        <v>-2142</v>
      </c>
      <c r="V103" s="544" t="n">
        <v>-2142</v>
      </c>
      <c r="W103" s="544" t="n">
        <v>-2142</v>
      </c>
      <c r="X103" s="544" t="n">
        <v>-2142</v>
      </c>
      <c r="Y103" s="544" t="n">
        <v>-2142</v>
      </c>
      <c r="Z103" s="544" t="n">
        <v>-2142</v>
      </c>
      <c r="AA103" s="544" t="n">
        <v>-2142</v>
      </c>
      <c r="AB103" s="544" t="n">
        <v>-2142</v>
      </c>
      <c r="AC103" s="544" t="n">
        <v>-2142</v>
      </c>
      <c r="AD103" s="544" t="n">
        <v>-2184.84</v>
      </c>
      <c r="AE103" s="544" t="n">
        <v>-2184.84</v>
      </c>
      <c r="AF103" s="544" t="n">
        <v>-2184.84</v>
      </c>
      <c r="AG103" s="544" t="n">
        <v>-2184.84</v>
      </c>
      <c r="AH103" s="544" t="n">
        <v>-2184.84</v>
      </c>
      <c r="AI103" s="544" t="n">
        <v>-2184.84</v>
      </c>
      <c r="AJ103" s="544" t="n">
        <v>-2184.84</v>
      </c>
      <c r="AK103" s="544" t="n">
        <v>-2184.84</v>
      </c>
      <c r="AL103" s="544" t="n">
        <v>-2184.84</v>
      </c>
      <c r="AM103" s="544" t="n">
        <v>-2184.84</v>
      </c>
      <c r="AN103" s="544" t="n">
        <v>-2184.84</v>
      </c>
      <c r="AO103" s="544" t="n">
        <v>-2184.84</v>
      </c>
      <c r="AP103" s="544" t="n">
        <v>-2228.5368</v>
      </c>
      <c r="AQ103" s="544" t="n">
        <v>-2228.5368</v>
      </c>
      <c r="AR103" s="544" t="n">
        <v>-2228.5368</v>
      </c>
      <c r="AS103" s="544" t="n">
        <v>-2228.5368</v>
      </c>
      <c r="AT103" s="544" t="n">
        <v>-2228.5368</v>
      </c>
      <c r="AU103" s="544" t="n">
        <v>-2228.5368</v>
      </c>
      <c r="AV103" s="544" t="n">
        <v>-2228.5368</v>
      </c>
      <c r="AW103" s="544" t="n">
        <v>-2228.5368</v>
      </c>
      <c r="AX103" s="544" t="n">
        <v>-2228.5368</v>
      </c>
      <c r="AY103" s="544" t="n">
        <v>-2228.5368</v>
      </c>
      <c r="AZ103" s="544" t="n">
        <v>-2228.5368</v>
      </c>
      <c r="BA103" s="544" t="n">
        <v>-2228.5368</v>
      </c>
      <c r="BB103" s="544" t="n">
        <v>-2273.107536</v>
      </c>
      <c r="BC103" s="544" t="n">
        <v>-2273.107536</v>
      </c>
      <c r="BD103" s="544" t="n">
        <v>-2273.107536</v>
      </c>
      <c r="BE103" s="544" t="n">
        <v>-2273.107536</v>
      </c>
      <c r="BF103" s="544" t="n">
        <v>-2273.107536</v>
      </c>
      <c r="BG103" s="544" t="n">
        <v>-2273.107536</v>
      </c>
      <c r="BH103" s="544" t="n">
        <v>-2273.107536</v>
      </c>
      <c r="BI103" s="544" t="n">
        <v>-2273.107536</v>
      </c>
      <c r="BJ103" s="544" t="n">
        <v>-2273.107536</v>
      </c>
      <c r="BK103" s="544" t="n">
        <v>-2273.107536</v>
      </c>
      <c r="BL103" s="544" t="n">
        <v>-2273.107536</v>
      </c>
      <c r="BM103" s="544" t="n">
        <v>-2273.107536</v>
      </c>
      <c r="BN103" s="544" t="n">
        <v>-2318.56968672</v>
      </c>
      <c r="BO103" s="544" t="n">
        <v>-2318.56968672</v>
      </c>
      <c r="BP103" s="544" t="n">
        <v>-2318.56968672</v>
      </c>
      <c r="BQ103" s="544" t="n">
        <v>-2318.56968672</v>
      </c>
      <c r="BR103" s="544" t="n">
        <v>-2318.56968672</v>
      </c>
      <c r="BS103" s="544" t="n">
        <v>-2318.56968672</v>
      </c>
      <c r="BT103" s="544" t="n">
        <v>-2318.56968672</v>
      </c>
      <c r="BU103" s="544" t="n">
        <v>-2318.56968672</v>
      </c>
      <c r="BV103" s="544" t="n">
        <v>-2318.56968672</v>
      </c>
      <c r="BW103" s="544" t="n">
        <v>-2318.56968672</v>
      </c>
      <c r="BX103" s="544" t="n">
        <v>-2318.56968672</v>
      </c>
      <c r="BY103" s="544" t="n">
        <v>-2318.56968672</v>
      </c>
      <c r="BZ103" s="544" t="n">
        <v>-2364.9410804544</v>
      </c>
      <c r="CA103" s="544" t="n">
        <v>-2364.9410804544</v>
      </c>
      <c r="CB103" s="544" t="n">
        <v>-2364.9410804544</v>
      </c>
      <c r="CC103" s="544" t="n">
        <v>-2364.9410804544</v>
      </c>
      <c r="CD103" s="544" t="n">
        <v>-2364.9410804544</v>
      </c>
      <c r="CE103" s="544" t="n">
        <v>-2364.9410804544</v>
      </c>
      <c r="CF103" s="544" t="n">
        <v>-2364.9410804544</v>
      </c>
      <c r="CG103" s="544" t="n">
        <v>-2364.9410804544</v>
      </c>
      <c r="CH103" s="544" t="n">
        <v>-2364.9410804544</v>
      </c>
      <c r="CI103" s="544" t="n">
        <v>-2364.9410804544</v>
      </c>
      <c r="CJ103" s="544" t="n">
        <v>-2364.9410804544</v>
      </c>
      <c r="CK103" s="544" t="n">
        <v>-2364.9410804544</v>
      </c>
      <c r="CL103" s="544" t="n">
        <v>-2412.23990206349</v>
      </c>
      <c r="CM103" s="544" t="n">
        <v>-2412.23990206349</v>
      </c>
      <c r="CN103" s="544" t="n">
        <v>-2412.23990206349</v>
      </c>
      <c r="CO103" s="544" t="n">
        <v>-2412.23990206349</v>
      </c>
      <c r="CP103" s="544" t="n">
        <v>-2412.23990206349</v>
      </c>
      <c r="CQ103" s="544" t="n">
        <v>-2412.23990206349</v>
      </c>
      <c r="CR103" s="544" t="n">
        <v>-2412.23990206349</v>
      </c>
      <c r="CS103" s="544" t="n">
        <v>-2412.23990206349</v>
      </c>
      <c r="CT103" s="544" t="n">
        <v>-2412.23990206349</v>
      </c>
      <c r="CU103" s="544" t="n">
        <v>-2412.23990206349</v>
      </c>
      <c r="CV103" s="544" t="n">
        <v>-2412.23990206349</v>
      </c>
      <c r="CW103" s="544" t="n">
        <v>-2412.23990206349</v>
      </c>
      <c r="CX103" s="544" t="n">
        <v>-2460.48470010476</v>
      </c>
      <c r="CY103" s="544" t="n">
        <v>-2460.48470010476</v>
      </c>
      <c r="CZ103" s="544" t="n">
        <v>-2460.48470010476</v>
      </c>
      <c r="DA103" s="544" t="n">
        <v>-2460.48470010476</v>
      </c>
      <c r="DB103" s="544" t="n">
        <v>-2460.48470010476</v>
      </c>
      <c r="DC103" s="544" t="n">
        <v>-2460.48470010476</v>
      </c>
      <c r="DD103" s="544" t="n">
        <v>-2460.48470010476</v>
      </c>
      <c r="DE103" s="544" t="n">
        <v>-2460.48470010476</v>
      </c>
      <c r="DF103" s="544" t="n">
        <v>-2460.48470010476</v>
      </c>
    </row>
    <row r="104" ht="15" customFormat="1" customHeight="1" s="381">
      <c r="A104" s="488" t="inlineStr">
        <is>
          <t>5800-1003 Consulting Fee</t>
        </is>
      </c>
      <c r="C104" s="544" t="n">
        <v>-66666.66</v>
      </c>
      <c r="D104" s="544" t="n">
        <v>-66666.66</v>
      </c>
      <c r="E104" s="544" t="n">
        <v>-66666.66</v>
      </c>
      <c r="F104" s="544" t="n">
        <v>-25000</v>
      </c>
      <c r="G104" s="544" t="n">
        <v>-25000</v>
      </c>
      <c r="H104" s="544" t="n">
        <v>-25000</v>
      </c>
      <c r="I104" s="544" t="n">
        <v>-25000</v>
      </c>
      <c r="J104" s="544" t="n">
        <v>-25000</v>
      </c>
      <c r="K104" s="544" t="n">
        <v>-25000</v>
      </c>
      <c r="L104" s="544" t="n">
        <v>-25000</v>
      </c>
      <c r="M104" s="544" t="n">
        <v>-25000</v>
      </c>
      <c r="N104" s="544" t="n">
        <v>-25000</v>
      </c>
      <c r="O104" s="544" t="n">
        <v>-25000</v>
      </c>
      <c r="P104" s="544" t="n">
        <v>-25000</v>
      </c>
      <c r="Q104" s="544" t="n">
        <v>-25000</v>
      </c>
      <c r="R104" s="544" t="n">
        <v>-25500</v>
      </c>
      <c r="S104" s="544" t="n">
        <v>-25500</v>
      </c>
      <c r="T104" s="544" t="n">
        <v>-25500</v>
      </c>
      <c r="U104" s="544" t="n">
        <v>-25500</v>
      </c>
      <c r="V104" s="544" t="n">
        <v>-25500</v>
      </c>
      <c r="W104" s="544" t="n">
        <v>-25500</v>
      </c>
      <c r="X104" s="544" t="n">
        <v>-25500</v>
      </c>
      <c r="Y104" s="544" t="n">
        <v>-25500</v>
      </c>
      <c r="Z104" s="544" t="n">
        <v>-25500</v>
      </c>
      <c r="AA104" s="544" t="n">
        <v>-25500</v>
      </c>
      <c r="AB104" s="544" t="n">
        <v>-25500</v>
      </c>
      <c r="AC104" s="544" t="n">
        <v>-25500</v>
      </c>
      <c r="AD104" s="544" t="n">
        <v>-26010</v>
      </c>
      <c r="AE104" s="544" t="n">
        <v>-26010</v>
      </c>
      <c r="AF104" s="544" t="n">
        <v>-26010</v>
      </c>
      <c r="AG104" s="544" t="n">
        <v>-26010</v>
      </c>
      <c r="AH104" s="544" t="n">
        <v>-26010</v>
      </c>
      <c r="AI104" s="544" t="n">
        <v>-26010</v>
      </c>
      <c r="AJ104" s="544" t="n">
        <v>-26010</v>
      </c>
      <c r="AK104" s="544" t="n">
        <v>-26010</v>
      </c>
      <c r="AL104" s="544" t="n">
        <v>-26010</v>
      </c>
      <c r="AM104" s="544" t="n">
        <v>-26010</v>
      </c>
      <c r="AN104" s="544" t="n">
        <v>-26010</v>
      </c>
      <c r="AO104" s="544" t="n">
        <v>-26010</v>
      </c>
      <c r="AP104" s="544" t="n">
        <v>-26530.2</v>
      </c>
      <c r="AQ104" s="544" t="n">
        <v>-26530.2</v>
      </c>
      <c r="AR104" s="544" t="n">
        <v>-26530.2</v>
      </c>
      <c r="AS104" s="544" t="n">
        <v>-26530.2</v>
      </c>
      <c r="AT104" s="544" t="n">
        <v>-26530.2</v>
      </c>
      <c r="AU104" s="544" t="n">
        <v>-26530.2</v>
      </c>
      <c r="AV104" s="544" t="n">
        <v>-26530.2</v>
      </c>
      <c r="AW104" s="544" t="n">
        <v>-26530.2</v>
      </c>
      <c r="AX104" s="544" t="n">
        <v>-26530.2</v>
      </c>
      <c r="AY104" s="544" t="n">
        <v>-26530.2</v>
      </c>
      <c r="AZ104" s="544" t="n">
        <v>-26530.2</v>
      </c>
      <c r="BA104" s="544" t="n">
        <v>-26530.2</v>
      </c>
      <c r="BB104" s="544" t="n">
        <v>-27060.804</v>
      </c>
      <c r="BC104" s="544" t="n">
        <v>-27060.804</v>
      </c>
      <c r="BD104" s="544" t="n">
        <v>-27060.804</v>
      </c>
      <c r="BE104" s="544" t="n">
        <v>-27060.804</v>
      </c>
      <c r="BF104" s="544" t="n">
        <v>-27060.804</v>
      </c>
      <c r="BG104" s="544" t="n">
        <v>-27060.804</v>
      </c>
      <c r="BH104" s="544" t="n">
        <v>-27060.804</v>
      </c>
      <c r="BI104" s="544" t="n">
        <v>-27060.804</v>
      </c>
      <c r="BJ104" s="544" t="n">
        <v>-27060.804</v>
      </c>
      <c r="BK104" s="544" t="n">
        <v>-27060.804</v>
      </c>
      <c r="BL104" s="544" t="n">
        <v>-27060.804</v>
      </c>
      <c r="BM104" s="544" t="n">
        <v>-27060.804</v>
      </c>
      <c r="BN104" s="544" t="n">
        <v>-27602.02008</v>
      </c>
      <c r="BO104" s="544" t="n">
        <v>-27602.02008</v>
      </c>
      <c r="BP104" s="544" t="n">
        <v>-27602.02008</v>
      </c>
      <c r="BQ104" s="544" t="n">
        <v>-27602.02008</v>
      </c>
      <c r="BR104" s="544" t="n">
        <v>-27602.02008</v>
      </c>
      <c r="BS104" s="544" t="n">
        <v>-27602.02008</v>
      </c>
      <c r="BT104" s="544" t="n">
        <v>-27602.02008</v>
      </c>
      <c r="BU104" s="544" t="n">
        <v>-27602.02008</v>
      </c>
      <c r="BV104" s="544" t="n">
        <v>-27602.02008</v>
      </c>
      <c r="BW104" s="544" t="n">
        <v>-27602.02008</v>
      </c>
      <c r="BX104" s="544" t="n">
        <v>-27602.02008</v>
      </c>
      <c r="BY104" s="544" t="n">
        <v>-27602.02008</v>
      </c>
      <c r="BZ104" s="544" t="n">
        <v>-28154.0604816</v>
      </c>
      <c r="CA104" s="544" t="n">
        <v>-28154.0604816</v>
      </c>
      <c r="CB104" s="544" t="n">
        <v>-28154.0604816</v>
      </c>
      <c r="CC104" s="544" t="n">
        <v>-28154.0604816</v>
      </c>
      <c r="CD104" s="544" t="n">
        <v>-28154.0604816</v>
      </c>
      <c r="CE104" s="544" t="n">
        <v>-28154.0604816</v>
      </c>
      <c r="CF104" s="544" t="n">
        <v>-28154.0604816</v>
      </c>
      <c r="CG104" s="544" t="n">
        <v>-28154.0604816</v>
      </c>
      <c r="CH104" s="544" t="n">
        <v>-28154.0604816</v>
      </c>
      <c r="CI104" s="544" t="n">
        <v>-28154.0604816</v>
      </c>
      <c r="CJ104" s="544" t="n">
        <v>-28154.0604816</v>
      </c>
      <c r="CK104" s="544" t="n">
        <v>-28154.0604816</v>
      </c>
      <c r="CL104" s="544" t="n">
        <v>-28717.141691232</v>
      </c>
      <c r="CM104" s="544" t="n">
        <v>-28717.141691232</v>
      </c>
      <c r="CN104" s="544" t="n">
        <v>-28717.141691232</v>
      </c>
      <c r="CO104" s="544" t="n">
        <v>-28717.141691232</v>
      </c>
      <c r="CP104" s="544" t="n">
        <v>-28717.141691232</v>
      </c>
      <c r="CQ104" s="544" t="n">
        <v>-28717.141691232</v>
      </c>
      <c r="CR104" s="544" t="n">
        <v>-28717.141691232</v>
      </c>
      <c r="CS104" s="544" t="n">
        <v>-28717.141691232</v>
      </c>
      <c r="CT104" s="544" t="n">
        <v>-28717.141691232</v>
      </c>
      <c r="CU104" s="544" t="n">
        <v>-28717.141691232</v>
      </c>
      <c r="CV104" s="544" t="n">
        <v>-28717.141691232</v>
      </c>
      <c r="CW104" s="544" t="n">
        <v>-28717.141691232</v>
      </c>
      <c r="CX104" s="544" t="n">
        <v>-29291.4845250566</v>
      </c>
      <c r="CY104" s="544" t="n">
        <v>-29291.4845250566</v>
      </c>
      <c r="CZ104" s="544" t="n">
        <v>-29291.4845250566</v>
      </c>
      <c r="DA104" s="544" t="n">
        <v>-29291.4845250566</v>
      </c>
      <c r="DB104" s="544" t="n">
        <v>-29291.4845250566</v>
      </c>
      <c r="DC104" s="544" t="n">
        <v>-29291.4845250566</v>
      </c>
      <c r="DD104" s="544" t="n">
        <v>-29291.4845250566</v>
      </c>
      <c r="DE104" s="544" t="n">
        <v>-29291.4845250566</v>
      </c>
      <c r="DF104" s="544" t="n">
        <v>-29291.4845250566</v>
      </c>
    </row>
    <row r="105" ht="15" customFormat="1" customHeight="1" s="381">
      <c r="A105" s="472" t="inlineStr">
        <is>
          <t>5900-1075 Miscellaneous Expense</t>
        </is>
      </c>
      <c r="C105" s="486" t="n">
        <v>-4731.96</v>
      </c>
      <c r="D105" s="486" t="n">
        <v>-5</v>
      </c>
      <c r="E105" s="486" t="n">
        <v>-5</v>
      </c>
      <c r="F105" s="543" t="n">
        <v>-1580.65</v>
      </c>
      <c r="G105" s="543" t="n">
        <v>-1580.65</v>
      </c>
      <c r="H105" s="543" t="n">
        <v>-1580.65</v>
      </c>
      <c r="I105" s="543" t="n">
        <v>-1580.65</v>
      </c>
      <c r="J105" s="543" t="n">
        <v>-1580.65</v>
      </c>
      <c r="K105" s="543" t="n">
        <v>-1580.65</v>
      </c>
      <c r="L105" s="543" t="n">
        <v>-1580.65</v>
      </c>
      <c r="M105" s="543" t="n">
        <v>-1580.65</v>
      </c>
      <c r="N105" s="543" t="n">
        <v>-1580.65</v>
      </c>
      <c r="O105" s="543" t="n">
        <v>-1580.65</v>
      </c>
      <c r="P105" s="543" t="n">
        <v>-1580.65</v>
      </c>
      <c r="Q105" s="543" t="n">
        <v>-1580.65</v>
      </c>
      <c r="R105" s="543" t="n">
        <v>-1612.263</v>
      </c>
      <c r="S105" s="543" t="n">
        <v>-1612.263</v>
      </c>
      <c r="T105" s="543" t="n">
        <v>-1612.263</v>
      </c>
      <c r="U105" s="543" t="n">
        <v>-1612.263</v>
      </c>
      <c r="V105" s="543" t="n">
        <v>-1612.263</v>
      </c>
      <c r="W105" s="543" t="n">
        <v>-1612.263</v>
      </c>
      <c r="X105" s="543" t="n">
        <v>-1612.263</v>
      </c>
      <c r="Y105" s="543" t="n">
        <v>-1612.263</v>
      </c>
      <c r="Z105" s="543" t="n">
        <v>-1612.263</v>
      </c>
      <c r="AA105" s="543" t="n">
        <v>-1612.263</v>
      </c>
      <c r="AB105" s="543" t="n">
        <v>-1612.263</v>
      </c>
      <c r="AC105" s="543" t="n">
        <v>-1612.263</v>
      </c>
      <c r="AD105" s="543" t="n">
        <v>-1644.50826</v>
      </c>
      <c r="AE105" s="543" t="n">
        <v>-1644.50826</v>
      </c>
      <c r="AF105" s="543" t="n">
        <v>-1644.50826</v>
      </c>
      <c r="AG105" s="543" t="n">
        <v>-1644.50826</v>
      </c>
      <c r="AH105" s="543" t="n">
        <v>-1644.50826</v>
      </c>
      <c r="AI105" s="543" t="n">
        <v>-1644.50826</v>
      </c>
      <c r="AJ105" s="543" t="n">
        <v>-1644.50826</v>
      </c>
      <c r="AK105" s="543" t="n">
        <v>-1644.50826</v>
      </c>
      <c r="AL105" s="543" t="n">
        <v>-1644.50826</v>
      </c>
      <c r="AM105" s="543" t="n">
        <v>-1644.50826</v>
      </c>
      <c r="AN105" s="543" t="n">
        <v>-1644.50826</v>
      </c>
      <c r="AO105" s="543" t="n">
        <v>-1644.50826</v>
      </c>
      <c r="AP105" s="543" t="n">
        <v>-1677.3984252</v>
      </c>
      <c r="AQ105" s="543" t="n">
        <v>-1677.3984252</v>
      </c>
      <c r="AR105" s="543" t="n">
        <v>-1677.3984252</v>
      </c>
      <c r="AS105" s="543" t="n">
        <v>-1677.3984252</v>
      </c>
      <c r="AT105" s="543" t="n">
        <v>-1677.3984252</v>
      </c>
      <c r="AU105" s="543" t="n">
        <v>-1677.3984252</v>
      </c>
      <c r="AV105" s="543" t="n">
        <v>-1677.3984252</v>
      </c>
      <c r="AW105" s="543" t="n">
        <v>-1677.3984252</v>
      </c>
      <c r="AX105" s="543" t="n">
        <v>-1677.3984252</v>
      </c>
      <c r="AY105" s="543" t="n">
        <v>-1677.3984252</v>
      </c>
      <c r="AZ105" s="543" t="n">
        <v>-1677.3984252</v>
      </c>
      <c r="BA105" s="543" t="n">
        <v>-1677.3984252</v>
      </c>
      <c r="BB105" s="543" t="n">
        <v>-1710.946393704</v>
      </c>
      <c r="BC105" s="543" t="n">
        <v>-1710.946393704</v>
      </c>
      <c r="BD105" s="543" t="n">
        <v>-1710.946393704</v>
      </c>
      <c r="BE105" s="543" t="n">
        <v>-1710.946393704</v>
      </c>
      <c r="BF105" s="543" t="n">
        <v>-1710.946393704</v>
      </c>
      <c r="BG105" s="543" t="n">
        <v>-1710.946393704</v>
      </c>
      <c r="BH105" s="543" t="n">
        <v>-1710.946393704</v>
      </c>
      <c r="BI105" s="543" t="n">
        <v>-1710.946393704</v>
      </c>
      <c r="BJ105" s="543" t="n">
        <v>-1710.946393704</v>
      </c>
      <c r="BK105" s="543" t="n">
        <v>-1710.946393704</v>
      </c>
      <c r="BL105" s="543" t="n">
        <v>-1710.946393704</v>
      </c>
      <c r="BM105" s="543" t="n">
        <v>-1710.946393704</v>
      </c>
      <c r="BN105" s="543" t="n">
        <v>-1745.16532157808</v>
      </c>
      <c r="BO105" s="543" t="n">
        <v>-1745.16532157808</v>
      </c>
      <c r="BP105" s="543" t="n">
        <v>-1745.16532157808</v>
      </c>
      <c r="BQ105" s="543" t="n">
        <v>-1745.16532157808</v>
      </c>
      <c r="BR105" s="543" t="n">
        <v>-1745.16532157808</v>
      </c>
      <c r="BS105" s="543" t="n">
        <v>-1745.16532157808</v>
      </c>
      <c r="BT105" s="543" t="n">
        <v>-1745.16532157808</v>
      </c>
      <c r="BU105" s="543" t="n">
        <v>-1745.16532157808</v>
      </c>
      <c r="BV105" s="543" t="n">
        <v>-1745.16532157808</v>
      </c>
      <c r="BW105" s="543" t="n">
        <v>-1745.16532157808</v>
      </c>
      <c r="BX105" s="543" t="n">
        <v>-1745.16532157808</v>
      </c>
      <c r="BY105" s="543" t="n">
        <v>-1745.16532157808</v>
      </c>
      <c r="BZ105" s="543" t="n">
        <v>-1780.06862800964</v>
      </c>
      <c r="CA105" s="543" t="n">
        <v>-1780.06862800964</v>
      </c>
      <c r="CB105" s="543" t="n">
        <v>-1780.06862800964</v>
      </c>
      <c r="CC105" s="543" t="n">
        <v>-1780.06862800964</v>
      </c>
      <c r="CD105" s="543" t="n">
        <v>-1780.06862800964</v>
      </c>
      <c r="CE105" s="543" t="n">
        <v>-1780.06862800964</v>
      </c>
      <c r="CF105" s="543" t="n">
        <v>-1780.06862800964</v>
      </c>
      <c r="CG105" s="543" t="n">
        <v>-1780.06862800964</v>
      </c>
      <c r="CH105" s="543" t="n">
        <v>-1780.06862800964</v>
      </c>
      <c r="CI105" s="543" t="n">
        <v>-1780.06862800964</v>
      </c>
      <c r="CJ105" s="543" t="n">
        <v>-1780.06862800964</v>
      </c>
      <c r="CK105" s="543" t="n">
        <v>-1780.06862800964</v>
      </c>
      <c r="CL105" s="543" t="n">
        <v>-1815.67000056983</v>
      </c>
      <c r="CM105" s="543" t="n">
        <v>-1815.67000056983</v>
      </c>
      <c r="CN105" s="543" t="n">
        <v>-1815.67000056983</v>
      </c>
      <c r="CO105" s="543" t="n">
        <v>-1815.67000056983</v>
      </c>
      <c r="CP105" s="543" t="n">
        <v>-1815.67000056983</v>
      </c>
      <c r="CQ105" s="543" t="n">
        <v>-1815.67000056983</v>
      </c>
      <c r="CR105" s="543" t="n">
        <v>-1815.67000056983</v>
      </c>
      <c r="CS105" s="543" t="n">
        <v>-1815.67000056983</v>
      </c>
      <c r="CT105" s="543" t="n">
        <v>-1815.67000056983</v>
      </c>
      <c r="CU105" s="543" t="n">
        <v>-1815.67000056983</v>
      </c>
      <c r="CV105" s="543" t="n">
        <v>-1815.67000056983</v>
      </c>
      <c r="CW105" s="543" t="n">
        <v>-1815.67000056983</v>
      </c>
      <c r="CX105" s="543" t="n">
        <v>-1851.98340058123</v>
      </c>
      <c r="CY105" s="543" t="n">
        <v>-1851.98340058123</v>
      </c>
      <c r="CZ105" s="543" t="n">
        <v>-1851.98340058123</v>
      </c>
      <c r="DA105" s="543" t="n">
        <v>-1851.98340058123</v>
      </c>
      <c r="DB105" s="543" t="n">
        <v>-1851.98340058123</v>
      </c>
      <c r="DC105" s="543" t="n">
        <v>-1851.98340058123</v>
      </c>
      <c r="DD105" s="543" t="n">
        <v>-1851.98340058123</v>
      </c>
      <c r="DE105" s="543" t="n">
        <v>-1851.98340058123</v>
      </c>
      <c r="DF105" s="543" t="n">
        <v>-1851.98340058123</v>
      </c>
    </row>
    <row r="106" ht="15" customFormat="1" customHeight="1" s="381">
      <c r="A106" s="472" t="inlineStr">
        <is>
          <t>5900-1080 Bank Service Charges</t>
        </is>
      </c>
      <c r="C106" s="486" t="n">
        <v>-658.14</v>
      </c>
      <c r="D106" s="486" t="n">
        <v>-310</v>
      </c>
      <c r="E106" s="486" t="n">
        <v>-371.74</v>
      </c>
      <c r="F106" s="543" t="n">
        <v>-446.63</v>
      </c>
      <c r="G106" s="543" t="n">
        <v>-446.63</v>
      </c>
      <c r="H106" s="543" t="n">
        <v>-446.63</v>
      </c>
      <c r="I106" s="543" t="n">
        <v>-446.63</v>
      </c>
      <c r="J106" s="543" t="n">
        <v>-446.63</v>
      </c>
      <c r="K106" s="543" t="n">
        <v>-446.63</v>
      </c>
      <c r="L106" s="543" t="n">
        <v>-446.63</v>
      </c>
      <c r="M106" s="543" t="n">
        <v>-446.63</v>
      </c>
      <c r="N106" s="543" t="n">
        <v>-446.63</v>
      </c>
      <c r="O106" s="543" t="n">
        <v>-446.63</v>
      </c>
      <c r="P106" s="543" t="n">
        <v>-446.63</v>
      </c>
      <c r="Q106" s="543" t="n">
        <v>-446.63</v>
      </c>
      <c r="R106" s="543" t="n">
        <v>-455.5626</v>
      </c>
      <c r="S106" s="543" t="n">
        <v>-455.5626</v>
      </c>
      <c r="T106" s="543" t="n">
        <v>-455.5626</v>
      </c>
      <c r="U106" s="543" t="n">
        <v>-455.5626</v>
      </c>
      <c r="V106" s="543" t="n">
        <v>-455.5626</v>
      </c>
      <c r="W106" s="543" t="n">
        <v>-455.5626</v>
      </c>
      <c r="X106" s="543" t="n">
        <v>-455.5626</v>
      </c>
      <c r="Y106" s="543" t="n">
        <v>-455.5626</v>
      </c>
      <c r="Z106" s="543" t="n">
        <v>-455.5626</v>
      </c>
      <c r="AA106" s="543" t="n">
        <v>-455.5626</v>
      </c>
      <c r="AB106" s="543" t="n">
        <v>-455.5626</v>
      </c>
      <c r="AC106" s="543" t="n">
        <v>-455.5626</v>
      </c>
      <c r="AD106" s="543" t="n">
        <v>-464.673852</v>
      </c>
      <c r="AE106" s="543" t="n">
        <v>-464.673852</v>
      </c>
      <c r="AF106" s="543" t="n">
        <v>-464.673852</v>
      </c>
      <c r="AG106" s="543" t="n">
        <v>-464.673852</v>
      </c>
      <c r="AH106" s="543" t="n">
        <v>-464.673852</v>
      </c>
      <c r="AI106" s="543" t="n">
        <v>-464.673852</v>
      </c>
      <c r="AJ106" s="543" t="n">
        <v>-464.673852</v>
      </c>
      <c r="AK106" s="543" t="n">
        <v>-464.673852</v>
      </c>
      <c r="AL106" s="543" t="n">
        <v>-464.673852</v>
      </c>
      <c r="AM106" s="543" t="n">
        <v>-464.673852</v>
      </c>
      <c r="AN106" s="543" t="n">
        <v>-464.673852</v>
      </c>
      <c r="AO106" s="543" t="n">
        <v>-464.673852</v>
      </c>
      <c r="AP106" s="543" t="n">
        <v>-473.96732904</v>
      </c>
      <c r="AQ106" s="543" t="n">
        <v>-473.96732904</v>
      </c>
      <c r="AR106" s="543" t="n">
        <v>-473.96732904</v>
      </c>
      <c r="AS106" s="543" t="n">
        <v>-473.96732904</v>
      </c>
      <c r="AT106" s="543" t="n">
        <v>-473.96732904</v>
      </c>
      <c r="AU106" s="543" t="n">
        <v>-473.96732904</v>
      </c>
      <c r="AV106" s="543" t="n">
        <v>-473.96732904</v>
      </c>
      <c r="AW106" s="543" t="n">
        <v>-473.96732904</v>
      </c>
      <c r="AX106" s="543" t="n">
        <v>-473.96732904</v>
      </c>
      <c r="AY106" s="543" t="n">
        <v>-473.96732904</v>
      </c>
      <c r="AZ106" s="543" t="n">
        <v>-473.96732904</v>
      </c>
      <c r="BA106" s="543" t="n">
        <v>-473.96732904</v>
      </c>
      <c r="BB106" s="543" t="n">
        <v>-483.4466756208</v>
      </c>
      <c r="BC106" s="543" t="n">
        <v>-483.4466756208</v>
      </c>
      <c r="BD106" s="543" t="n">
        <v>-483.4466756208</v>
      </c>
      <c r="BE106" s="543" t="n">
        <v>-483.4466756208</v>
      </c>
      <c r="BF106" s="543" t="n">
        <v>-483.4466756208</v>
      </c>
      <c r="BG106" s="543" t="n">
        <v>-483.4466756208</v>
      </c>
      <c r="BH106" s="543" t="n">
        <v>-483.4466756208</v>
      </c>
      <c r="BI106" s="543" t="n">
        <v>-483.4466756208</v>
      </c>
      <c r="BJ106" s="543" t="n">
        <v>-483.4466756208</v>
      </c>
      <c r="BK106" s="543" t="n">
        <v>-483.4466756208</v>
      </c>
      <c r="BL106" s="543" t="n">
        <v>-483.4466756208</v>
      </c>
      <c r="BM106" s="543" t="n">
        <v>-483.4466756208</v>
      </c>
      <c r="BN106" s="543" t="n">
        <v>-493.115609133216</v>
      </c>
      <c r="BO106" s="543" t="n">
        <v>-493.115609133216</v>
      </c>
      <c r="BP106" s="543" t="n">
        <v>-493.115609133216</v>
      </c>
      <c r="BQ106" s="543" t="n">
        <v>-493.115609133216</v>
      </c>
      <c r="BR106" s="543" t="n">
        <v>-493.115609133216</v>
      </c>
      <c r="BS106" s="543" t="n">
        <v>-493.115609133216</v>
      </c>
      <c r="BT106" s="543" t="n">
        <v>-493.115609133216</v>
      </c>
      <c r="BU106" s="543" t="n">
        <v>-493.115609133216</v>
      </c>
      <c r="BV106" s="543" t="n">
        <v>-493.115609133216</v>
      </c>
      <c r="BW106" s="543" t="n">
        <v>-493.115609133216</v>
      </c>
      <c r="BX106" s="543" t="n">
        <v>-493.115609133216</v>
      </c>
      <c r="BY106" s="543" t="n">
        <v>-493.115609133216</v>
      </c>
      <c r="BZ106" s="543" t="n">
        <v>-502.97792131588</v>
      </c>
      <c r="CA106" s="543" t="n">
        <v>-502.97792131588</v>
      </c>
      <c r="CB106" s="543" t="n">
        <v>-502.97792131588</v>
      </c>
      <c r="CC106" s="543" t="n">
        <v>-502.97792131588</v>
      </c>
      <c r="CD106" s="543" t="n">
        <v>-502.97792131588</v>
      </c>
      <c r="CE106" s="543" t="n">
        <v>-502.97792131588</v>
      </c>
      <c r="CF106" s="543" t="n">
        <v>-502.97792131588</v>
      </c>
      <c r="CG106" s="543" t="n">
        <v>-502.97792131588</v>
      </c>
      <c r="CH106" s="543" t="n">
        <v>-502.97792131588</v>
      </c>
      <c r="CI106" s="543" t="n">
        <v>-502.97792131588</v>
      </c>
      <c r="CJ106" s="543" t="n">
        <v>-502.97792131588</v>
      </c>
      <c r="CK106" s="543" t="n">
        <v>-502.97792131588</v>
      </c>
      <c r="CL106" s="543" t="n">
        <v>-513.037479742198</v>
      </c>
      <c r="CM106" s="543" t="n">
        <v>-513.037479742198</v>
      </c>
      <c r="CN106" s="543" t="n">
        <v>-513.037479742198</v>
      </c>
      <c r="CO106" s="543" t="n">
        <v>-513.037479742198</v>
      </c>
      <c r="CP106" s="543" t="n">
        <v>-513.037479742198</v>
      </c>
      <c r="CQ106" s="543" t="n">
        <v>-513.037479742198</v>
      </c>
      <c r="CR106" s="543" t="n">
        <v>-513.037479742198</v>
      </c>
      <c r="CS106" s="543" t="n">
        <v>-513.037479742198</v>
      </c>
      <c r="CT106" s="543" t="n">
        <v>-513.037479742198</v>
      </c>
      <c r="CU106" s="543" t="n">
        <v>-513.037479742198</v>
      </c>
      <c r="CV106" s="543" t="n">
        <v>-513.037479742198</v>
      </c>
      <c r="CW106" s="543" t="n">
        <v>-513.037479742198</v>
      </c>
      <c r="CX106" s="543" t="n">
        <v>-523.298229337042</v>
      </c>
      <c r="CY106" s="543" t="n">
        <v>-523.298229337042</v>
      </c>
      <c r="CZ106" s="543" t="n">
        <v>-523.298229337042</v>
      </c>
      <c r="DA106" s="543" t="n">
        <v>-523.298229337042</v>
      </c>
      <c r="DB106" s="543" t="n">
        <v>-523.298229337042</v>
      </c>
      <c r="DC106" s="543" t="n">
        <v>-523.298229337042</v>
      </c>
      <c r="DD106" s="543" t="n">
        <v>-523.298229337042</v>
      </c>
      <c r="DE106" s="543" t="n">
        <v>-523.298229337042</v>
      </c>
      <c r="DF106" s="543" t="n">
        <v>-523.298229337042</v>
      </c>
    </row>
    <row r="107" ht="15" customFormat="1" customHeight="1" s="381">
      <c r="A107" s="472" t="inlineStr">
        <is>
          <t>Steyn Group Guaranty Fee</t>
        </is>
      </c>
      <c r="C107" s="486" t="n">
        <v>0</v>
      </c>
      <c r="D107" s="486" t="n">
        <v>0</v>
      </c>
      <c r="E107" s="486" t="n">
        <v>0</v>
      </c>
      <c r="F107" s="543" t="n">
        <v>0</v>
      </c>
      <c r="G107" s="543" t="n">
        <v>0</v>
      </c>
      <c r="H107" s="543" t="n">
        <v>0</v>
      </c>
      <c r="I107" s="543" t="n">
        <v>0</v>
      </c>
      <c r="J107" s="543" t="n">
        <v>0</v>
      </c>
      <c r="K107" s="543" t="n">
        <v>0</v>
      </c>
      <c r="L107" s="543" t="n">
        <v>0</v>
      </c>
      <c r="M107" s="543" t="n">
        <v>0</v>
      </c>
      <c r="N107" s="543" t="n">
        <v>0</v>
      </c>
      <c r="O107" s="543" t="n">
        <v>0</v>
      </c>
      <c r="P107" s="543" t="n">
        <v>0</v>
      </c>
      <c r="Q107" s="543" t="n">
        <v>0</v>
      </c>
      <c r="R107" s="543" t="n">
        <v>0</v>
      </c>
      <c r="S107" s="543" t="n">
        <v>0</v>
      </c>
      <c r="T107" s="543" t="n">
        <v>0</v>
      </c>
      <c r="U107" s="543" t="n">
        <v>0</v>
      </c>
      <c r="V107" s="543" t="n">
        <v>0</v>
      </c>
      <c r="W107" s="543" t="n">
        <v>0</v>
      </c>
      <c r="X107" s="543" t="n">
        <v>0</v>
      </c>
      <c r="Y107" s="543" t="n">
        <v>0</v>
      </c>
      <c r="Z107" s="543" t="n">
        <v>0</v>
      </c>
      <c r="AA107" s="543" t="n">
        <v>0</v>
      </c>
      <c r="AB107" s="543" t="n">
        <v>0</v>
      </c>
      <c r="AC107" s="543" t="n">
        <v>0</v>
      </c>
      <c r="AD107" s="543" t="n">
        <v>0</v>
      </c>
      <c r="AE107" s="543" t="n">
        <v>0</v>
      </c>
      <c r="AF107" s="543" t="n">
        <v>0</v>
      </c>
      <c r="AG107" s="543" t="n">
        <v>0</v>
      </c>
      <c r="AH107" s="543" t="n">
        <v>0</v>
      </c>
      <c r="AI107" s="543" t="n">
        <v>0</v>
      </c>
      <c r="AJ107" s="543" t="n">
        <v>0</v>
      </c>
      <c r="AK107" s="543" t="n">
        <v>0</v>
      </c>
      <c r="AL107" s="543" t="n">
        <v>0</v>
      </c>
      <c r="AM107" s="543" t="n">
        <v>0</v>
      </c>
      <c r="AN107" s="543" t="n">
        <v>0</v>
      </c>
      <c r="AO107" s="543" t="n">
        <v>0</v>
      </c>
      <c r="AP107" s="543" t="n">
        <v>0</v>
      </c>
      <c r="AQ107" s="543" t="n">
        <v>0</v>
      </c>
      <c r="AR107" s="543" t="n">
        <v>0</v>
      </c>
      <c r="AS107" s="543" t="n">
        <v>0</v>
      </c>
      <c r="AT107" s="543" t="n">
        <v>0</v>
      </c>
      <c r="AU107" s="543" t="n">
        <v>0</v>
      </c>
      <c r="AV107" s="543" t="n">
        <v>0</v>
      </c>
      <c r="AW107" s="543" t="n">
        <v>0</v>
      </c>
      <c r="AX107" s="543" t="n">
        <v>0</v>
      </c>
      <c r="AY107" s="543" t="n">
        <v>0</v>
      </c>
      <c r="AZ107" s="543" t="n">
        <v>0</v>
      </c>
      <c r="BA107" s="543" t="n">
        <v>0</v>
      </c>
      <c r="BB107" s="543" t="n">
        <v>0</v>
      </c>
      <c r="BC107" s="543" t="n">
        <v>0</v>
      </c>
      <c r="BD107" s="543" t="n">
        <v>0</v>
      </c>
      <c r="BE107" s="543" t="n">
        <v>0</v>
      </c>
      <c r="BF107" s="543" t="n">
        <v>0</v>
      </c>
      <c r="BG107" s="543" t="n">
        <v>0</v>
      </c>
      <c r="BH107" s="543" t="n">
        <v>0</v>
      </c>
      <c r="BI107" s="543" t="n">
        <v>0</v>
      </c>
      <c r="BJ107" s="543" t="n">
        <v>0</v>
      </c>
      <c r="BK107" s="543" t="n">
        <v>0</v>
      </c>
      <c r="BL107" s="543" t="n">
        <v>0</v>
      </c>
      <c r="BM107" s="543" t="n">
        <v>0</v>
      </c>
      <c r="BN107" s="543" t="n">
        <v>0</v>
      </c>
      <c r="BO107" s="543" t="n">
        <v>0</v>
      </c>
      <c r="BP107" s="543" t="n">
        <v>0</v>
      </c>
      <c r="BQ107" s="543" t="n">
        <v>0</v>
      </c>
      <c r="BR107" s="543" t="n">
        <v>0</v>
      </c>
      <c r="BS107" s="543" t="n">
        <v>0</v>
      </c>
      <c r="BT107" s="543" t="n">
        <v>0</v>
      </c>
      <c r="BU107" s="543" t="n">
        <v>0</v>
      </c>
      <c r="BV107" s="543" t="n">
        <v>0</v>
      </c>
      <c r="BW107" s="543" t="n">
        <v>0</v>
      </c>
      <c r="BX107" s="543" t="n">
        <v>0</v>
      </c>
      <c r="BY107" s="543" t="n">
        <v>0</v>
      </c>
      <c r="BZ107" s="543" t="n">
        <v>0</v>
      </c>
      <c r="CA107" s="543" t="n">
        <v>0</v>
      </c>
      <c r="CB107" s="543" t="n">
        <v>0</v>
      </c>
      <c r="CC107" s="543" t="n">
        <v>0</v>
      </c>
      <c r="CD107" s="543" t="n">
        <v>0</v>
      </c>
      <c r="CE107" s="543" t="n">
        <v>0</v>
      </c>
      <c r="CF107" s="543" t="n">
        <v>0</v>
      </c>
      <c r="CG107" s="543" t="n">
        <v>0</v>
      </c>
      <c r="CH107" s="543" t="n">
        <v>0</v>
      </c>
      <c r="CI107" s="543" t="n">
        <v>0</v>
      </c>
      <c r="CJ107" s="543" t="n">
        <v>0</v>
      </c>
      <c r="CK107" s="543" t="n">
        <v>0</v>
      </c>
      <c r="CL107" s="543" t="n">
        <v>0</v>
      </c>
      <c r="CM107" s="543" t="n">
        <v>0</v>
      </c>
      <c r="CN107" s="543" t="n">
        <v>0</v>
      </c>
      <c r="CO107" s="543" t="n">
        <v>0</v>
      </c>
      <c r="CP107" s="543" t="n">
        <v>0</v>
      </c>
      <c r="CQ107" s="543" t="n">
        <v>0</v>
      </c>
      <c r="CR107" s="543" t="n">
        <v>0</v>
      </c>
      <c r="CS107" s="543" t="n">
        <v>0</v>
      </c>
      <c r="CT107" s="543" t="n">
        <v>0</v>
      </c>
      <c r="CU107" s="543" t="n">
        <v>0</v>
      </c>
      <c r="CV107" s="543" t="n">
        <v>0</v>
      </c>
      <c r="CW107" s="543" t="n">
        <v>0</v>
      </c>
      <c r="CX107" s="543" t="n">
        <v>0</v>
      </c>
      <c r="CY107" s="543" t="n">
        <v>0</v>
      </c>
      <c r="CZ107" s="543" t="n">
        <v>0</v>
      </c>
      <c r="DA107" s="543" t="n">
        <v>0</v>
      </c>
      <c r="DB107" s="543" t="n">
        <v>0</v>
      </c>
      <c r="DC107" s="543" t="n">
        <v>0</v>
      </c>
      <c r="DD107" s="543" t="n">
        <v>0</v>
      </c>
      <c r="DE107" s="543" t="n">
        <v>0</v>
      </c>
      <c r="DF107" s="543" t="n">
        <v>0</v>
      </c>
    </row>
    <row r="108" ht="15" customFormat="1" customHeight="1" s="381">
      <c r="A108" s="472" t="inlineStr">
        <is>
          <t>Steyn Liquidity Guarantee Fee</t>
        </is>
      </c>
      <c r="C108" s="486" t="n">
        <v>0</v>
      </c>
      <c r="D108" s="486" t="n">
        <v>0</v>
      </c>
      <c r="E108" s="486" t="n">
        <v>0</v>
      </c>
      <c r="F108" s="543" t="n">
        <v>0</v>
      </c>
      <c r="G108" s="543" t="n">
        <v>0</v>
      </c>
      <c r="H108" s="543" t="n">
        <v>0</v>
      </c>
      <c r="I108" s="543" t="n">
        <v>0</v>
      </c>
      <c r="J108" s="543" t="n">
        <v>0</v>
      </c>
      <c r="K108" s="543" t="n">
        <v>0</v>
      </c>
      <c r="L108" s="543" t="n">
        <v>0</v>
      </c>
      <c r="M108" s="543" t="n">
        <v>0</v>
      </c>
      <c r="N108" s="543" t="n">
        <v>0</v>
      </c>
      <c r="O108" s="543" t="n">
        <v>0</v>
      </c>
      <c r="P108" s="543" t="n">
        <v>0</v>
      </c>
      <c r="Q108" s="543" t="n">
        <v>0</v>
      </c>
      <c r="R108" s="543" t="n">
        <v>0</v>
      </c>
      <c r="S108" s="543" t="n">
        <v>0</v>
      </c>
      <c r="T108" s="543" t="n">
        <v>0</v>
      </c>
      <c r="U108" s="543" t="n">
        <v>0</v>
      </c>
      <c r="V108" s="543" t="n">
        <v>0</v>
      </c>
      <c r="W108" s="543" t="n">
        <v>0</v>
      </c>
      <c r="X108" s="543" t="n">
        <v>0</v>
      </c>
      <c r="Y108" s="543" t="n">
        <v>0</v>
      </c>
      <c r="Z108" s="543" t="n">
        <v>0</v>
      </c>
      <c r="AA108" s="543" t="n">
        <v>0</v>
      </c>
      <c r="AB108" s="543" t="n">
        <v>0</v>
      </c>
      <c r="AC108" s="543" t="n">
        <v>0</v>
      </c>
      <c r="AD108" s="543" t="n">
        <v>0</v>
      </c>
      <c r="AE108" s="543" t="n">
        <v>0</v>
      </c>
      <c r="AF108" s="543" t="n">
        <v>0</v>
      </c>
      <c r="AG108" s="543" t="n">
        <v>0</v>
      </c>
      <c r="AH108" s="543" t="n">
        <v>0</v>
      </c>
      <c r="AI108" s="543" t="n">
        <v>0</v>
      </c>
      <c r="AJ108" s="543" t="n">
        <v>0</v>
      </c>
      <c r="AK108" s="543" t="n">
        <v>0</v>
      </c>
      <c r="AL108" s="543" t="n">
        <v>0</v>
      </c>
      <c r="AM108" s="543" t="n">
        <v>0</v>
      </c>
      <c r="AN108" s="543" t="n">
        <v>0</v>
      </c>
      <c r="AO108" s="543" t="n">
        <v>0</v>
      </c>
      <c r="AP108" s="543" t="n">
        <v>0</v>
      </c>
      <c r="AQ108" s="543" t="n">
        <v>0</v>
      </c>
      <c r="AR108" s="543" t="n">
        <v>0</v>
      </c>
      <c r="AS108" s="543" t="n">
        <v>0</v>
      </c>
      <c r="AT108" s="543" t="n">
        <v>0</v>
      </c>
      <c r="AU108" s="543" t="n">
        <v>0</v>
      </c>
      <c r="AV108" s="543" t="n">
        <v>0</v>
      </c>
      <c r="AW108" s="543" t="n">
        <v>0</v>
      </c>
      <c r="AX108" s="543" t="n">
        <v>0</v>
      </c>
      <c r="AY108" s="543" t="n">
        <v>0</v>
      </c>
      <c r="AZ108" s="543" t="n">
        <v>0</v>
      </c>
      <c r="BA108" s="543" t="n">
        <v>0</v>
      </c>
      <c r="BB108" s="543" t="n">
        <v>0</v>
      </c>
      <c r="BC108" s="543" t="n">
        <v>0</v>
      </c>
      <c r="BD108" s="543" t="n">
        <v>0</v>
      </c>
      <c r="BE108" s="543" t="n">
        <v>0</v>
      </c>
      <c r="BF108" s="543" t="n">
        <v>0</v>
      </c>
      <c r="BG108" s="543" t="n">
        <v>0</v>
      </c>
      <c r="BH108" s="543" t="n">
        <v>0</v>
      </c>
      <c r="BI108" s="543" t="n">
        <v>0</v>
      </c>
      <c r="BJ108" s="543" t="n">
        <v>0</v>
      </c>
      <c r="BK108" s="543" t="n">
        <v>0</v>
      </c>
      <c r="BL108" s="543" t="n">
        <v>0</v>
      </c>
      <c r="BM108" s="543" t="n">
        <v>0</v>
      </c>
      <c r="BN108" s="543" t="n">
        <v>0</v>
      </c>
      <c r="BO108" s="543" t="n">
        <v>0</v>
      </c>
      <c r="BP108" s="543" t="n">
        <v>0</v>
      </c>
      <c r="BQ108" s="543" t="n">
        <v>0</v>
      </c>
      <c r="BR108" s="543" t="n">
        <v>0</v>
      </c>
      <c r="BS108" s="543" t="n">
        <v>0</v>
      </c>
      <c r="BT108" s="543" t="n">
        <v>0</v>
      </c>
      <c r="BU108" s="543" t="n">
        <v>0</v>
      </c>
      <c r="BV108" s="543" t="n">
        <v>0</v>
      </c>
      <c r="BW108" s="543" t="n">
        <v>0</v>
      </c>
      <c r="BX108" s="543" t="n">
        <v>0</v>
      </c>
      <c r="BY108" s="543" t="n">
        <v>0</v>
      </c>
      <c r="BZ108" s="543" t="n">
        <v>0</v>
      </c>
      <c r="CA108" s="543" t="n">
        <v>0</v>
      </c>
      <c r="CB108" s="543" t="n">
        <v>0</v>
      </c>
      <c r="CC108" s="543" t="n">
        <v>0</v>
      </c>
      <c r="CD108" s="543" t="n">
        <v>0</v>
      </c>
      <c r="CE108" s="543" t="n">
        <v>0</v>
      </c>
      <c r="CF108" s="543" t="n">
        <v>0</v>
      </c>
      <c r="CG108" s="543" t="n">
        <v>0</v>
      </c>
      <c r="CH108" s="543" t="n">
        <v>0</v>
      </c>
      <c r="CI108" s="543" t="n">
        <v>0</v>
      </c>
      <c r="CJ108" s="543" t="n">
        <v>0</v>
      </c>
      <c r="CK108" s="543" t="n">
        <v>0</v>
      </c>
      <c r="CL108" s="543" t="n">
        <v>0</v>
      </c>
      <c r="CM108" s="543" t="n">
        <v>0</v>
      </c>
      <c r="CN108" s="543" t="n">
        <v>0</v>
      </c>
      <c r="CO108" s="543" t="n">
        <v>0</v>
      </c>
      <c r="CP108" s="543" t="n">
        <v>0</v>
      </c>
      <c r="CQ108" s="543" t="n">
        <v>0</v>
      </c>
      <c r="CR108" s="543" t="n">
        <v>0</v>
      </c>
      <c r="CS108" s="543" t="n">
        <v>0</v>
      </c>
      <c r="CT108" s="543" t="n">
        <v>0</v>
      </c>
      <c r="CU108" s="543" t="n">
        <v>0</v>
      </c>
      <c r="CV108" s="543" t="n">
        <v>0</v>
      </c>
      <c r="CW108" s="543" t="n">
        <v>0</v>
      </c>
      <c r="CX108" s="543" t="n">
        <v>0</v>
      </c>
      <c r="CY108" s="543" t="n">
        <v>0</v>
      </c>
      <c r="CZ108" s="543" t="n">
        <v>0</v>
      </c>
      <c r="DA108" s="543" t="n">
        <v>0</v>
      </c>
      <c r="DB108" s="543" t="n">
        <v>0</v>
      </c>
      <c r="DC108" s="543" t="n">
        <v>0</v>
      </c>
      <c r="DD108" s="543" t="n">
        <v>0</v>
      </c>
      <c r="DE108" s="543" t="n">
        <v>0</v>
      </c>
      <c r="DF108" s="543" t="n">
        <v>0</v>
      </c>
    </row>
    <row r="109" ht="15" customFormat="1" customHeight="1" s="381">
      <c r="A109" s="472" t="inlineStr">
        <is>
          <t>Francis Steyn Fee + PIK (from LIHTC Revenue)</t>
        </is>
      </c>
      <c r="C109" s="486" t="n">
        <v>0</v>
      </c>
      <c r="D109" s="486" t="n">
        <v>0</v>
      </c>
      <c r="E109" s="486" t="n">
        <v>0</v>
      </c>
      <c r="F109" s="543" t="n">
        <v>0</v>
      </c>
      <c r="G109" s="543" t="n">
        <v>0</v>
      </c>
      <c r="H109" s="543" t="n">
        <v>0</v>
      </c>
      <c r="I109" s="543" t="n">
        <v>0</v>
      </c>
      <c r="J109" s="543" t="n">
        <v>0</v>
      </c>
      <c r="K109" s="543" t="n">
        <v>0</v>
      </c>
      <c r="L109" s="543" t="n">
        <v>0</v>
      </c>
      <c r="M109" s="543" t="n">
        <v>0</v>
      </c>
      <c r="N109" s="543" t="n">
        <v>0</v>
      </c>
      <c r="O109" s="543" t="n">
        <v>0</v>
      </c>
      <c r="P109" s="543" t="n">
        <v>0</v>
      </c>
      <c r="Q109" s="543" t="n">
        <v>0</v>
      </c>
      <c r="R109" s="543" t="n">
        <v>0</v>
      </c>
      <c r="S109" s="543" t="n">
        <v>0</v>
      </c>
      <c r="T109" s="543" t="n">
        <v>0</v>
      </c>
      <c r="U109" s="543" t="n">
        <v>0</v>
      </c>
      <c r="V109" s="543" t="n">
        <v>0</v>
      </c>
      <c r="W109" s="543" t="n">
        <v>0</v>
      </c>
      <c r="X109" s="543" t="n">
        <v>0</v>
      </c>
      <c r="Y109" s="543" t="n">
        <v>0</v>
      </c>
      <c r="Z109" s="543" t="n">
        <v>0</v>
      </c>
      <c r="AA109" s="543" t="n">
        <v>0</v>
      </c>
      <c r="AB109" s="543" t="n">
        <v>0</v>
      </c>
      <c r="AC109" s="543" t="n">
        <v>0</v>
      </c>
      <c r="AD109" s="543" t="n">
        <v>0</v>
      </c>
      <c r="AE109" s="543" t="n">
        <v>0</v>
      </c>
      <c r="AF109" s="543" t="n">
        <v>0</v>
      </c>
      <c r="AG109" s="543" t="n">
        <v>0</v>
      </c>
      <c r="AH109" s="543" t="n">
        <v>0</v>
      </c>
      <c r="AI109" s="543" t="n">
        <v>0</v>
      </c>
      <c r="AJ109" s="543" t="n">
        <v>0</v>
      </c>
      <c r="AK109" s="543" t="n">
        <v>0</v>
      </c>
      <c r="AL109" s="543" t="n">
        <v>0</v>
      </c>
      <c r="AM109" s="543" t="n">
        <v>0</v>
      </c>
      <c r="AN109" s="543" t="n">
        <v>0</v>
      </c>
      <c r="AO109" s="543" t="n">
        <v>0</v>
      </c>
      <c r="AP109" s="543" t="n">
        <v>0</v>
      </c>
      <c r="AQ109" s="543" t="n">
        <v>0</v>
      </c>
      <c r="AR109" s="543" t="n">
        <v>0</v>
      </c>
      <c r="AS109" s="543" t="n">
        <v>0</v>
      </c>
      <c r="AT109" s="543" t="n">
        <v>0</v>
      </c>
      <c r="AU109" s="543" t="n">
        <v>-81683</v>
      </c>
      <c r="AV109" s="543" t="n">
        <v>0</v>
      </c>
      <c r="AW109" s="543" t="n">
        <v>0</v>
      </c>
      <c r="AX109" s="543" t="n">
        <v>-81682</v>
      </c>
      <c r="AY109" s="543" t="n">
        <v>0</v>
      </c>
      <c r="AZ109" s="543" t="n">
        <v>0</v>
      </c>
      <c r="BA109" s="543" t="n">
        <v>-81682</v>
      </c>
      <c r="BB109" s="543" t="n">
        <v>0</v>
      </c>
      <c r="BC109" s="543" t="n">
        <v>0</v>
      </c>
      <c r="BD109" s="543" t="n">
        <v>-81682</v>
      </c>
      <c r="BE109" s="543" t="n">
        <v>0</v>
      </c>
      <c r="BF109" s="543" t="n">
        <v>0</v>
      </c>
      <c r="BG109" s="543" t="n">
        <v>-59178</v>
      </c>
      <c r="BH109" s="543" t="n">
        <v>0</v>
      </c>
      <c r="BI109" s="543" t="n">
        <v>0</v>
      </c>
      <c r="BJ109" s="543" t="n">
        <v>-59176</v>
      </c>
      <c r="BK109" s="543" t="n">
        <v>0</v>
      </c>
      <c r="BL109" s="543" t="n">
        <v>0</v>
      </c>
      <c r="BM109" s="543" t="n">
        <v>-59176</v>
      </c>
      <c r="BN109" s="543" t="n">
        <v>0</v>
      </c>
      <c r="BO109" s="543" t="n">
        <v>0</v>
      </c>
      <c r="BP109" s="543" t="n">
        <v>-59176</v>
      </c>
      <c r="BQ109" s="543" t="n">
        <v>0</v>
      </c>
      <c r="BR109" s="543" t="n">
        <v>0</v>
      </c>
      <c r="BS109" s="543" t="n">
        <v>-16249.48</v>
      </c>
      <c r="BT109" s="543" t="n">
        <v>0</v>
      </c>
      <c r="BU109" s="543" t="n">
        <v>0</v>
      </c>
      <c r="BV109" s="543" t="n">
        <v>0</v>
      </c>
      <c r="BW109" s="543" t="n">
        <v>0</v>
      </c>
      <c r="BX109" s="543" t="n">
        <v>0</v>
      </c>
      <c r="BY109" s="543" t="n">
        <v>0</v>
      </c>
      <c r="BZ109" s="543" t="n">
        <v>0</v>
      </c>
      <c r="CA109" s="543" t="n">
        <v>0</v>
      </c>
      <c r="CB109" s="543" t="n">
        <v>0</v>
      </c>
      <c r="CC109" s="543" t="n">
        <v>0</v>
      </c>
      <c r="CD109" s="543" t="n">
        <v>0</v>
      </c>
      <c r="CE109" s="543" t="n">
        <v>0</v>
      </c>
      <c r="CF109" s="543" t="n">
        <v>0</v>
      </c>
      <c r="CG109" s="543" t="n">
        <v>0</v>
      </c>
      <c r="CH109" s="543" t="n">
        <v>0</v>
      </c>
      <c r="CI109" s="543" t="n">
        <v>0</v>
      </c>
      <c r="CJ109" s="543" t="n">
        <v>0</v>
      </c>
      <c r="CK109" s="543" t="n">
        <v>0</v>
      </c>
      <c r="CL109" s="543" t="n">
        <v>0</v>
      </c>
      <c r="CM109" s="543" t="n">
        <v>0</v>
      </c>
      <c r="CN109" s="543" t="n">
        <v>0</v>
      </c>
      <c r="CO109" s="543" t="n">
        <v>0</v>
      </c>
      <c r="CP109" s="543" t="n">
        <v>0</v>
      </c>
      <c r="CQ109" s="543" t="n">
        <v>0</v>
      </c>
      <c r="CR109" s="543" t="n">
        <v>0</v>
      </c>
      <c r="CS109" s="543" t="n">
        <v>0</v>
      </c>
      <c r="CT109" s="543" t="n">
        <v>0</v>
      </c>
      <c r="CU109" s="543" t="n">
        <v>0</v>
      </c>
      <c r="CV109" s="543" t="n">
        <v>0</v>
      </c>
      <c r="CW109" s="543" t="n">
        <v>0</v>
      </c>
      <c r="CX109" s="543" t="n">
        <v>0</v>
      </c>
      <c r="CY109" s="543" t="n">
        <v>0</v>
      </c>
      <c r="CZ109" s="543" t="n">
        <v>0</v>
      </c>
      <c r="DA109" s="543" t="n">
        <v>0</v>
      </c>
      <c r="DB109" s="543" t="n">
        <v>0</v>
      </c>
      <c r="DC109" s="543" t="n">
        <v>0</v>
      </c>
      <c r="DD109" s="543" t="n">
        <v>0</v>
      </c>
      <c r="DE109" s="543" t="n">
        <v>0</v>
      </c>
      <c r="DF109" s="543" t="n">
        <v>0</v>
      </c>
    </row>
    <row r="110" ht="15" customFormat="1" customHeight="1" s="381">
      <c r="A110" s="472" t="inlineStr">
        <is>
          <t>Reseda Steyn Fee + PIK (from LIHTC Revenue)</t>
        </is>
      </c>
      <c r="C110" s="486" t="n">
        <v>0</v>
      </c>
      <c r="D110" s="486" t="n">
        <v>0</v>
      </c>
      <c r="E110" s="486" t="n">
        <v>0</v>
      </c>
      <c r="F110" s="543" t="n">
        <v>0</v>
      </c>
      <c r="G110" s="543" t="n">
        <v>0</v>
      </c>
      <c r="H110" s="543" t="n">
        <v>0</v>
      </c>
      <c r="I110" s="543" t="n">
        <v>0</v>
      </c>
      <c r="J110" s="543" t="n">
        <v>0</v>
      </c>
      <c r="K110" s="543" t="n">
        <v>0</v>
      </c>
      <c r="L110" s="543" t="n">
        <v>0</v>
      </c>
      <c r="M110" s="543" t="n">
        <v>0</v>
      </c>
      <c r="N110" s="543" t="n">
        <v>0</v>
      </c>
      <c r="O110" s="543" t="n">
        <v>0</v>
      </c>
      <c r="P110" s="543" t="n">
        <v>0</v>
      </c>
      <c r="Q110" s="543" t="n">
        <v>0</v>
      </c>
      <c r="R110" s="543" t="n">
        <v>0</v>
      </c>
      <c r="S110" s="543" t="n">
        <v>0</v>
      </c>
      <c r="T110" s="543" t="n">
        <v>0</v>
      </c>
      <c r="U110" s="543" t="n">
        <v>0</v>
      </c>
      <c r="V110" s="543" t="n">
        <v>0</v>
      </c>
      <c r="W110" s="543" t="n">
        <v>0</v>
      </c>
      <c r="X110" s="543" t="n">
        <v>0</v>
      </c>
      <c r="Y110" s="543" t="n">
        <v>0</v>
      </c>
      <c r="Z110" s="543" t="n">
        <v>0</v>
      </c>
      <c r="AA110" s="543" t="n">
        <v>0</v>
      </c>
      <c r="AB110" s="543" t="n">
        <v>0</v>
      </c>
      <c r="AC110" s="543" t="n">
        <v>0</v>
      </c>
      <c r="AD110" s="543" t="n">
        <v>0</v>
      </c>
      <c r="AE110" s="543" t="n">
        <v>0</v>
      </c>
      <c r="AF110" s="543" t="n">
        <v>0</v>
      </c>
      <c r="AG110" s="543" t="n">
        <v>0</v>
      </c>
      <c r="AH110" s="543" t="n">
        <v>0</v>
      </c>
      <c r="AI110" s="543" t="n">
        <v>0</v>
      </c>
      <c r="AJ110" s="543" t="n">
        <v>0</v>
      </c>
      <c r="AK110" s="543" t="n">
        <v>0</v>
      </c>
      <c r="AL110" s="543" t="n">
        <v>0</v>
      </c>
      <c r="AM110" s="543" t="n">
        <v>0</v>
      </c>
      <c r="AN110" s="543" t="n">
        <v>0</v>
      </c>
      <c r="AO110" s="543" t="n">
        <v>0</v>
      </c>
      <c r="AP110" s="543" t="n">
        <v>0</v>
      </c>
      <c r="AQ110" s="543" t="n">
        <v>0</v>
      </c>
      <c r="AR110" s="543" t="n">
        <v>0</v>
      </c>
      <c r="AS110" s="543" t="n">
        <v>0</v>
      </c>
      <c r="AT110" s="543" t="n">
        <v>0</v>
      </c>
      <c r="AU110" s="543" t="n">
        <v>0</v>
      </c>
      <c r="AV110" s="543" t="n">
        <v>0</v>
      </c>
      <c r="AW110" s="543" t="n">
        <v>0</v>
      </c>
      <c r="AX110" s="543" t="n">
        <v>0</v>
      </c>
      <c r="AY110" s="543" t="n">
        <v>0</v>
      </c>
      <c r="AZ110" s="543" t="n">
        <v>0</v>
      </c>
      <c r="BA110" s="543" t="n">
        <v>0</v>
      </c>
      <c r="BB110" s="543" t="n">
        <v>0</v>
      </c>
      <c r="BC110" s="543" t="n">
        <v>0</v>
      </c>
      <c r="BD110" s="543" t="n">
        <v>-851839</v>
      </c>
      <c r="BE110" s="543" t="n">
        <v>0</v>
      </c>
      <c r="BF110" s="543" t="n">
        <v>0</v>
      </c>
      <c r="BG110" s="543" t="n">
        <v>-71700</v>
      </c>
      <c r="BH110" s="543" t="n">
        <v>0</v>
      </c>
      <c r="BI110" s="543" t="n">
        <v>0</v>
      </c>
      <c r="BJ110" s="543" t="n">
        <v>-71700</v>
      </c>
      <c r="BK110" s="543" t="n">
        <v>0</v>
      </c>
      <c r="BL110" s="543" t="n">
        <v>0</v>
      </c>
      <c r="BM110" s="543" t="n">
        <v>-71700</v>
      </c>
      <c r="BN110" s="543" t="n">
        <v>0</v>
      </c>
      <c r="BO110" s="543" t="n">
        <v>0</v>
      </c>
      <c r="BP110" s="543" t="n">
        <v>-71700</v>
      </c>
      <c r="BQ110" s="543" t="n">
        <v>0</v>
      </c>
      <c r="BR110" s="543" t="n">
        <v>0</v>
      </c>
      <c r="BS110" s="543" t="n">
        <v>-74643</v>
      </c>
      <c r="BT110" s="543" t="n">
        <v>0</v>
      </c>
      <c r="BU110" s="543" t="n">
        <v>0</v>
      </c>
      <c r="BV110" s="543" t="n">
        <v>-74640</v>
      </c>
      <c r="BW110" s="543" t="n">
        <v>0</v>
      </c>
      <c r="BX110" s="543" t="n">
        <v>0</v>
      </c>
      <c r="BY110" s="543" t="n">
        <v>-74640</v>
      </c>
      <c r="BZ110" s="543" t="n">
        <v>0</v>
      </c>
      <c r="CA110" s="543" t="n">
        <v>0</v>
      </c>
      <c r="CB110" s="543" t="n">
        <v>-74640</v>
      </c>
      <c r="CC110" s="543" t="n">
        <v>0</v>
      </c>
      <c r="CD110" s="543" t="n">
        <v>0</v>
      </c>
      <c r="CE110" s="543" t="n">
        <v>-81363</v>
      </c>
      <c r="CF110" s="543" t="n">
        <v>0</v>
      </c>
      <c r="CG110" s="543" t="n">
        <v>0</v>
      </c>
      <c r="CH110" s="543" t="n">
        <v>-81362</v>
      </c>
      <c r="CI110" s="543" t="n">
        <v>0</v>
      </c>
      <c r="CJ110" s="543" t="n">
        <v>0</v>
      </c>
      <c r="CK110" s="543" t="n">
        <v>-74753.97339352081</v>
      </c>
      <c r="CL110" s="543" t="n">
        <v>0</v>
      </c>
      <c r="CM110" s="543" t="n">
        <v>0</v>
      </c>
      <c r="CN110" s="543" t="n">
        <v>0</v>
      </c>
      <c r="CO110" s="543" t="n">
        <v>0</v>
      </c>
      <c r="CP110" s="543" t="n">
        <v>0</v>
      </c>
      <c r="CQ110" s="543" t="n">
        <v>0</v>
      </c>
      <c r="CR110" s="543" t="n">
        <v>0</v>
      </c>
      <c r="CS110" s="543" t="n">
        <v>0</v>
      </c>
      <c r="CT110" s="543" t="n">
        <v>0</v>
      </c>
      <c r="CU110" s="543" t="n">
        <v>0</v>
      </c>
      <c r="CV110" s="543" t="n">
        <v>0</v>
      </c>
      <c r="CW110" s="543" t="n">
        <v>0</v>
      </c>
      <c r="CX110" s="543" t="n">
        <v>0</v>
      </c>
      <c r="CY110" s="543" t="n">
        <v>0</v>
      </c>
      <c r="CZ110" s="543" t="n">
        <v>0</v>
      </c>
      <c r="DA110" s="543" t="n">
        <v>0</v>
      </c>
      <c r="DB110" s="543" t="n">
        <v>0</v>
      </c>
      <c r="DC110" s="543" t="n">
        <v>0</v>
      </c>
      <c r="DD110" s="543" t="n">
        <v>0</v>
      </c>
      <c r="DE110" s="543" t="n">
        <v>0</v>
      </c>
      <c r="DF110" s="543" t="n">
        <v>0</v>
      </c>
    </row>
    <row r="111" ht="15" customFormat="1" customHeight="1" s="381">
      <c r="A111" s="472" t="inlineStr">
        <is>
          <t>3rd St Steyn Fee + PIK (from LIHTC Revenue)</t>
        </is>
      </c>
      <c r="C111" s="486" t="n">
        <v>0</v>
      </c>
      <c r="D111" s="486" t="n">
        <v>0</v>
      </c>
      <c r="E111" s="486" t="n">
        <v>0</v>
      </c>
      <c r="F111" s="543" t="n">
        <v>0</v>
      </c>
      <c r="G111" s="543" t="n">
        <v>0</v>
      </c>
      <c r="H111" s="543" t="n">
        <v>0</v>
      </c>
      <c r="I111" s="543" t="n">
        <v>0</v>
      </c>
      <c r="J111" s="543" t="n">
        <v>0</v>
      </c>
      <c r="K111" s="543" t="n">
        <v>0</v>
      </c>
      <c r="L111" s="543" t="n">
        <v>0</v>
      </c>
      <c r="M111" s="543" t="n">
        <v>0</v>
      </c>
      <c r="N111" s="543" t="n">
        <v>0</v>
      </c>
      <c r="O111" s="543" t="n">
        <v>0</v>
      </c>
      <c r="P111" s="543" t="n">
        <v>0</v>
      </c>
      <c r="Q111" s="543" t="n">
        <v>0</v>
      </c>
      <c r="R111" s="543" t="n">
        <v>0</v>
      </c>
      <c r="S111" s="543" t="n">
        <v>0</v>
      </c>
      <c r="T111" s="543" t="n">
        <v>0</v>
      </c>
      <c r="U111" s="543" t="n">
        <v>0</v>
      </c>
      <c r="V111" s="543" t="n">
        <v>0</v>
      </c>
      <c r="W111" s="543" t="n">
        <v>0</v>
      </c>
      <c r="X111" s="543" t="n">
        <v>0</v>
      </c>
      <c r="Y111" s="543" t="n">
        <v>0</v>
      </c>
      <c r="Z111" s="543" t="n">
        <v>0</v>
      </c>
      <c r="AA111" s="543" t="n">
        <v>0</v>
      </c>
      <c r="AB111" s="543" t="n">
        <v>0</v>
      </c>
      <c r="AC111" s="543" t="n">
        <v>0</v>
      </c>
      <c r="AD111" s="543" t="n">
        <v>0</v>
      </c>
      <c r="AE111" s="543" t="n">
        <v>0</v>
      </c>
      <c r="AF111" s="543" t="n">
        <v>0</v>
      </c>
      <c r="AG111" s="543" t="n">
        <v>0</v>
      </c>
      <c r="AH111" s="543" t="n">
        <v>0</v>
      </c>
      <c r="AI111" s="543" t="n">
        <v>0</v>
      </c>
      <c r="AJ111" s="543" t="n">
        <v>0</v>
      </c>
      <c r="AK111" s="543" t="n">
        <v>0</v>
      </c>
      <c r="AL111" s="543" t="n">
        <v>0</v>
      </c>
      <c r="AM111" s="543" t="n">
        <v>0</v>
      </c>
      <c r="AN111" s="543" t="n">
        <v>0</v>
      </c>
      <c r="AO111" s="543" t="n">
        <v>0</v>
      </c>
      <c r="AP111" s="543" t="n">
        <v>0</v>
      </c>
      <c r="AQ111" s="543" t="n">
        <v>0</v>
      </c>
      <c r="AR111" s="543" t="n">
        <v>0</v>
      </c>
      <c r="AS111" s="543" t="n">
        <v>0</v>
      </c>
      <c r="AT111" s="543" t="n">
        <v>0</v>
      </c>
      <c r="AU111" s="543" t="n">
        <v>0</v>
      </c>
      <c r="AV111" s="543" t="n">
        <v>0</v>
      </c>
      <c r="AW111" s="543" t="n">
        <v>0</v>
      </c>
      <c r="AX111" s="543" t="n">
        <v>0</v>
      </c>
      <c r="AY111" s="543" t="n">
        <v>0</v>
      </c>
      <c r="AZ111" s="543" t="n">
        <v>0</v>
      </c>
      <c r="BA111" s="543" t="n">
        <v>0</v>
      </c>
      <c r="BB111" s="543" t="n">
        <v>0</v>
      </c>
      <c r="BC111" s="543" t="n">
        <v>0</v>
      </c>
      <c r="BD111" s="543" t="n">
        <v>0</v>
      </c>
      <c r="BE111" s="543" t="n">
        <v>0</v>
      </c>
      <c r="BF111" s="543" t="n">
        <v>0</v>
      </c>
      <c r="BG111" s="543" t="n">
        <v>0</v>
      </c>
      <c r="BH111" s="543" t="n">
        <v>0</v>
      </c>
      <c r="BI111" s="543" t="n">
        <v>0</v>
      </c>
      <c r="BJ111" s="543" t="n">
        <v>0</v>
      </c>
      <c r="BK111" s="543" t="n">
        <v>0</v>
      </c>
      <c r="BL111" s="543" t="n">
        <v>0</v>
      </c>
      <c r="BM111" s="543" t="n">
        <v>0</v>
      </c>
      <c r="BN111" s="543" t="n">
        <v>0</v>
      </c>
      <c r="BO111" s="543" t="n">
        <v>0</v>
      </c>
      <c r="BP111" s="543" t="n">
        <v>0</v>
      </c>
      <c r="BQ111" s="543" t="n">
        <v>0</v>
      </c>
      <c r="BR111" s="543" t="n">
        <v>0</v>
      </c>
      <c r="BS111" s="543" t="n">
        <v>0</v>
      </c>
      <c r="BT111" s="543" t="n">
        <v>0</v>
      </c>
      <c r="BU111" s="543" t="n">
        <v>0</v>
      </c>
      <c r="BV111" s="543" t="n">
        <v>0</v>
      </c>
      <c r="BW111" s="543" t="n">
        <v>0</v>
      </c>
      <c r="BX111" s="543" t="n">
        <v>0</v>
      </c>
      <c r="BY111" s="543" t="n">
        <v>0</v>
      </c>
      <c r="BZ111" s="543" t="n">
        <v>0</v>
      </c>
      <c r="CA111" s="543" t="n">
        <v>0</v>
      </c>
      <c r="CB111" s="543" t="n">
        <v>-73156</v>
      </c>
      <c r="CC111" s="543" t="n">
        <v>0</v>
      </c>
      <c r="CD111" s="543" t="n">
        <v>0</v>
      </c>
      <c r="CE111" s="543" t="n">
        <v>-73155</v>
      </c>
      <c r="CF111" s="543" t="n">
        <v>0</v>
      </c>
      <c r="CG111" s="543" t="n">
        <v>0</v>
      </c>
      <c r="CH111" s="543" t="n">
        <v>-73155</v>
      </c>
      <c r="CI111" s="543" t="n">
        <v>0</v>
      </c>
      <c r="CJ111" s="543" t="n">
        <v>0</v>
      </c>
      <c r="CK111" s="543" t="n">
        <v>-73155</v>
      </c>
      <c r="CL111" s="543" t="n">
        <v>-73155</v>
      </c>
      <c r="CM111" s="543" t="n">
        <v>-73155</v>
      </c>
      <c r="CN111" s="543" t="n">
        <v>-73155</v>
      </c>
      <c r="CO111" s="543" t="n">
        <v>-73155</v>
      </c>
      <c r="CP111" s="543" t="n">
        <v>-73155</v>
      </c>
      <c r="CQ111" s="543" t="n">
        <v>-73155</v>
      </c>
      <c r="CR111" s="543" t="n">
        <v>-73155</v>
      </c>
      <c r="CS111" s="543" t="n">
        <v>-73155</v>
      </c>
      <c r="CT111" s="543" t="n">
        <v>-73155</v>
      </c>
      <c r="CU111" s="543" t="n">
        <v>-73155</v>
      </c>
      <c r="CV111" s="543" t="n">
        <v>-73155</v>
      </c>
      <c r="CW111" s="543" t="n">
        <v>-73155</v>
      </c>
      <c r="CX111" s="543" t="n">
        <v>-17446.8489364072</v>
      </c>
      <c r="CY111" s="543" t="n">
        <v>0</v>
      </c>
      <c r="CZ111" s="543" t="n">
        <v>0</v>
      </c>
      <c r="DA111" s="543" t="n">
        <v>0</v>
      </c>
      <c r="DB111" s="543" t="n">
        <v>0</v>
      </c>
      <c r="DC111" s="543" t="n">
        <v>0</v>
      </c>
      <c r="DD111" s="543" t="n">
        <v>0</v>
      </c>
      <c r="DE111" s="543" t="n">
        <v>0</v>
      </c>
      <c r="DF111" s="543" t="n">
        <v>0</v>
      </c>
    </row>
    <row r="112" ht="15" customFormat="1" customHeight="1" s="381">
      <c r="A112" s="477" t="inlineStr">
        <is>
          <t>Total Six Peak Expenses</t>
        </is>
      </c>
      <c r="C112" s="547" t="n">
        <v>-196623.84</v>
      </c>
      <c r="D112" s="547" t="n">
        <v>-189707.12</v>
      </c>
      <c r="E112" s="547" t="n">
        <v>-242129.22</v>
      </c>
      <c r="F112" s="547" t="n">
        <v>-78090.0916666666</v>
      </c>
      <c r="G112" s="547" t="n">
        <v>-78090.0916666666</v>
      </c>
      <c r="H112" s="547" t="n">
        <v>-78090.0916666666</v>
      </c>
      <c r="I112" s="547" t="n">
        <v>-78090.0916666666</v>
      </c>
      <c r="J112" s="547" t="n">
        <v>-78090.0916666666</v>
      </c>
      <c r="K112" s="547" t="n">
        <v>-78090.0916666666</v>
      </c>
      <c r="L112" s="547" t="n">
        <v>-78090.0916666666</v>
      </c>
      <c r="M112" s="547" t="n">
        <v>-78090.0916666666</v>
      </c>
      <c r="N112" s="547" t="n">
        <v>-78090.0916666666</v>
      </c>
      <c r="O112" s="547" t="n">
        <v>-78090.0916666666</v>
      </c>
      <c r="P112" s="547" t="n">
        <v>-78090.0916666666</v>
      </c>
      <c r="Q112" s="547" t="n">
        <v>-78090.0916666666</v>
      </c>
      <c r="R112" s="547" t="n">
        <v>-79651.89350000001</v>
      </c>
      <c r="S112" s="547" t="n">
        <v>-79651.89350000001</v>
      </c>
      <c r="T112" s="547" t="n">
        <v>-79651.89350000001</v>
      </c>
      <c r="U112" s="547" t="n">
        <v>-79651.89350000001</v>
      </c>
      <c r="V112" s="547" t="n">
        <v>-79651.89350000001</v>
      </c>
      <c r="W112" s="547" t="n">
        <v>-79651.89350000001</v>
      </c>
      <c r="X112" s="547" t="n">
        <v>-79651.89350000001</v>
      </c>
      <c r="Y112" s="547" t="n">
        <v>-79651.89350000001</v>
      </c>
      <c r="Z112" s="547" t="n">
        <v>-79651.89350000001</v>
      </c>
      <c r="AA112" s="547" t="n">
        <v>-79651.89350000001</v>
      </c>
      <c r="AB112" s="547" t="n">
        <v>-79651.89350000001</v>
      </c>
      <c r="AC112" s="547" t="n">
        <v>-79651.89350000001</v>
      </c>
      <c r="AD112" s="547" t="n">
        <v>-81244.93137000001</v>
      </c>
      <c r="AE112" s="547" t="n">
        <v>-81244.93137000001</v>
      </c>
      <c r="AF112" s="547" t="n">
        <v>-81244.93137000001</v>
      </c>
      <c r="AG112" s="547" t="n">
        <v>-81244.93137000001</v>
      </c>
      <c r="AH112" s="547" t="n">
        <v>-81244.93137000001</v>
      </c>
      <c r="AI112" s="547" t="n">
        <v>-81244.93137000001</v>
      </c>
      <c r="AJ112" s="547" t="n">
        <v>-81244.93137000001</v>
      </c>
      <c r="AK112" s="547" t="n">
        <v>-81244.93137000001</v>
      </c>
      <c r="AL112" s="547" t="n">
        <v>-81244.93137000001</v>
      </c>
      <c r="AM112" s="547" t="n">
        <v>-81244.93137000001</v>
      </c>
      <c r="AN112" s="547" t="n">
        <v>-81244.93137000001</v>
      </c>
      <c r="AO112" s="547" t="n">
        <v>-81244.93137000001</v>
      </c>
      <c r="AP112" s="547" t="n">
        <v>-82869.8299974</v>
      </c>
      <c r="AQ112" s="547" t="n">
        <v>-82869.8299974</v>
      </c>
      <c r="AR112" s="547" t="n">
        <v>-82869.8299974</v>
      </c>
      <c r="AS112" s="547" t="n">
        <v>-82869.8299974</v>
      </c>
      <c r="AT112" s="547" t="n">
        <v>-82869.8299974</v>
      </c>
      <c r="AU112" s="547" t="n">
        <v>-164552.8299974</v>
      </c>
      <c r="AV112" s="547" t="n">
        <v>-82869.8299974</v>
      </c>
      <c r="AW112" s="547" t="n">
        <v>-82869.8299974</v>
      </c>
      <c r="AX112" s="547" t="n">
        <v>-164551.8299974</v>
      </c>
      <c r="AY112" s="547" t="n">
        <v>-82869.8299974</v>
      </c>
      <c r="AZ112" s="547" t="n">
        <v>-82869.8299974</v>
      </c>
      <c r="BA112" s="547" t="n">
        <v>-164551.8299974</v>
      </c>
      <c r="BB112" s="547" t="n">
        <v>-84527.226597348</v>
      </c>
      <c r="BC112" s="547" t="n">
        <v>-84527.226597348</v>
      </c>
      <c r="BD112" s="547" t="n">
        <v>-1018048.22659735</v>
      </c>
      <c r="BE112" s="547" t="n">
        <v>-84527.226597348</v>
      </c>
      <c r="BF112" s="547" t="n">
        <v>-84527.226597348</v>
      </c>
      <c r="BG112" s="547" t="n">
        <v>-215405.226597348</v>
      </c>
      <c r="BH112" s="547" t="n">
        <v>-84527.226597348</v>
      </c>
      <c r="BI112" s="547" t="n">
        <v>-84527.226597348</v>
      </c>
      <c r="BJ112" s="547" t="n">
        <v>-215403.226597348</v>
      </c>
      <c r="BK112" s="547" t="n">
        <v>-84527.226597348</v>
      </c>
      <c r="BL112" s="547" t="n">
        <v>-84527.226597348</v>
      </c>
      <c r="BM112" s="547" t="n">
        <v>-215403.226597348</v>
      </c>
      <c r="BN112" s="547" t="n">
        <v>-86217.771129295</v>
      </c>
      <c r="BO112" s="547" t="n">
        <v>-86217.771129295</v>
      </c>
      <c r="BP112" s="547" t="n">
        <v>-217093.771129295</v>
      </c>
      <c r="BQ112" s="547" t="n">
        <v>-86217.771129295</v>
      </c>
      <c r="BR112" s="547" t="n">
        <v>-86217.771129295</v>
      </c>
      <c r="BS112" s="547" t="n">
        <v>-177110.251129295</v>
      </c>
      <c r="BT112" s="547" t="n">
        <v>-86217.771129295</v>
      </c>
      <c r="BU112" s="547" t="n">
        <v>-86217.771129295</v>
      </c>
      <c r="BV112" s="547" t="n">
        <v>-160857.771129295</v>
      </c>
      <c r="BW112" s="547" t="n">
        <v>-86217.771129295</v>
      </c>
      <c r="BX112" s="547" t="n">
        <v>-86217.771129295</v>
      </c>
      <c r="BY112" s="547" t="n">
        <v>-160857.771129295</v>
      </c>
      <c r="BZ112" s="547" t="n">
        <v>-87942.12655188089</v>
      </c>
      <c r="CA112" s="547" t="n">
        <v>-87942.12655188089</v>
      </c>
      <c r="CB112" s="547" t="n">
        <v>-235738.126551881</v>
      </c>
      <c r="CC112" s="547" t="n">
        <v>-87942.12655188089</v>
      </c>
      <c r="CD112" s="547" t="n">
        <v>-87942.12655188089</v>
      </c>
      <c r="CE112" s="547" t="n">
        <v>-242460.126551881</v>
      </c>
      <c r="CF112" s="547" t="n">
        <v>-87942.12655188089</v>
      </c>
      <c r="CG112" s="547" t="n">
        <v>-87942.12655188089</v>
      </c>
      <c r="CH112" s="547" t="n">
        <v>-242459.126551881</v>
      </c>
      <c r="CI112" s="547" t="n">
        <v>-87942.12655188089</v>
      </c>
      <c r="CJ112" s="547" t="n">
        <v>-87942.12655188089</v>
      </c>
      <c r="CK112" s="547" t="n">
        <v>-235851.099945402</v>
      </c>
      <c r="CL112" s="547" t="n">
        <v>-162855.969082918</v>
      </c>
      <c r="CM112" s="547" t="n">
        <v>-162855.969082918</v>
      </c>
      <c r="CN112" s="547" t="n">
        <v>-162855.969082918</v>
      </c>
      <c r="CO112" s="547" t="n">
        <v>-162855.969082918</v>
      </c>
      <c r="CP112" s="547" t="n">
        <v>-162855.969082918</v>
      </c>
      <c r="CQ112" s="547" t="n">
        <v>-162855.969082918</v>
      </c>
      <c r="CR112" s="547" t="n">
        <v>-162855.969082918</v>
      </c>
      <c r="CS112" s="547" t="n">
        <v>-162855.969082918</v>
      </c>
      <c r="CT112" s="547" t="n">
        <v>-162855.969082918</v>
      </c>
      <c r="CU112" s="547" t="n">
        <v>-160947.475708022</v>
      </c>
      <c r="CV112" s="547" t="n">
        <v>-160947.475708022</v>
      </c>
      <c r="CW112" s="547" t="n">
        <v>-160947.475708022</v>
      </c>
      <c r="CX112" s="547" t="n">
        <v>-106995.17415859</v>
      </c>
      <c r="CY112" s="547" t="n">
        <v>-89548.32522218239</v>
      </c>
      <c r="CZ112" s="547" t="n">
        <v>-89548.32522218239</v>
      </c>
      <c r="DA112" s="547" t="n">
        <v>-89548.32522218239</v>
      </c>
      <c r="DB112" s="547" t="n">
        <v>-89548.32522218239</v>
      </c>
      <c r="DC112" s="547" t="n">
        <v>-89548.32522218239</v>
      </c>
      <c r="DD112" s="547" t="n">
        <v>-89548.32522218239</v>
      </c>
      <c r="DE112" s="547" t="n">
        <v>-89548.32522218239</v>
      </c>
      <c r="DF112" s="547" t="n">
        <v>-89548.32522218239</v>
      </c>
    </row>
    <row r="113" ht="15" customFormat="1" customHeight="1" s="381">
      <c r="A113" s="452" t="n"/>
      <c r="C113" s="486" t="n"/>
      <c r="D113" s="486" t="n"/>
      <c r="E113" s="486" t="n"/>
      <c r="F113" s="486" t="n"/>
      <c r="G113" s="486" t="n"/>
      <c r="H113" s="486" t="n"/>
      <c r="I113" s="486" t="n"/>
      <c r="J113" s="486" t="n"/>
      <c r="K113" s="486" t="n"/>
      <c r="L113" s="486" t="n"/>
      <c r="M113" s="486" t="n"/>
      <c r="N113" s="486" t="n"/>
      <c r="O113" s="486" t="n"/>
      <c r="P113" s="486" t="n"/>
      <c r="Q113" s="486" t="n"/>
      <c r="R113" s="486" t="n"/>
      <c r="S113" s="486" t="n"/>
      <c r="T113" s="486" t="n"/>
      <c r="U113" s="486" t="n"/>
      <c r="V113" s="486" t="n"/>
      <c r="W113" s="486" t="n"/>
      <c r="X113" s="486" t="n"/>
      <c r="Y113" s="486" t="n"/>
      <c r="Z113" s="486" t="n"/>
      <c r="AA113" s="486" t="n"/>
      <c r="AB113" s="486" t="n"/>
      <c r="AC113" s="486" t="n"/>
      <c r="AD113" s="486" t="n"/>
      <c r="AE113" s="486" t="n"/>
      <c r="AF113" s="486" t="n"/>
      <c r="AG113" s="486" t="n"/>
      <c r="AH113" s="486" t="n"/>
      <c r="AI113" s="486" t="n"/>
      <c r="AJ113" s="486" t="n"/>
      <c r="AK113" s="486" t="n"/>
      <c r="AL113" s="486" t="n"/>
      <c r="AM113" s="486" t="n"/>
      <c r="AN113" s="486" t="n"/>
      <c r="AO113" s="486" t="n"/>
      <c r="AP113" s="486" t="n"/>
      <c r="AQ113" s="486" t="n"/>
      <c r="AR113" s="486" t="n"/>
      <c r="AS113" s="486" t="n"/>
      <c r="AT113" s="486" t="n"/>
      <c r="AU113" s="486" t="n"/>
      <c r="AV113" s="486" t="n"/>
      <c r="AW113" s="486" t="n"/>
      <c r="AX113" s="486" t="n"/>
      <c r="AY113" s="486" t="n"/>
      <c r="AZ113" s="486" t="n"/>
      <c r="BA113" s="486" t="n"/>
      <c r="BB113" s="486" t="n"/>
      <c r="BC113" s="486" t="n"/>
      <c r="BD113" s="486" t="n"/>
      <c r="BE113" s="486" t="n"/>
      <c r="BF113" s="486" t="n"/>
      <c r="BG113" s="486" t="n"/>
      <c r="BH113" s="486" t="n"/>
      <c r="BI113" s="486" t="n"/>
      <c r="BJ113" s="486" t="n"/>
      <c r="BK113" s="486" t="n"/>
      <c r="BL113" s="486" t="n"/>
      <c r="BM113" s="486" t="n"/>
      <c r="BN113" s="486" t="n"/>
      <c r="BO113" s="486" t="n"/>
      <c r="BP113" s="486" t="n"/>
      <c r="BQ113" s="486" t="n"/>
      <c r="BR113" s="486" t="n"/>
      <c r="BS113" s="486" t="n"/>
      <c r="BT113" s="486" t="n"/>
      <c r="BU113" s="486" t="n"/>
      <c r="BV113" s="486" t="n"/>
      <c r="BW113" s="486" t="n"/>
      <c r="BX113" s="486" t="n"/>
      <c r="BY113" s="486" t="n"/>
      <c r="BZ113" s="486" t="n"/>
      <c r="CA113" s="486" t="n"/>
      <c r="CB113" s="486" t="n"/>
      <c r="CC113" s="486" t="n"/>
      <c r="CD113" s="486" t="n"/>
      <c r="CE113" s="486" t="n"/>
      <c r="CF113" s="486" t="n"/>
      <c r="CG113" s="486" t="n"/>
      <c r="CH113" s="486" t="n"/>
      <c r="CI113" s="486" t="n"/>
      <c r="CJ113" s="486" t="n"/>
      <c r="CK113" s="486" t="n"/>
      <c r="CL113" s="486" t="n"/>
      <c r="CM113" s="486" t="n"/>
      <c r="CN113" s="486" t="n"/>
      <c r="CO113" s="486" t="n"/>
      <c r="CP113" s="486" t="n"/>
      <c r="CQ113" s="486" t="n"/>
      <c r="CR113" s="486" t="n"/>
      <c r="CS113" s="486" t="n"/>
      <c r="CT113" s="486" t="n"/>
      <c r="CU113" s="486" t="n"/>
      <c r="CV113" s="486" t="n"/>
      <c r="CW113" s="486" t="n"/>
      <c r="CX113" s="486" t="n"/>
      <c r="CY113" s="486" t="n"/>
      <c r="CZ113" s="486" t="n"/>
      <c r="DA113" s="486" t="n"/>
      <c r="DB113" s="486" t="n"/>
      <c r="DC113" s="486" t="n"/>
      <c r="DD113" s="486" t="n"/>
      <c r="DE113" s="486" t="n"/>
      <c r="DF113" s="486" t="n"/>
    </row>
    <row r="114" ht="15" customFormat="1" customHeight="1" s="381">
      <c r="A114" s="452" t="inlineStr">
        <is>
          <t>Six Peak Net Income</t>
        </is>
      </c>
      <c r="C114" s="551" t="n">
        <v>-162509.26</v>
      </c>
      <c r="D114" s="551" t="n">
        <v>-155592.54</v>
      </c>
      <c r="E114" s="551" t="n">
        <v>-208014.64</v>
      </c>
      <c r="F114" s="551" t="n">
        <v>-34475.5116666666</v>
      </c>
      <c r="G114" s="551" t="n">
        <v>-34475.5116666666</v>
      </c>
      <c r="H114" s="551" t="n">
        <v>-34475.5116666666</v>
      </c>
      <c r="I114" s="551" t="n">
        <v>-34475.5116666666</v>
      </c>
      <c r="J114" s="551" t="n">
        <v>-34475.5116666666</v>
      </c>
      <c r="K114" s="551" t="n">
        <v>-35308.8416666666</v>
      </c>
      <c r="L114" s="551" t="n">
        <v>-35308.8416666666</v>
      </c>
      <c r="M114" s="551" t="n">
        <v>-44683.8416666666</v>
      </c>
      <c r="N114" s="551" t="n">
        <v>-44683.8416666666</v>
      </c>
      <c r="O114" s="551" t="n">
        <v>-44683.8416666666</v>
      </c>
      <c r="P114" s="551" t="n">
        <v>-44683.8416666666</v>
      </c>
      <c r="Q114" s="551" t="n">
        <v>-44683.8416666666</v>
      </c>
      <c r="R114" s="551" t="n">
        <v>-46245.6435</v>
      </c>
      <c r="S114" s="551" t="n">
        <v>-46245.6435</v>
      </c>
      <c r="T114" s="551" t="n">
        <v>-46245.6435</v>
      </c>
      <c r="U114" s="551" t="n">
        <v>-70151.89350000001</v>
      </c>
      <c r="V114" s="551" t="n">
        <v>-70151.89350000001</v>
      </c>
      <c r="W114" s="551" t="n">
        <v>-70151.89350000001</v>
      </c>
      <c r="X114" s="551" t="n">
        <v>-70151.89350000001</v>
      </c>
      <c r="Y114" s="551" t="n">
        <v>-70151.89350000001</v>
      </c>
      <c r="Z114" s="551" t="n">
        <v>-12776.8935</v>
      </c>
      <c r="AA114" s="551" t="n">
        <v>-70151.89350000001</v>
      </c>
      <c r="AB114" s="551" t="n">
        <v>-70151.89350000001</v>
      </c>
      <c r="AC114" s="551" t="n">
        <v>-12776.8935</v>
      </c>
      <c r="AD114" s="551" t="n">
        <v>-71744.93137000001</v>
      </c>
      <c r="AE114" s="551" t="n">
        <v>-71744.93137000001</v>
      </c>
      <c r="AF114" s="551" t="n">
        <v>-14369.93137</v>
      </c>
      <c r="AG114" s="551" t="n">
        <v>-71744.93137000001</v>
      </c>
      <c r="AH114" s="551" t="n">
        <v>-71744.93137000001</v>
      </c>
      <c r="AI114" s="551" t="n">
        <v>-71744.93137000001</v>
      </c>
      <c r="AJ114" s="551" t="n">
        <v>-81244.93137000001</v>
      </c>
      <c r="AK114" s="551" t="n">
        <v>-81244.93137000001</v>
      </c>
      <c r="AL114" s="551" t="n">
        <v>-81244.93137000001</v>
      </c>
      <c r="AM114" s="551" t="n">
        <v>-81244.93137000001</v>
      </c>
      <c r="AN114" s="551" t="n">
        <v>-81244.93137000001</v>
      </c>
      <c r="AO114" s="551" t="n">
        <v>-81244.93137000001</v>
      </c>
      <c r="AP114" s="551" t="n">
        <v>-82869.8299974</v>
      </c>
      <c r="AQ114" s="551" t="n">
        <v>-82869.8299974</v>
      </c>
      <c r="AR114" s="551" t="n">
        <v>-82869.8299974</v>
      </c>
      <c r="AS114" s="551" t="n">
        <v>-82869.8299974</v>
      </c>
      <c r="AT114" s="551" t="n">
        <v>-82869.8299974</v>
      </c>
      <c r="AU114" s="551" t="n">
        <v>-82869.8299974</v>
      </c>
      <c r="AV114" s="551" t="n">
        <v>-82869.8299974</v>
      </c>
      <c r="AW114" s="551" t="n">
        <v>-82869.8299974</v>
      </c>
      <c r="AX114" s="551" t="n">
        <v>-82869.8299974</v>
      </c>
      <c r="AY114" s="551" t="n">
        <v>-82869.8299974</v>
      </c>
      <c r="AZ114" s="551" t="n">
        <v>-82869.8299974</v>
      </c>
      <c r="BA114" s="551" t="n">
        <v>-82869.8299974</v>
      </c>
      <c r="BB114" s="551" t="n">
        <v>-84527.226597348</v>
      </c>
      <c r="BC114" s="551" t="n">
        <v>-84527.226597348</v>
      </c>
      <c r="BD114" s="551" t="n">
        <v>-84527.226597348</v>
      </c>
      <c r="BE114" s="551" t="n">
        <v>-84527.226597348</v>
      </c>
      <c r="BF114" s="551" t="n">
        <v>-84527.226597348</v>
      </c>
      <c r="BG114" s="551" t="n">
        <v>-84527.226597348</v>
      </c>
      <c r="BH114" s="551" t="n">
        <v>-84527.226597348</v>
      </c>
      <c r="BI114" s="551" t="n">
        <v>-84527.226597348</v>
      </c>
      <c r="BJ114" s="551" t="n">
        <v>-84527.226597348</v>
      </c>
      <c r="BK114" s="551" t="n">
        <v>-84527.226597348</v>
      </c>
      <c r="BL114" s="551" t="n">
        <v>-84527.226597348</v>
      </c>
      <c r="BM114" s="551" t="n">
        <v>-84527.226597348</v>
      </c>
      <c r="BN114" s="551" t="n">
        <v>-86217.771129295</v>
      </c>
      <c r="BO114" s="551" t="n">
        <v>-86217.771129295</v>
      </c>
      <c r="BP114" s="551" t="n">
        <v>-86217.771129295</v>
      </c>
      <c r="BQ114" s="551" t="n">
        <v>-86217.771129295</v>
      </c>
      <c r="BR114" s="551" t="n">
        <v>-86217.771129295</v>
      </c>
      <c r="BS114" s="551" t="n">
        <v>-34704.251129295</v>
      </c>
      <c r="BT114" s="551" t="n">
        <v>-86217.771129295</v>
      </c>
      <c r="BU114" s="551" t="n">
        <v>-86217.771129295</v>
      </c>
      <c r="BV114" s="551" t="n">
        <v>-18455.771129295</v>
      </c>
      <c r="BW114" s="551" t="n">
        <v>-86217.771129295</v>
      </c>
      <c r="BX114" s="551" t="n">
        <v>-86217.771129295</v>
      </c>
      <c r="BY114" s="551" t="n">
        <v>-18455.771129295</v>
      </c>
      <c r="BZ114" s="551" t="n">
        <v>-87942.12655188089</v>
      </c>
      <c r="CA114" s="551" t="n">
        <v>-87942.12655188089</v>
      </c>
      <c r="CB114" s="551" t="n">
        <v>-20180.1265518809</v>
      </c>
      <c r="CC114" s="551" t="n">
        <v>-87942.12655188089</v>
      </c>
      <c r="CD114" s="551" t="n">
        <v>-87942.12655188089</v>
      </c>
      <c r="CE114" s="551" t="n">
        <v>-11443.1265518809</v>
      </c>
      <c r="CF114" s="551" t="n">
        <v>-87942.12655188089</v>
      </c>
      <c r="CG114" s="551" t="n">
        <v>-87942.12655188089</v>
      </c>
      <c r="CH114" s="551" t="n">
        <v>-11443.1265518809</v>
      </c>
      <c r="CI114" s="551" t="n">
        <v>-87942.12655188089</v>
      </c>
      <c r="CJ114" s="551" t="n">
        <v>-87942.12655188089</v>
      </c>
      <c r="CK114" s="551" t="n">
        <v>-4835.09994540163</v>
      </c>
      <c r="CL114" s="551" t="n">
        <v>68160.0309170815</v>
      </c>
      <c r="CM114" s="551" t="n">
        <v>68160.0309170815</v>
      </c>
      <c r="CN114" s="551" t="n">
        <v>68160.0309170815</v>
      </c>
      <c r="CO114" s="551" t="n">
        <v>68160.0309170815</v>
      </c>
      <c r="CP114" s="551" t="n">
        <v>68160.0309170815</v>
      </c>
      <c r="CQ114" s="551" t="n">
        <v>68160.0309170815</v>
      </c>
      <c r="CR114" s="551" t="n">
        <v>68160.0309170815</v>
      </c>
      <c r="CS114" s="551" t="n">
        <v>68160.0309170815</v>
      </c>
      <c r="CT114" s="551" t="n">
        <v>68160.0309170815</v>
      </c>
      <c r="CU114" s="551" t="n">
        <v>70068.524291978</v>
      </c>
      <c r="CV114" s="551" t="n">
        <v>70068.524291978</v>
      </c>
      <c r="CW114" s="551" t="n">
        <v>70068.524291978</v>
      </c>
      <c r="CX114" s="551" t="n">
        <v>124020.82584141</v>
      </c>
      <c r="CY114" s="551" t="n">
        <v>141467.674777818</v>
      </c>
      <c r="CZ114" s="551" t="n">
        <v>141467.674777818</v>
      </c>
      <c r="DA114" s="551" t="n">
        <v>141467.674777818</v>
      </c>
      <c r="DB114" s="551" t="n">
        <v>141467.674777818</v>
      </c>
      <c r="DC114" s="551" t="n">
        <v>141467.674777818</v>
      </c>
      <c r="DD114" s="551" t="n">
        <v>141467.674777818</v>
      </c>
      <c r="DE114" s="551" t="n">
        <v>141467.674777818</v>
      </c>
      <c r="DF114" s="551" t="n">
        <v>141467.674777818</v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S25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D38" activeCellId="0" sqref="D38"/>
    </sheetView>
  </sheetViews>
  <sheetFormatPr baseColWidth="8" defaultColWidth="8.71875" defaultRowHeight="15" zeroHeight="0" outlineLevelRow="0"/>
  <cols>
    <col width="14" customWidth="1" style="381" min="1" max="1"/>
    <col width="17" customWidth="1" style="381" min="2" max="13"/>
    <col width="19" customWidth="1" style="381" min="14" max="14"/>
    <col width="15" customWidth="1" style="381" min="15" max="16"/>
    <col width="12" customWidth="1" style="381" min="17" max="17"/>
    <col width="17" customWidth="1" style="381" min="18" max="18"/>
    <col width="19" customWidth="1" style="381" min="19" max="19"/>
  </cols>
  <sheetData>
    <row r="1" ht="17.25" customFormat="1" customHeight="1" s="381">
      <c r="A1" s="477" t="inlineStr">
        <is>
          <t>BD COMMISSION ANALYSIS</t>
        </is>
      </c>
    </row>
    <row r="2" ht="15" customFormat="1" customHeight="1" s="381">
      <c r="A2" s="453" t="inlineStr">
        <is>
          <t>Annual breakdown of BD-sourced billing, gross profit, commission, and Tom's total comp.</t>
        </is>
      </c>
    </row>
    <row r="4" ht="31.5" customFormat="1" customHeight="1" s="381">
      <c r="A4" s="497" t="inlineStr">
        <is>
          <t>Fiscal Year</t>
        </is>
      </c>
      <c r="B4" s="497" t="inlineStr">
        <is>
          <t>BD Trades &amp; Site Billing</t>
        </is>
      </c>
      <c r="C4" s="497" t="inlineStr">
        <is>
          <t>BD Other GC Income</t>
        </is>
      </c>
      <c r="D4" s="497" t="inlineStr">
        <is>
          <t>BD GC Fee Income</t>
        </is>
      </c>
      <c r="E4" s="497" t="inlineStr">
        <is>
          <t>(folded into Other GC)</t>
        </is>
      </c>
      <c r="F4" s="497" t="inlineStr">
        <is>
          <t>BD Construction Billing (Total)</t>
        </is>
      </c>
      <c r="G4" s="497" t="inlineStr">
        <is>
          <t>GC Gross Profit (FY, excl. bonding)</t>
        </is>
      </c>
      <c r="H4" s="497" t="inlineStr">
        <is>
          <t>BD Gross Profit (allocated, excl. bonding)</t>
        </is>
      </c>
      <c r="I4" s="552" t="inlineStr">
        <is>
          <t>BD Commission (10%)</t>
        </is>
      </c>
      <c r="J4" s="497" t="inlineStr">
        <is>
          <t>Tom Base Salary</t>
        </is>
      </c>
      <c r="K4" s="497" t="inlineStr">
        <is>
          <t>Total Comp to Tom</t>
        </is>
      </c>
      <c r="L4" s="497" t="inlineStr">
        <is>
          <t>Commission % of Total Comp</t>
        </is>
      </c>
      <c r="M4" s="552" t="inlineStr">
        <is>
          <t>HVN BD Billing</t>
        </is>
      </c>
      <c r="N4" s="552" t="inlineStr">
        <is>
          <t>Non-HVN BD Billing</t>
        </is>
      </c>
      <c r="O4" s="552" t="inlineStr">
        <is>
          <t>HVN GP</t>
        </is>
      </c>
      <c r="P4" s="552" t="inlineStr">
        <is>
          <t>Non-HVN GP</t>
        </is>
      </c>
      <c r="Q4" s="552" t="inlineStr">
        <is>
          <t>HVN Tier Rate</t>
        </is>
      </c>
      <c r="R4" s="552" t="inlineStr">
        <is>
          <t>HVN Commission</t>
        </is>
      </c>
      <c r="S4" s="552" t="inlineStr">
        <is>
          <t>Non-HVN Commission</t>
        </is>
      </c>
    </row>
    <row r="5" ht="15" customFormat="1" customHeight="1" s="381">
      <c r="A5" s="553" t="inlineStr">
        <is>
          <t>FY 2026</t>
        </is>
      </c>
      <c r="B5" s="554">
        <f>SUM(Helpers!C96:N96)</f>
        <v>0</v>
      </c>
      <c r="C5" s="554">
        <f>(SUM(Helpers!C97:N97)-SUM(Helpers!C96:N96))*(Assumptions!$B$10+Assumptions!$B$12)/Assumptions!$B$9</f>
        <v>0</v>
      </c>
      <c r="D5" s="554">
        <f>(SUM(Helpers!C97:N97)-SUM(Helpers!C96:N96))*Assumptions!$B$11/Assumptions!$B$9</f>
        <v>0</v>
      </c>
      <c r="E5" s="554" t="n">
        <v>0</v>
      </c>
      <c r="F5" s="555">
        <f>SUM(Helpers!C97:N97)</f>
        <v>0</v>
      </c>
      <c r="G5" s="554">
        <f>SUM(Helpers!C99:N99)</f>
        <v>1724784.67470779</v>
      </c>
      <c r="H5" s="555">
        <f>SUM(Helpers!C100:N100)</f>
        <v>0</v>
      </c>
      <c r="I5" s="556">
        <f>-SUM(Model!B142:M142)</f>
        <v>0</v>
      </c>
      <c r="J5" s="554">
        <f>Personnel!$C$38*9/12</f>
        <v>166500</v>
      </c>
      <c r="K5" s="557">
        <f>I5+J5</f>
        <v>166500</v>
      </c>
      <c r="L5" s="558">
        <f>IFERROR(I5/K5,0)</f>
        <v>0</v>
      </c>
      <c r="M5" s="556">
        <f>SUM(Helpers!C101:N101)</f>
        <v>0</v>
      </c>
      <c r="N5" s="556">
        <f>B5-M5</f>
        <v>0</v>
      </c>
      <c r="O5" s="556">
        <f>IFERROR(H5*M5/B5,0)</f>
        <v>0</v>
      </c>
      <c r="P5" s="556">
        <f>H5-O5</f>
        <v>0</v>
      </c>
      <c r="Q5" s="559">
        <f>IF(N5&gt;=Assumptions!$B$86,Assumptions!$C$86,IF(N5&gt;=Assumptions!$B$85,Assumptions!$C$85,IF(N5&gt;=Assumptions!$B$84,Assumptions!$C$84,Assumptions!$C$83)))</f>
        <v>0.25</v>
      </c>
      <c r="R5" s="556">
        <f>O5*Q5*0.1</f>
        <v>0</v>
      </c>
      <c r="S5" s="556">
        <f>P5*0.1</f>
        <v>0</v>
      </c>
    </row>
    <row r="6" ht="15" customFormat="1" customHeight="1" s="381">
      <c r="A6" s="560" t="inlineStr">
        <is>
          <t>FY 2027</t>
        </is>
      </c>
      <c r="B6" s="561">
        <f>SUM(Helpers!O96:Z96)</f>
        <v>26182677.7591805</v>
      </c>
      <c r="C6" s="561">
        <f>(SUM(Helpers!O97:Z97)-SUM(Helpers!O96:Z96))*(Assumptions!$B$10+Assumptions!$B$12)/Assumptions!$B$9</f>
        <v>1837877.54112971</v>
      </c>
      <c r="D6" s="561">
        <f>(SUM(Helpers!O97:Z97)-SUM(Helpers!O96:Z96))*Assumptions!$B$11/Assumptions!$B$9</f>
        <v>1378401.47702782</v>
      </c>
      <c r="E6" s="561" t="n">
        <v>0</v>
      </c>
      <c r="F6" s="562">
        <f>SUM(Helpers!O97:Z97)</f>
        <v>29398956.777338</v>
      </c>
      <c r="G6" s="561">
        <f>SUM(Helpers!O99:Z99)</f>
        <v>5100726.9030708</v>
      </c>
      <c r="H6" s="562">
        <f>SUM(Helpers!O100:Z100)</f>
        <v>1447197.03233626</v>
      </c>
      <c r="I6" s="563">
        <f>-SUM(Model!N142:Y142)</f>
        <v>213230.020825</v>
      </c>
      <c r="J6" s="561">
        <f>Personnel!$C$38</f>
        <v>222000</v>
      </c>
      <c r="K6" s="564">
        <f>I6+J6</f>
        <v>435230.020825</v>
      </c>
      <c r="L6" s="565">
        <f>IFERROR(I6/K6,0)</f>
        <v>0.489924891717745</v>
      </c>
      <c r="M6" s="556">
        <f>SUM(Helpers!O101:Z101)</f>
        <v>24699166.9350593</v>
      </c>
      <c r="N6" s="556">
        <f>B6-M6</f>
        <v>1483510.82412124</v>
      </c>
      <c r="O6" s="556">
        <f>IFERROR(H6*M6/B6,0)</f>
        <v>1365198.83177581</v>
      </c>
      <c r="P6" s="556">
        <f>H6-O6</f>
        <v>81998.2005604522</v>
      </c>
      <c r="Q6" s="559">
        <f>IF(N6&gt;=Assumptions!$B$86,Assumptions!$C$86,IF(N6&gt;=Assumptions!$B$85,Assumptions!$C$85,IF(N6&gt;=Assumptions!$B$84,Assumptions!$C$84,Assumptions!$C$83)))</f>
        <v>0.25</v>
      </c>
      <c r="R6" s="556">
        <f>O6*Q6*0.1</f>
        <v>34129.9707943951</v>
      </c>
      <c r="S6" s="556">
        <f>P6*0.1</f>
        <v>8199.82005604522</v>
      </c>
    </row>
    <row r="7" ht="15" customFormat="1" customHeight="1" s="381">
      <c r="A7" s="553" t="inlineStr">
        <is>
          <t>FY 2028</t>
        </is>
      </c>
      <c r="B7" s="554">
        <f>SUM(Helpers!AA96:AL96)</f>
        <v>72261420.9414803</v>
      </c>
      <c r="C7" s="554">
        <f>(SUM(Helpers!AA97:AL97)-SUM(Helpers!AA96:AL96))*(Assumptions!$B$10+Assumptions!$B$12)/Assumptions!$B$9</f>
        <v>4621295.95046853</v>
      </c>
      <c r="D7" s="554">
        <f>(SUM(Helpers!AA97:AL97)-SUM(Helpers!AA96:AL96))*Assumptions!$B$11/Assumptions!$B$9</f>
        <v>3465955.1691311</v>
      </c>
      <c r="E7" s="554" t="n">
        <v>0</v>
      </c>
      <c r="F7" s="555">
        <f>SUM(Helpers!AA97:AL97)</f>
        <v>80348672.0610799</v>
      </c>
      <c r="G7" s="554">
        <f>SUM(Helpers!AA99:AL99)</f>
        <v>9024148.60960165</v>
      </c>
      <c r="H7" s="555">
        <f>SUM(Helpers!AA100:AL100)</f>
        <v>4569610.60769532</v>
      </c>
      <c r="I7" s="556">
        <f>-SUM(Model!Z142:AK142)</f>
        <v>144206.5375</v>
      </c>
      <c r="J7" s="554">
        <f>Personnel!$C$38</f>
        <v>222000</v>
      </c>
      <c r="K7" s="557">
        <f>I7+J7</f>
        <v>366206.5375</v>
      </c>
      <c r="L7" s="558">
        <f>IFERROR(I7/K7,0)</f>
        <v>0.393784716363782</v>
      </c>
      <c r="M7" s="556">
        <f>SUM(Helpers!AA101:AL101)</f>
        <v>35966633.9093678</v>
      </c>
      <c r="N7" s="556">
        <f>B7-M7</f>
        <v>36294787.0321126</v>
      </c>
      <c r="O7" s="556">
        <f>IFERROR(H7*M7/B7,0)</f>
        <v>2274429.55997834</v>
      </c>
      <c r="P7" s="556">
        <f>H7-O7</f>
        <v>2295181.04771697</v>
      </c>
      <c r="Q7" s="559">
        <f>IF(N7&gt;=Assumptions!$B$86,Assumptions!$C$86,IF(N7&gt;=Assumptions!$B$85,Assumptions!$C$85,IF(N7&gt;=Assumptions!$B$84,Assumptions!$C$84,Assumptions!$C$83)))</f>
        <v>0.5</v>
      </c>
      <c r="R7" s="556">
        <f>O7*Q7*0.1</f>
        <v>113721.477998917</v>
      </c>
      <c r="S7" s="556">
        <f>P7*0.1</f>
        <v>229518.104771697</v>
      </c>
    </row>
    <row r="8" ht="15" customFormat="1" customHeight="1" s="381">
      <c r="A8" s="560" t="inlineStr">
        <is>
          <t>FY 2029</t>
        </is>
      </c>
      <c r="B8" s="561">
        <f>SUM(Helpers!AM96:AX96)</f>
        <v>124647965.629339</v>
      </c>
      <c r="C8" s="561">
        <f>(SUM(Helpers!AM97:AX97)-SUM(Helpers!AM96:AX96))*(Assumptions!$B$10+Assumptions!$B$12)/Assumptions!$B$9</f>
        <v>8283045.2214641</v>
      </c>
      <c r="D8" s="561">
        <f>(SUM(Helpers!AM97:AX97)-SUM(Helpers!AM96:AX96))*Assumptions!$B$11/Assumptions!$B$9</f>
        <v>6212253.81563575</v>
      </c>
      <c r="E8" s="561" t="n">
        <v>0</v>
      </c>
      <c r="F8" s="562">
        <f>SUM(Helpers!AM97:AX97)</f>
        <v>139143264.666439</v>
      </c>
      <c r="G8" s="561">
        <f>SUM(Helpers!AM99:AX99)</f>
        <v>11779236.1103363</v>
      </c>
      <c r="H8" s="562">
        <f>SUM(Helpers!AM100:AX100)</f>
        <v>8962482.67134498</v>
      </c>
      <c r="I8" s="563">
        <f>-SUM(Model!AL142:AW142)</f>
        <v>360000</v>
      </c>
      <c r="J8" s="561">
        <f>Personnel!$C$38</f>
        <v>222000</v>
      </c>
      <c r="K8" s="564">
        <f>I8+J8</f>
        <v>582000</v>
      </c>
      <c r="L8" s="565">
        <f>IFERROR(I8/K8,0)</f>
        <v>0.618556701030928</v>
      </c>
      <c r="M8" s="556">
        <f>SUM(Helpers!AM101:AX101)</f>
        <v>18679180.905573</v>
      </c>
      <c r="N8" s="556">
        <f>B8-M8</f>
        <v>105968784.723766</v>
      </c>
      <c r="O8" s="556">
        <f>IFERROR(H8*M8/B8,0)</f>
        <v>1343077.15601987</v>
      </c>
      <c r="P8" s="556">
        <f>H8-O8</f>
        <v>7619405.5153251</v>
      </c>
      <c r="Q8" s="559">
        <f>IF(N8&gt;=Assumptions!$B$86,Assumptions!$C$86,IF(N8&gt;=Assumptions!$B$85,Assumptions!$C$85,IF(N8&gt;=Assumptions!$B$84,Assumptions!$C$84,Assumptions!$C$83)))</f>
        <v>1</v>
      </c>
      <c r="R8" s="556">
        <f>O8*Q8*0.1</f>
        <v>134307.715601987</v>
      </c>
      <c r="S8" s="556">
        <f>P8*0.1</f>
        <v>761940.55153251</v>
      </c>
    </row>
    <row r="9" ht="15" customFormat="1" customHeight="1" s="381">
      <c r="A9" s="553" t="inlineStr">
        <is>
          <t>FY 2030</t>
        </is>
      </c>
      <c r="B9" s="554">
        <f>SUM(Helpers!AY96:BJ96)</f>
        <v>124186779</v>
      </c>
      <c r="C9" s="554">
        <f>(SUM(Helpers!AY97:BJ97)-SUM(Helpers!AY96:BJ96))*(Assumptions!$B$10+Assumptions!$B$12)/Assumptions!$B$9</f>
        <v>9163493.99999999</v>
      </c>
      <c r="D9" s="554">
        <f>(SUM(Helpers!AY97:BJ97)-SUM(Helpers!AY96:BJ96))*Assumptions!$B$11/Assumptions!$B$9</f>
        <v>6872587.2</v>
      </c>
      <c r="E9" s="554" t="n">
        <v>0</v>
      </c>
      <c r="F9" s="555">
        <f>SUM(Helpers!AY97:BJ97)</f>
        <v>140222860.2</v>
      </c>
      <c r="G9" s="554">
        <f>SUM(Helpers!AY99:BJ99)</f>
        <v>10732913.1266615</v>
      </c>
      <c r="H9" s="555">
        <f>SUM(Helpers!AY100:BJ100)</f>
        <v>9527212.92048949</v>
      </c>
      <c r="I9" s="556">
        <f>-SUM(Model!AX142:BI142)</f>
        <v>360000</v>
      </c>
      <c r="J9" s="554">
        <f>Personnel!$C$38</f>
        <v>222000</v>
      </c>
      <c r="K9" s="557">
        <f>I9+J9</f>
        <v>582000</v>
      </c>
      <c r="L9" s="558">
        <f>IFERROR(I9/K9,0)</f>
        <v>0.618556701030928</v>
      </c>
      <c r="M9" s="556">
        <f>SUM(Helpers!AY101:BJ101)</f>
        <v>20689161</v>
      </c>
      <c r="N9" s="556">
        <f>B9-M9</f>
        <v>103497618</v>
      </c>
      <c r="O9" s="556">
        <f>IFERROR(H9*M9/B9,0)</f>
        <v>1587206.33211115</v>
      </c>
      <c r="P9" s="556">
        <f>H9-O9</f>
        <v>7940006.58837835</v>
      </c>
      <c r="Q9" s="559">
        <f>IF(N9&gt;=Assumptions!$B$86,Assumptions!$C$86,IF(N9&gt;=Assumptions!$B$85,Assumptions!$C$85,IF(N9&gt;=Assumptions!$B$84,Assumptions!$C$84,Assumptions!$C$83)))</f>
        <v>1</v>
      </c>
      <c r="R9" s="556">
        <f>O9*Q9*0.1</f>
        <v>158720.633211115</v>
      </c>
      <c r="S9" s="556">
        <f>P9*0.1</f>
        <v>794000.658837835</v>
      </c>
    </row>
    <row r="10" ht="15" customFormat="1" customHeight="1" s="381">
      <c r="A10" s="560" t="inlineStr">
        <is>
          <t>FY 2031</t>
        </is>
      </c>
      <c r="B10" s="561">
        <f>SUM(Helpers!BK96:BV96)</f>
        <v>101576343</v>
      </c>
      <c r="C10" s="561">
        <f>(SUM(Helpers!BK97:BV97)-SUM(Helpers!BK96:BV96))*(Assumptions!$B$10+Assumptions!$B$12)/Assumptions!$B$9</f>
        <v>6449531.25</v>
      </c>
      <c r="D10" s="561">
        <f>(SUM(Helpers!BK97:BV97)-SUM(Helpers!BK96:BV96))*Assumptions!$B$11/Assumptions!$B$9</f>
        <v>4837125</v>
      </c>
      <c r="E10" s="561" t="n">
        <v>0</v>
      </c>
      <c r="F10" s="562">
        <f>SUM(Helpers!BK97:BV97)</f>
        <v>112862999.25</v>
      </c>
      <c r="G10" s="561">
        <f>SUM(Helpers!BK99:BV99)</f>
        <v>3879488.6440929</v>
      </c>
      <c r="H10" s="562">
        <f>SUM(Helpers!BK100:BV100)</f>
        <v>3879488.6440929</v>
      </c>
      <c r="I10" s="563">
        <f>-SUM(Model!BJ142:BU142)</f>
        <v>0</v>
      </c>
      <c r="J10" s="561">
        <f>Personnel!$C$38</f>
        <v>222000</v>
      </c>
      <c r="K10" s="564">
        <f>I10+J10</f>
        <v>222000</v>
      </c>
      <c r="L10" s="565">
        <f>IFERROR(I10/K10,0)</f>
        <v>0</v>
      </c>
      <c r="M10" s="556">
        <f>SUM(Helpers!BK101:BV101)</f>
        <v>20255685</v>
      </c>
      <c r="N10" s="556">
        <f>B10-M10</f>
        <v>81320658</v>
      </c>
      <c r="O10" s="556">
        <f>IFERROR(H10*M10/B10,0)</f>
        <v>773622.062135304</v>
      </c>
      <c r="P10" s="556">
        <f>H10-O10</f>
        <v>3105866.5819576</v>
      </c>
      <c r="Q10" s="559">
        <f>IF(N10&gt;=Assumptions!$B$86,Assumptions!$C$86,IF(N10&gt;=Assumptions!$B$85,Assumptions!$C$85,IF(N10&gt;=Assumptions!$B$84,Assumptions!$C$84,Assumptions!$C$83)))</f>
        <v>1</v>
      </c>
      <c r="R10" s="556">
        <f>O10*Q10*0.1</f>
        <v>77362.2062135304</v>
      </c>
      <c r="S10" s="556">
        <f>P10*0.1</f>
        <v>310586.65819576</v>
      </c>
    </row>
    <row r="11" ht="15" customFormat="1" customHeight="1" s="381">
      <c r="A11" s="553" t="inlineStr">
        <is>
          <t>FY 2032</t>
        </is>
      </c>
      <c r="B11" s="554">
        <f>SUM(Helpers!BW96:CH96)</f>
        <v>8436822</v>
      </c>
      <c r="C11" s="554">
        <f>(SUM(Helpers!BW97:CH97)-SUM(Helpers!BW96:CH96))*(Assumptions!$B$10+Assumptions!$B$12)/Assumptions!$B$9</f>
        <v>1104159.75</v>
      </c>
      <c r="D11" s="554">
        <f>(SUM(Helpers!BW97:CH97)-SUM(Helpers!BW96:CH96))*Assumptions!$B$11/Assumptions!$B$9</f>
        <v>828115.8</v>
      </c>
      <c r="E11" s="554" t="n">
        <v>0</v>
      </c>
      <c r="F11" s="555">
        <f>SUM(Helpers!BW97:CH97)</f>
        <v>10369097.55</v>
      </c>
      <c r="G11" s="554">
        <f>SUM(Helpers!BW99:CH99)</f>
        <v>-5598115.40802524</v>
      </c>
      <c r="H11" s="555">
        <f>SUM(Helpers!BW100:CH100)</f>
        <v>-1187328.75447021</v>
      </c>
      <c r="I11" s="556">
        <f>-SUM(Model!BV142:CG142)</f>
        <v>0</v>
      </c>
      <c r="J11" s="554">
        <f>Personnel!$C$38</f>
        <v>222000</v>
      </c>
      <c r="K11" s="557">
        <f>I11+J11</f>
        <v>222000</v>
      </c>
      <c r="L11" s="558">
        <f>IFERROR(I11/K11,0)</f>
        <v>0</v>
      </c>
      <c r="M11" s="556">
        <f>SUM(Helpers!BW101:CH101)</f>
        <v>2975850</v>
      </c>
      <c r="N11" s="556">
        <f>B11-M11</f>
        <v>5460972</v>
      </c>
      <c r="O11" s="556">
        <f>IFERROR(H11*M11/B11,0)</f>
        <v>-418796.588809173</v>
      </c>
      <c r="P11" s="556">
        <f>H11-O11</f>
        <v>-768532.16566104</v>
      </c>
      <c r="Q11" s="559">
        <f>IF(N11&gt;=Assumptions!$B$86,Assumptions!$C$86,IF(N11&gt;=Assumptions!$B$85,Assumptions!$C$85,IF(N11&gt;=Assumptions!$B$84,Assumptions!$C$84,Assumptions!$C$83)))</f>
        <v>0.25</v>
      </c>
      <c r="R11" s="556">
        <f>O11*Q11*0.1</f>
        <v>-10469.9147202293</v>
      </c>
      <c r="S11" s="556">
        <f>P11*0.1</f>
        <v>-76853.216566104</v>
      </c>
    </row>
    <row r="12" ht="15" customFormat="1" customHeight="1" s="381">
      <c r="A12" s="560" t="inlineStr">
        <is>
          <t>FY 2033</t>
        </is>
      </c>
      <c r="B12" s="561">
        <f>SUM(Helpers!CI96:CT96)</f>
        <v>0</v>
      </c>
      <c r="C12" s="561">
        <f>(SUM(Helpers!CI97:CT97)-SUM(Helpers!CI96:CT96))*(Assumptions!$B$10+Assumptions!$B$12)/Assumptions!$B$9</f>
        <v>0</v>
      </c>
      <c r="D12" s="561">
        <f>(SUM(Helpers!CI97:CT97)-SUM(Helpers!CI96:CT96))*Assumptions!$B$11/Assumptions!$B$9</f>
        <v>0</v>
      </c>
      <c r="E12" s="561" t="n">
        <v>0</v>
      </c>
      <c r="F12" s="562">
        <f>SUM(Helpers!CI97:CT97)</f>
        <v>0</v>
      </c>
      <c r="G12" s="561">
        <f>SUM(Helpers!CI99:CT99)</f>
        <v>-7656078.77718574</v>
      </c>
      <c r="H12" s="562">
        <f>SUM(Helpers!CI100:CT100)</f>
        <v>0</v>
      </c>
      <c r="I12" s="563">
        <f>-SUM(Model!CH142:CS142)</f>
        <v>0</v>
      </c>
      <c r="J12" s="561">
        <f>Personnel!$C$38</f>
        <v>222000</v>
      </c>
      <c r="K12" s="564">
        <f>I12+J12</f>
        <v>222000</v>
      </c>
      <c r="L12" s="565">
        <f>IFERROR(I12/K12,0)</f>
        <v>0</v>
      </c>
      <c r="M12" s="556">
        <f>SUM(Helpers!CI101:CT101)</f>
        <v>0</v>
      </c>
      <c r="N12" s="556">
        <f>B12-M12</f>
        <v>0</v>
      </c>
      <c r="O12" s="556">
        <f>IFERROR(H12*M12/B12,0)</f>
        <v>0</v>
      </c>
      <c r="P12" s="556">
        <f>H12-O12</f>
        <v>0</v>
      </c>
      <c r="Q12" s="559">
        <f>IF(N12&gt;=Assumptions!$B$86,Assumptions!$C$86,IF(N12&gt;=Assumptions!$B$85,Assumptions!$C$85,IF(N12&gt;=Assumptions!$B$84,Assumptions!$C$84,Assumptions!$C$83)))</f>
        <v>0.25</v>
      </c>
      <c r="R12" s="556">
        <f>O12*Q12*0.1</f>
        <v>0</v>
      </c>
      <c r="S12" s="556">
        <f>P12*0.1</f>
        <v>0</v>
      </c>
    </row>
    <row r="13" ht="15" customFormat="1" customHeight="1" s="381">
      <c r="A13" s="533" t="inlineStr">
        <is>
          <t>TOTAL</t>
        </is>
      </c>
      <c r="B13" s="566">
        <f>SUM(B5:B12)</f>
        <v>457292008.33</v>
      </c>
      <c r="C13" s="566">
        <f>SUM(C5:C12)</f>
        <v>31459403.7130623</v>
      </c>
      <c r="D13" s="566">
        <f>SUM(D5:D12)</f>
        <v>23594438.4617947</v>
      </c>
      <c r="E13" s="566">
        <f>SUM(E5:E12)</f>
        <v>0</v>
      </c>
      <c r="F13" s="566">
        <f>SUM(F5:F12)</f>
        <v>512345850.504857</v>
      </c>
      <c r="G13" s="566">
        <f>SUM(G5:G12)</f>
        <v>28987103.88326</v>
      </c>
      <c r="H13" s="566">
        <f>SUM(H5:H12)</f>
        <v>27198663.1214887</v>
      </c>
      <c r="I13" s="567">
        <f>SUM(I5:I12)</f>
        <v>1077436.558325</v>
      </c>
      <c r="J13" s="566">
        <f>SUM(J5:J12)</f>
        <v>1720500</v>
      </c>
      <c r="K13" s="566">
        <f>SUM(K5:K12)</f>
        <v>2797936.558325</v>
      </c>
      <c r="L13" s="568">
        <f>IFERROR(I13/K13,0)</f>
        <v>0.385082554898962</v>
      </c>
      <c r="M13" s="569">
        <f>SUM(M5:M12)</f>
        <v>123265677.75</v>
      </c>
      <c r="N13" s="569">
        <f>SUM(N5:N12)</f>
        <v>334026330.58</v>
      </c>
      <c r="O13" s="569">
        <f>SUM(O5:O12)</f>
        <v>6924737.3532113</v>
      </c>
      <c r="P13" s="569">
        <f>SUM(P5:P12)</f>
        <v>20273925.7682774</v>
      </c>
      <c r="Q13" s="570">
        <f>IFERROR(R13/O13,0)</f>
        <v>0.0733272705085687</v>
      </c>
      <c r="R13" s="569">
        <f>SUM(R5:R12)</f>
        <v>507772.089099715</v>
      </c>
      <c r="S13" s="569">
        <f>SUM(S5:S12)</f>
        <v>2027392.57682774</v>
      </c>
    </row>
    <row r="15" ht="15" customFormat="1" customHeight="1" s="381">
      <c r="A15" s="477" t="inlineStr">
        <is>
          <t>Notes:</t>
        </is>
      </c>
    </row>
    <row r="16" ht="15" customFormat="1" customHeight="1" s="381">
      <c r="A16" s="453" t="inlineStr">
        <is>
          <t>• BD figures pull from Helpers BD memo (rows 96-101)</t>
        </is>
      </c>
    </row>
    <row r="17" ht="15" customFormat="1" customHeight="1" s="381">
      <c r="A17" s="453" t="inlineStr">
        <is>
          <t>• BD fees split: Other GC Income (Supervision+Admin) and GC Fee Income (GC-CM)</t>
        </is>
      </c>
    </row>
    <row r="18" ht="15" customFormat="1" customHeight="1" s="381">
      <c r="A18" s="453" t="inlineStr">
        <is>
          <t>• Commission floors at $0 each month (Model R51 formula)</t>
        </is>
      </c>
    </row>
    <row r="19" ht="15" customFormat="1" customHeight="1" s="381">
      <c r="A19" s="453" t="inlineStr">
        <is>
          <t>• Bonding revenue + costs excluded from BD math (Helpers r98/r99, unconditional since 14 Aug 2026)</t>
        </is>
      </c>
    </row>
    <row r="20" ht="15" customFormat="1" customHeight="1" s="381">
      <c r="A20" s="453" t="inlineStr">
        <is>
          <t>• Tom Base Salary FROZEN at Personnel!C38 ($222K) — no escalation (CY26 prorated to 9 mo)</t>
        </is>
      </c>
    </row>
    <row r="21" ht="15" customFormat="1" customHeight="1" s="381">
      <c r="A21" s="453" t="inlineStr">
        <is>
          <t>• HVN deals flagged on Projects column M (first 2 BD deals by start month per CY)</t>
        </is>
      </c>
    </row>
    <row r="22" ht="15" customFormat="1" customHeight="1" s="381">
      <c r="A22" s="453" t="inlineStr">
        <is>
          <t>• HVN/Non-HVN billings split via Model row 211 (HVN-only) vs row 200 (total)</t>
        </is>
      </c>
    </row>
    <row r="23" ht="15" customFormat="1" customHeight="1" s="381">
      <c r="A23" s="453" t="inlineStr">
        <is>
          <t>• HVN GP allocated proportionally: GP × (HVN billing / total billing)</t>
        </is>
      </c>
    </row>
    <row r="24" ht="15" customFormat="1" customHeight="1" s="381">
      <c r="A24" s="453" t="inlineStr">
        <is>
          <t>• HVN commission rate tiered annually by non-HVN billings — see Assumptions!A79</t>
        </is>
      </c>
    </row>
    <row r="25" ht="15" customFormat="1" customHeight="1" s="381">
      <c r="A25" s="453" t="inlineStr">
        <is>
          <t>• Total Commission (col I) floored at $0; flows to Model row 51 monthly via I/H × monthly GP</t>
        </is>
      </c>
    </row>
  </sheetData>
  <mergeCells count="5">
    <mergeCell ref="A18:H18"/>
    <mergeCell ref="A20:H20"/>
    <mergeCell ref="A16:H16"/>
    <mergeCell ref="A19:H19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V4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D7" activeCellId="0" sqref="D7"/>
    </sheetView>
  </sheetViews>
  <sheetFormatPr baseColWidth="8" defaultColWidth="8.71875" defaultRowHeight="15" zeroHeight="0" outlineLevelRow="0"/>
  <cols>
    <col width="14" customWidth="1" style="381" min="1" max="2"/>
    <col width="12" customWidth="1" style="381" min="3" max="12"/>
    <col width="9" customWidth="1" style="381" min="13" max="13"/>
    <col width="16" customWidth="1" style="381" min="14" max="19"/>
  </cols>
  <sheetData>
    <row r="1" ht="27.75" customFormat="1" customHeight="1" s="381">
      <c r="A1" s="424" t="inlineStr">
        <is>
          <t>Project</t>
        </is>
      </c>
      <c r="B1" s="424" t="inlineStr">
        <is>
          <t>Contract Value</t>
        </is>
      </c>
      <c r="C1" s="424" t="inlineStr">
        <is>
          <t>Start Month</t>
        </is>
      </c>
      <c r="D1" s="424" t="inlineStr">
        <is>
          <t>Duration</t>
        </is>
      </c>
      <c r="E1" s="424" t="inlineStr">
        <is>
          <t>Curve</t>
        </is>
      </c>
      <c r="F1" s="424" t="inlineStr">
        <is>
          <t>Bonded</t>
        </is>
      </c>
      <c r="G1" s="424" t="inlineStr">
        <is>
          <t>Active</t>
        </is>
      </c>
      <c r="H1" s="424" t="inlineStr">
        <is>
          <t>Bond Tier</t>
        </is>
      </c>
      <c r="I1" s="424" t="inlineStr">
        <is>
          <t>Bond Cost Rate</t>
        </is>
      </c>
      <c r="J1" s="424" t="inlineStr">
        <is>
          <t>Steyn Guaranty</t>
        </is>
      </c>
      <c r="K1" s="424" t="inlineStr">
        <is>
          <t>LIHTC</t>
        </is>
      </c>
      <c r="L1" s="424" t="inlineStr">
        <is>
          <t>Type</t>
        </is>
      </c>
      <c r="N1" s="424" t="inlineStr">
        <is>
          <t>Total Supervision</t>
        </is>
      </c>
      <c r="O1" s="424" t="inlineStr">
        <is>
          <t>Total GC-CM Fee</t>
        </is>
      </c>
      <c r="P1" s="424" t="inlineStr">
        <is>
          <t>Total Admin</t>
        </is>
      </c>
      <c r="Q1" s="424" t="inlineStr">
        <is>
          <t>Total Fee Revenue</t>
        </is>
      </c>
      <c r="R1" s="424" t="inlineStr">
        <is>
          <t>Last Pay App (5% Retention)</t>
        </is>
      </c>
      <c r="S1" s="424" t="inlineStr">
        <is>
          <t>Last Month Date</t>
        </is>
      </c>
      <c r="T1" s="424" t="inlineStr">
        <is>
          <t>Bond Rev Rate</t>
        </is>
      </c>
      <c r="V1" s="381" t="inlineStr">
        <is>
          <t>WARNING: rows are hard-referenced BY POSITION from Model (13-56 / 60-103), Helpers</t>
        </is>
      </c>
    </row>
    <row r="2" ht="15" customFormat="1" customHeight="1" s="381">
      <c r="A2" s="571" t="inlineStr">
        <is>
          <t>Crenshaw</t>
        </is>
      </c>
      <c r="B2" s="572" t="n">
        <v>7126075</v>
      </c>
      <c r="C2" s="573" t="n">
        <v>1</v>
      </c>
      <c r="D2" s="573" t="n">
        <v>8</v>
      </c>
      <c r="E2" s="573" t="n">
        <v>2</v>
      </c>
      <c r="F2" s="573" t="inlineStr">
        <is>
          <t>No</t>
        </is>
      </c>
      <c r="G2" s="573" t="inlineStr">
        <is>
          <t>Yes</t>
        </is>
      </c>
      <c r="H2" s="573" t="n">
        <v>0</v>
      </c>
      <c r="I2" s="574">
        <f>IF(H2=1,Assumptions!$B$16,IF(H2=2,Assumptions!$B$17,0))</f>
        <v>0</v>
      </c>
      <c r="J2" s="573" t="inlineStr">
        <is>
          <t>No</t>
        </is>
      </c>
      <c r="K2" s="573" t="inlineStr">
        <is>
          <t>No</t>
        </is>
      </c>
      <c r="L2" s="573" t="inlineStr">
        <is>
          <t>GC + Developer</t>
        </is>
      </c>
      <c r="N2" s="572" t="n">
        <v>194932</v>
      </c>
      <c r="O2" s="572">
        <f>B2*Assumptions!$B$11</f>
        <v>367676.9657</v>
      </c>
      <c r="P2" s="572" t="n">
        <v>46323</v>
      </c>
      <c r="Q2" s="572">
        <f>N2+O2+P2</f>
        <v>608931.9657</v>
      </c>
      <c r="R2" s="572">
        <f>Q2*0.05</f>
        <v>30446.598285</v>
      </c>
      <c r="S2" s="571">
        <f>C2+D2-1</f>
        <v>8</v>
      </c>
      <c r="T2" s="575" t="n"/>
      <c r="V2" s="381" t="inlineStr">
        <is>
          <t>(96/97/101), Retention and Contracts In Process. Never insert or delete a row here.</t>
        </is>
      </c>
    </row>
    <row r="3" ht="15" customFormat="1" customHeight="1" s="381">
      <c r="A3" s="571" t="inlineStr">
        <is>
          <t>Ramsgate</t>
        </is>
      </c>
      <c r="B3" s="572" t="n">
        <v>20176449</v>
      </c>
      <c r="C3" s="573" t="n">
        <v>1</v>
      </c>
      <c r="D3" s="573" t="n">
        <v>16</v>
      </c>
      <c r="E3" s="573" t="n">
        <v>2</v>
      </c>
      <c r="F3" s="573" t="inlineStr">
        <is>
          <t>No</t>
        </is>
      </c>
      <c r="G3" s="573" t="inlineStr">
        <is>
          <t>Yes</t>
        </is>
      </c>
      <c r="H3" s="573" t="n">
        <v>0</v>
      </c>
      <c r="I3" s="574">
        <f>IF(H3=1,Assumptions!$B$16,IF(H3=2,Assumptions!$B$17,0))</f>
        <v>0</v>
      </c>
      <c r="J3" s="573" t="inlineStr">
        <is>
          <t>No</t>
        </is>
      </c>
      <c r="K3" s="573" t="inlineStr">
        <is>
          <t>No</t>
        </is>
      </c>
      <c r="L3" s="573" t="inlineStr">
        <is>
          <t>GC + Developer</t>
        </is>
      </c>
      <c r="N3" s="572" t="n">
        <v>888067</v>
      </c>
      <c r="O3" s="572">
        <f>B3*Assumptions!$B$11</f>
        <v>1041024.062604</v>
      </c>
      <c r="P3" s="572" t="n">
        <v>176626</v>
      </c>
      <c r="Q3" s="572">
        <f>N3+O3+P3</f>
        <v>2105717.062604</v>
      </c>
      <c r="R3" s="572">
        <f>Q3*0.05</f>
        <v>105285.8531302</v>
      </c>
      <c r="S3" s="571">
        <f>C3+D3-1</f>
        <v>16</v>
      </c>
      <c r="T3" s="575" t="n"/>
      <c r="V3" s="381" t="inlineStr">
        <is>
          <t>To add a deal, repurpose a BD placeholder row (17-46) and relabel the matching rows.</t>
        </is>
      </c>
    </row>
    <row r="4" ht="15" customFormat="1" customHeight="1" s="381">
      <c r="A4" s="571" t="inlineStr">
        <is>
          <t>Califa</t>
        </is>
      </c>
      <c r="B4" s="572" t="n">
        <v>11929880</v>
      </c>
      <c r="C4" s="573" t="n">
        <v>1</v>
      </c>
      <c r="D4" s="573" t="n">
        <v>15</v>
      </c>
      <c r="E4" s="573" t="n">
        <v>3</v>
      </c>
      <c r="F4" s="573" t="inlineStr">
        <is>
          <t>Yes</t>
        </is>
      </c>
      <c r="G4" s="573" t="inlineStr">
        <is>
          <t>Yes</t>
        </is>
      </c>
      <c r="H4" s="573" t="n">
        <v>1</v>
      </c>
      <c r="I4" s="574">
        <f>IF(H4=1,Assumptions!$B$16,IF(H4=2,Assumptions!$B$17,0))</f>
        <v>0.0074</v>
      </c>
      <c r="J4" s="573" t="inlineStr">
        <is>
          <t>No</t>
        </is>
      </c>
      <c r="K4" s="573" t="inlineStr">
        <is>
          <t>Yes</t>
        </is>
      </c>
      <c r="L4" s="573" t="inlineStr">
        <is>
          <t>3rd Party GC</t>
        </is>
      </c>
      <c r="N4" s="572">
        <f>B4*Assumptions!$B$10</f>
        <v>615534.08848</v>
      </c>
      <c r="O4" s="572">
        <f>B4*Assumptions!$B$11</f>
        <v>615534.08848</v>
      </c>
      <c r="P4" s="572">
        <f>B4*Assumptions!$B$12</f>
        <v>205182.00612</v>
      </c>
      <c r="Q4" s="572">
        <f>N4+O4+P4</f>
        <v>1436250.18308</v>
      </c>
      <c r="R4" s="572">
        <f>Q4*0.05</f>
        <v>71812.509154</v>
      </c>
      <c r="S4" s="571">
        <f>C4+D4-1</f>
        <v>15</v>
      </c>
      <c r="T4" s="575" t="n"/>
    </row>
    <row r="5" ht="15" customFormat="1" customHeight="1" s="381">
      <c r="A5" s="571" t="inlineStr">
        <is>
          <t>Whipple</t>
        </is>
      </c>
      <c r="B5" s="572" t="n">
        <v>14427884</v>
      </c>
      <c r="C5" s="573" t="n">
        <v>1</v>
      </c>
      <c r="D5" s="573" t="n">
        <v>15</v>
      </c>
      <c r="E5" s="573" t="n">
        <v>3</v>
      </c>
      <c r="F5" s="573" t="inlineStr">
        <is>
          <t>Yes</t>
        </is>
      </c>
      <c r="G5" s="573" t="inlineStr">
        <is>
          <t>Yes</t>
        </is>
      </c>
      <c r="H5" s="573" t="n">
        <v>1</v>
      </c>
      <c r="I5" s="574">
        <f>IF(H5=1,Assumptions!$B$16,IF(H5=2,Assumptions!$B$17,0))</f>
        <v>0.0074</v>
      </c>
      <c r="J5" s="573" t="inlineStr">
        <is>
          <t>No</t>
        </is>
      </c>
      <c r="K5" s="573" t="inlineStr">
        <is>
          <t>Yes</t>
        </is>
      </c>
      <c r="L5" s="573" t="inlineStr">
        <is>
          <t>3rd Party GC</t>
        </is>
      </c>
      <c r="N5" s="572">
        <f>B5*Assumptions!$B$10</f>
        <v>744421.102864</v>
      </c>
      <c r="O5" s="572">
        <f>B5*Assumptions!$B$11</f>
        <v>744421.102864</v>
      </c>
      <c r="P5" s="572">
        <f>B5*Assumptions!$B$12</f>
        <v>248145.176916</v>
      </c>
      <c r="Q5" s="572">
        <f>N5+O5+P5</f>
        <v>1736987.382644</v>
      </c>
      <c r="R5" s="572">
        <f>Q5*0.05</f>
        <v>86849.3691322</v>
      </c>
      <c r="S5" s="571">
        <f>C5+D5-1</f>
        <v>15</v>
      </c>
      <c r="T5" s="575" t="n"/>
    </row>
    <row r="6" ht="15" customFormat="1" customHeight="1" s="381">
      <c r="A6" s="571" t="inlineStr">
        <is>
          <t>Nelrose</t>
        </is>
      </c>
      <c r="B6" s="572" t="n">
        <v>3623245</v>
      </c>
      <c r="C6" s="573" t="n">
        <v>1</v>
      </c>
      <c r="D6" s="573" t="n">
        <v>19</v>
      </c>
      <c r="E6" s="573" t="n">
        <v>3</v>
      </c>
      <c r="F6" s="573" t="inlineStr">
        <is>
          <t>No</t>
        </is>
      </c>
      <c r="G6" s="573" t="inlineStr">
        <is>
          <t>Yes</t>
        </is>
      </c>
      <c r="H6" s="573" t="n">
        <v>0</v>
      </c>
      <c r="I6" s="574">
        <f>IF(H6=1,Assumptions!$B$16,IF(H6=2,Assumptions!$B$17,0))</f>
        <v>0</v>
      </c>
      <c r="J6" s="573" t="inlineStr">
        <is>
          <t>No</t>
        </is>
      </c>
      <c r="K6" s="573" t="inlineStr">
        <is>
          <t>Yes</t>
        </is>
      </c>
      <c r="L6" s="573" t="inlineStr">
        <is>
          <t>3rd Party GC</t>
        </is>
      </c>
      <c r="N6" s="572" t="n">
        <v>245000</v>
      </c>
      <c r="O6" s="572">
        <f>B6*Assumptions!$B$11</f>
        <v>186944.94902</v>
      </c>
      <c r="P6" s="572" t="n">
        <v>0</v>
      </c>
      <c r="Q6" s="572">
        <f>N6+O6+P6</f>
        <v>431944.94902</v>
      </c>
      <c r="R6" s="572">
        <f>Q6*0.05</f>
        <v>21597.247451</v>
      </c>
      <c r="S6" s="571">
        <f>C6+D6-1</f>
        <v>19</v>
      </c>
      <c r="T6" s="575">
        <f>Assumptions!$B$15</f>
        <v>0.015</v>
      </c>
    </row>
    <row r="7" ht="15" customFormat="1" customHeight="1" s="381">
      <c r="A7" s="571" t="inlineStr">
        <is>
          <t>Francis</t>
        </is>
      </c>
      <c r="B7" s="572" t="n">
        <v>42794765</v>
      </c>
      <c r="C7" s="573" t="n">
        <v>5</v>
      </c>
      <c r="D7" s="573" t="n">
        <v>30</v>
      </c>
      <c r="E7" s="573" t="n">
        <v>1</v>
      </c>
      <c r="F7" s="573" t="inlineStr">
        <is>
          <t>Yes</t>
        </is>
      </c>
      <c r="G7" s="573" t="inlineStr">
        <is>
          <t>Yes</t>
        </is>
      </c>
      <c r="H7" s="573" t="n">
        <v>1</v>
      </c>
      <c r="I7" s="574">
        <f>Assumptions!$B$18</f>
        <v>0.00725158134079107</v>
      </c>
      <c r="J7" s="573" t="inlineStr">
        <is>
          <t>Yes</t>
        </is>
      </c>
      <c r="K7" s="573" t="inlineStr">
        <is>
          <t>Yes</t>
        </is>
      </c>
      <c r="L7" s="573" t="inlineStr">
        <is>
          <t>GC + Developer</t>
        </is>
      </c>
      <c r="N7" s="572">
        <f>B7*Assumptions!$B$10</f>
        <v>2208038.69494</v>
      </c>
      <c r="O7" s="572">
        <f>B7*Assumptions!$B$11</f>
        <v>2208038.69494</v>
      </c>
      <c r="P7" s="572">
        <f>B7*Assumptions!$B$12</f>
        <v>736027.163235</v>
      </c>
      <c r="Q7" s="572">
        <f>N7+O7+P7</f>
        <v>5152104.553115</v>
      </c>
      <c r="R7" s="572">
        <f>Q7*0.05</f>
        <v>257605.22765575</v>
      </c>
      <c r="S7" s="571">
        <f>C7+D7-1</f>
        <v>34</v>
      </c>
      <c r="T7" s="575">
        <f>839113/B7</f>
        <v>0.0196078422208885</v>
      </c>
    </row>
    <row r="8" ht="15" customFormat="1" customHeight="1" s="381">
      <c r="A8" s="571" t="inlineStr">
        <is>
          <t>Lexington</t>
        </is>
      </c>
      <c r="B8" s="572" t="n">
        <v>12993776.05</v>
      </c>
      <c r="C8" s="573" t="n">
        <v>5</v>
      </c>
      <c r="D8" s="573" t="n">
        <v>19</v>
      </c>
      <c r="E8" s="573" t="n">
        <v>3</v>
      </c>
      <c r="F8" s="573" t="inlineStr">
        <is>
          <t>Yes</t>
        </is>
      </c>
      <c r="G8" s="573" t="inlineStr">
        <is>
          <t>Yes</t>
        </is>
      </c>
      <c r="H8" s="573" t="n">
        <v>1</v>
      </c>
      <c r="I8" s="574">
        <f>Assumptions!$B$18</f>
        <v>0.00725158134079107</v>
      </c>
      <c r="J8" s="573" t="inlineStr">
        <is>
          <t>No</t>
        </is>
      </c>
      <c r="K8" s="573" t="inlineStr">
        <is>
          <t>Yes</t>
        </is>
      </c>
      <c r="L8" s="573" t="inlineStr">
        <is>
          <t>3rd Party GC</t>
        </is>
      </c>
      <c r="N8" s="572">
        <f>B8*Assumptions!$B$10</f>
        <v>670426.8690758</v>
      </c>
      <c r="O8" s="572">
        <f>B8*Assumptions!$B$11</f>
        <v>670426.8690758</v>
      </c>
      <c r="P8" s="572">
        <f>B8*Assumptions!$B$12</f>
        <v>223479.95428395</v>
      </c>
      <c r="Q8" s="572">
        <f>N8+O8+P8</f>
        <v>1564333.69243555</v>
      </c>
      <c r="R8" s="572">
        <f>Q8*0.05</f>
        <v>78216.6846217775</v>
      </c>
      <c r="S8" s="571">
        <f>C8+D8-1</f>
        <v>23</v>
      </c>
      <c r="T8" s="575">
        <f>192026.25/B8</f>
        <v>0.0147783253506205</v>
      </c>
    </row>
    <row r="9" ht="15" customFormat="1" customHeight="1" s="381">
      <c r="A9" s="571" t="inlineStr">
        <is>
          <t>Denny</t>
        </is>
      </c>
      <c r="B9" s="572" t="n">
        <v>14337010.8</v>
      </c>
      <c r="C9" s="573" t="n">
        <v>5</v>
      </c>
      <c r="D9" s="573" t="n">
        <v>30</v>
      </c>
      <c r="E9" s="573" t="n">
        <v>1</v>
      </c>
      <c r="F9" s="573" t="inlineStr">
        <is>
          <t>Yes</t>
        </is>
      </c>
      <c r="G9" s="573" t="inlineStr">
        <is>
          <t>Yes</t>
        </is>
      </c>
      <c r="H9" s="573" t="n">
        <v>1</v>
      </c>
      <c r="I9" s="574">
        <f>Assumptions!$B$18</f>
        <v>0.00725158134079107</v>
      </c>
      <c r="J9" s="573" t="inlineStr">
        <is>
          <t>No</t>
        </is>
      </c>
      <c r="K9" s="573" t="inlineStr">
        <is>
          <t>Yes</t>
        </is>
      </c>
      <c r="L9" s="573" t="inlineStr">
        <is>
          <t>3rd Party GC</t>
        </is>
      </c>
      <c r="N9" s="572">
        <f>B9*Assumptions!$B$10</f>
        <v>739732.4092368</v>
      </c>
      <c r="O9" s="572">
        <f>B9*Assumptions!$B$11</f>
        <v>739732.4092368</v>
      </c>
      <c r="P9" s="572">
        <f>B9*Assumptions!$B$12</f>
        <v>246582.2487492</v>
      </c>
      <c r="Q9" s="572">
        <f>N9+O9+P9</f>
        <v>1726047.0672228</v>
      </c>
      <c r="R9" s="572">
        <f>Q9*0.05</f>
        <v>86302.35336114</v>
      </c>
      <c r="S9" s="571">
        <f>C9+D9-1</f>
        <v>34</v>
      </c>
      <c r="T9" s="575">
        <f>211877.01/B9</f>
        <v>0.0147783253396168</v>
      </c>
    </row>
    <row r="10" ht="15" customFormat="1" customHeight="1" s="381">
      <c r="A10" s="571" t="inlineStr">
        <is>
          <t>Acama</t>
        </is>
      </c>
      <c r="B10" s="572" t="n">
        <v>21263405</v>
      </c>
      <c r="C10" s="573">
        <v>8</v>
      </c>
      <c r="D10" s="573" t="n">
        <v>24</v>
      </c>
      <c r="E10" s="573" t="n">
        <v>2</v>
      </c>
      <c r="F10" s="573" t="inlineStr">
        <is>
          <t>Yes</t>
        </is>
      </c>
      <c r="G10" s="573" t="inlineStr">
        <is>
          <t>Yes</t>
        </is>
      </c>
      <c r="H10" s="573" t="n">
        <v>2</v>
      </c>
      <c r="I10" s="574">
        <f>IF(H10=1,Assumptions!$B$16,IF(H10=2,Assumptions!$B$17,0))</f>
        <v>0.0325</v>
      </c>
      <c r="J10" s="573" t="inlineStr">
        <is>
          <t>No</t>
        </is>
      </c>
      <c r="K10" s="573" t="inlineStr">
        <is>
          <t>Yes</t>
        </is>
      </c>
      <c r="L10" s="573" t="inlineStr">
        <is>
          <t>3rd Party GC</t>
        </is>
      </c>
      <c r="N10" s="572">
        <f>B10*Assumptions!$B$10</f>
        <v>1097106.64438</v>
      </c>
      <c r="O10" s="572">
        <f>B10*Assumptions!$B$11</f>
        <v>1097106.64438</v>
      </c>
      <c r="P10" s="572">
        <f>B10*Assumptions!$B$12</f>
        <v>365709.302595</v>
      </c>
      <c r="Q10" s="572">
        <f>N10+O10+P10</f>
        <v>2559922.591355</v>
      </c>
      <c r="R10" s="572">
        <f>Q10*0.05</f>
        <v>127996.12956775</v>
      </c>
      <c r="S10" s="571">
        <f>C10+D10-1</f>
        <v>31</v>
      </c>
      <c r="T10" s="575">
        <f>Assumptions!$B$15</f>
        <v>0.015</v>
      </c>
    </row>
    <row r="11" ht="15" customFormat="1" customHeight="1" s="381">
      <c r="A11" s="571" t="inlineStr">
        <is>
          <t>Klump</t>
        </is>
      </c>
      <c r="B11" s="572" t="n">
        <v>9577109</v>
      </c>
      <c r="C11" s="573" t="n">
        <v>10</v>
      </c>
      <c r="D11" s="573" t="n">
        <v>19</v>
      </c>
      <c r="E11" s="573" t="n">
        <v>3</v>
      </c>
      <c r="F11" s="573" t="inlineStr">
        <is>
          <t>No</t>
        </is>
      </c>
      <c r="G11" s="573" t="inlineStr">
        <is>
          <t>Yes</t>
        </is>
      </c>
      <c r="H11" s="573" t="n">
        <v>0</v>
      </c>
      <c r="I11" s="574">
        <f>IF(H11=1,Assumptions!$B$16,IF(H11=2,Assumptions!$B$17,0))</f>
        <v>0</v>
      </c>
      <c r="J11" s="573" t="inlineStr">
        <is>
          <t>Yes</t>
        </is>
      </c>
      <c r="K11" s="573" t="inlineStr">
        <is>
          <t>No</t>
        </is>
      </c>
      <c r="L11" s="573" t="inlineStr">
        <is>
          <t>GC + Developer</t>
        </is>
      </c>
      <c r="N11" s="572">
        <f>B11*Assumptions!$B$10</f>
        <v>494140.515964</v>
      </c>
      <c r="O11" s="572">
        <f>B11*Assumptions!$B$11</f>
        <v>494140.515964</v>
      </c>
      <c r="P11" s="572">
        <f>B11*Assumptions!$B$12</f>
        <v>164716.697691</v>
      </c>
      <c r="Q11" s="572">
        <f>N11+O11+P11</f>
        <v>1152997.729619</v>
      </c>
      <c r="R11" s="572">
        <f>Q11*0.05</f>
        <v>57649.88648095</v>
      </c>
      <c r="S11" s="571">
        <f>C11+D11-1</f>
        <v>28</v>
      </c>
      <c r="T11" s="575">
        <f>Assumptions!$B$15</f>
        <v>0.015</v>
      </c>
    </row>
    <row r="12" ht="15" customFormat="1" customHeight="1" s="381">
      <c r="A12" s="571" t="inlineStr">
        <is>
          <t>Scott</t>
        </is>
      </c>
      <c r="B12" s="572" t="n">
        <v>7545203</v>
      </c>
      <c r="C12" s="573" t="n">
        <v>10</v>
      </c>
      <c r="D12" s="573" t="n">
        <v>19</v>
      </c>
      <c r="E12" s="573" t="n">
        <v>3</v>
      </c>
      <c r="F12" s="573" t="inlineStr">
        <is>
          <t>No</t>
        </is>
      </c>
      <c r="G12" s="573" t="inlineStr">
        <is>
          <t>Yes</t>
        </is>
      </c>
      <c r="H12" s="573" t="n">
        <v>0</v>
      </c>
      <c r="I12" s="574">
        <f>IF(H12=1,Assumptions!$B$16,IF(H12=2,Assumptions!$B$17,0))</f>
        <v>0</v>
      </c>
      <c r="J12" s="573" t="inlineStr">
        <is>
          <t>Yes</t>
        </is>
      </c>
      <c r="K12" s="573" t="inlineStr">
        <is>
          <t>No</t>
        </is>
      </c>
      <c r="L12" s="573" t="inlineStr">
        <is>
          <t>GC + Developer</t>
        </is>
      </c>
      <c r="N12" s="572">
        <f>B12*Assumptions!$B$10</f>
        <v>389302.293988</v>
      </c>
      <c r="O12" s="572">
        <f>B12*Assumptions!$B$11</f>
        <v>389302.293988</v>
      </c>
      <c r="P12" s="572">
        <f>B12*Assumptions!$B$12</f>
        <v>129769.946397</v>
      </c>
      <c r="Q12" s="572">
        <f>N12+O12+P12</f>
        <v>908374.534373</v>
      </c>
      <c r="R12" s="572">
        <f>Q12*0.05</f>
        <v>45418.72671865</v>
      </c>
      <c r="S12" s="571">
        <f>C12+D12-1</f>
        <v>28</v>
      </c>
      <c r="T12" s="575">
        <f>Assumptions!$B$15</f>
        <v>0.015</v>
      </c>
    </row>
    <row r="13" ht="15" customFormat="1" customHeight="1" s="381">
      <c r="A13" s="571" t="inlineStr">
        <is>
          <t>Reseda</t>
        </is>
      </c>
      <c r="B13" s="572" t="n">
        <v>45266770</v>
      </c>
      <c r="C13" s="573">
        <v>14</v>
      </c>
      <c r="D13" s="573" t="n">
        <v>30</v>
      </c>
      <c r="E13" s="573" t="n">
        <v>1</v>
      </c>
      <c r="F13" s="573" t="inlineStr">
        <is>
          <t>Yes</t>
        </is>
      </c>
      <c r="G13" s="573" t="inlineStr">
        <is>
          <t>Yes</t>
        </is>
      </c>
      <c r="H13" s="573" t="n">
        <v>2</v>
      </c>
      <c r="I13" s="574">
        <f>IF(H13=1,Assumptions!$B$16,IF(H13=2,Assumptions!$B$17,0))</f>
        <v>0.0325</v>
      </c>
      <c r="J13" s="573" t="inlineStr">
        <is>
          <t>Yes</t>
        </is>
      </c>
      <c r="K13" s="573" t="inlineStr">
        <is>
          <t>Yes</t>
        </is>
      </c>
      <c r="L13" s="573" t="inlineStr">
        <is>
          <t>GC + Developer</t>
        </is>
      </c>
      <c r="N13" s="572">
        <f>B13*Assumptions!$B$10</f>
        <v>2335584.26492</v>
      </c>
      <c r="O13" s="572">
        <f>B13*Assumptions!$B$11</f>
        <v>2335584.26492</v>
      </c>
      <c r="P13" s="572">
        <f>B13*Assumptions!$B$12</f>
        <v>778543.17723</v>
      </c>
      <c r="Q13" s="572">
        <f>N13+O13+P13</f>
        <v>5449711.70707</v>
      </c>
      <c r="R13" s="572">
        <f>Q13*0.05</f>
        <v>272485.5853535</v>
      </c>
      <c r="S13" s="571">
        <f>C13+D13-1</f>
        <v>43</v>
      </c>
      <c r="T13" s="575">
        <f>Assumptions!$B$15</f>
        <v>0.015</v>
      </c>
    </row>
    <row r="14" ht="15" customFormat="1" customHeight="1" s="381">
      <c r="A14" s="571" t="inlineStr">
        <is>
          <t>3rd St</t>
        </is>
      </c>
      <c r="B14" s="572" t="n">
        <v>41354632</v>
      </c>
      <c r="C14" s="573" t="n">
        <v>27</v>
      </c>
      <c r="D14" s="573" t="n">
        <v>30</v>
      </c>
      <c r="E14" s="573" t="n">
        <v>1</v>
      </c>
      <c r="F14" s="573" t="inlineStr">
        <is>
          <t>Yes</t>
        </is>
      </c>
      <c r="G14" s="573" t="inlineStr">
        <is>
          <t>Yes</t>
        </is>
      </c>
      <c r="H14" s="573" t="n">
        <v>2</v>
      </c>
      <c r="I14" s="574">
        <f>IF(H14=1,Assumptions!$B$16,IF(H14=2,Assumptions!$B$17,0))</f>
        <v>0.0325</v>
      </c>
      <c r="J14" s="573" t="inlineStr">
        <is>
          <t>Yes</t>
        </is>
      </c>
      <c r="K14" s="573" t="inlineStr">
        <is>
          <t>Yes</t>
        </is>
      </c>
      <c r="L14" s="573" t="inlineStr">
        <is>
          <t>GC + Developer</t>
        </is>
      </c>
      <c r="N14" s="572">
        <f>B14*Assumptions!$B$10</f>
        <v>2133733.592672</v>
      </c>
      <c r="O14" s="572">
        <f>B14*Assumptions!$B$11</f>
        <v>2133733.592672</v>
      </c>
      <c r="P14" s="572">
        <f>B14*Assumptions!$B$12</f>
        <v>711258.315768</v>
      </c>
      <c r="Q14" s="572">
        <f>N14+O14+P14</f>
        <v>4978725.501112</v>
      </c>
      <c r="R14" s="572">
        <f>Q14*0.05</f>
        <v>248936.2750556</v>
      </c>
      <c r="S14" s="571">
        <f>C14+D14-1</f>
        <v>56</v>
      </c>
      <c r="T14" s="575">
        <f>Assumptions!$B$15</f>
        <v>0.015</v>
      </c>
    </row>
    <row r="15" ht="15" customFormat="1" customHeight="1" s="381">
      <c r="A15" s="472" t="n"/>
      <c r="B15" s="472" t="n"/>
      <c r="C15" s="472" t="n"/>
      <c r="D15" s="472" t="n"/>
      <c r="E15" s="472" t="n"/>
      <c r="F15" s="472" t="n"/>
      <c r="G15" s="472" t="n"/>
      <c r="H15" s="472" t="n"/>
      <c r="I15" s="472" t="n"/>
      <c r="J15" s="472" t="n"/>
      <c r="K15" s="472" t="n"/>
      <c r="L15" s="472" t="n"/>
      <c r="M15" s="472" t="n"/>
      <c r="N15" s="472" t="n"/>
      <c r="O15" s="472" t="n"/>
      <c r="P15" s="472" t="n"/>
      <c r="Q15" s="472" t="n"/>
      <c r="R15" s="472" t="n"/>
      <c r="S15" s="472" t="n"/>
      <c r="T15" s="575" t="n"/>
    </row>
    <row r="16" ht="15" customFormat="1" customHeight="1" s="381">
      <c r="A16" s="472" t="n"/>
      <c r="B16" s="472" t="n"/>
      <c r="C16" s="472" t="n"/>
      <c r="D16" s="472" t="n"/>
      <c r="E16" s="472" t="n"/>
      <c r="F16" s="472" t="n"/>
      <c r="G16" s="472" t="n"/>
      <c r="H16" s="472" t="n"/>
      <c r="I16" s="472" t="n"/>
      <c r="J16" s="472" t="n"/>
      <c r="K16" s="472" t="n"/>
      <c r="L16" s="472" t="n"/>
      <c r="M16" s="576" t="inlineStr">
        <is>
          <t>HVN?</t>
        </is>
      </c>
      <c r="N16" s="472" t="n"/>
      <c r="O16" s="472" t="n"/>
      <c r="P16" s="472" t="n"/>
      <c r="Q16" s="472" t="n"/>
      <c r="R16" s="472" t="n"/>
      <c r="S16" s="472" t="n"/>
      <c r="T16" s="575" t="n"/>
    </row>
    <row r="17" ht="15" customFormat="1" customHeight="1" s="381">
      <c r="A17" s="571" t="inlineStr">
        <is>
          <t>Dickens</t>
        </is>
      </c>
      <c r="B17" s="572" t="n">
        <v>15316015</v>
      </c>
      <c r="C17" s="573">
        <v>14</v>
      </c>
      <c r="D17" s="573" t="n">
        <v>19</v>
      </c>
      <c r="E17" s="573" t="n">
        <v>3</v>
      </c>
      <c r="F17" s="573" t="inlineStr">
        <is>
          <t>Yes</t>
        </is>
      </c>
      <c r="G17" s="573" t="inlineStr">
        <is>
          <t>Yes</t>
        </is>
      </c>
      <c r="H17" s="573" t="n">
        <v>2</v>
      </c>
      <c r="I17" s="574">
        <f>IF(H17=1,Assumptions!$B$16,IF(H17=2,Assumptions!$B$17,0))</f>
        <v>0.0325</v>
      </c>
      <c r="J17" s="573" t="inlineStr">
        <is>
          <t>No</t>
        </is>
      </c>
      <c r="K17" s="573" t="inlineStr">
        <is>
          <t>No</t>
        </is>
      </c>
      <c r="L17" s="573" t="inlineStr">
        <is>
          <t>GC + Developer</t>
        </is>
      </c>
      <c r="M17" s="577" t="inlineStr">
        <is>
          <t>Yes</t>
        </is>
      </c>
      <c r="N17" s="572">
        <f>B17*Assumptions!$B$10</f>
        <v>790245.10994</v>
      </c>
      <c r="O17" s="572">
        <f>B17*Assumptions!$B$11</f>
        <v>790245.10994</v>
      </c>
      <c r="P17" s="572">
        <f>B17*Assumptions!$B$12</f>
        <v>263420.141985</v>
      </c>
      <c r="Q17" s="572">
        <f>N17+O17+P17</f>
        <v>1843910.361865</v>
      </c>
      <c r="R17" s="572">
        <f>Q17*0.05</f>
        <v>92195.51809325</v>
      </c>
      <c r="S17" s="571">
        <f>C17+D17-1</f>
        <v>32</v>
      </c>
      <c r="T17" s="575">
        <f>Assumptions!$B$15</f>
        <v>0.015</v>
      </c>
    </row>
    <row r="18" ht="15" customFormat="1" customHeight="1" s="381">
      <c r="A18" s="571" t="inlineStr">
        <is>
          <t>Riverton</t>
        </is>
      </c>
      <c r="B18" s="572" t="n">
        <v>11317385</v>
      </c>
      <c r="C18" s="573">
        <v>15</v>
      </c>
      <c r="D18" s="573" t="n">
        <v>19</v>
      </c>
      <c r="E18" s="573" t="n">
        <v>3</v>
      </c>
      <c r="F18" s="573" t="inlineStr">
        <is>
          <t>Yes</t>
        </is>
      </c>
      <c r="G18" s="573" t="inlineStr">
        <is>
          <t>Yes</t>
        </is>
      </c>
      <c r="H18" s="573" t="n">
        <v>2</v>
      </c>
      <c r="I18" s="574">
        <f>IF(H18=1,Assumptions!$B$16,IF(H18=2,Assumptions!$B$17,0))</f>
        <v>0.0325</v>
      </c>
      <c r="J18" s="573" t="inlineStr">
        <is>
          <t>No</t>
        </is>
      </c>
      <c r="K18" s="573" t="inlineStr">
        <is>
          <t>No</t>
        </is>
      </c>
      <c r="L18" s="573" t="inlineStr">
        <is>
          <t>GC + Developer</t>
        </is>
      </c>
      <c r="M18" s="577" t="inlineStr">
        <is>
          <t>Yes</t>
        </is>
      </c>
      <c r="N18" s="572">
        <f>B18*Assumptions!$B$10</f>
        <v>583931.79646</v>
      </c>
      <c r="O18" s="572">
        <f>B18*Assumptions!$B$11</f>
        <v>583931.79646</v>
      </c>
      <c r="P18" s="572">
        <f>B18*Assumptions!$B$12</f>
        <v>194647.704615</v>
      </c>
      <c r="Q18" s="572">
        <f>N18+O18+P18</f>
        <v>1362511.297535</v>
      </c>
      <c r="R18" s="572">
        <f>Q18*0.05</f>
        <v>68125.56487675</v>
      </c>
      <c r="S18" s="571">
        <f>C18+D18-1</f>
        <v>33</v>
      </c>
      <c r="T18" s="575">
        <f>Assumptions!$B$15</f>
        <v>0.015</v>
      </c>
    </row>
    <row r="19" ht="15" customFormat="1" customHeight="1" s="381">
      <c r="A19" s="571" t="inlineStr">
        <is>
          <t>Moorpark</t>
        </is>
      </c>
      <c r="B19" s="572" t="n">
        <v>18442769</v>
      </c>
      <c r="C19" s="573">
        <v>16</v>
      </c>
      <c r="D19" s="573" t="n">
        <v>19</v>
      </c>
      <c r="E19" s="573" t="n">
        <v>3</v>
      </c>
      <c r="F19" s="573" t="inlineStr">
        <is>
          <t>Yes</t>
        </is>
      </c>
      <c r="G19" s="573" t="inlineStr">
        <is>
          <t>Yes</t>
        </is>
      </c>
      <c r="H19" s="573" t="n">
        <v>2</v>
      </c>
      <c r="I19" s="574">
        <f>IF(H19=1,Assumptions!$B$16,IF(H19=2,Assumptions!$B$17,0))</f>
        <v>0.0325</v>
      </c>
      <c r="J19" s="573" t="inlineStr">
        <is>
          <t>No</t>
        </is>
      </c>
      <c r="K19" s="573" t="inlineStr">
        <is>
          <t>No</t>
        </is>
      </c>
      <c r="L19" s="573" t="inlineStr">
        <is>
          <t>GC + Developer</t>
        </is>
      </c>
      <c r="M19" s="577" t="inlineStr">
        <is>
          <t>Yes</t>
        </is>
      </c>
      <c r="N19" s="572">
        <f>B19*Assumptions!$B$10</f>
        <v>951573.109324</v>
      </c>
      <c r="O19" s="572">
        <f>B19*Assumptions!$B$11</f>
        <v>951573.109324</v>
      </c>
      <c r="P19" s="572">
        <f>B19*Assumptions!$B$12</f>
        <v>317197.184031</v>
      </c>
      <c r="Q19" s="572">
        <f>N19+O19+P19</f>
        <v>2220343.402679</v>
      </c>
      <c r="R19" s="572">
        <f>Q19*0.05</f>
        <v>111017.17013395</v>
      </c>
      <c r="S19" s="571">
        <f>C19+D19-1</f>
        <v>34</v>
      </c>
      <c r="T19" s="575">
        <f>Assumptions!$B$15</f>
        <v>0.015</v>
      </c>
    </row>
    <row r="20" ht="15" customFormat="1" customHeight="1" s="381">
      <c r="A20" s="571" t="inlineStr">
        <is>
          <t>Beverly (BD-04)</t>
        </is>
      </c>
      <c r="B20" s="572" t="n">
        <v>25026330.58</v>
      </c>
      <c r="C20" s="573" t="n">
        <v>20</v>
      </c>
      <c r="D20" s="573" t="n">
        <v>24</v>
      </c>
      <c r="E20" s="573" t="n">
        <v>2</v>
      </c>
      <c r="F20" s="573" t="inlineStr">
        <is>
          <t>No</t>
        </is>
      </c>
      <c r="G20" s="573" t="inlineStr">
        <is>
          <t>Yes</t>
        </is>
      </c>
      <c r="H20" s="573" t="n">
        <v>0</v>
      </c>
      <c r="I20" s="574">
        <f>IF(H20=1,Assumptions!$B$16,IF(H20=2,Assumptions!$B$17,0))</f>
        <v>0</v>
      </c>
      <c r="J20" s="573" t="inlineStr">
        <is>
          <t>No</t>
        </is>
      </c>
      <c r="K20" s="573" t="inlineStr">
        <is>
          <t>No</t>
        </is>
      </c>
      <c r="L20" s="573" t="inlineStr">
        <is>
          <t>3rd Party GC</t>
        </is>
      </c>
      <c r="M20" s="577" t="inlineStr">
        <is>
          <t>No</t>
        </is>
      </c>
      <c r="N20" s="572">
        <f>B20*Assumptions!$B$10</f>
        <v>1291258.55260568</v>
      </c>
      <c r="O20" s="572">
        <f>B20*Assumptions!$B$11</f>
        <v>1291258.55260568</v>
      </c>
      <c r="P20" s="572">
        <f>B20*Assumptions!$B$12</f>
        <v>430427.85964542</v>
      </c>
      <c r="Q20" s="572">
        <f>N20+O20+P20</f>
        <v>3012944.96485678</v>
      </c>
      <c r="R20" s="572">
        <f>Q20*0.05</f>
        <v>150647.248242839</v>
      </c>
      <c r="S20" s="571">
        <f>C20+D20-1</f>
        <v>43</v>
      </c>
      <c r="T20" s="575" t="n"/>
    </row>
    <row r="21" ht="15" customFormat="1" customHeight="1" s="381">
      <c r="A21" s="571" t="inlineStr">
        <is>
          <t>Troost (HVN)</t>
        </is>
      </c>
      <c r="B21" s="572" t="n">
        <v>15189508.75</v>
      </c>
      <c r="C21" s="573">
        <v>10</v>
      </c>
      <c r="D21" s="573" t="n">
        <v>19</v>
      </c>
      <c r="E21" s="573" t="n">
        <v>3</v>
      </c>
      <c r="F21" s="573" t="inlineStr">
        <is>
          <t>No</t>
        </is>
      </c>
      <c r="G21" s="573" t="inlineStr">
        <is>
          <t>Yes</t>
        </is>
      </c>
      <c r="H21" s="573" t="n">
        <v>0</v>
      </c>
      <c r="I21" s="574">
        <f>IF(H21=1,Assumptions!$B$16,IF(H21=2,Assumptions!$B$17,0))</f>
        <v>0</v>
      </c>
      <c r="J21" s="573" t="inlineStr">
        <is>
          <t>No</t>
        </is>
      </c>
      <c r="K21" s="573" t="inlineStr">
        <is>
          <t>No</t>
        </is>
      </c>
      <c r="L21" s="573" t="inlineStr">
        <is>
          <t>GC + Developer</t>
        </is>
      </c>
      <c r="M21" s="577" t="inlineStr">
        <is>
          <t>Yes</t>
        </is>
      </c>
      <c r="N21" s="572">
        <f>B21*Assumptions!$B$10</f>
        <v>783717.893465</v>
      </c>
      <c r="O21" s="572">
        <f>B21*Assumptions!$B$11</f>
        <v>783717.893465</v>
      </c>
      <c r="P21" s="572">
        <f>B21*Assumptions!$B$12</f>
        <v>261244.36099125</v>
      </c>
      <c r="Q21" s="572">
        <f>N21+O21+P21</f>
        <v>1828680.14792125</v>
      </c>
      <c r="R21" s="572">
        <f>Q21*0.05</f>
        <v>91434.0073960625</v>
      </c>
      <c r="S21" s="571">
        <f>C21+D21-1</f>
        <v>28</v>
      </c>
      <c r="T21" s="575" t="n"/>
    </row>
    <row r="22" ht="15" customFormat="1" customHeight="1" s="381">
      <c r="A22" s="571" t="inlineStr">
        <is>
          <t>BD-06</t>
        </is>
      </c>
      <c r="B22" s="572" t="n">
        <v>15000000</v>
      </c>
      <c r="C22" s="573" t="n">
        <v>16</v>
      </c>
      <c r="D22" s="573" t="n">
        <v>19</v>
      </c>
      <c r="E22" s="573" t="n">
        <v>3</v>
      </c>
      <c r="F22" s="573" t="inlineStr">
        <is>
          <t>No</t>
        </is>
      </c>
      <c r="G22" s="573" t="inlineStr">
        <is>
          <t>No</t>
        </is>
      </c>
      <c r="H22" s="573" t="n">
        <v>0</v>
      </c>
      <c r="I22" s="574">
        <f>IF(H22=1,Assumptions!$B$16,IF(H22=2,Assumptions!$B$17,0))</f>
        <v>0</v>
      </c>
      <c r="J22" s="573" t="inlineStr">
        <is>
          <t>No</t>
        </is>
      </c>
      <c r="K22" s="573" t="inlineStr">
        <is>
          <t>No</t>
        </is>
      </c>
      <c r="L22" s="573" t="inlineStr">
        <is>
          <t>3rd Party GC</t>
        </is>
      </c>
      <c r="M22" s="577" t="inlineStr">
        <is>
          <t>No</t>
        </is>
      </c>
      <c r="N22" s="572" t="n">
        <v>730519</v>
      </c>
      <c r="O22" s="572" t="n">
        <v>730519</v>
      </c>
      <c r="P22" s="572" t="n">
        <v>243506</v>
      </c>
      <c r="Q22" s="572">
        <f>N22+O22+P22</f>
        <v>1704544</v>
      </c>
      <c r="R22" s="572">
        <f>Q22*0.05</f>
        <v>85227.2</v>
      </c>
      <c r="S22" s="571">
        <f>C22+D22-1</f>
        <v>34</v>
      </c>
      <c r="T22" s="575" t="n"/>
    </row>
    <row r="23" ht="15" customFormat="1" customHeight="1" s="381">
      <c r="A23" s="571" t="inlineStr">
        <is>
          <t>BD-07</t>
        </is>
      </c>
      <c r="B23" s="572" t="n">
        <v>15000000</v>
      </c>
      <c r="C23" s="573" t="n">
        <v>17</v>
      </c>
      <c r="D23" s="573" t="n">
        <v>19</v>
      </c>
      <c r="E23" s="573" t="n">
        <v>3</v>
      </c>
      <c r="F23" s="573" t="inlineStr">
        <is>
          <t>No</t>
        </is>
      </c>
      <c r="G23" s="573" t="inlineStr">
        <is>
          <t>No</t>
        </is>
      </c>
      <c r="H23" s="573" t="n">
        <v>0</v>
      </c>
      <c r="I23" s="574">
        <f>IF(H23=1,Assumptions!$B$16,IF(H23=2,Assumptions!$B$17,0))</f>
        <v>0</v>
      </c>
      <c r="J23" s="573" t="inlineStr">
        <is>
          <t>No</t>
        </is>
      </c>
      <c r="K23" s="573" t="inlineStr">
        <is>
          <t>No</t>
        </is>
      </c>
      <c r="L23" s="573" t="inlineStr">
        <is>
          <t>3rd Party GC</t>
        </is>
      </c>
      <c r="M23" s="577" t="inlineStr">
        <is>
          <t>Yes</t>
        </is>
      </c>
      <c r="N23" s="572" t="n">
        <v>730519</v>
      </c>
      <c r="O23" s="572" t="n">
        <v>730519</v>
      </c>
      <c r="P23" s="572" t="n">
        <v>243506</v>
      </c>
      <c r="Q23" s="572">
        <f>N23+O23+P23</f>
        <v>1704544</v>
      </c>
      <c r="R23" s="572">
        <f>Q23*0.05</f>
        <v>85227.2</v>
      </c>
      <c r="S23" s="571">
        <f>C23+D23-1</f>
        <v>35</v>
      </c>
      <c r="T23" s="575" t="n"/>
    </row>
    <row r="24" ht="15" customFormat="1" customHeight="1" s="381">
      <c r="A24" s="571" t="inlineStr">
        <is>
          <t>BD-08</t>
        </is>
      </c>
      <c r="B24" s="572" t="n">
        <v>18000000</v>
      </c>
      <c r="C24" s="573" t="n">
        <v>24</v>
      </c>
      <c r="D24" s="573" t="n">
        <v>19</v>
      </c>
      <c r="E24" s="573" t="n">
        <v>3</v>
      </c>
      <c r="F24" s="573" t="inlineStr">
        <is>
          <t>No</t>
        </is>
      </c>
      <c r="G24" s="573" t="inlineStr">
        <is>
          <t>Yes</t>
        </is>
      </c>
      <c r="H24" s="573" t="n">
        <v>0</v>
      </c>
      <c r="I24" s="574">
        <f>IF(H24=1,Assumptions!$B$16,IF(H24=2,Assumptions!$B$17,0))</f>
        <v>0</v>
      </c>
      <c r="J24" s="573" t="inlineStr">
        <is>
          <t>No</t>
        </is>
      </c>
      <c r="K24" s="573" t="inlineStr">
        <is>
          <t>No</t>
        </is>
      </c>
      <c r="L24" s="573" t="inlineStr">
        <is>
          <t>3rd Party GC</t>
        </is>
      </c>
      <c r="M24" s="577" t="inlineStr">
        <is>
          <t>No</t>
        </is>
      </c>
      <c r="N24" s="572" t="n">
        <v>876623</v>
      </c>
      <c r="O24" s="572" t="n">
        <v>876623</v>
      </c>
      <c r="P24" s="572" t="n">
        <v>292208</v>
      </c>
      <c r="Q24" s="572">
        <f>N24+O24+P24</f>
        <v>2045454</v>
      </c>
      <c r="R24" s="572">
        <f>Q24*0.05</f>
        <v>102272.7</v>
      </c>
      <c r="S24" s="571">
        <f>C24+D24-1</f>
        <v>42</v>
      </c>
      <c r="T24" s="575" t="n"/>
    </row>
    <row r="25" ht="15" customFormat="1" customHeight="1" s="381">
      <c r="A25" s="571" t="inlineStr">
        <is>
          <t>BD-09</t>
        </is>
      </c>
      <c r="B25" s="572" t="n">
        <v>18000000</v>
      </c>
      <c r="C25" s="573" t="n">
        <v>29</v>
      </c>
      <c r="D25" s="573" t="n">
        <v>19</v>
      </c>
      <c r="E25" s="573" t="n">
        <v>3</v>
      </c>
      <c r="F25" s="573" t="inlineStr">
        <is>
          <t>No</t>
        </is>
      </c>
      <c r="G25" s="573" t="inlineStr">
        <is>
          <t>Yes</t>
        </is>
      </c>
      <c r="H25" s="573" t="n">
        <v>0</v>
      </c>
      <c r="I25" s="574">
        <f>IF(H25=1,Assumptions!$B$16,IF(H25=2,Assumptions!$B$17,0))</f>
        <v>0</v>
      </c>
      <c r="J25" s="573" t="inlineStr">
        <is>
          <t>No</t>
        </is>
      </c>
      <c r="K25" s="573" t="inlineStr">
        <is>
          <t>No</t>
        </is>
      </c>
      <c r="L25" s="573" t="inlineStr">
        <is>
          <t>3rd Party GC</t>
        </is>
      </c>
      <c r="M25" s="577" t="inlineStr">
        <is>
          <t>No</t>
        </is>
      </c>
      <c r="N25" s="572" t="n">
        <v>876623</v>
      </c>
      <c r="O25" s="572" t="n">
        <v>876623</v>
      </c>
      <c r="P25" s="572" t="n">
        <v>292208</v>
      </c>
      <c r="Q25" s="572">
        <f>N25+O25+P25</f>
        <v>2045454</v>
      </c>
      <c r="R25" s="572">
        <f>Q25*0.05</f>
        <v>102272.7</v>
      </c>
      <c r="S25" s="571">
        <f>C25+D25-1</f>
        <v>47</v>
      </c>
      <c r="T25" s="575" t="n"/>
    </row>
    <row r="26" ht="15" customFormat="1" customHeight="1" s="381">
      <c r="A26" s="571" t="inlineStr">
        <is>
          <t>BD-10</t>
        </is>
      </c>
      <c r="B26" s="572" t="n">
        <v>18000000</v>
      </c>
      <c r="C26" s="573" t="n">
        <v>30</v>
      </c>
      <c r="D26" s="573" t="n">
        <v>19</v>
      </c>
      <c r="E26" s="573" t="n">
        <v>3</v>
      </c>
      <c r="F26" s="573" t="inlineStr">
        <is>
          <t>No</t>
        </is>
      </c>
      <c r="G26" s="573" t="inlineStr">
        <is>
          <t>Yes</t>
        </is>
      </c>
      <c r="H26" s="573" t="n">
        <v>0</v>
      </c>
      <c r="I26" s="574">
        <f>IF(H26=1,Assumptions!$B$16,IF(H26=2,Assumptions!$B$17,0))</f>
        <v>0</v>
      </c>
      <c r="J26" s="573" t="inlineStr">
        <is>
          <t>No</t>
        </is>
      </c>
      <c r="K26" s="573" t="inlineStr">
        <is>
          <t>No</t>
        </is>
      </c>
      <c r="L26" s="573" t="inlineStr">
        <is>
          <t>3rd Party GC</t>
        </is>
      </c>
      <c r="M26" s="577" t="inlineStr">
        <is>
          <t>No</t>
        </is>
      </c>
      <c r="N26" s="572" t="n">
        <v>876623</v>
      </c>
      <c r="O26" s="572" t="n">
        <v>876623</v>
      </c>
      <c r="P26" s="572" t="n">
        <v>292208</v>
      </c>
      <c r="Q26" s="572">
        <f>N26+O26+P26</f>
        <v>2045454</v>
      </c>
      <c r="R26" s="572">
        <f>Q26*0.05</f>
        <v>102272.7</v>
      </c>
      <c r="S26" s="571">
        <f>C26+D26-1</f>
        <v>48</v>
      </c>
      <c r="T26" s="575" t="n"/>
    </row>
    <row r="27" ht="15" customFormat="1" customHeight="1" s="381">
      <c r="A27" s="571" t="inlineStr">
        <is>
          <t>BD-11</t>
        </is>
      </c>
      <c r="B27" s="572" t="n">
        <v>15000000</v>
      </c>
      <c r="C27" s="573" t="n">
        <v>31</v>
      </c>
      <c r="D27" s="573" t="n">
        <v>19</v>
      </c>
      <c r="E27" s="573" t="n">
        <v>3</v>
      </c>
      <c r="F27" s="573" t="inlineStr">
        <is>
          <t>No</t>
        </is>
      </c>
      <c r="G27" s="573" t="inlineStr">
        <is>
          <t>Yes</t>
        </is>
      </c>
      <c r="H27" s="573" t="n">
        <v>0</v>
      </c>
      <c r="I27" s="574">
        <f>IF(H27=1,Assumptions!$B$16,IF(H27=2,Assumptions!$B$17,0))</f>
        <v>0</v>
      </c>
      <c r="J27" s="573" t="inlineStr">
        <is>
          <t>No</t>
        </is>
      </c>
      <c r="K27" s="573" t="inlineStr">
        <is>
          <t>No</t>
        </is>
      </c>
      <c r="L27" s="573" t="inlineStr">
        <is>
          <t>3rd Party GC</t>
        </is>
      </c>
      <c r="M27" s="577" t="inlineStr">
        <is>
          <t>No</t>
        </is>
      </c>
      <c r="N27" s="572" t="n">
        <v>730519</v>
      </c>
      <c r="O27" s="572" t="n">
        <v>730519</v>
      </c>
      <c r="P27" s="572" t="n">
        <v>243506</v>
      </c>
      <c r="Q27" s="572">
        <f>N27+O27+P27</f>
        <v>1704544</v>
      </c>
      <c r="R27" s="572">
        <f>Q27*0.05</f>
        <v>85227.2</v>
      </c>
      <c r="S27" s="571">
        <f>C27+D27-1</f>
        <v>49</v>
      </c>
      <c r="T27" s="575" t="n"/>
    </row>
    <row r="28" ht="15" customFormat="1" customHeight="1" s="381">
      <c r="A28" s="571" t="inlineStr">
        <is>
          <t>BD-12</t>
        </is>
      </c>
      <c r="B28" s="572" t="n">
        <v>15000000</v>
      </c>
      <c r="C28" s="573" t="n">
        <v>32</v>
      </c>
      <c r="D28" s="573" t="n">
        <v>19</v>
      </c>
      <c r="E28" s="573" t="n">
        <v>3</v>
      </c>
      <c r="F28" s="573" t="inlineStr">
        <is>
          <t>No</t>
        </is>
      </c>
      <c r="G28" s="573" t="inlineStr">
        <is>
          <t>Yes</t>
        </is>
      </c>
      <c r="H28" s="573" t="n">
        <v>0</v>
      </c>
      <c r="I28" s="574">
        <f>IF(H28=1,Assumptions!$B$16,IF(H28=2,Assumptions!$B$17,0))</f>
        <v>0</v>
      </c>
      <c r="J28" s="573" t="inlineStr">
        <is>
          <t>No</t>
        </is>
      </c>
      <c r="K28" s="573" t="inlineStr">
        <is>
          <t>No</t>
        </is>
      </c>
      <c r="L28" s="573" t="inlineStr">
        <is>
          <t>3rd Party GC</t>
        </is>
      </c>
      <c r="M28" s="577" t="inlineStr">
        <is>
          <t>Yes</t>
        </is>
      </c>
      <c r="N28" s="572" t="n">
        <v>730519</v>
      </c>
      <c r="O28" s="572" t="n">
        <v>730519</v>
      </c>
      <c r="P28" s="572" t="n">
        <v>243506</v>
      </c>
      <c r="Q28" s="572">
        <f>N28+O28+P28</f>
        <v>1704544</v>
      </c>
      <c r="R28" s="572">
        <f>Q28*0.05</f>
        <v>85227.2</v>
      </c>
      <c r="S28" s="571">
        <f>C28+D28-1</f>
        <v>50</v>
      </c>
      <c r="T28" s="575" t="n"/>
    </row>
    <row r="29" ht="15" customFormat="1" customHeight="1" s="381">
      <c r="A29" s="571" t="inlineStr">
        <is>
          <t>BD-13</t>
        </is>
      </c>
      <c r="B29" s="572" t="n">
        <v>15000000</v>
      </c>
      <c r="C29" s="573" t="n">
        <v>33</v>
      </c>
      <c r="D29" s="573" t="n">
        <v>19</v>
      </c>
      <c r="E29" s="573" t="n">
        <v>3</v>
      </c>
      <c r="F29" s="573" t="inlineStr">
        <is>
          <t>No</t>
        </is>
      </c>
      <c r="G29" s="573" t="inlineStr">
        <is>
          <t>Yes</t>
        </is>
      </c>
      <c r="H29" s="573" t="n">
        <v>0</v>
      </c>
      <c r="I29" s="574">
        <f>IF(H29=1,Assumptions!$B$16,IF(H29=2,Assumptions!$B$17,0))</f>
        <v>0</v>
      </c>
      <c r="J29" s="573" t="inlineStr">
        <is>
          <t>No</t>
        </is>
      </c>
      <c r="K29" s="573" t="inlineStr">
        <is>
          <t>No</t>
        </is>
      </c>
      <c r="L29" s="573" t="inlineStr">
        <is>
          <t>3rd Party GC</t>
        </is>
      </c>
      <c r="M29" s="577" t="inlineStr">
        <is>
          <t>No</t>
        </is>
      </c>
      <c r="N29" s="572" t="n">
        <v>730519</v>
      </c>
      <c r="O29" s="572" t="n">
        <v>730519</v>
      </c>
      <c r="P29" s="572" t="n">
        <v>243506</v>
      </c>
      <c r="Q29" s="572">
        <f>N29+O29+P29</f>
        <v>1704544</v>
      </c>
      <c r="R29" s="572">
        <f>Q29*0.05</f>
        <v>85227.2</v>
      </c>
      <c r="S29" s="571">
        <f>C29+D29-1</f>
        <v>51</v>
      </c>
      <c r="T29" s="575" t="n"/>
    </row>
    <row r="30" ht="15" customFormat="1" customHeight="1" s="381">
      <c r="A30" s="571" t="inlineStr">
        <is>
          <t>BD-14</t>
        </is>
      </c>
      <c r="B30" s="572" t="n">
        <v>15000000</v>
      </c>
      <c r="C30" s="573" t="n">
        <v>34</v>
      </c>
      <c r="D30" s="573" t="n">
        <v>19</v>
      </c>
      <c r="E30" s="573" t="n">
        <v>3</v>
      </c>
      <c r="F30" s="573" t="inlineStr">
        <is>
          <t>No</t>
        </is>
      </c>
      <c r="G30" s="573" t="inlineStr">
        <is>
          <t>Yes</t>
        </is>
      </c>
      <c r="H30" s="573" t="n">
        <v>0</v>
      </c>
      <c r="I30" s="574">
        <f>IF(H30=1,Assumptions!$B$16,IF(H30=2,Assumptions!$B$17,0))</f>
        <v>0</v>
      </c>
      <c r="J30" s="573" t="inlineStr">
        <is>
          <t>No</t>
        </is>
      </c>
      <c r="K30" s="573" t="inlineStr">
        <is>
          <t>No</t>
        </is>
      </c>
      <c r="L30" s="573" t="inlineStr">
        <is>
          <t>3rd Party GC</t>
        </is>
      </c>
      <c r="M30" s="577" t="inlineStr">
        <is>
          <t>No</t>
        </is>
      </c>
      <c r="N30" s="572" t="n">
        <v>730519</v>
      </c>
      <c r="O30" s="572" t="n">
        <v>730519</v>
      </c>
      <c r="P30" s="572" t="n">
        <v>243506</v>
      </c>
      <c r="Q30" s="572">
        <f>N30+O30+P30</f>
        <v>1704544</v>
      </c>
      <c r="R30" s="572">
        <f>Q30*0.05</f>
        <v>85227.2</v>
      </c>
      <c r="S30" s="571">
        <f>C30+D30-1</f>
        <v>52</v>
      </c>
      <c r="T30" s="575" t="n"/>
    </row>
    <row r="31" ht="15" customFormat="1" customHeight="1" s="381">
      <c r="A31" s="571" t="inlineStr">
        <is>
          <t>BD-15</t>
        </is>
      </c>
      <c r="B31" s="572" t="n">
        <v>18000000</v>
      </c>
      <c r="C31" s="573" t="n">
        <v>35</v>
      </c>
      <c r="D31" s="573" t="n">
        <v>19</v>
      </c>
      <c r="E31" s="573" t="n">
        <v>3</v>
      </c>
      <c r="F31" s="573" t="inlineStr">
        <is>
          <t>No</t>
        </is>
      </c>
      <c r="G31" s="573" t="inlineStr">
        <is>
          <t>Yes</t>
        </is>
      </c>
      <c r="H31" s="573" t="n">
        <v>0</v>
      </c>
      <c r="I31" s="574">
        <f>IF(H31=1,Assumptions!$B$16,IF(H31=2,Assumptions!$B$17,0))</f>
        <v>0</v>
      </c>
      <c r="J31" s="573" t="inlineStr">
        <is>
          <t>No</t>
        </is>
      </c>
      <c r="K31" s="573" t="inlineStr">
        <is>
          <t>No</t>
        </is>
      </c>
      <c r="L31" s="573" t="inlineStr">
        <is>
          <t>3rd Party GC</t>
        </is>
      </c>
      <c r="M31" s="577" t="inlineStr">
        <is>
          <t>No</t>
        </is>
      </c>
      <c r="N31" s="572" t="n">
        <v>876623</v>
      </c>
      <c r="O31" s="572" t="n">
        <v>876623</v>
      </c>
      <c r="P31" s="572" t="n">
        <v>292208</v>
      </c>
      <c r="Q31" s="572">
        <f>N31+O31+P31</f>
        <v>2045454</v>
      </c>
      <c r="R31" s="572">
        <f>Q31*0.05</f>
        <v>102272.7</v>
      </c>
      <c r="S31" s="571">
        <f>C31+D31-1</f>
        <v>53</v>
      </c>
      <c r="T31" s="575" t="n"/>
    </row>
    <row r="32" ht="15" customFormat="1" customHeight="1" s="381">
      <c r="A32" s="571" t="inlineStr">
        <is>
          <t>BD-16</t>
        </is>
      </c>
      <c r="B32" s="572" t="n">
        <v>15000000</v>
      </c>
      <c r="C32" s="573" t="n">
        <v>36</v>
      </c>
      <c r="D32" s="573" t="n">
        <v>19</v>
      </c>
      <c r="E32" s="573" t="n">
        <v>3</v>
      </c>
      <c r="F32" s="573" t="inlineStr">
        <is>
          <t>No</t>
        </is>
      </c>
      <c r="G32" s="573" t="inlineStr">
        <is>
          <t>Yes</t>
        </is>
      </c>
      <c r="H32" s="573" t="n">
        <v>0</v>
      </c>
      <c r="I32" s="574">
        <f>IF(H32=1,Assumptions!$B$16,IF(H32=2,Assumptions!$B$17,0))</f>
        <v>0</v>
      </c>
      <c r="J32" s="573" t="inlineStr">
        <is>
          <t>No</t>
        </is>
      </c>
      <c r="K32" s="573" t="inlineStr">
        <is>
          <t>No</t>
        </is>
      </c>
      <c r="L32" s="573" t="inlineStr">
        <is>
          <t>3rd Party GC</t>
        </is>
      </c>
      <c r="M32" s="577" t="inlineStr">
        <is>
          <t>No</t>
        </is>
      </c>
      <c r="N32" s="572" t="n">
        <v>730519</v>
      </c>
      <c r="O32" s="572" t="n">
        <v>730519</v>
      </c>
      <c r="P32" s="572" t="n">
        <v>243506</v>
      </c>
      <c r="Q32" s="572">
        <f>N32+O32+P32</f>
        <v>1704544</v>
      </c>
      <c r="R32" s="572">
        <f>Q32*0.05</f>
        <v>85227.2</v>
      </c>
      <c r="S32" s="571">
        <f>C32+D32-1</f>
        <v>54</v>
      </c>
      <c r="T32" s="575" t="n"/>
    </row>
    <row r="33" ht="15" customFormat="1" customHeight="1" s="381">
      <c r="A33" s="571" t="inlineStr">
        <is>
          <t>BD-17</t>
        </is>
      </c>
      <c r="B33" s="572" t="n">
        <v>15000000</v>
      </c>
      <c r="C33" s="573" t="n">
        <v>37</v>
      </c>
      <c r="D33" s="573" t="n">
        <v>19</v>
      </c>
      <c r="E33" s="573" t="n">
        <v>3</v>
      </c>
      <c r="F33" s="573" t="inlineStr">
        <is>
          <t>No</t>
        </is>
      </c>
      <c r="G33" s="573" t="inlineStr">
        <is>
          <t>Yes</t>
        </is>
      </c>
      <c r="H33" s="573" t="n">
        <v>0</v>
      </c>
      <c r="I33" s="574">
        <f>IF(H33=1,Assumptions!$B$16,IF(H33=2,Assumptions!$B$17,0))</f>
        <v>0</v>
      </c>
      <c r="J33" s="573" t="inlineStr">
        <is>
          <t>No</t>
        </is>
      </c>
      <c r="K33" s="573" t="inlineStr">
        <is>
          <t>No</t>
        </is>
      </c>
      <c r="L33" s="573" t="inlineStr">
        <is>
          <t>3rd Party GC</t>
        </is>
      </c>
      <c r="M33" s="577" t="inlineStr">
        <is>
          <t>No</t>
        </is>
      </c>
      <c r="N33" s="572" t="n">
        <v>730519</v>
      </c>
      <c r="O33" s="572" t="n">
        <v>730519</v>
      </c>
      <c r="P33" s="572" t="n">
        <v>243506</v>
      </c>
      <c r="Q33" s="572">
        <f>N33+O33+P33</f>
        <v>1704544</v>
      </c>
      <c r="R33" s="572">
        <f>Q33*0.05</f>
        <v>85227.2</v>
      </c>
      <c r="S33" s="571">
        <f>C33+D33-1</f>
        <v>55</v>
      </c>
      <c r="T33" s="575" t="n"/>
    </row>
    <row r="34" ht="15" customFormat="1" customHeight="1" s="381">
      <c r="A34" s="571" t="inlineStr">
        <is>
          <t>BD-18</t>
        </is>
      </c>
      <c r="B34" s="572" t="n">
        <v>18000000</v>
      </c>
      <c r="C34" s="573" t="n">
        <v>38</v>
      </c>
      <c r="D34" s="573" t="n">
        <v>19</v>
      </c>
      <c r="E34" s="573" t="n">
        <v>3</v>
      </c>
      <c r="F34" s="573" t="inlineStr">
        <is>
          <t>No</t>
        </is>
      </c>
      <c r="G34" s="573" t="inlineStr">
        <is>
          <t>Yes</t>
        </is>
      </c>
      <c r="H34" s="573" t="n">
        <v>0</v>
      </c>
      <c r="I34" s="574">
        <f>IF(H34=1,Assumptions!$B$16,IF(H34=2,Assumptions!$B$17,0))</f>
        <v>0</v>
      </c>
      <c r="J34" s="573" t="inlineStr">
        <is>
          <t>No</t>
        </is>
      </c>
      <c r="K34" s="573" t="inlineStr">
        <is>
          <t>No</t>
        </is>
      </c>
      <c r="L34" s="573" t="inlineStr">
        <is>
          <t>3rd Party GC</t>
        </is>
      </c>
      <c r="M34" s="577" t="inlineStr">
        <is>
          <t>Yes</t>
        </is>
      </c>
      <c r="N34" s="572" t="n">
        <v>876623</v>
      </c>
      <c r="O34" s="572" t="n">
        <v>876623</v>
      </c>
      <c r="P34" s="572" t="n">
        <v>292208</v>
      </c>
      <c r="Q34" s="572">
        <f>N34+O34+P34</f>
        <v>2045454</v>
      </c>
      <c r="R34" s="572">
        <f>Q34*0.05</f>
        <v>102272.7</v>
      </c>
      <c r="S34" s="571">
        <f>C34+D34-1</f>
        <v>56</v>
      </c>
      <c r="T34" s="575" t="n"/>
    </row>
    <row r="35" ht="15" customFormat="1" customHeight="1" s="381">
      <c r="A35" s="571" t="inlineStr">
        <is>
          <t>BD-19</t>
        </is>
      </c>
      <c r="B35" s="572" t="n">
        <v>15000000</v>
      </c>
      <c r="C35" s="573" t="n">
        <v>39</v>
      </c>
      <c r="D35" s="573" t="n">
        <v>19</v>
      </c>
      <c r="E35" s="573" t="n">
        <v>3</v>
      </c>
      <c r="F35" s="573" t="inlineStr">
        <is>
          <t>No</t>
        </is>
      </c>
      <c r="G35" s="573" t="inlineStr">
        <is>
          <t>Yes</t>
        </is>
      </c>
      <c r="H35" s="573" t="n">
        <v>0</v>
      </c>
      <c r="I35" s="574">
        <f>IF(H35=1,Assumptions!$B$16,IF(H35=2,Assumptions!$B$17,0))</f>
        <v>0</v>
      </c>
      <c r="J35" s="573" t="inlineStr">
        <is>
          <t>No</t>
        </is>
      </c>
      <c r="K35" s="573" t="inlineStr">
        <is>
          <t>No</t>
        </is>
      </c>
      <c r="L35" s="573" t="inlineStr">
        <is>
          <t>3rd Party GC</t>
        </is>
      </c>
      <c r="M35" s="577" t="inlineStr">
        <is>
          <t>No</t>
        </is>
      </c>
      <c r="N35" s="572" t="n">
        <v>730519</v>
      </c>
      <c r="O35" s="572" t="n">
        <v>730519</v>
      </c>
      <c r="P35" s="572" t="n">
        <v>243506</v>
      </c>
      <c r="Q35" s="572">
        <f>N35+O35+P35</f>
        <v>1704544</v>
      </c>
      <c r="R35" s="572">
        <f>Q35*0.05</f>
        <v>85227.2</v>
      </c>
      <c r="S35" s="571">
        <f>C35+D35-1</f>
        <v>57</v>
      </c>
      <c r="T35" s="575" t="n"/>
    </row>
    <row r="36" ht="15" customFormat="1" customHeight="1" s="381">
      <c r="A36" s="571" t="inlineStr">
        <is>
          <t>BD-20</t>
        </is>
      </c>
      <c r="B36" s="572" t="n">
        <v>18000000</v>
      </c>
      <c r="C36" s="573" t="n">
        <v>43</v>
      </c>
      <c r="D36" s="573" t="n">
        <v>19</v>
      </c>
      <c r="E36" s="573" t="n">
        <v>3</v>
      </c>
      <c r="F36" s="573" t="inlineStr">
        <is>
          <t>No</t>
        </is>
      </c>
      <c r="G36" s="573" t="inlineStr">
        <is>
          <t>Yes</t>
        </is>
      </c>
      <c r="H36" s="573" t="n">
        <v>0</v>
      </c>
      <c r="I36" s="574">
        <f>IF(H36=1,Assumptions!$B$16,IF(H36=2,Assumptions!$B$17,0))</f>
        <v>0</v>
      </c>
      <c r="J36" s="573" t="inlineStr">
        <is>
          <t>No</t>
        </is>
      </c>
      <c r="K36" s="573" t="inlineStr">
        <is>
          <t>No</t>
        </is>
      </c>
      <c r="L36" s="573" t="inlineStr">
        <is>
          <t>3rd Party GC</t>
        </is>
      </c>
      <c r="M36" s="577" t="inlineStr">
        <is>
          <t>No</t>
        </is>
      </c>
      <c r="N36" s="572" t="n">
        <v>876623</v>
      </c>
      <c r="O36" s="572" t="n">
        <v>876623</v>
      </c>
      <c r="P36" s="572" t="n">
        <v>292208</v>
      </c>
      <c r="Q36" s="572">
        <f>N36+O36+P36</f>
        <v>2045454</v>
      </c>
      <c r="R36" s="572">
        <f>Q36*0.05</f>
        <v>102272.7</v>
      </c>
      <c r="S36" s="571">
        <f>C36+D36-1</f>
        <v>61</v>
      </c>
      <c r="T36" s="575" t="n"/>
    </row>
    <row r="37" ht="15" customFormat="1" customHeight="1" s="381">
      <c r="A37" s="571" t="inlineStr">
        <is>
          <t>BD-21</t>
        </is>
      </c>
      <c r="B37" s="572" t="n">
        <v>15000000</v>
      </c>
      <c r="C37" s="573" t="n">
        <v>44</v>
      </c>
      <c r="D37" s="573" t="n">
        <v>19</v>
      </c>
      <c r="E37" s="573" t="n">
        <v>3</v>
      </c>
      <c r="F37" s="573" t="inlineStr">
        <is>
          <t>No</t>
        </is>
      </c>
      <c r="G37" s="573" t="inlineStr">
        <is>
          <t>Yes</t>
        </is>
      </c>
      <c r="H37" s="573" t="n">
        <v>0</v>
      </c>
      <c r="I37" s="574">
        <f>IF(H37=1,Assumptions!$B$16,IF(H37=2,Assumptions!$B$17,0))</f>
        <v>0</v>
      </c>
      <c r="J37" s="573" t="inlineStr">
        <is>
          <t>No</t>
        </is>
      </c>
      <c r="K37" s="573" t="inlineStr">
        <is>
          <t>No</t>
        </is>
      </c>
      <c r="L37" s="573" t="inlineStr">
        <is>
          <t>3rd Party GC</t>
        </is>
      </c>
      <c r="M37" s="577" t="inlineStr">
        <is>
          <t>No</t>
        </is>
      </c>
      <c r="N37" s="572" t="n">
        <v>730519</v>
      </c>
      <c r="O37" s="572" t="n">
        <v>730519</v>
      </c>
      <c r="P37" s="572" t="n">
        <v>243506</v>
      </c>
      <c r="Q37" s="572">
        <f>N37+O37+P37</f>
        <v>1704544</v>
      </c>
      <c r="R37" s="572">
        <f>Q37*0.05</f>
        <v>85227.2</v>
      </c>
      <c r="S37" s="571">
        <f>C37+D37-1</f>
        <v>62</v>
      </c>
      <c r="T37" s="575" t="n"/>
    </row>
    <row r="38" ht="15" customFormat="1" customHeight="1" s="381">
      <c r="A38" s="571" t="inlineStr">
        <is>
          <t>BD-22</t>
        </is>
      </c>
      <c r="B38" s="572" t="n">
        <v>15000000</v>
      </c>
      <c r="C38" s="573" t="n">
        <v>48</v>
      </c>
      <c r="D38" s="573" t="n">
        <v>19</v>
      </c>
      <c r="E38" s="573" t="n">
        <v>3</v>
      </c>
      <c r="F38" s="573" t="inlineStr">
        <is>
          <t>No</t>
        </is>
      </c>
      <c r="G38" s="573" t="inlineStr">
        <is>
          <t>Yes</t>
        </is>
      </c>
      <c r="H38" s="573" t="n">
        <v>0</v>
      </c>
      <c r="I38" s="574">
        <f>IF(H38=1,Assumptions!$B$16,IF(H38=2,Assumptions!$B$17,0))</f>
        <v>0</v>
      </c>
      <c r="J38" s="573" t="inlineStr">
        <is>
          <t>No</t>
        </is>
      </c>
      <c r="K38" s="573" t="inlineStr">
        <is>
          <t>No</t>
        </is>
      </c>
      <c r="L38" s="573" t="inlineStr">
        <is>
          <t>3rd Party GC</t>
        </is>
      </c>
      <c r="M38" s="577" t="inlineStr">
        <is>
          <t>No</t>
        </is>
      </c>
      <c r="N38" s="572" t="n">
        <v>730519</v>
      </c>
      <c r="O38" s="572" t="n">
        <v>730519</v>
      </c>
      <c r="P38" s="572" t="n">
        <v>243506</v>
      </c>
      <c r="Q38" s="572">
        <f>N38+O38+P38</f>
        <v>1704544</v>
      </c>
      <c r="R38" s="572">
        <f>Q38*0.05</f>
        <v>85227.2</v>
      </c>
      <c r="S38" s="571">
        <f>C38+D38-1</f>
        <v>66</v>
      </c>
      <c r="T38" s="575" t="n"/>
    </row>
    <row r="39" ht="15" customFormat="1" customHeight="1" s="381">
      <c r="A39" s="571" t="inlineStr">
        <is>
          <t>BD-23</t>
        </is>
      </c>
      <c r="B39" s="572" t="n">
        <v>18000000</v>
      </c>
      <c r="C39" s="573" t="n">
        <v>49</v>
      </c>
      <c r="D39" s="573" t="n">
        <v>19</v>
      </c>
      <c r="E39" s="573" t="n">
        <v>3</v>
      </c>
      <c r="F39" s="573" t="inlineStr">
        <is>
          <t>No</t>
        </is>
      </c>
      <c r="G39" s="573" t="inlineStr">
        <is>
          <t>Yes</t>
        </is>
      </c>
      <c r="H39" s="573" t="n">
        <v>0</v>
      </c>
      <c r="I39" s="574">
        <f>IF(H39=1,Assumptions!$B$16,IF(H39=2,Assumptions!$B$17,0))</f>
        <v>0</v>
      </c>
      <c r="J39" s="573" t="inlineStr">
        <is>
          <t>No</t>
        </is>
      </c>
      <c r="K39" s="573" t="inlineStr">
        <is>
          <t>No</t>
        </is>
      </c>
      <c r="L39" s="573" t="inlineStr">
        <is>
          <t>3rd Party GC</t>
        </is>
      </c>
      <c r="M39" s="577" t="inlineStr">
        <is>
          <t>No</t>
        </is>
      </c>
      <c r="N39" s="572" t="n">
        <v>876623</v>
      </c>
      <c r="O39" s="572" t="n">
        <v>876623</v>
      </c>
      <c r="P39" s="572" t="n">
        <v>292208</v>
      </c>
      <c r="Q39" s="572">
        <f>N39+O39+P39</f>
        <v>2045454</v>
      </c>
      <c r="R39" s="572">
        <f>Q39*0.05</f>
        <v>102272.7</v>
      </c>
      <c r="S39" s="571">
        <f>C39+D39-1</f>
        <v>67</v>
      </c>
      <c r="T39" s="575" t="n"/>
    </row>
    <row r="40" ht="15" customFormat="1" customHeight="1" s="381">
      <c r="A40" s="571" t="inlineStr">
        <is>
          <t>BD-24</t>
        </is>
      </c>
      <c r="B40" s="572" t="n">
        <v>15000000</v>
      </c>
      <c r="C40" s="573" t="n">
        <v>50</v>
      </c>
      <c r="D40" s="573" t="n">
        <v>19</v>
      </c>
      <c r="E40" s="573" t="n">
        <v>3</v>
      </c>
      <c r="F40" s="573" t="inlineStr">
        <is>
          <t>No</t>
        </is>
      </c>
      <c r="G40" s="573" t="inlineStr">
        <is>
          <t>Yes</t>
        </is>
      </c>
      <c r="H40" s="573" t="n">
        <v>0</v>
      </c>
      <c r="I40" s="574">
        <f>IF(H40=1,Assumptions!$B$16,IF(H40=2,Assumptions!$B$17,0))</f>
        <v>0</v>
      </c>
      <c r="J40" s="573" t="inlineStr">
        <is>
          <t>No</t>
        </is>
      </c>
      <c r="K40" s="573" t="inlineStr">
        <is>
          <t>No</t>
        </is>
      </c>
      <c r="L40" s="573" t="inlineStr">
        <is>
          <t>3rd Party GC</t>
        </is>
      </c>
      <c r="M40" s="577" t="inlineStr">
        <is>
          <t>Yes</t>
        </is>
      </c>
      <c r="N40" s="572" t="n">
        <v>730519</v>
      </c>
      <c r="O40" s="572" t="n">
        <v>730519</v>
      </c>
      <c r="P40" s="572" t="n">
        <v>243506</v>
      </c>
      <c r="Q40" s="572">
        <f>N40+O40+P40</f>
        <v>1704544</v>
      </c>
      <c r="R40" s="572">
        <f>Q40*0.05</f>
        <v>85227.2</v>
      </c>
      <c r="S40" s="571">
        <f>C40+D40-1</f>
        <v>68</v>
      </c>
      <c r="T40" s="575" t="n"/>
    </row>
    <row r="41" ht="15" customFormat="1" customHeight="1" s="381">
      <c r="A41" s="571" t="inlineStr">
        <is>
          <t>BD-25</t>
        </is>
      </c>
      <c r="B41" s="572" t="n">
        <v>15000000</v>
      </c>
      <c r="C41" s="573" t="n">
        <v>51</v>
      </c>
      <c r="D41" s="573" t="n">
        <v>19</v>
      </c>
      <c r="E41" s="573" t="n">
        <v>3</v>
      </c>
      <c r="F41" s="573" t="inlineStr">
        <is>
          <t>No</t>
        </is>
      </c>
      <c r="G41" s="573" t="inlineStr">
        <is>
          <t>Yes</t>
        </is>
      </c>
      <c r="H41" s="573" t="n">
        <v>0</v>
      </c>
      <c r="I41" s="574">
        <f>IF(H41=1,Assumptions!$B$16,IF(H41=2,Assumptions!$B$17,0))</f>
        <v>0</v>
      </c>
      <c r="J41" s="573" t="inlineStr">
        <is>
          <t>No</t>
        </is>
      </c>
      <c r="K41" s="573" t="inlineStr">
        <is>
          <t>No</t>
        </is>
      </c>
      <c r="L41" s="573" t="inlineStr">
        <is>
          <t>3rd Party GC</t>
        </is>
      </c>
      <c r="M41" s="577" t="inlineStr">
        <is>
          <t>No</t>
        </is>
      </c>
      <c r="N41" s="572" t="n">
        <v>730519</v>
      </c>
      <c r="O41" s="572" t="n">
        <v>730519</v>
      </c>
      <c r="P41" s="572" t="n">
        <v>243506</v>
      </c>
      <c r="Q41" s="572">
        <f>N41+O41+P41</f>
        <v>1704544</v>
      </c>
      <c r="R41" s="572">
        <f>Q41*0.05</f>
        <v>85227.2</v>
      </c>
      <c r="S41" s="571">
        <f>C41+D41-1</f>
        <v>69</v>
      </c>
      <c r="T41" s="575" t="n"/>
    </row>
    <row r="42" ht="15" customFormat="1" customHeight="1" s="381">
      <c r="A42" s="571" t="inlineStr">
        <is>
          <t>BD-26</t>
        </is>
      </c>
      <c r="B42" s="572" t="n">
        <v>18000000</v>
      </c>
      <c r="C42" s="573" t="n">
        <v>52</v>
      </c>
      <c r="D42" s="573" t="n">
        <v>19</v>
      </c>
      <c r="E42" s="573" t="n">
        <v>3</v>
      </c>
      <c r="F42" s="573" t="inlineStr">
        <is>
          <t>No</t>
        </is>
      </c>
      <c r="G42" s="573" t="inlineStr">
        <is>
          <t>Yes</t>
        </is>
      </c>
      <c r="H42" s="573" t="n">
        <v>0</v>
      </c>
      <c r="I42" s="574">
        <f>IF(H42=1,Assumptions!$B$16,IF(H42=2,Assumptions!$B$17,0))</f>
        <v>0</v>
      </c>
      <c r="J42" s="573" t="inlineStr">
        <is>
          <t>No</t>
        </is>
      </c>
      <c r="K42" s="573" t="inlineStr">
        <is>
          <t>No</t>
        </is>
      </c>
      <c r="L42" s="573" t="inlineStr">
        <is>
          <t>3rd Party GC</t>
        </is>
      </c>
      <c r="M42" s="577" t="inlineStr">
        <is>
          <t>No</t>
        </is>
      </c>
      <c r="N42" s="572" t="n">
        <v>876623</v>
      </c>
      <c r="O42" s="572" t="n">
        <v>876623</v>
      </c>
      <c r="P42" s="572" t="n">
        <v>292208</v>
      </c>
      <c r="Q42" s="572">
        <f>N42+O42+P42</f>
        <v>2045454</v>
      </c>
      <c r="R42" s="572">
        <f>Q42*0.05</f>
        <v>102272.7</v>
      </c>
      <c r="S42" s="571">
        <f>C42+D42-1</f>
        <v>70</v>
      </c>
      <c r="T42" s="575" t="n"/>
    </row>
    <row r="43" ht="15" customFormat="1" customHeight="1" s="381">
      <c r="A43" s="571" t="inlineStr">
        <is>
          <t>BD-27</t>
        </is>
      </c>
      <c r="B43" s="572" t="n">
        <v>15000000</v>
      </c>
      <c r="C43" s="573" t="n">
        <v>53</v>
      </c>
      <c r="D43" s="573" t="n">
        <v>19</v>
      </c>
      <c r="E43" s="573" t="n">
        <v>3</v>
      </c>
      <c r="F43" s="573" t="inlineStr">
        <is>
          <t>No</t>
        </is>
      </c>
      <c r="G43" s="573" t="inlineStr">
        <is>
          <t>Yes</t>
        </is>
      </c>
      <c r="H43" s="573" t="n">
        <v>0</v>
      </c>
      <c r="I43" s="574">
        <f>IF(H43=1,Assumptions!$B$16,IF(H43=2,Assumptions!$B$17,0))</f>
        <v>0</v>
      </c>
      <c r="J43" s="573" t="inlineStr">
        <is>
          <t>No</t>
        </is>
      </c>
      <c r="K43" s="573" t="inlineStr">
        <is>
          <t>No</t>
        </is>
      </c>
      <c r="L43" s="573" t="inlineStr">
        <is>
          <t>3rd Party GC</t>
        </is>
      </c>
      <c r="M43" s="577" t="inlineStr">
        <is>
          <t>No</t>
        </is>
      </c>
      <c r="N43" s="572" t="n">
        <v>730519</v>
      </c>
      <c r="O43" s="572" t="n">
        <v>730519</v>
      </c>
      <c r="P43" s="572" t="n">
        <v>243506</v>
      </c>
      <c r="Q43" s="572">
        <f>N43+O43+P43</f>
        <v>1704544</v>
      </c>
      <c r="R43" s="572">
        <f>Q43*0.05</f>
        <v>85227.2</v>
      </c>
      <c r="S43" s="571">
        <f>C43+D43-1</f>
        <v>71</v>
      </c>
      <c r="T43" s="575" t="n"/>
    </row>
    <row r="44" ht="15" customFormat="1" customHeight="1" s="381">
      <c r="A44" s="571" t="inlineStr">
        <is>
          <t>BD-28</t>
        </is>
      </c>
      <c r="B44" s="572" t="n">
        <v>15000000</v>
      </c>
      <c r="C44" s="573" t="n">
        <v>54</v>
      </c>
      <c r="D44" s="573" t="n">
        <v>19</v>
      </c>
      <c r="E44" s="573" t="n">
        <v>3</v>
      </c>
      <c r="F44" s="573" t="inlineStr">
        <is>
          <t>No</t>
        </is>
      </c>
      <c r="G44" s="573" t="inlineStr">
        <is>
          <t>Yes</t>
        </is>
      </c>
      <c r="H44" s="573" t="n">
        <v>0</v>
      </c>
      <c r="I44" s="574">
        <f>IF(H44=1,Assumptions!$B$16,IF(H44=2,Assumptions!$B$17,0))</f>
        <v>0</v>
      </c>
      <c r="J44" s="573" t="inlineStr">
        <is>
          <t>No</t>
        </is>
      </c>
      <c r="K44" s="573" t="inlineStr">
        <is>
          <t>No</t>
        </is>
      </c>
      <c r="L44" s="573" t="inlineStr">
        <is>
          <t>3rd Party GC</t>
        </is>
      </c>
      <c r="M44" s="577" t="inlineStr">
        <is>
          <t>No</t>
        </is>
      </c>
      <c r="N44" s="572" t="n">
        <v>730519</v>
      </c>
      <c r="O44" s="572" t="n">
        <v>730519</v>
      </c>
      <c r="P44" s="572" t="n">
        <v>243506</v>
      </c>
      <c r="Q44" s="572">
        <f>N44+O44+P44</f>
        <v>1704544</v>
      </c>
      <c r="R44" s="572">
        <f>Q44*0.05</f>
        <v>85227.2</v>
      </c>
      <c r="S44" s="571">
        <f>C44+D44-1</f>
        <v>72</v>
      </c>
      <c r="T44" s="575" t="n"/>
    </row>
    <row r="45" ht="15" customFormat="1" customHeight="1" s="381">
      <c r="A45" s="571" t="inlineStr">
        <is>
          <t>BD-29</t>
        </is>
      </c>
      <c r="B45" s="572" t="n">
        <v>18000000</v>
      </c>
      <c r="C45" s="573" t="n">
        <v>55</v>
      </c>
      <c r="D45" s="573" t="n">
        <v>19</v>
      </c>
      <c r="E45" s="573" t="n">
        <v>3</v>
      </c>
      <c r="F45" s="573" t="inlineStr">
        <is>
          <t>No</t>
        </is>
      </c>
      <c r="G45" s="573" t="inlineStr">
        <is>
          <t>Yes</t>
        </is>
      </c>
      <c r="H45" s="573" t="n">
        <v>0</v>
      </c>
      <c r="I45" s="574">
        <f>IF(H45=1,Assumptions!$B$16,IF(H45=2,Assumptions!$B$17,0))</f>
        <v>0</v>
      </c>
      <c r="J45" s="573" t="inlineStr">
        <is>
          <t>No</t>
        </is>
      </c>
      <c r="K45" s="573" t="inlineStr">
        <is>
          <t>No</t>
        </is>
      </c>
      <c r="L45" s="573" t="inlineStr">
        <is>
          <t>3rd Party GC</t>
        </is>
      </c>
      <c r="M45" s="577" t="inlineStr">
        <is>
          <t>No</t>
        </is>
      </c>
      <c r="N45" s="572" t="n">
        <v>876623</v>
      </c>
      <c r="O45" s="572" t="n">
        <v>876623</v>
      </c>
      <c r="P45" s="572" t="n">
        <v>292208</v>
      </c>
      <c r="Q45" s="572">
        <f>N45+O45+P45</f>
        <v>2045454</v>
      </c>
      <c r="R45" s="572">
        <f>Q45*0.05</f>
        <v>102272.7</v>
      </c>
      <c r="S45" s="571">
        <f>C45+D45-1</f>
        <v>73</v>
      </c>
      <c r="T45" s="575" t="n"/>
    </row>
    <row r="46" ht="15" customFormat="1" customHeight="1" s="381">
      <c r="A46" s="571" t="inlineStr">
        <is>
          <t>BD-30</t>
        </is>
      </c>
      <c r="B46" s="572" t="n">
        <v>15000000</v>
      </c>
      <c r="C46" s="573" t="n">
        <v>56</v>
      </c>
      <c r="D46" s="573" t="n">
        <v>19</v>
      </c>
      <c r="E46" s="573" t="n">
        <v>3</v>
      </c>
      <c r="F46" s="573" t="inlineStr">
        <is>
          <t>No</t>
        </is>
      </c>
      <c r="G46" s="573" t="inlineStr">
        <is>
          <t>Yes</t>
        </is>
      </c>
      <c r="H46" s="573" t="n">
        <v>0</v>
      </c>
      <c r="I46" s="574">
        <f>IF(H46=1,Assumptions!$B$16,IF(H46=2,Assumptions!$B$17,0))</f>
        <v>0</v>
      </c>
      <c r="J46" s="573" t="inlineStr">
        <is>
          <t>No</t>
        </is>
      </c>
      <c r="K46" s="573" t="inlineStr">
        <is>
          <t>No</t>
        </is>
      </c>
      <c r="L46" s="573" t="inlineStr">
        <is>
          <t>3rd Party GC</t>
        </is>
      </c>
      <c r="M46" s="577" t="inlineStr">
        <is>
          <t>Yes</t>
        </is>
      </c>
      <c r="N46" s="572" t="n">
        <v>730519</v>
      </c>
      <c r="O46" s="572" t="n">
        <v>730519</v>
      </c>
      <c r="P46" s="572" t="n">
        <v>243506</v>
      </c>
      <c r="Q46" s="572">
        <f>N46+O46+P46</f>
        <v>1704544</v>
      </c>
      <c r="R46" s="572">
        <f>Q46*0.05</f>
        <v>85227.2</v>
      </c>
      <c r="S46" s="571">
        <f>C46+D46-1</f>
        <v>74</v>
      </c>
      <c r="T46" s="57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DB61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81" min="1" max="1"/>
    <col width="15" customWidth="1" style="381" min="2" max="2"/>
    <col width="11" customWidth="1" style="381" min="3" max="4"/>
    <col width="6" customWidth="1" style="381" min="5" max="5"/>
    <col width="12" customWidth="1" style="381" min="6" max="6"/>
    <col width="4.2" customWidth="1" style="381" min="7" max="106"/>
  </cols>
  <sheetData>
    <row r="1" ht="19.5" customFormat="1" customHeight="1" s="381">
      <c r="A1" s="477" t="inlineStr">
        <is>
          <t>Straight-Line Monthly Billing of In-Place Contracts</t>
        </is>
      </c>
    </row>
    <row r="2" ht="15" customFormat="1" customHeight="1" s="381">
      <c r="A2" s="506" t="inlineStr">
        <is>
          <t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      </is>
      </c>
    </row>
    <row r="4" ht="15" customFormat="1" customHeight="1" s="381">
      <c r="E4" s="578" t="inlineStr">
        <is>
          <t>Month #</t>
        </is>
      </c>
      <c r="G4" s="479" t="n">
        <v>1</v>
      </c>
      <c r="H4" s="479" t="n">
        <v>2</v>
      </c>
      <c r="I4" s="479" t="n">
        <v>3</v>
      </c>
      <c r="J4" s="479" t="n">
        <v>4</v>
      </c>
      <c r="K4" s="479" t="n">
        <v>5</v>
      </c>
      <c r="L4" s="479" t="n">
        <v>6</v>
      </c>
      <c r="M4" s="479" t="n">
        <v>7</v>
      </c>
      <c r="N4" s="479" t="n">
        <v>8</v>
      </c>
      <c r="O4" s="479" t="n">
        <v>9</v>
      </c>
      <c r="P4" s="479" t="n">
        <v>10</v>
      </c>
      <c r="Q4" s="479" t="n">
        <v>11</v>
      </c>
      <c r="R4" s="479" t="n">
        <v>12</v>
      </c>
      <c r="S4" s="479" t="n">
        <v>13</v>
      </c>
      <c r="T4" s="479" t="n">
        <v>14</v>
      </c>
      <c r="U4" s="479" t="n">
        <v>15</v>
      </c>
      <c r="V4" s="479" t="n">
        <v>16</v>
      </c>
      <c r="W4" s="479" t="n">
        <v>17</v>
      </c>
      <c r="X4" s="479" t="n">
        <v>18</v>
      </c>
      <c r="Y4" s="479" t="n">
        <v>19</v>
      </c>
      <c r="Z4" s="479" t="n">
        <v>20</v>
      </c>
      <c r="AA4" s="479" t="n">
        <v>21</v>
      </c>
      <c r="AB4" s="479" t="n">
        <v>22</v>
      </c>
      <c r="AC4" s="479" t="n">
        <v>23</v>
      </c>
      <c r="AD4" s="479" t="n">
        <v>24</v>
      </c>
      <c r="AE4" s="479" t="n">
        <v>25</v>
      </c>
      <c r="AF4" s="479" t="n">
        <v>26</v>
      </c>
      <c r="AG4" s="479" t="n">
        <v>27</v>
      </c>
      <c r="AH4" s="479" t="n">
        <v>28</v>
      </c>
      <c r="AI4" s="479" t="n">
        <v>29</v>
      </c>
      <c r="AJ4" s="479" t="n">
        <v>30</v>
      </c>
      <c r="AK4" s="479" t="n">
        <v>31</v>
      </c>
      <c r="AL4" s="479" t="n">
        <v>32</v>
      </c>
      <c r="AM4" s="479" t="n">
        <v>33</v>
      </c>
      <c r="AN4" s="479" t="n">
        <v>34</v>
      </c>
      <c r="AO4" s="479" t="n">
        <v>35</v>
      </c>
      <c r="AP4" s="479" t="n">
        <v>36</v>
      </c>
      <c r="AQ4" s="479" t="n">
        <v>37</v>
      </c>
      <c r="AR4" s="479" t="n">
        <v>38</v>
      </c>
      <c r="AS4" s="479" t="n">
        <v>39</v>
      </c>
      <c r="AT4" s="479" t="n">
        <v>40</v>
      </c>
      <c r="AU4" s="479" t="n">
        <v>41</v>
      </c>
      <c r="AV4" s="479" t="n">
        <v>42</v>
      </c>
      <c r="AW4" s="479" t="n">
        <v>43</v>
      </c>
      <c r="AX4" s="479" t="n">
        <v>44</v>
      </c>
      <c r="AY4" s="479" t="n">
        <v>45</v>
      </c>
      <c r="AZ4" s="479" t="n">
        <v>46</v>
      </c>
      <c r="BA4" s="479" t="n">
        <v>47</v>
      </c>
      <c r="BB4" s="479" t="n">
        <v>48</v>
      </c>
      <c r="BC4" s="479" t="n">
        <v>49</v>
      </c>
      <c r="BD4" s="479" t="n">
        <v>50</v>
      </c>
      <c r="BE4" s="479" t="n">
        <v>51</v>
      </c>
      <c r="BF4" s="479" t="n">
        <v>52</v>
      </c>
      <c r="BG4" s="479" t="n">
        <v>53</v>
      </c>
      <c r="BH4" s="479" t="n">
        <v>54</v>
      </c>
      <c r="BI4" s="479" t="n">
        <v>55</v>
      </c>
      <c r="BJ4" s="479" t="n">
        <v>56</v>
      </c>
      <c r="BK4" s="479" t="n">
        <v>57</v>
      </c>
      <c r="BL4" s="479" t="n">
        <v>58</v>
      </c>
      <c r="BM4" s="479" t="n">
        <v>59</v>
      </c>
      <c r="BN4" s="479" t="n">
        <v>60</v>
      </c>
      <c r="BO4" s="479" t="n">
        <v>61</v>
      </c>
      <c r="BP4" s="479" t="n">
        <v>62</v>
      </c>
      <c r="BQ4" s="479" t="n">
        <v>63</v>
      </c>
      <c r="BR4" s="479" t="n">
        <v>64</v>
      </c>
      <c r="BS4" s="479" t="n">
        <v>65</v>
      </c>
      <c r="BT4" s="479" t="n">
        <v>66</v>
      </c>
      <c r="BU4" s="479" t="n">
        <v>67</v>
      </c>
      <c r="BV4" s="479" t="n">
        <v>68</v>
      </c>
      <c r="BW4" s="479" t="n">
        <v>69</v>
      </c>
      <c r="BX4" s="479" t="n">
        <v>70</v>
      </c>
      <c r="BY4" s="479" t="n">
        <v>71</v>
      </c>
      <c r="BZ4" s="479" t="n">
        <v>72</v>
      </c>
      <c r="CA4" s="479" t="n">
        <v>73</v>
      </c>
      <c r="CB4" s="479" t="n">
        <v>74</v>
      </c>
      <c r="CC4" s="479" t="n">
        <v>75</v>
      </c>
      <c r="CD4" s="479" t="n">
        <v>76</v>
      </c>
      <c r="CE4" s="479" t="n">
        <v>77</v>
      </c>
      <c r="CF4" s="479" t="n">
        <v>78</v>
      </c>
      <c r="CG4" s="479" t="n">
        <v>79</v>
      </c>
      <c r="CH4" s="479" t="n">
        <v>80</v>
      </c>
      <c r="CI4" s="479" t="n">
        <v>81</v>
      </c>
      <c r="CJ4" s="479" t="n">
        <v>82</v>
      </c>
      <c r="CK4" s="479" t="n">
        <v>83</v>
      </c>
      <c r="CL4" s="479" t="n">
        <v>84</v>
      </c>
      <c r="CM4" s="479" t="n">
        <v>85</v>
      </c>
      <c r="CN4" s="479" t="n">
        <v>86</v>
      </c>
      <c r="CO4" s="479" t="n">
        <v>87</v>
      </c>
      <c r="CP4" s="479" t="n">
        <v>88</v>
      </c>
      <c r="CQ4" s="479" t="n">
        <v>89</v>
      </c>
      <c r="CR4" s="479" t="n">
        <v>90</v>
      </c>
      <c r="CS4" s="479" t="n">
        <v>91</v>
      </c>
      <c r="CT4" s="479" t="n">
        <v>92</v>
      </c>
      <c r="CU4" s="479" t="n">
        <v>93</v>
      </c>
      <c r="CV4" s="479" t="n">
        <v>94</v>
      </c>
      <c r="CW4" s="479" t="n">
        <v>95</v>
      </c>
      <c r="CX4" s="479" t="n">
        <v>96</v>
      </c>
      <c r="CY4" s="479" t="n">
        <v>97</v>
      </c>
      <c r="CZ4" s="479" t="n">
        <v>98</v>
      </c>
      <c r="DA4" s="479" t="n">
        <v>99</v>
      </c>
      <c r="DB4" s="479" t="n">
        <v>100</v>
      </c>
    </row>
    <row r="5" ht="45.75" customFormat="1" customHeight="1" s="381">
      <c r="A5" s="579" t="inlineStr">
        <is>
          <t>Project</t>
        </is>
      </c>
      <c r="B5" s="497" t="inlineStr">
        <is>
          <t>Contract Value</t>
        </is>
      </c>
      <c r="C5" s="497" t="inlineStr">
        <is>
          <t>Start</t>
        </is>
      </c>
      <c r="D5" s="497" t="inlineStr">
        <is>
          <t>Completion</t>
        </is>
      </c>
      <c r="E5" s="497" t="inlineStr">
        <is>
          <t>Dur</t>
        </is>
      </c>
      <c r="F5" s="497" t="inlineStr">
        <is>
          <t>SL Bill $/mo</t>
        </is>
      </c>
      <c r="G5" s="580">
        <f>EDATE(Model!$E$2,G4-1)</f>
        <v>46113</v>
      </c>
      <c r="H5" s="580">
        <f>EDATE(Model!$E$2,H4-1)</f>
        <v>46143</v>
      </c>
      <c r="I5" s="580">
        <f>EDATE(Model!$E$2,I4-1)</f>
        <v>46174</v>
      </c>
      <c r="J5" s="580">
        <f>EDATE(Model!$E$2,J4-1)</f>
        <v>46204</v>
      </c>
      <c r="K5" s="580">
        <f>EDATE(Model!$E$2,K4-1)</f>
        <v>46235</v>
      </c>
      <c r="L5" s="580">
        <f>EDATE(Model!$E$2,L4-1)</f>
        <v>46266</v>
      </c>
      <c r="M5" s="580">
        <f>EDATE(Model!$E$2,M4-1)</f>
        <v>46296</v>
      </c>
      <c r="N5" s="580">
        <f>EDATE(Model!$E$2,N4-1)</f>
        <v>46327</v>
      </c>
      <c r="O5" s="580">
        <f>EDATE(Model!$E$2,O4-1)</f>
        <v>46357</v>
      </c>
      <c r="P5" s="580">
        <f>EDATE(Model!$E$2,P4-1)</f>
        <v>46388</v>
      </c>
      <c r="Q5" s="580">
        <f>EDATE(Model!$E$2,Q4-1)</f>
        <v>46419</v>
      </c>
      <c r="R5" s="580">
        <f>EDATE(Model!$E$2,R4-1)</f>
        <v>46447</v>
      </c>
      <c r="S5" s="580">
        <f>EDATE(Model!$E$2,S4-1)</f>
        <v>46478</v>
      </c>
      <c r="T5" s="580">
        <f>EDATE(Model!$E$2,T4-1)</f>
        <v>46508</v>
      </c>
      <c r="U5" s="580">
        <f>EDATE(Model!$E$2,U4-1)</f>
        <v>46539</v>
      </c>
      <c r="V5" s="580">
        <f>EDATE(Model!$E$2,V4-1)</f>
        <v>46569</v>
      </c>
      <c r="W5" s="580">
        <f>EDATE(Model!$E$2,W4-1)</f>
        <v>46600</v>
      </c>
      <c r="X5" s="580">
        <f>EDATE(Model!$E$2,X4-1)</f>
        <v>46631</v>
      </c>
      <c r="Y5" s="580">
        <f>EDATE(Model!$E$2,Y4-1)</f>
        <v>46661</v>
      </c>
      <c r="Z5" s="580">
        <f>EDATE(Model!$E$2,Z4-1)</f>
        <v>46692</v>
      </c>
      <c r="AA5" s="580">
        <f>EDATE(Model!$E$2,AA4-1)</f>
        <v>46722</v>
      </c>
      <c r="AB5" s="580">
        <f>EDATE(Model!$E$2,AB4-1)</f>
        <v>46753</v>
      </c>
      <c r="AC5" s="580">
        <f>EDATE(Model!$E$2,AC4-1)</f>
        <v>46784</v>
      </c>
      <c r="AD5" s="580">
        <f>EDATE(Model!$E$2,AD4-1)</f>
        <v>46813</v>
      </c>
      <c r="AE5" s="580">
        <f>EDATE(Model!$E$2,AE4-1)</f>
        <v>46844</v>
      </c>
      <c r="AF5" s="580">
        <f>EDATE(Model!$E$2,AF4-1)</f>
        <v>46874</v>
      </c>
      <c r="AG5" s="580">
        <f>EDATE(Model!$E$2,AG4-1)</f>
        <v>46905</v>
      </c>
      <c r="AH5" s="580">
        <f>EDATE(Model!$E$2,AH4-1)</f>
        <v>46935</v>
      </c>
      <c r="AI5" s="580">
        <f>EDATE(Model!$E$2,AI4-1)</f>
        <v>46966</v>
      </c>
      <c r="AJ5" s="580">
        <f>EDATE(Model!$E$2,AJ4-1)</f>
        <v>46997</v>
      </c>
      <c r="AK5" s="580">
        <f>EDATE(Model!$E$2,AK4-1)</f>
        <v>47027</v>
      </c>
      <c r="AL5" s="580">
        <f>EDATE(Model!$E$2,AL4-1)</f>
        <v>47058</v>
      </c>
      <c r="AM5" s="580">
        <f>EDATE(Model!$E$2,AM4-1)</f>
        <v>47088</v>
      </c>
      <c r="AN5" s="580">
        <f>EDATE(Model!$E$2,AN4-1)</f>
        <v>47119</v>
      </c>
      <c r="AO5" s="580">
        <f>EDATE(Model!$E$2,AO4-1)</f>
        <v>47150</v>
      </c>
      <c r="AP5" s="580">
        <f>EDATE(Model!$E$2,AP4-1)</f>
        <v>47178</v>
      </c>
      <c r="AQ5" s="580">
        <f>EDATE(Model!$E$2,AQ4-1)</f>
        <v>47209</v>
      </c>
      <c r="AR5" s="580">
        <f>EDATE(Model!$E$2,AR4-1)</f>
        <v>47239</v>
      </c>
      <c r="AS5" s="580">
        <f>EDATE(Model!$E$2,AS4-1)</f>
        <v>47270</v>
      </c>
      <c r="AT5" s="580">
        <f>EDATE(Model!$E$2,AT4-1)</f>
        <v>47300</v>
      </c>
      <c r="AU5" s="580">
        <f>EDATE(Model!$E$2,AU4-1)</f>
        <v>47331</v>
      </c>
      <c r="AV5" s="580">
        <f>EDATE(Model!$E$2,AV4-1)</f>
        <v>47362</v>
      </c>
      <c r="AW5" s="580">
        <f>EDATE(Model!$E$2,AW4-1)</f>
        <v>47392</v>
      </c>
      <c r="AX5" s="580">
        <f>EDATE(Model!$E$2,AX4-1)</f>
        <v>47423</v>
      </c>
      <c r="AY5" s="580">
        <f>EDATE(Model!$E$2,AY4-1)</f>
        <v>47453</v>
      </c>
      <c r="AZ5" s="580">
        <f>EDATE(Model!$E$2,AZ4-1)</f>
        <v>47484</v>
      </c>
      <c r="BA5" s="580">
        <f>EDATE(Model!$E$2,BA4-1)</f>
        <v>47515</v>
      </c>
      <c r="BB5" s="580">
        <f>EDATE(Model!$E$2,BB4-1)</f>
        <v>47543</v>
      </c>
      <c r="BC5" s="580">
        <f>EDATE(Model!$E$2,BC4-1)</f>
        <v>47574</v>
      </c>
      <c r="BD5" s="580">
        <f>EDATE(Model!$E$2,BD4-1)</f>
        <v>47604</v>
      </c>
      <c r="BE5" s="580">
        <f>EDATE(Model!$E$2,BE4-1)</f>
        <v>47635</v>
      </c>
      <c r="BF5" s="580">
        <f>EDATE(Model!$E$2,BF4-1)</f>
        <v>47665</v>
      </c>
      <c r="BG5" s="580">
        <f>EDATE(Model!$E$2,BG4-1)</f>
        <v>47696</v>
      </c>
      <c r="BH5" s="580">
        <f>EDATE(Model!$E$2,BH4-1)</f>
        <v>47727</v>
      </c>
      <c r="BI5" s="580">
        <f>EDATE(Model!$E$2,BI4-1)</f>
        <v>47757</v>
      </c>
      <c r="BJ5" s="580">
        <f>EDATE(Model!$E$2,BJ4-1)</f>
        <v>47788</v>
      </c>
      <c r="BK5" s="580">
        <f>EDATE(Model!$E$2,BK4-1)</f>
        <v>47818</v>
      </c>
      <c r="BL5" s="580">
        <f>EDATE(Model!$E$2,BL4-1)</f>
        <v>47849</v>
      </c>
      <c r="BM5" s="580">
        <f>EDATE(Model!$E$2,BM4-1)</f>
        <v>47880</v>
      </c>
      <c r="BN5" s="580">
        <f>EDATE(Model!$E$2,BN4-1)</f>
        <v>47908</v>
      </c>
      <c r="BO5" s="580">
        <f>EDATE(Model!$E$2,BO4-1)</f>
        <v>47939</v>
      </c>
      <c r="BP5" s="580">
        <f>EDATE(Model!$E$2,BP4-1)</f>
        <v>47969</v>
      </c>
      <c r="BQ5" s="580">
        <f>EDATE(Model!$E$2,BQ4-1)</f>
        <v>48000</v>
      </c>
      <c r="BR5" s="580">
        <f>EDATE(Model!$E$2,BR4-1)</f>
        <v>48030</v>
      </c>
      <c r="BS5" s="580">
        <f>EDATE(Model!$E$2,BS4-1)</f>
        <v>48061</v>
      </c>
      <c r="BT5" s="580">
        <f>EDATE(Model!$E$2,BT4-1)</f>
        <v>48092</v>
      </c>
      <c r="BU5" s="580">
        <f>EDATE(Model!$E$2,BU4-1)</f>
        <v>48122</v>
      </c>
      <c r="BV5" s="580">
        <f>EDATE(Model!$E$2,BV4-1)</f>
        <v>48153</v>
      </c>
      <c r="BW5" s="580">
        <f>EDATE(Model!$E$2,BW4-1)</f>
        <v>48183</v>
      </c>
      <c r="BX5" s="580">
        <f>EDATE(Model!$E$2,BX4-1)</f>
        <v>48214</v>
      </c>
      <c r="BY5" s="580">
        <f>EDATE(Model!$E$2,BY4-1)</f>
        <v>48245</v>
      </c>
      <c r="BZ5" s="580">
        <f>EDATE(Model!$E$2,BZ4-1)</f>
        <v>48274</v>
      </c>
      <c r="CA5" s="580">
        <f>EDATE(Model!$E$2,CA4-1)</f>
        <v>48305</v>
      </c>
      <c r="CB5" s="580">
        <f>EDATE(Model!$E$2,CB4-1)</f>
        <v>48335</v>
      </c>
      <c r="CC5" s="580">
        <f>EDATE(Model!$E$2,CC4-1)</f>
        <v>48366</v>
      </c>
      <c r="CD5" s="580">
        <f>EDATE(Model!$E$2,CD4-1)</f>
        <v>48396</v>
      </c>
      <c r="CE5" s="580">
        <f>EDATE(Model!$E$2,CE4-1)</f>
        <v>48427</v>
      </c>
      <c r="CF5" s="580">
        <f>EDATE(Model!$E$2,CF4-1)</f>
        <v>48458</v>
      </c>
      <c r="CG5" s="580">
        <f>EDATE(Model!$E$2,CG4-1)</f>
        <v>48488</v>
      </c>
      <c r="CH5" s="580">
        <f>EDATE(Model!$E$2,CH4-1)</f>
        <v>48519</v>
      </c>
      <c r="CI5" s="580">
        <f>EDATE(Model!$E$2,CI4-1)</f>
        <v>48549</v>
      </c>
      <c r="CJ5" s="580">
        <f>EDATE(Model!$E$2,CJ4-1)</f>
        <v>48580</v>
      </c>
      <c r="CK5" s="580">
        <f>EDATE(Model!$E$2,CK4-1)</f>
        <v>48611</v>
      </c>
      <c r="CL5" s="580">
        <f>EDATE(Model!$E$2,CL4-1)</f>
        <v>48639</v>
      </c>
      <c r="CM5" s="580">
        <f>EDATE(Model!$E$2,CM4-1)</f>
        <v>48670</v>
      </c>
      <c r="CN5" s="580">
        <f>EDATE(Model!$E$2,CN4-1)</f>
        <v>48700</v>
      </c>
      <c r="CO5" s="580">
        <f>EDATE(Model!$E$2,CO4-1)</f>
        <v>48731</v>
      </c>
      <c r="CP5" s="580">
        <f>EDATE(Model!$E$2,CP4-1)</f>
        <v>48761</v>
      </c>
      <c r="CQ5" s="580">
        <f>EDATE(Model!$E$2,CQ4-1)</f>
        <v>48792</v>
      </c>
      <c r="CR5" s="580">
        <f>EDATE(Model!$E$2,CR4-1)</f>
        <v>48823</v>
      </c>
      <c r="CS5" s="580">
        <f>EDATE(Model!$E$2,CS4-1)</f>
        <v>48853</v>
      </c>
      <c r="CT5" s="580">
        <f>EDATE(Model!$E$2,CT4-1)</f>
        <v>48884</v>
      </c>
      <c r="CU5" s="580">
        <f>EDATE(Model!$E$2,CU4-1)</f>
        <v>48914</v>
      </c>
      <c r="CV5" s="580">
        <f>EDATE(Model!$E$2,CV4-1)</f>
        <v>48945</v>
      </c>
      <c r="CW5" s="580">
        <f>EDATE(Model!$E$2,CW4-1)</f>
        <v>48976</v>
      </c>
      <c r="CX5" s="580">
        <f>EDATE(Model!$E$2,CX4-1)</f>
        <v>49004</v>
      </c>
      <c r="CY5" s="580">
        <f>EDATE(Model!$E$2,CY4-1)</f>
        <v>49035</v>
      </c>
      <c r="CZ5" s="580">
        <f>EDATE(Model!$E$2,CZ4-1)</f>
        <v>49065</v>
      </c>
      <c r="DA5" s="580">
        <f>EDATE(Model!$E$2,DA4-1)</f>
        <v>49096</v>
      </c>
      <c r="DB5" s="580">
        <f>EDATE(Model!$E$2,DB4-1)</f>
        <v>49126</v>
      </c>
    </row>
    <row r="6" ht="15" customFormat="1" customHeight="1" s="381">
      <c r="A6" s="511" t="inlineStr">
        <is>
          <t>COMMITTED CONTRACTS  (Active jobs)</t>
        </is>
      </c>
      <c r="B6" s="512" t="n"/>
      <c r="C6" s="512" t="n"/>
      <c r="D6" s="512" t="n"/>
      <c r="E6" s="512" t="n"/>
      <c r="F6" s="512" t="n"/>
      <c r="G6" s="512" t="n"/>
      <c r="H6" s="512" t="n"/>
      <c r="I6" s="512" t="n"/>
      <c r="J6" s="512" t="n"/>
      <c r="K6" s="512" t="n"/>
      <c r="L6" s="512" t="n"/>
      <c r="M6" s="512" t="n"/>
      <c r="N6" s="512" t="n"/>
      <c r="O6" s="512" t="n"/>
      <c r="P6" s="512" t="n"/>
      <c r="Q6" s="512" t="n"/>
      <c r="R6" s="512" t="n"/>
      <c r="S6" s="512" t="n"/>
      <c r="T6" s="512" t="n"/>
      <c r="U6" s="512" t="n"/>
      <c r="V6" s="512" t="n"/>
      <c r="W6" s="512" t="n"/>
      <c r="X6" s="512" t="n"/>
      <c r="Y6" s="512" t="n"/>
      <c r="Z6" s="512" t="n"/>
      <c r="AA6" s="512" t="n"/>
      <c r="AB6" s="512" t="n"/>
      <c r="AC6" s="512" t="n"/>
      <c r="AD6" s="512" t="n"/>
      <c r="AE6" s="512" t="n"/>
      <c r="AF6" s="512" t="n"/>
      <c r="AG6" s="512" t="n"/>
      <c r="AH6" s="512" t="n"/>
      <c r="AI6" s="512" t="n"/>
      <c r="AJ6" s="512" t="n"/>
      <c r="AK6" s="512" t="n"/>
      <c r="AL6" s="512" t="n"/>
      <c r="AM6" s="512" t="n"/>
      <c r="AN6" s="512" t="n"/>
      <c r="AO6" s="512" t="n"/>
      <c r="AP6" s="512" t="n"/>
      <c r="AQ6" s="512" t="n"/>
      <c r="AR6" s="512" t="n"/>
      <c r="AS6" s="512" t="n"/>
      <c r="AT6" s="512" t="n"/>
      <c r="AU6" s="512" t="n"/>
      <c r="AV6" s="512" t="n"/>
      <c r="AW6" s="512" t="n"/>
      <c r="AX6" s="512" t="n"/>
      <c r="AY6" s="512" t="n"/>
      <c r="AZ6" s="512" t="n"/>
      <c r="BA6" s="512" t="n"/>
      <c r="BB6" s="512" t="n"/>
      <c r="BC6" s="512" t="n"/>
      <c r="BD6" s="512" t="n"/>
      <c r="BE6" s="512" t="n"/>
      <c r="BF6" s="512" t="n"/>
      <c r="BG6" s="512" t="n"/>
      <c r="BH6" s="512" t="n"/>
      <c r="BI6" s="512" t="n"/>
      <c r="BJ6" s="512" t="n"/>
      <c r="BK6" s="512" t="n"/>
      <c r="BL6" s="512" t="n"/>
      <c r="BM6" s="512" t="n"/>
      <c r="BN6" s="512" t="n"/>
      <c r="BO6" s="512" t="n"/>
      <c r="BP6" s="512" t="n"/>
      <c r="BQ6" s="512" t="n"/>
      <c r="BR6" s="512" t="n"/>
      <c r="BS6" s="512" t="n"/>
      <c r="BT6" s="512" t="n"/>
      <c r="BU6" s="512" t="n"/>
      <c r="BV6" s="512" t="n"/>
      <c r="BW6" s="512" t="n"/>
      <c r="BX6" s="512" t="n"/>
      <c r="BY6" s="512" t="n"/>
      <c r="BZ6" s="512" t="n"/>
      <c r="CA6" s="512" t="n"/>
      <c r="CB6" s="512" t="n"/>
      <c r="CC6" s="512" t="n"/>
      <c r="CD6" s="512" t="n"/>
      <c r="CE6" s="512" t="n"/>
      <c r="CF6" s="512" t="n"/>
      <c r="CG6" s="512" t="n"/>
      <c r="CH6" s="512" t="n"/>
      <c r="CI6" s="512" t="n"/>
      <c r="CJ6" s="512" t="n"/>
      <c r="CK6" s="512" t="n"/>
      <c r="CL6" s="512" t="n"/>
      <c r="CM6" s="512" t="n"/>
      <c r="CN6" s="512" t="n"/>
      <c r="CO6" s="512" t="n"/>
      <c r="CP6" s="512" t="n"/>
      <c r="CQ6" s="512" t="n"/>
      <c r="CR6" s="512" t="n"/>
      <c r="CS6" s="512" t="n"/>
      <c r="CT6" s="512" t="n"/>
      <c r="CU6" s="512" t="n"/>
      <c r="CV6" s="512" t="n"/>
      <c r="CW6" s="512" t="n"/>
      <c r="CX6" s="512" t="n"/>
      <c r="CY6" s="512" t="n"/>
      <c r="CZ6" s="512" t="n"/>
      <c r="DA6" s="512" t="n"/>
      <c r="DB6" s="512" t="n"/>
    </row>
    <row r="7" ht="15" customFormat="1" customHeight="1" s="381">
      <c r="A7" s="513" t="inlineStr">
        <is>
          <t>Crenshaw</t>
        </is>
      </c>
      <c r="B7" s="581">
        <f>Projects!$B$2</f>
        <v>7126075</v>
      </c>
      <c r="C7" s="582">
        <f>EDATE(Model!$E$2,Projects!$C$2-1)</f>
        <v>46113</v>
      </c>
      <c r="D7" s="582">
        <f>EDATE(Model!$E$2,Projects!$C$2+Projects!$D$2-2)</f>
        <v>46327</v>
      </c>
      <c r="E7" s="583">
        <f>Projects!$D$2</f>
        <v>8</v>
      </c>
      <c r="F7" s="581">
        <f>Projects!$B$2/Projects!$D$2</f>
        <v>890759.375</v>
      </c>
      <c r="G7" s="584">
        <f>IF(AND(Projects!$C$2&lt;=G$4,G$4&lt;=Projects!$C$2+Projects!$D$2-1),Projects!$B$2/Projects!$D$2,"")</f>
        <v>890759.375</v>
      </c>
      <c r="H7" s="584">
        <f>IF(AND(Projects!$C$2&lt;=H$4,H$4&lt;=Projects!$C$2+Projects!$D$2-1),Projects!$B$2/Projects!$D$2,"")</f>
        <v>890759.375</v>
      </c>
      <c r="I7" s="584">
        <f>IF(AND(Projects!$C$2&lt;=I$4,I$4&lt;=Projects!$C$2+Projects!$D$2-1),Projects!$B$2/Projects!$D$2,"")</f>
        <v>890759.375</v>
      </c>
      <c r="J7" s="584">
        <f>IF(AND(Projects!$C$2&lt;=J$4,J$4&lt;=Projects!$C$2+Projects!$D$2-1),Projects!$B$2/Projects!$D$2,"")</f>
        <v>890759.375</v>
      </c>
      <c r="K7" s="584">
        <f>IF(AND(Projects!$C$2&lt;=K$4,K$4&lt;=Projects!$C$2+Projects!$D$2-1),Projects!$B$2/Projects!$D$2,"")</f>
        <v>890759.375</v>
      </c>
      <c r="L7" s="584">
        <f>IF(AND(Projects!$C$2&lt;=L$4,L$4&lt;=Projects!$C$2+Projects!$D$2-1),Projects!$B$2/Projects!$D$2,"")</f>
        <v>890759.375</v>
      </c>
      <c r="M7" s="584">
        <f>IF(AND(Projects!$C$2&lt;=M$4,M$4&lt;=Projects!$C$2+Projects!$D$2-1),Projects!$B$2/Projects!$D$2,"")</f>
        <v>890759.375</v>
      </c>
      <c r="N7" s="584">
        <f>IF(AND(Projects!$C$2&lt;=N$4,N$4&lt;=Projects!$C$2+Projects!$D$2-1),Projects!$B$2/Projects!$D$2,"")</f>
        <v>890759.375</v>
      </c>
      <c r="O7" s="584">
        <f>IF(AND(Projects!$C$2&lt;=O$4,O$4&lt;=Projects!$C$2+Projects!$D$2-1),Projects!$B$2/Projects!$D$2,"")</f>
      </c>
      <c r="P7" s="584">
        <f>IF(AND(Projects!$C$2&lt;=P$4,P$4&lt;=Projects!$C$2+Projects!$D$2-1),Projects!$B$2/Projects!$D$2,"")</f>
      </c>
      <c r="Q7" s="584">
        <f>IF(AND(Projects!$C$2&lt;=Q$4,Q$4&lt;=Projects!$C$2+Projects!$D$2-1),Projects!$B$2/Projects!$D$2,"")</f>
      </c>
      <c r="R7" s="584">
        <f>IF(AND(Projects!$C$2&lt;=R$4,R$4&lt;=Projects!$C$2+Projects!$D$2-1),Projects!$B$2/Projects!$D$2,"")</f>
      </c>
      <c r="S7" s="584">
        <f>IF(AND(Projects!$C$2&lt;=S$4,S$4&lt;=Projects!$C$2+Projects!$D$2-1),Projects!$B$2/Projects!$D$2,"")</f>
      </c>
      <c r="T7" s="584">
        <f>IF(AND(Projects!$C$2&lt;=T$4,T$4&lt;=Projects!$C$2+Projects!$D$2-1),Projects!$B$2/Projects!$D$2,"")</f>
      </c>
      <c r="U7" s="584">
        <f>IF(AND(Projects!$C$2&lt;=U$4,U$4&lt;=Projects!$C$2+Projects!$D$2-1),Projects!$B$2/Projects!$D$2,"")</f>
      </c>
      <c r="V7" s="584">
        <f>IF(AND(Projects!$C$2&lt;=V$4,V$4&lt;=Projects!$C$2+Projects!$D$2-1),Projects!$B$2/Projects!$D$2,"")</f>
      </c>
      <c r="W7" s="584">
        <f>IF(AND(Projects!$C$2&lt;=W$4,W$4&lt;=Projects!$C$2+Projects!$D$2-1),Projects!$B$2/Projects!$D$2,"")</f>
      </c>
      <c r="X7" s="584">
        <f>IF(AND(Projects!$C$2&lt;=X$4,X$4&lt;=Projects!$C$2+Projects!$D$2-1),Projects!$B$2/Projects!$D$2,"")</f>
      </c>
      <c r="Y7" s="584">
        <f>IF(AND(Projects!$C$2&lt;=Y$4,Y$4&lt;=Projects!$C$2+Projects!$D$2-1),Projects!$B$2/Projects!$D$2,"")</f>
      </c>
      <c r="Z7" s="584">
        <f>IF(AND(Projects!$C$2&lt;=Z$4,Z$4&lt;=Projects!$C$2+Projects!$D$2-1),Projects!$B$2/Projects!$D$2,"")</f>
      </c>
      <c r="AA7" s="584">
        <f>IF(AND(Projects!$C$2&lt;=AA$4,AA$4&lt;=Projects!$C$2+Projects!$D$2-1),Projects!$B$2/Projects!$D$2,"")</f>
      </c>
      <c r="AB7" s="584">
        <f>IF(AND(Projects!$C$2&lt;=AB$4,AB$4&lt;=Projects!$C$2+Projects!$D$2-1),Projects!$B$2/Projects!$D$2,"")</f>
      </c>
      <c r="AC7" s="584">
        <f>IF(AND(Projects!$C$2&lt;=AC$4,AC$4&lt;=Projects!$C$2+Projects!$D$2-1),Projects!$B$2/Projects!$D$2,"")</f>
      </c>
      <c r="AD7" s="584">
        <f>IF(AND(Projects!$C$2&lt;=AD$4,AD$4&lt;=Projects!$C$2+Projects!$D$2-1),Projects!$B$2/Projects!$D$2,"")</f>
      </c>
      <c r="AE7" s="584">
        <f>IF(AND(Projects!$C$2&lt;=AE$4,AE$4&lt;=Projects!$C$2+Projects!$D$2-1),Projects!$B$2/Projects!$D$2,"")</f>
      </c>
      <c r="AF7" s="584">
        <f>IF(AND(Projects!$C$2&lt;=AF$4,AF$4&lt;=Projects!$C$2+Projects!$D$2-1),Projects!$B$2/Projects!$D$2,"")</f>
      </c>
      <c r="AG7" s="584">
        <f>IF(AND(Projects!$C$2&lt;=AG$4,AG$4&lt;=Projects!$C$2+Projects!$D$2-1),Projects!$B$2/Projects!$D$2,"")</f>
      </c>
      <c r="AH7" s="584">
        <f>IF(AND(Projects!$C$2&lt;=AH$4,AH$4&lt;=Projects!$C$2+Projects!$D$2-1),Projects!$B$2/Projects!$D$2,"")</f>
      </c>
      <c r="AI7" s="584">
        <f>IF(AND(Projects!$C$2&lt;=AI$4,AI$4&lt;=Projects!$C$2+Projects!$D$2-1),Projects!$B$2/Projects!$D$2,"")</f>
      </c>
      <c r="AJ7" s="584">
        <f>IF(AND(Projects!$C$2&lt;=AJ$4,AJ$4&lt;=Projects!$C$2+Projects!$D$2-1),Projects!$B$2/Projects!$D$2,"")</f>
      </c>
      <c r="AK7" s="584">
        <f>IF(AND(Projects!$C$2&lt;=AK$4,AK$4&lt;=Projects!$C$2+Projects!$D$2-1),Projects!$B$2/Projects!$D$2,"")</f>
      </c>
      <c r="AL7" s="584">
        <f>IF(AND(Projects!$C$2&lt;=AL$4,AL$4&lt;=Projects!$C$2+Projects!$D$2-1),Projects!$B$2/Projects!$D$2,"")</f>
      </c>
      <c r="AM7" s="584">
        <f>IF(AND(Projects!$C$2&lt;=AM$4,AM$4&lt;=Projects!$C$2+Projects!$D$2-1),Projects!$B$2/Projects!$D$2,"")</f>
      </c>
      <c r="AN7" s="584">
        <f>IF(AND(Projects!$C$2&lt;=AN$4,AN$4&lt;=Projects!$C$2+Projects!$D$2-1),Projects!$B$2/Projects!$D$2,"")</f>
      </c>
      <c r="AO7" s="584">
        <f>IF(AND(Projects!$C$2&lt;=AO$4,AO$4&lt;=Projects!$C$2+Projects!$D$2-1),Projects!$B$2/Projects!$D$2,"")</f>
      </c>
      <c r="AP7" s="584">
        <f>IF(AND(Projects!$C$2&lt;=AP$4,AP$4&lt;=Projects!$C$2+Projects!$D$2-1),Projects!$B$2/Projects!$D$2,"")</f>
      </c>
      <c r="AQ7" s="584">
        <f>IF(AND(Projects!$C$2&lt;=AQ$4,AQ$4&lt;=Projects!$C$2+Projects!$D$2-1),Projects!$B$2/Projects!$D$2,"")</f>
      </c>
      <c r="AR7" s="584">
        <f>IF(AND(Projects!$C$2&lt;=AR$4,AR$4&lt;=Projects!$C$2+Projects!$D$2-1),Projects!$B$2/Projects!$D$2,"")</f>
      </c>
      <c r="AS7" s="584">
        <f>IF(AND(Projects!$C$2&lt;=AS$4,AS$4&lt;=Projects!$C$2+Projects!$D$2-1),Projects!$B$2/Projects!$D$2,"")</f>
      </c>
      <c r="AT7" s="584">
        <f>IF(AND(Projects!$C$2&lt;=AT$4,AT$4&lt;=Projects!$C$2+Projects!$D$2-1),Projects!$B$2/Projects!$D$2,"")</f>
      </c>
      <c r="AU7" s="584">
        <f>IF(AND(Projects!$C$2&lt;=AU$4,AU$4&lt;=Projects!$C$2+Projects!$D$2-1),Projects!$B$2/Projects!$D$2,"")</f>
      </c>
      <c r="AV7" s="584">
        <f>IF(AND(Projects!$C$2&lt;=AV$4,AV$4&lt;=Projects!$C$2+Projects!$D$2-1),Projects!$B$2/Projects!$D$2,"")</f>
      </c>
      <c r="AW7" s="584">
        <f>IF(AND(Projects!$C$2&lt;=AW$4,AW$4&lt;=Projects!$C$2+Projects!$D$2-1),Projects!$B$2/Projects!$D$2,"")</f>
      </c>
      <c r="AX7" s="584">
        <f>IF(AND(Projects!$C$2&lt;=AX$4,AX$4&lt;=Projects!$C$2+Projects!$D$2-1),Projects!$B$2/Projects!$D$2,"")</f>
      </c>
      <c r="AY7" s="584">
        <f>IF(AND(Projects!$C$2&lt;=AY$4,AY$4&lt;=Projects!$C$2+Projects!$D$2-1),Projects!$B$2/Projects!$D$2,"")</f>
      </c>
      <c r="AZ7" s="584">
        <f>IF(AND(Projects!$C$2&lt;=AZ$4,AZ$4&lt;=Projects!$C$2+Projects!$D$2-1),Projects!$B$2/Projects!$D$2,"")</f>
      </c>
      <c r="BA7" s="584">
        <f>IF(AND(Projects!$C$2&lt;=BA$4,BA$4&lt;=Projects!$C$2+Projects!$D$2-1),Projects!$B$2/Projects!$D$2,"")</f>
      </c>
      <c r="BB7" s="584">
        <f>IF(AND(Projects!$C$2&lt;=BB$4,BB$4&lt;=Projects!$C$2+Projects!$D$2-1),Projects!$B$2/Projects!$D$2,"")</f>
      </c>
      <c r="BC7" s="584">
        <f>IF(AND(Projects!$C$2&lt;=BC$4,BC$4&lt;=Projects!$C$2+Projects!$D$2-1),Projects!$B$2/Projects!$D$2,"")</f>
      </c>
      <c r="BD7" s="584">
        <f>IF(AND(Projects!$C$2&lt;=BD$4,BD$4&lt;=Projects!$C$2+Projects!$D$2-1),Projects!$B$2/Projects!$D$2,"")</f>
      </c>
      <c r="BE7" s="584">
        <f>IF(AND(Projects!$C$2&lt;=BE$4,BE$4&lt;=Projects!$C$2+Projects!$D$2-1),Projects!$B$2/Projects!$D$2,"")</f>
      </c>
      <c r="BF7" s="584">
        <f>IF(AND(Projects!$C$2&lt;=BF$4,BF$4&lt;=Projects!$C$2+Projects!$D$2-1),Projects!$B$2/Projects!$D$2,"")</f>
      </c>
      <c r="BG7" s="584">
        <f>IF(AND(Projects!$C$2&lt;=BG$4,BG$4&lt;=Projects!$C$2+Projects!$D$2-1),Projects!$B$2/Projects!$D$2,"")</f>
      </c>
      <c r="BH7" s="584">
        <f>IF(AND(Projects!$C$2&lt;=BH$4,BH$4&lt;=Projects!$C$2+Projects!$D$2-1),Projects!$B$2/Projects!$D$2,"")</f>
      </c>
      <c r="BI7" s="584">
        <f>IF(AND(Projects!$C$2&lt;=BI$4,BI$4&lt;=Projects!$C$2+Projects!$D$2-1),Projects!$B$2/Projects!$D$2,"")</f>
      </c>
      <c r="BJ7" s="584">
        <f>IF(AND(Projects!$C$2&lt;=BJ$4,BJ$4&lt;=Projects!$C$2+Projects!$D$2-1),Projects!$B$2/Projects!$D$2,"")</f>
      </c>
      <c r="BK7" s="584">
        <f>IF(AND(Projects!$C$2&lt;=BK$4,BK$4&lt;=Projects!$C$2+Projects!$D$2-1),Projects!$B$2/Projects!$D$2,"")</f>
      </c>
      <c r="BL7" s="584">
        <f>IF(AND(Projects!$C$2&lt;=BL$4,BL$4&lt;=Projects!$C$2+Projects!$D$2-1),Projects!$B$2/Projects!$D$2,"")</f>
      </c>
      <c r="BM7" s="584">
        <f>IF(AND(Projects!$C$2&lt;=BM$4,BM$4&lt;=Projects!$C$2+Projects!$D$2-1),Projects!$B$2/Projects!$D$2,"")</f>
      </c>
      <c r="BN7" s="584">
        <f>IF(AND(Projects!$C$2&lt;=BN$4,BN$4&lt;=Projects!$C$2+Projects!$D$2-1),Projects!$B$2/Projects!$D$2,"")</f>
      </c>
      <c r="BO7" s="584">
        <f>IF(AND(Projects!$C$2&lt;=BO$4,BO$4&lt;=Projects!$C$2+Projects!$D$2-1),Projects!$B$2/Projects!$D$2,"")</f>
      </c>
      <c r="BP7" s="584">
        <f>IF(AND(Projects!$C$2&lt;=BP$4,BP$4&lt;=Projects!$C$2+Projects!$D$2-1),Projects!$B$2/Projects!$D$2,"")</f>
      </c>
      <c r="BQ7" s="584">
        <f>IF(AND(Projects!$C$2&lt;=BQ$4,BQ$4&lt;=Projects!$C$2+Projects!$D$2-1),Projects!$B$2/Projects!$D$2,"")</f>
      </c>
      <c r="BR7" s="584">
        <f>IF(AND(Projects!$C$2&lt;=BR$4,BR$4&lt;=Projects!$C$2+Projects!$D$2-1),Projects!$B$2/Projects!$D$2,"")</f>
      </c>
      <c r="BS7" s="584">
        <f>IF(AND(Projects!$C$2&lt;=BS$4,BS$4&lt;=Projects!$C$2+Projects!$D$2-1),Projects!$B$2/Projects!$D$2,"")</f>
      </c>
      <c r="BT7" s="584">
        <f>IF(AND(Projects!$C$2&lt;=BT$4,BT$4&lt;=Projects!$C$2+Projects!$D$2-1),Projects!$B$2/Projects!$D$2,"")</f>
      </c>
      <c r="BU7" s="584">
        <f>IF(AND(Projects!$C$2&lt;=BU$4,BU$4&lt;=Projects!$C$2+Projects!$D$2-1),Projects!$B$2/Projects!$D$2,"")</f>
      </c>
      <c r="BV7" s="584">
        <f>IF(AND(Projects!$C$2&lt;=BV$4,BV$4&lt;=Projects!$C$2+Projects!$D$2-1),Projects!$B$2/Projects!$D$2,"")</f>
      </c>
      <c r="BW7" s="584">
        <f>IF(AND(Projects!$C$2&lt;=BW$4,BW$4&lt;=Projects!$C$2+Projects!$D$2-1),Projects!$B$2/Projects!$D$2,"")</f>
      </c>
      <c r="BX7" s="584">
        <f>IF(AND(Projects!$C$2&lt;=BX$4,BX$4&lt;=Projects!$C$2+Projects!$D$2-1),Projects!$B$2/Projects!$D$2,"")</f>
      </c>
      <c r="BY7" s="584">
        <f>IF(AND(Projects!$C$2&lt;=BY$4,BY$4&lt;=Projects!$C$2+Projects!$D$2-1),Projects!$B$2/Projects!$D$2,"")</f>
      </c>
      <c r="BZ7" s="584">
        <f>IF(AND(Projects!$C$2&lt;=BZ$4,BZ$4&lt;=Projects!$C$2+Projects!$D$2-1),Projects!$B$2/Projects!$D$2,"")</f>
      </c>
      <c r="CA7" s="584">
        <f>IF(AND(Projects!$C$2&lt;=CA$4,CA$4&lt;=Projects!$C$2+Projects!$D$2-1),Projects!$B$2/Projects!$D$2,"")</f>
      </c>
      <c r="CB7" s="584">
        <f>IF(AND(Projects!$C$2&lt;=CB$4,CB$4&lt;=Projects!$C$2+Projects!$D$2-1),Projects!$B$2/Projects!$D$2,"")</f>
      </c>
      <c r="CC7" s="584">
        <f>IF(AND(Projects!$C$2&lt;=CC$4,CC$4&lt;=Projects!$C$2+Projects!$D$2-1),Projects!$B$2/Projects!$D$2,"")</f>
      </c>
      <c r="CD7" s="584">
        <f>IF(AND(Projects!$C$2&lt;=CD$4,CD$4&lt;=Projects!$C$2+Projects!$D$2-1),Projects!$B$2/Projects!$D$2,"")</f>
      </c>
      <c r="CE7" s="584">
        <f>IF(AND(Projects!$C$2&lt;=CE$4,CE$4&lt;=Projects!$C$2+Projects!$D$2-1),Projects!$B$2/Projects!$D$2,"")</f>
      </c>
      <c r="CF7" s="584">
        <f>IF(AND(Projects!$C$2&lt;=CF$4,CF$4&lt;=Projects!$C$2+Projects!$D$2-1),Projects!$B$2/Projects!$D$2,"")</f>
      </c>
      <c r="CG7" s="584">
        <f>IF(AND(Projects!$C$2&lt;=CG$4,CG$4&lt;=Projects!$C$2+Projects!$D$2-1),Projects!$B$2/Projects!$D$2,"")</f>
      </c>
      <c r="CH7" s="584">
        <f>IF(AND(Projects!$C$2&lt;=CH$4,CH$4&lt;=Projects!$C$2+Projects!$D$2-1),Projects!$B$2/Projects!$D$2,"")</f>
      </c>
      <c r="CI7" s="584">
        <f>IF(AND(Projects!$C$2&lt;=CI$4,CI$4&lt;=Projects!$C$2+Projects!$D$2-1),Projects!$B$2/Projects!$D$2,"")</f>
      </c>
      <c r="CJ7" s="584">
        <f>IF(AND(Projects!$C$2&lt;=CJ$4,CJ$4&lt;=Projects!$C$2+Projects!$D$2-1),Projects!$B$2/Projects!$D$2,"")</f>
      </c>
      <c r="CK7" s="584">
        <f>IF(AND(Projects!$C$2&lt;=CK$4,CK$4&lt;=Projects!$C$2+Projects!$D$2-1),Projects!$B$2/Projects!$D$2,"")</f>
      </c>
      <c r="CL7" s="584">
        <f>IF(AND(Projects!$C$2&lt;=CL$4,CL$4&lt;=Projects!$C$2+Projects!$D$2-1),Projects!$B$2/Projects!$D$2,"")</f>
      </c>
      <c r="CM7" s="584">
        <f>IF(AND(Projects!$C$2&lt;=CM$4,CM$4&lt;=Projects!$C$2+Projects!$D$2-1),Projects!$B$2/Projects!$D$2,"")</f>
      </c>
      <c r="CN7" s="584">
        <f>IF(AND(Projects!$C$2&lt;=CN$4,CN$4&lt;=Projects!$C$2+Projects!$D$2-1),Projects!$B$2/Projects!$D$2,"")</f>
      </c>
      <c r="CO7" s="584">
        <f>IF(AND(Projects!$C$2&lt;=CO$4,CO$4&lt;=Projects!$C$2+Projects!$D$2-1),Projects!$B$2/Projects!$D$2,"")</f>
      </c>
      <c r="CP7" s="584">
        <f>IF(AND(Projects!$C$2&lt;=CP$4,CP$4&lt;=Projects!$C$2+Projects!$D$2-1),Projects!$B$2/Projects!$D$2,"")</f>
      </c>
      <c r="CQ7" s="584">
        <f>IF(AND(Projects!$C$2&lt;=CQ$4,CQ$4&lt;=Projects!$C$2+Projects!$D$2-1),Projects!$B$2/Projects!$D$2,"")</f>
      </c>
      <c r="CR7" s="584">
        <f>IF(AND(Projects!$C$2&lt;=CR$4,CR$4&lt;=Projects!$C$2+Projects!$D$2-1),Projects!$B$2/Projects!$D$2,"")</f>
      </c>
      <c r="CS7" s="584">
        <f>IF(AND(Projects!$C$2&lt;=CS$4,CS$4&lt;=Projects!$C$2+Projects!$D$2-1),Projects!$B$2/Projects!$D$2,"")</f>
      </c>
      <c r="CT7" s="584">
        <f>IF(AND(Projects!$C$2&lt;=CT$4,CT$4&lt;=Projects!$C$2+Projects!$D$2-1),Projects!$B$2/Projects!$D$2,"")</f>
      </c>
      <c r="CU7" s="584">
        <f>IF(AND(Projects!$C$2&lt;=CU$4,CU$4&lt;=Projects!$C$2+Projects!$D$2-1),Projects!$B$2/Projects!$D$2,"")</f>
      </c>
      <c r="CV7" s="584">
        <f>IF(AND(Projects!$C$2&lt;=CV$4,CV$4&lt;=Projects!$C$2+Projects!$D$2-1),Projects!$B$2/Projects!$D$2,"")</f>
      </c>
      <c r="CW7" s="584">
        <f>IF(AND(Projects!$C$2&lt;=CW$4,CW$4&lt;=Projects!$C$2+Projects!$D$2-1),Projects!$B$2/Projects!$D$2,"")</f>
      </c>
      <c r="CX7" s="584">
        <f>IF(AND(Projects!$C$2&lt;=CX$4,CX$4&lt;=Projects!$C$2+Projects!$D$2-1),Projects!$B$2/Projects!$D$2,"")</f>
      </c>
      <c r="CY7" s="584">
        <f>IF(AND(Projects!$C$2&lt;=CY$4,CY$4&lt;=Projects!$C$2+Projects!$D$2-1),Projects!$B$2/Projects!$D$2,"")</f>
      </c>
      <c r="CZ7" s="584">
        <f>IF(AND(Projects!$C$2&lt;=CZ$4,CZ$4&lt;=Projects!$C$2+Projects!$D$2-1),Projects!$B$2/Projects!$D$2,"")</f>
      </c>
      <c r="DA7" s="584">
        <f>IF(AND(Projects!$C$2&lt;=DA$4,DA$4&lt;=Projects!$C$2+Projects!$D$2-1),Projects!$B$2/Projects!$D$2,"")</f>
      </c>
      <c r="DB7" s="584">
        <f>IF(AND(Projects!$C$2&lt;=DB$4,DB$4&lt;=Projects!$C$2+Projects!$D$2-1),Projects!$B$2/Projects!$D$2,"")</f>
      </c>
    </row>
    <row r="8" ht="15" customFormat="1" customHeight="1" s="381">
      <c r="A8" s="513" t="inlineStr">
        <is>
          <t>Ramsgate</t>
        </is>
      </c>
      <c r="B8" s="581">
        <f>Projects!$B$3</f>
        <v>20176449</v>
      </c>
      <c r="C8" s="582">
        <f>EDATE(Model!$E$2,Projects!$C$3-1)</f>
        <v>46113</v>
      </c>
      <c r="D8" s="582">
        <f>EDATE(Model!$E$2,Projects!$C$3+Projects!$D$3-2)</f>
        <v>46569</v>
      </c>
      <c r="E8" s="583">
        <f>Projects!$D$3</f>
        <v>16</v>
      </c>
      <c r="F8" s="581">
        <f>Projects!$B$3/Projects!$D$3</f>
        <v>1261028.0625</v>
      </c>
      <c r="G8" s="584">
        <f>IF(AND(Projects!$C$3&lt;=G$4,G$4&lt;=Projects!$C$3+Projects!$D$3-1),Projects!$B$3/Projects!$D$3,"")</f>
        <v>1261028.0625</v>
      </c>
      <c r="H8" s="584">
        <f>IF(AND(Projects!$C$3&lt;=H$4,H$4&lt;=Projects!$C$3+Projects!$D$3-1),Projects!$B$3/Projects!$D$3,"")</f>
        <v>1261028.0625</v>
      </c>
      <c r="I8" s="584">
        <f>IF(AND(Projects!$C$3&lt;=I$4,I$4&lt;=Projects!$C$3+Projects!$D$3-1),Projects!$B$3/Projects!$D$3,"")</f>
        <v>1261028.0625</v>
      </c>
      <c r="J8" s="584">
        <f>IF(AND(Projects!$C$3&lt;=J$4,J$4&lt;=Projects!$C$3+Projects!$D$3-1),Projects!$B$3/Projects!$D$3,"")</f>
        <v>1261028.0625</v>
      </c>
      <c r="K8" s="584">
        <f>IF(AND(Projects!$C$3&lt;=K$4,K$4&lt;=Projects!$C$3+Projects!$D$3-1),Projects!$B$3/Projects!$D$3,"")</f>
        <v>1261028.0625</v>
      </c>
      <c r="L8" s="584">
        <f>IF(AND(Projects!$C$3&lt;=L$4,L$4&lt;=Projects!$C$3+Projects!$D$3-1),Projects!$B$3/Projects!$D$3,"")</f>
        <v>1261028.0625</v>
      </c>
      <c r="M8" s="584">
        <f>IF(AND(Projects!$C$3&lt;=M$4,M$4&lt;=Projects!$C$3+Projects!$D$3-1),Projects!$B$3/Projects!$D$3,"")</f>
        <v>1261028.0625</v>
      </c>
      <c r="N8" s="584">
        <f>IF(AND(Projects!$C$3&lt;=N$4,N$4&lt;=Projects!$C$3+Projects!$D$3-1),Projects!$B$3/Projects!$D$3,"")</f>
        <v>1261028.0625</v>
      </c>
      <c r="O8" s="584">
        <f>IF(AND(Projects!$C$3&lt;=O$4,O$4&lt;=Projects!$C$3+Projects!$D$3-1),Projects!$B$3/Projects!$D$3,"")</f>
        <v>1261028.0625</v>
      </c>
      <c r="P8" s="584">
        <f>IF(AND(Projects!$C$3&lt;=P$4,P$4&lt;=Projects!$C$3+Projects!$D$3-1),Projects!$B$3/Projects!$D$3,"")</f>
        <v>1261028.0625</v>
      </c>
      <c r="Q8" s="584">
        <f>IF(AND(Projects!$C$3&lt;=Q$4,Q$4&lt;=Projects!$C$3+Projects!$D$3-1),Projects!$B$3/Projects!$D$3,"")</f>
        <v>1261028.0625</v>
      </c>
      <c r="R8" s="584">
        <f>IF(AND(Projects!$C$3&lt;=R$4,R$4&lt;=Projects!$C$3+Projects!$D$3-1),Projects!$B$3/Projects!$D$3,"")</f>
        <v>1261028.0625</v>
      </c>
      <c r="S8" s="584">
        <f>IF(AND(Projects!$C$3&lt;=S$4,S$4&lt;=Projects!$C$3+Projects!$D$3-1),Projects!$B$3/Projects!$D$3,"")</f>
        <v>1261028.0625</v>
      </c>
      <c r="T8" s="584">
        <f>IF(AND(Projects!$C$3&lt;=T$4,T$4&lt;=Projects!$C$3+Projects!$D$3-1),Projects!$B$3/Projects!$D$3,"")</f>
        <v>1261028.0625</v>
      </c>
      <c r="U8" s="584">
        <f>IF(AND(Projects!$C$3&lt;=U$4,U$4&lt;=Projects!$C$3+Projects!$D$3-1),Projects!$B$3/Projects!$D$3,"")</f>
        <v>1261028.0625</v>
      </c>
      <c r="V8" s="584">
        <f>IF(AND(Projects!$C$3&lt;=V$4,V$4&lt;=Projects!$C$3+Projects!$D$3-1),Projects!$B$3/Projects!$D$3,"")</f>
        <v>1261028.0625</v>
      </c>
      <c r="W8" s="584">
        <f>IF(AND(Projects!$C$3&lt;=W$4,W$4&lt;=Projects!$C$3+Projects!$D$3-1),Projects!$B$3/Projects!$D$3,"")</f>
      </c>
      <c r="X8" s="584">
        <f>IF(AND(Projects!$C$3&lt;=X$4,X$4&lt;=Projects!$C$3+Projects!$D$3-1),Projects!$B$3/Projects!$D$3,"")</f>
      </c>
      <c r="Y8" s="584">
        <f>IF(AND(Projects!$C$3&lt;=Y$4,Y$4&lt;=Projects!$C$3+Projects!$D$3-1),Projects!$B$3/Projects!$D$3,"")</f>
      </c>
      <c r="Z8" s="584">
        <f>IF(AND(Projects!$C$3&lt;=Z$4,Z$4&lt;=Projects!$C$3+Projects!$D$3-1),Projects!$B$3/Projects!$D$3,"")</f>
      </c>
      <c r="AA8" s="584">
        <f>IF(AND(Projects!$C$3&lt;=AA$4,AA$4&lt;=Projects!$C$3+Projects!$D$3-1),Projects!$B$3/Projects!$D$3,"")</f>
      </c>
      <c r="AB8" s="584">
        <f>IF(AND(Projects!$C$3&lt;=AB$4,AB$4&lt;=Projects!$C$3+Projects!$D$3-1),Projects!$B$3/Projects!$D$3,"")</f>
      </c>
      <c r="AC8" s="584">
        <f>IF(AND(Projects!$C$3&lt;=AC$4,AC$4&lt;=Projects!$C$3+Projects!$D$3-1),Projects!$B$3/Projects!$D$3,"")</f>
      </c>
      <c r="AD8" s="584">
        <f>IF(AND(Projects!$C$3&lt;=AD$4,AD$4&lt;=Projects!$C$3+Projects!$D$3-1),Projects!$B$3/Projects!$D$3,"")</f>
      </c>
      <c r="AE8" s="584">
        <f>IF(AND(Projects!$C$3&lt;=AE$4,AE$4&lt;=Projects!$C$3+Projects!$D$3-1),Projects!$B$3/Projects!$D$3,"")</f>
      </c>
      <c r="AF8" s="584">
        <f>IF(AND(Projects!$C$3&lt;=AF$4,AF$4&lt;=Projects!$C$3+Projects!$D$3-1),Projects!$B$3/Projects!$D$3,"")</f>
      </c>
      <c r="AG8" s="584">
        <f>IF(AND(Projects!$C$3&lt;=AG$4,AG$4&lt;=Projects!$C$3+Projects!$D$3-1),Projects!$B$3/Projects!$D$3,"")</f>
      </c>
      <c r="AH8" s="584">
        <f>IF(AND(Projects!$C$3&lt;=AH$4,AH$4&lt;=Projects!$C$3+Projects!$D$3-1),Projects!$B$3/Projects!$D$3,"")</f>
      </c>
      <c r="AI8" s="584">
        <f>IF(AND(Projects!$C$3&lt;=AI$4,AI$4&lt;=Projects!$C$3+Projects!$D$3-1),Projects!$B$3/Projects!$D$3,"")</f>
      </c>
      <c r="AJ8" s="584">
        <f>IF(AND(Projects!$C$3&lt;=AJ$4,AJ$4&lt;=Projects!$C$3+Projects!$D$3-1),Projects!$B$3/Projects!$D$3,"")</f>
      </c>
      <c r="AK8" s="584">
        <f>IF(AND(Projects!$C$3&lt;=AK$4,AK$4&lt;=Projects!$C$3+Projects!$D$3-1),Projects!$B$3/Projects!$D$3,"")</f>
      </c>
      <c r="AL8" s="584">
        <f>IF(AND(Projects!$C$3&lt;=AL$4,AL$4&lt;=Projects!$C$3+Projects!$D$3-1),Projects!$B$3/Projects!$D$3,"")</f>
      </c>
      <c r="AM8" s="584">
        <f>IF(AND(Projects!$C$3&lt;=AM$4,AM$4&lt;=Projects!$C$3+Projects!$D$3-1),Projects!$B$3/Projects!$D$3,"")</f>
      </c>
      <c r="AN8" s="584">
        <f>IF(AND(Projects!$C$3&lt;=AN$4,AN$4&lt;=Projects!$C$3+Projects!$D$3-1),Projects!$B$3/Projects!$D$3,"")</f>
      </c>
      <c r="AO8" s="584">
        <f>IF(AND(Projects!$C$3&lt;=AO$4,AO$4&lt;=Projects!$C$3+Projects!$D$3-1),Projects!$B$3/Projects!$D$3,"")</f>
      </c>
      <c r="AP8" s="584">
        <f>IF(AND(Projects!$C$3&lt;=AP$4,AP$4&lt;=Projects!$C$3+Projects!$D$3-1),Projects!$B$3/Projects!$D$3,"")</f>
      </c>
      <c r="AQ8" s="584">
        <f>IF(AND(Projects!$C$3&lt;=AQ$4,AQ$4&lt;=Projects!$C$3+Projects!$D$3-1),Projects!$B$3/Projects!$D$3,"")</f>
      </c>
      <c r="AR8" s="584">
        <f>IF(AND(Projects!$C$3&lt;=AR$4,AR$4&lt;=Projects!$C$3+Projects!$D$3-1),Projects!$B$3/Projects!$D$3,"")</f>
      </c>
      <c r="AS8" s="584">
        <f>IF(AND(Projects!$C$3&lt;=AS$4,AS$4&lt;=Projects!$C$3+Projects!$D$3-1),Projects!$B$3/Projects!$D$3,"")</f>
      </c>
      <c r="AT8" s="584">
        <f>IF(AND(Projects!$C$3&lt;=AT$4,AT$4&lt;=Projects!$C$3+Projects!$D$3-1),Projects!$B$3/Projects!$D$3,"")</f>
      </c>
      <c r="AU8" s="584">
        <f>IF(AND(Projects!$C$3&lt;=AU$4,AU$4&lt;=Projects!$C$3+Projects!$D$3-1),Projects!$B$3/Projects!$D$3,"")</f>
      </c>
      <c r="AV8" s="584">
        <f>IF(AND(Projects!$C$3&lt;=AV$4,AV$4&lt;=Projects!$C$3+Projects!$D$3-1),Projects!$B$3/Projects!$D$3,"")</f>
      </c>
      <c r="AW8" s="584">
        <f>IF(AND(Projects!$C$3&lt;=AW$4,AW$4&lt;=Projects!$C$3+Projects!$D$3-1),Projects!$B$3/Projects!$D$3,"")</f>
      </c>
      <c r="AX8" s="584">
        <f>IF(AND(Projects!$C$3&lt;=AX$4,AX$4&lt;=Projects!$C$3+Projects!$D$3-1),Projects!$B$3/Projects!$D$3,"")</f>
      </c>
      <c r="AY8" s="584">
        <f>IF(AND(Projects!$C$3&lt;=AY$4,AY$4&lt;=Projects!$C$3+Projects!$D$3-1),Projects!$B$3/Projects!$D$3,"")</f>
      </c>
      <c r="AZ8" s="584">
        <f>IF(AND(Projects!$C$3&lt;=AZ$4,AZ$4&lt;=Projects!$C$3+Projects!$D$3-1),Projects!$B$3/Projects!$D$3,"")</f>
      </c>
      <c r="BA8" s="584">
        <f>IF(AND(Projects!$C$3&lt;=BA$4,BA$4&lt;=Projects!$C$3+Projects!$D$3-1),Projects!$B$3/Projects!$D$3,"")</f>
      </c>
      <c r="BB8" s="584">
        <f>IF(AND(Projects!$C$3&lt;=BB$4,BB$4&lt;=Projects!$C$3+Projects!$D$3-1),Projects!$B$3/Projects!$D$3,"")</f>
      </c>
      <c r="BC8" s="584">
        <f>IF(AND(Projects!$C$3&lt;=BC$4,BC$4&lt;=Projects!$C$3+Projects!$D$3-1),Projects!$B$3/Projects!$D$3,"")</f>
      </c>
      <c r="BD8" s="584">
        <f>IF(AND(Projects!$C$3&lt;=BD$4,BD$4&lt;=Projects!$C$3+Projects!$D$3-1),Projects!$B$3/Projects!$D$3,"")</f>
      </c>
      <c r="BE8" s="584">
        <f>IF(AND(Projects!$C$3&lt;=BE$4,BE$4&lt;=Projects!$C$3+Projects!$D$3-1),Projects!$B$3/Projects!$D$3,"")</f>
      </c>
      <c r="BF8" s="584">
        <f>IF(AND(Projects!$C$3&lt;=BF$4,BF$4&lt;=Projects!$C$3+Projects!$D$3-1),Projects!$B$3/Projects!$D$3,"")</f>
      </c>
      <c r="BG8" s="584">
        <f>IF(AND(Projects!$C$3&lt;=BG$4,BG$4&lt;=Projects!$C$3+Projects!$D$3-1),Projects!$B$3/Projects!$D$3,"")</f>
      </c>
      <c r="BH8" s="584">
        <f>IF(AND(Projects!$C$3&lt;=BH$4,BH$4&lt;=Projects!$C$3+Projects!$D$3-1),Projects!$B$3/Projects!$D$3,"")</f>
      </c>
      <c r="BI8" s="584">
        <f>IF(AND(Projects!$C$3&lt;=BI$4,BI$4&lt;=Projects!$C$3+Projects!$D$3-1),Projects!$B$3/Projects!$D$3,"")</f>
      </c>
      <c r="BJ8" s="584">
        <f>IF(AND(Projects!$C$3&lt;=BJ$4,BJ$4&lt;=Projects!$C$3+Projects!$D$3-1),Projects!$B$3/Projects!$D$3,"")</f>
      </c>
      <c r="BK8" s="584">
        <f>IF(AND(Projects!$C$3&lt;=BK$4,BK$4&lt;=Projects!$C$3+Projects!$D$3-1),Projects!$B$3/Projects!$D$3,"")</f>
      </c>
      <c r="BL8" s="584">
        <f>IF(AND(Projects!$C$3&lt;=BL$4,BL$4&lt;=Projects!$C$3+Projects!$D$3-1),Projects!$B$3/Projects!$D$3,"")</f>
      </c>
      <c r="BM8" s="584">
        <f>IF(AND(Projects!$C$3&lt;=BM$4,BM$4&lt;=Projects!$C$3+Projects!$D$3-1),Projects!$B$3/Projects!$D$3,"")</f>
      </c>
      <c r="BN8" s="584">
        <f>IF(AND(Projects!$C$3&lt;=BN$4,BN$4&lt;=Projects!$C$3+Projects!$D$3-1),Projects!$B$3/Projects!$D$3,"")</f>
      </c>
      <c r="BO8" s="584">
        <f>IF(AND(Projects!$C$3&lt;=BO$4,BO$4&lt;=Projects!$C$3+Projects!$D$3-1),Projects!$B$3/Projects!$D$3,"")</f>
      </c>
      <c r="BP8" s="584">
        <f>IF(AND(Projects!$C$3&lt;=BP$4,BP$4&lt;=Projects!$C$3+Projects!$D$3-1),Projects!$B$3/Projects!$D$3,"")</f>
      </c>
      <c r="BQ8" s="584">
        <f>IF(AND(Projects!$C$3&lt;=BQ$4,BQ$4&lt;=Projects!$C$3+Projects!$D$3-1),Projects!$B$3/Projects!$D$3,"")</f>
      </c>
      <c r="BR8" s="584">
        <f>IF(AND(Projects!$C$3&lt;=BR$4,BR$4&lt;=Projects!$C$3+Projects!$D$3-1),Projects!$B$3/Projects!$D$3,"")</f>
      </c>
      <c r="BS8" s="584">
        <f>IF(AND(Projects!$C$3&lt;=BS$4,BS$4&lt;=Projects!$C$3+Projects!$D$3-1),Projects!$B$3/Projects!$D$3,"")</f>
      </c>
      <c r="BT8" s="584">
        <f>IF(AND(Projects!$C$3&lt;=BT$4,BT$4&lt;=Projects!$C$3+Projects!$D$3-1),Projects!$B$3/Projects!$D$3,"")</f>
      </c>
      <c r="BU8" s="584">
        <f>IF(AND(Projects!$C$3&lt;=BU$4,BU$4&lt;=Projects!$C$3+Projects!$D$3-1),Projects!$B$3/Projects!$D$3,"")</f>
      </c>
      <c r="BV8" s="584">
        <f>IF(AND(Projects!$C$3&lt;=BV$4,BV$4&lt;=Projects!$C$3+Projects!$D$3-1),Projects!$B$3/Projects!$D$3,"")</f>
      </c>
      <c r="BW8" s="584">
        <f>IF(AND(Projects!$C$3&lt;=BW$4,BW$4&lt;=Projects!$C$3+Projects!$D$3-1),Projects!$B$3/Projects!$D$3,"")</f>
      </c>
      <c r="BX8" s="584">
        <f>IF(AND(Projects!$C$3&lt;=BX$4,BX$4&lt;=Projects!$C$3+Projects!$D$3-1),Projects!$B$3/Projects!$D$3,"")</f>
      </c>
      <c r="BY8" s="584">
        <f>IF(AND(Projects!$C$3&lt;=BY$4,BY$4&lt;=Projects!$C$3+Projects!$D$3-1),Projects!$B$3/Projects!$D$3,"")</f>
      </c>
      <c r="BZ8" s="584">
        <f>IF(AND(Projects!$C$3&lt;=BZ$4,BZ$4&lt;=Projects!$C$3+Projects!$D$3-1),Projects!$B$3/Projects!$D$3,"")</f>
      </c>
      <c r="CA8" s="584">
        <f>IF(AND(Projects!$C$3&lt;=CA$4,CA$4&lt;=Projects!$C$3+Projects!$D$3-1),Projects!$B$3/Projects!$D$3,"")</f>
      </c>
      <c r="CB8" s="584">
        <f>IF(AND(Projects!$C$3&lt;=CB$4,CB$4&lt;=Projects!$C$3+Projects!$D$3-1),Projects!$B$3/Projects!$D$3,"")</f>
      </c>
      <c r="CC8" s="584">
        <f>IF(AND(Projects!$C$3&lt;=CC$4,CC$4&lt;=Projects!$C$3+Projects!$D$3-1),Projects!$B$3/Projects!$D$3,"")</f>
      </c>
      <c r="CD8" s="584">
        <f>IF(AND(Projects!$C$3&lt;=CD$4,CD$4&lt;=Projects!$C$3+Projects!$D$3-1),Projects!$B$3/Projects!$D$3,"")</f>
      </c>
      <c r="CE8" s="584">
        <f>IF(AND(Projects!$C$3&lt;=CE$4,CE$4&lt;=Projects!$C$3+Projects!$D$3-1),Projects!$B$3/Projects!$D$3,"")</f>
      </c>
      <c r="CF8" s="584">
        <f>IF(AND(Projects!$C$3&lt;=CF$4,CF$4&lt;=Projects!$C$3+Projects!$D$3-1),Projects!$B$3/Projects!$D$3,"")</f>
      </c>
      <c r="CG8" s="584">
        <f>IF(AND(Projects!$C$3&lt;=CG$4,CG$4&lt;=Projects!$C$3+Projects!$D$3-1),Projects!$B$3/Projects!$D$3,"")</f>
      </c>
      <c r="CH8" s="584">
        <f>IF(AND(Projects!$C$3&lt;=CH$4,CH$4&lt;=Projects!$C$3+Projects!$D$3-1),Projects!$B$3/Projects!$D$3,"")</f>
      </c>
      <c r="CI8" s="584">
        <f>IF(AND(Projects!$C$3&lt;=CI$4,CI$4&lt;=Projects!$C$3+Projects!$D$3-1),Projects!$B$3/Projects!$D$3,"")</f>
      </c>
      <c r="CJ8" s="584">
        <f>IF(AND(Projects!$C$3&lt;=CJ$4,CJ$4&lt;=Projects!$C$3+Projects!$D$3-1),Projects!$B$3/Projects!$D$3,"")</f>
      </c>
      <c r="CK8" s="584">
        <f>IF(AND(Projects!$C$3&lt;=CK$4,CK$4&lt;=Projects!$C$3+Projects!$D$3-1),Projects!$B$3/Projects!$D$3,"")</f>
      </c>
      <c r="CL8" s="584">
        <f>IF(AND(Projects!$C$3&lt;=CL$4,CL$4&lt;=Projects!$C$3+Projects!$D$3-1),Projects!$B$3/Projects!$D$3,"")</f>
      </c>
      <c r="CM8" s="584">
        <f>IF(AND(Projects!$C$3&lt;=CM$4,CM$4&lt;=Projects!$C$3+Projects!$D$3-1),Projects!$B$3/Projects!$D$3,"")</f>
      </c>
      <c r="CN8" s="584">
        <f>IF(AND(Projects!$C$3&lt;=CN$4,CN$4&lt;=Projects!$C$3+Projects!$D$3-1),Projects!$B$3/Projects!$D$3,"")</f>
      </c>
      <c r="CO8" s="584">
        <f>IF(AND(Projects!$C$3&lt;=CO$4,CO$4&lt;=Projects!$C$3+Projects!$D$3-1),Projects!$B$3/Projects!$D$3,"")</f>
      </c>
      <c r="CP8" s="584">
        <f>IF(AND(Projects!$C$3&lt;=CP$4,CP$4&lt;=Projects!$C$3+Projects!$D$3-1),Projects!$B$3/Projects!$D$3,"")</f>
      </c>
      <c r="CQ8" s="584">
        <f>IF(AND(Projects!$C$3&lt;=CQ$4,CQ$4&lt;=Projects!$C$3+Projects!$D$3-1),Projects!$B$3/Projects!$D$3,"")</f>
      </c>
      <c r="CR8" s="584">
        <f>IF(AND(Projects!$C$3&lt;=CR$4,CR$4&lt;=Projects!$C$3+Projects!$D$3-1),Projects!$B$3/Projects!$D$3,"")</f>
      </c>
      <c r="CS8" s="584">
        <f>IF(AND(Projects!$C$3&lt;=CS$4,CS$4&lt;=Projects!$C$3+Projects!$D$3-1),Projects!$B$3/Projects!$D$3,"")</f>
      </c>
      <c r="CT8" s="584">
        <f>IF(AND(Projects!$C$3&lt;=CT$4,CT$4&lt;=Projects!$C$3+Projects!$D$3-1),Projects!$B$3/Projects!$D$3,"")</f>
      </c>
      <c r="CU8" s="584">
        <f>IF(AND(Projects!$C$3&lt;=CU$4,CU$4&lt;=Projects!$C$3+Projects!$D$3-1),Projects!$B$3/Projects!$D$3,"")</f>
      </c>
      <c r="CV8" s="584">
        <f>IF(AND(Projects!$C$3&lt;=CV$4,CV$4&lt;=Projects!$C$3+Projects!$D$3-1),Projects!$B$3/Projects!$D$3,"")</f>
      </c>
      <c r="CW8" s="584">
        <f>IF(AND(Projects!$C$3&lt;=CW$4,CW$4&lt;=Projects!$C$3+Projects!$D$3-1),Projects!$B$3/Projects!$D$3,"")</f>
      </c>
      <c r="CX8" s="584">
        <f>IF(AND(Projects!$C$3&lt;=CX$4,CX$4&lt;=Projects!$C$3+Projects!$D$3-1),Projects!$B$3/Projects!$D$3,"")</f>
      </c>
      <c r="CY8" s="584">
        <f>IF(AND(Projects!$C$3&lt;=CY$4,CY$4&lt;=Projects!$C$3+Projects!$D$3-1),Projects!$B$3/Projects!$D$3,"")</f>
      </c>
      <c r="CZ8" s="584">
        <f>IF(AND(Projects!$C$3&lt;=CZ$4,CZ$4&lt;=Projects!$C$3+Projects!$D$3-1),Projects!$B$3/Projects!$D$3,"")</f>
      </c>
      <c r="DA8" s="584">
        <f>IF(AND(Projects!$C$3&lt;=DA$4,DA$4&lt;=Projects!$C$3+Projects!$D$3-1),Projects!$B$3/Projects!$D$3,"")</f>
      </c>
      <c r="DB8" s="584">
        <f>IF(AND(Projects!$C$3&lt;=DB$4,DB$4&lt;=Projects!$C$3+Projects!$D$3-1),Projects!$B$3/Projects!$D$3,"")</f>
      </c>
    </row>
    <row r="9" ht="15" customFormat="1" customHeight="1" s="381">
      <c r="A9" s="513" t="inlineStr">
        <is>
          <t>Califa</t>
        </is>
      </c>
      <c r="B9" s="581">
        <f>Projects!$B$4</f>
        <v>11929880</v>
      </c>
      <c r="C9" s="582">
        <f>EDATE(Model!$E$2,Projects!$C$4-1)</f>
        <v>46113</v>
      </c>
      <c r="D9" s="582">
        <f>EDATE(Model!$E$2,Projects!$C$4+Projects!$D$4-2)</f>
        <v>46539</v>
      </c>
      <c r="E9" s="583">
        <f>Projects!$D$4</f>
        <v>15</v>
      </c>
      <c r="F9" s="581">
        <f>Projects!$B$4/Projects!$D$4</f>
        <v>795325.333333333</v>
      </c>
      <c r="G9" s="584">
        <f>IF(AND(Projects!$C$4&lt;=G$4,G$4&lt;=Projects!$C$4+Projects!$D$4-1),Projects!$B$4/Projects!$D$4,"")</f>
        <v>795325.333333333</v>
      </c>
      <c r="H9" s="584">
        <f>IF(AND(Projects!$C$4&lt;=H$4,H$4&lt;=Projects!$C$4+Projects!$D$4-1),Projects!$B$4/Projects!$D$4,"")</f>
        <v>795325.333333333</v>
      </c>
      <c r="I9" s="584">
        <f>IF(AND(Projects!$C$4&lt;=I$4,I$4&lt;=Projects!$C$4+Projects!$D$4-1),Projects!$B$4/Projects!$D$4,"")</f>
        <v>795325.333333333</v>
      </c>
      <c r="J9" s="584">
        <f>IF(AND(Projects!$C$4&lt;=J$4,J$4&lt;=Projects!$C$4+Projects!$D$4-1),Projects!$B$4/Projects!$D$4,"")</f>
        <v>795325.333333333</v>
      </c>
      <c r="K9" s="584">
        <f>IF(AND(Projects!$C$4&lt;=K$4,K$4&lt;=Projects!$C$4+Projects!$D$4-1),Projects!$B$4/Projects!$D$4,"")</f>
        <v>795325.333333333</v>
      </c>
      <c r="L9" s="584">
        <f>IF(AND(Projects!$C$4&lt;=L$4,L$4&lt;=Projects!$C$4+Projects!$D$4-1),Projects!$B$4/Projects!$D$4,"")</f>
        <v>795325.333333333</v>
      </c>
      <c r="M9" s="584">
        <f>IF(AND(Projects!$C$4&lt;=M$4,M$4&lt;=Projects!$C$4+Projects!$D$4-1),Projects!$B$4/Projects!$D$4,"")</f>
        <v>795325.333333333</v>
      </c>
      <c r="N9" s="584">
        <f>IF(AND(Projects!$C$4&lt;=N$4,N$4&lt;=Projects!$C$4+Projects!$D$4-1),Projects!$B$4/Projects!$D$4,"")</f>
        <v>795325.333333333</v>
      </c>
      <c r="O9" s="584">
        <f>IF(AND(Projects!$C$4&lt;=O$4,O$4&lt;=Projects!$C$4+Projects!$D$4-1),Projects!$B$4/Projects!$D$4,"")</f>
        <v>795325.333333333</v>
      </c>
      <c r="P9" s="584">
        <f>IF(AND(Projects!$C$4&lt;=P$4,P$4&lt;=Projects!$C$4+Projects!$D$4-1),Projects!$B$4/Projects!$D$4,"")</f>
        <v>795325.333333333</v>
      </c>
      <c r="Q9" s="584">
        <f>IF(AND(Projects!$C$4&lt;=Q$4,Q$4&lt;=Projects!$C$4+Projects!$D$4-1),Projects!$B$4/Projects!$D$4,"")</f>
        <v>795325.333333333</v>
      </c>
      <c r="R9" s="584">
        <f>IF(AND(Projects!$C$4&lt;=R$4,R$4&lt;=Projects!$C$4+Projects!$D$4-1),Projects!$B$4/Projects!$D$4,"")</f>
        <v>795325.333333333</v>
      </c>
      <c r="S9" s="584">
        <f>IF(AND(Projects!$C$4&lt;=S$4,S$4&lt;=Projects!$C$4+Projects!$D$4-1),Projects!$B$4/Projects!$D$4,"")</f>
        <v>795325.333333333</v>
      </c>
      <c r="T9" s="584">
        <f>IF(AND(Projects!$C$4&lt;=T$4,T$4&lt;=Projects!$C$4+Projects!$D$4-1),Projects!$B$4/Projects!$D$4,"")</f>
        <v>795325.333333333</v>
      </c>
      <c r="U9" s="584">
        <f>IF(AND(Projects!$C$4&lt;=U$4,U$4&lt;=Projects!$C$4+Projects!$D$4-1),Projects!$B$4/Projects!$D$4,"")</f>
        <v>795325.333333333</v>
      </c>
      <c r="V9" s="584">
        <f>IF(AND(Projects!$C$4&lt;=V$4,V$4&lt;=Projects!$C$4+Projects!$D$4-1),Projects!$B$4/Projects!$D$4,"")</f>
      </c>
      <c r="W9" s="584">
        <f>IF(AND(Projects!$C$4&lt;=W$4,W$4&lt;=Projects!$C$4+Projects!$D$4-1),Projects!$B$4/Projects!$D$4,"")</f>
      </c>
      <c r="X9" s="584">
        <f>IF(AND(Projects!$C$4&lt;=X$4,X$4&lt;=Projects!$C$4+Projects!$D$4-1),Projects!$B$4/Projects!$D$4,"")</f>
      </c>
      <c r="Y9" s="584">
        <f>IF(AND(Projects!$C$4&lt;=Y$4,Y$4&lt;=Projects!$C$4+Projects!$D$4-1),Projects!$B$4/Projects!$D$4,"")</f>
      </c>
      <c r="Z9" s="584">
        <f>IF(AND(Projects!$C$4&lt;=Z$4,Z$4&lt;=Projects!$C$4+Projects!$D$4-1),Projects!$B$4/Projects!$D$4,"")</f>
      </c>
      <c r="AA9" s="584">
        <f>IF(AND(Projects!$C$4&lt;=AA$4,AA$4&lt;=Projects!$C$4+Projects!$D$4-1),Projects!$B$4/Projects!$D$4,"")</f>
      </c>
      <c r="AB9" s="584">
        <f>IF(AND(Projects!$C$4&lt;=AB$4,AB$4&lt;=Projects!$C$4+Projects!$D$4-1),Projects!$B$4/Projects!$D$4,"")</f>
      </c>
      <c r="AC9" s="584">
        <f>IF(AND(Projects!$C$4&lt;=AC$4,AC$4&lt;=Projects!$C$4+Projects!$D$4-1),Projects!$B$4/Projects!$D$4,"")</f>
      </c>
      <c r="AD9" s="584">
        <f>IF(AND(Projects!$C$4&lt;=AD$4,AD$4&lt;=Projects!$C$4+Projects!$D$4-1),Projects!$B$4/Projects!$D$4,"")</f>
      </c>
      <c r="AE9" s="584">
        <f>IF(AND(Projects!$C$4&lt;=AE$4,AE$4&lt;=Projects!$C$4+Projects!$D$4-1),Projects!$B$4/Projects!$D$4,"")</f>
      </c>
      <c r="AF9" s="584">
        <f>IF(AND(Projects!$C$4&lt;=AF$4,AF$4&lt;=Projects!$C$4+Projects!$D$4-1),Projects!$B$4/Projects!$D$4,"")</f>
      </c>
      <c r="AG9" s="584">
        <f>IF(AND(Projects!$C$4&lt;=AG$4,AG$4&lt;=Projects!$C$4+Projects!$D$4-1),Projects!$B$4/Projects!$D$4,"")</f>
      </c>
      <c r="AH9" s="584">
        <f>IF(AND(Projects!$C$4&lt;=AH$4,AH$4&lt;=Projects!$C$4+Projects!$D$4-1),Projects!$B$4/Projects!$D$4,"")</f>
      </c>
      <c r="AI9" s="584">
        <f>IF(AND(Projects!$C$4&lt;=AI$4,AI$4&lt;=Projects!$C$4+Projects!$D$4-1),Projects!$B$4/Projects!$D$4,"")</f>
      </c>
      <c r="AJ9" s="584">
        <f>IF(AND(Projects!$C$4&lt;=AJ$4,AJ$4&lt;=Projects!$C$4+Projects!$D$4-1),Projects!$B$4/Projects!$D$4,"")</f>
      </c>
      <c r="AK9" s="584">
        <f>IF(AND(Projects!$C$4&lt;=AK$4,AK$4&lt;=Projects!$C$4+Projects!$D$4-1),Projects!$B$4/Projects!$D$4,"")</f>
      </c>
      <c r="AL9" s="584">
        <f>IF(AND(Projects!$C$4&lt;=AL$4,AL$4&lt;=Projects!$C$4+Projects!$D$4-1),Projects!$B$4/Projects!$D$4,"")</f>
      </c>
      <c r="AM9" s="584">
        <f>IF(AND(Projects!$C$4&lt;=AM$4,AM$4&lt;=Projects!$C$4+Projects!$D$4-1),Projects!$B$4/Projects!$D$4,"")</f>
      </c>
      <c r="AN9" s="584">
        <f>IF(AND(Projects!$C$4&lt;=AN$4,AN$4&lt;=Projects!$C$4+Projects!$D$4-1),Projects!$B$4/Projects!$D$4,"")</f>
      </c>
      <c r="AO9" s="584">
        <f>IF(AND(Projects!$C$4&lt;=AO$4,AO$4&lt;=Projects!$C$4+Projects!$D$4-1),Projects!$B$4/Projects!$D$4,"")</f>
      </c>
      <c r="AP9" s="584">
        <f>IF(AND(Projects!$C$4&lt;=AP$4,AP$4&lt;=Projects!$C$4+Projects!$D$4-1),Projects!$B$4/Projects!$D$4,"")</f>
      </c>
      <c r="AQ9" s="584">
        <f>IF(AND(Projects!$C$4&lt;=AQ$4,AQ$4&lt;=Projects!$C$4+Projects!$D$4-1),Projects!$B$4/Projects!$D$4,"")</f>
      </c>
      <c r="AR9" s="584">
        <f>IF(AND(Projects!$C$4&lt;=AR$4,AR$4&lt;=Projects!$C$4+Projects!$D$4-1),Projects!$B$4/Projects!$D$4,"")</f>
      </c>
      <c r="AS9" s="584">
        <f>IF(AND(Projects!$C$4&lt;=AS$4,AS$4&lt;=Projects!$C$4+Projects!$D$4-1),Projects!$B$4/Projects!$D$4,"")</f>
      </c>
      <c r="AT9" s="584">
        <f>IF(AND(Projects!$C$4&lt;=AT$4,AT$4&lt;=Projects!$C$4+Projects!$D$4-1),Projects!$B$4/Projects!$D$4,"")</f>
      </c>
      <c r="AU9" s="584">
        <f>IF(AND(Projects!$C$4&lt;=AU$4,AU$4&lt;=Projects!$C$4+Projects!$D$4-1),Projects!$B$4/Projects!$D$4,"")</f>
      </c>
      <c r="AV9" s="584">
        <f>IF(AND(Projects!$C$4&lt;=AV$4,AV$4&lt;=Projects!$C$4+Projects!$D$4-1),Projects!$B$4/Projects!$D$4,"")</f>
      </c>
      <c r="AW9" s="584">
        <f>IF(AND(Projects!$C$4&lt;=AW$4,AW$4&lt;=Projects!$C$4+Projects!$D$4-1),Projects!$B$4/Projects!$D$4,"")</f>
      </c>
      <c r="AX9" s="584">
        <f>IF(AND(Projects!$C$4&lt;=AX$4,AX$4&lt;=Projects!$C$4+Projects!$D$4-1),Projects!$B$4/Projects!$D$4,"")</f>
      </c>
      <c r="AY9" s="584">
        <f>IF(AND(Projects!$C$4&lt;=AY$4,AY$4&lt;=Projects!$C$4+Projects!$D$4-1),Projects!$B$4/Projects!$D$4,"")</f>
      </c>
      <c r="AZ9" s="584">
        <f>IF(AND(Projects!$C$4&lt;=AZ$4,AZ$4&lt;=Projects!$C$4+Projects!$D$4-1),Projects!$B$4/Projects!$D$4,"")</f>
      </c>
      <c r="BA9" s="584">
        <f>IF(AND(Projects!$C$4&lt;=BA$4,BA$4&lt;=Projects!$C$4+Projects!$D$4-1),Projects!$B$4/Projects!$D$4,"")</f>
      </c>
      <c r="BB9" s="584">
        <f>IF(AND(Projects!$C$4&lt;=BB$4,BB$4&lt;=Projects!$C$4+Projects!$D$4-1),Projects!$B$4/Projects!$D$4,"")</f>
      </c>
      <c r="BC9" s="584">
        <f>IF(AND(Projects!$C$4&lt;=BC$4,BC$4&lt;=Projects!$C$4+Projects!$D$4-1),Projects!$B$4/Projects!$D$4,"")</f>
      </c>
      <c r="BD9" s="584">
        <f>IF(AND(Projects!$C$4&lt;=BD$4,BD$4&lt;=Projects!$C$4+Projects!$D$4-1),Projects!$B$4/Projects!$D$4,"")</f>
      </c>
      <c r="BE9" s="584">
        <f>IF(AND(Projects!$C$4&lt;=BE$4,BE$4&lt;=Projects!$C$4+Projects!$D$4-1),Projects!$B$4/Projects!$D$4,"")</f>
      </c>
      <c r="BF9" s="584">
        <f>IF(AND(Projects!$C$4&lt;=BF$4,BF$4&lt;=Projects!$C$4+Projects!$D$4-1),Projects!$B$4/Projects!$D$4,"")</f>
      </c>
      <c r="BG9" s="584">
        <f>IF(AND(Projects!$C$4&lt;=BG$4,BG$4&lt;=Projects!$C$4+Projects!$D$4-1),Projects!$B$4/Projects!$D$4,"")</f>
      </c>
      <c r="BH9" s="584">
        <f>IF(AND(Projects!$C$4&lt;=BH$4,BH$4&lt;=Projects!$C$4+Projects!$D$4-1),Projects!$B$4/Projects!$D$4,"")</f>
      </c>
      <c r="BI9" s="584">
        <f>IF(AND(Projects!$C$4&lt;=BI$4,BI$4&lt;=Projects!$C$4+Projects!$D$4-1),Projects!$B$4/Projects!$D$4,"")</f>
      </c>
      <c r="BJ9" s="584">
        <f>IF(AND(Projects!$C$4&lt;=BJ$4,BJ$4&lt;=Projects!$C$4+Projects!$D$4-1),Projects!$B$4/Projects!$D$4,"")</f>
      </c>
      <c r="BK9" s="584">
        <f>IF(AND(Projects!$C$4&lt;=BK$4,BK$4&lt;=Projects!$C$4+Projects!$D$4-1),Projects!$B$4/Projects!$D$4,"")</f>
      </c>
      <c r="BL9" s="584">
        <f>IF(AND(Projects!$C$4&lt;=BL$4,BL$4&lt;=Projects!$C$4+Projects!$D$4-1),Projects!$B$4/Projects!$D$4,"")</f>
      </c>
      <c r="BM9" s="584">
        <f>IF(AND(Projects!$C$4&lt;=BM$4,BM$4&lt;=Projects!$C$4+Projects!$D$4-1),Projects!$B$4/Projects!$D$4,"")</f>
      </c>
      <c r="BN9" s="584">
        <f>IF(AND(Projects!$C$4&lt;=BN$4,BN$4&lt;=Projects!$C$4+Projects!$D$4-1),Projects!$B$4/Projects!$D$4,"")</f>
      </c>
      <c r="BO9" s="584">
        <f>IF(AND(Projects!$C$4&lt;=BO$4,BO$4&lt;=Projects!$C$4+Projects!$D$4-1),Projects!$B$4/Projects!$D$4,"")</f>
      </c>
      <c r="BP9" s="584">
        <f>IF(AND(Projects!$C$4&lt;=BP$4,BP$4&lt;=Projects!$C$4+Projects!$D$4-1),Projects!$B$4/Projects!$D$4,"")</f>
      </c>
      <c r="BQ9" s="584">
        <f>IF(AND(Projects!$C$4&lt;=BQ$4,BQ$4&lt;=Projects!$C$4+Projects!$D$4-1),Projects!$B$4/Projects!$D$4,"")</f>
      </c>
      <c r="BR9" s="584">
        <f>IF(AND(Projects!$C$4&lt;=BR$4,BR$4&lt;=Projects!$C$4+Projects!$D$4-1),Projects!$B$4/Projects!$D$4,"")</f>
      </c>
      <c r="BS9" s="584">
        <f>IF(AND(Projects!$C$4&lt;=BS$4,BS$4&lt;=Projects!$C$4+Projects!$D$4-1),Projects!$B$4/Projects!$D$4,"")</f>
      </c>
      <c r="BT9" s="584">
        <f>IF(AND(Projects!$C$4&lt;=BT$4,BT$4&lt;=Projects!$C$4+Projects!$D$4-1),Projects!$B$4/Projects!$D$4,"")</f>
      </c>
      <c r="BU9" s="584">
        <f>IF(AND(Projects!$C$4&lt;=BU$4,BU$4&lt;=Projects!$C$4+Projects!$D$4-1),Projects!$B$4/Projects!$D$4,"")</f>
      </c>
      <c r="BV9" s="584">
        <f>IF(AND(Projects!$C$4&lt;=BV$4,BV$4&lt;=Projects!$C$4+Projects!$D$4-1),Projects!$B$4/Projects!$D$4,"")</f>
      </c>
      <c r="BW9" s="584">
        <f>IF(AND(Projects!$C$4&lt;=BW$4,BW$4&lt;=Projects!$C$4+Projects!$D$4-1),Projects!$B$4/Projects!$D$4,"")</f>
      </c>
      <c r="BX9" s="584">
        <f>IF(AND(Projects!$C$4&lt;=BX$4,BX$4&lt;=Projects!$C$4+Projects!$D$4-1),Projects!$B$4/Projects!$D$4,"")</f>
      </c>
      <c r="BY9" s="584">
        <f>IF(AND(Projects!$C$4&lt;=BY$4,BY$4&lt;=Projects!$C$4+Projects!$D$4-1),Projects!$B$4/Projects!$D$4,"")</f>
      </c>
      <c r="BZ9" s="584">
        <f>IF(AND(Projects!$C$4&lt;=BZ$4,BZ$4&lt;=Projects!$C$4+Projects!$D$4-1),Projects!$B$4/Projects!$D$4,"")</f>
      </c>
      <c r="CA9" s="584">
        <f>IF(AND(Projects!$C$4&lt;=CA$4,CA$4&lt;=Projects!$C$4+Projects!$D$4-1),Projects!$B$4/Projects!$D$4,"")</f>
      </c>
      <c r="CB9" s="584">
        <f>IF(AND(Projects!$C$4&lt;=CB$4,CB$4&lt;=Projects!$C$4+Projects!$D$4-1),Projects!$B$4/Projects!$D$4,"")</f>
      </c>
      <c r="CC9" s="584">
        <f>IF(AND(Projects!$C$4&lt;=CC$4,CC$4&lt;=Projects!$C$4+Projects!$D$4-1),Projects!$B$4/Projects!$D$4,"")</f>
      </c>
      <c r="CD9" s="584">
        <f>IF(AND(Projects!$C$4&lt;=CD$4,CD$4&lt;=Projects!$C$4+Projects!$D$4-1),Projects!$B$4/Projects!$D$4,"")</f>
      </c>
      <c r="CE9" s="584">
        <f>IF(AND(Projects!$C$4&lt;=CE$4,CE$4&lt;=Projects!$C$4+Projects!$D$4-1),Projects!$B$4/Projects!$D$4,"")</f>
      </c>
      <c r="CF9" s="584">
        <f>IF(AND(Projects!$C$4&lt;=CF$4,CF$4&lt;=Projects!$C$4+Projects!$D$4-1),Projects!$B$4/Projects!$D$4,"")</f>
      </c>
      <c r="CG9" s="584">
        <f>IF(AND(Projects!$C$4&lt;=CG$4,CG$4&lt;=Projects!$C$4+Projects!$D$4-1),Projects!$B$4/Projects!$D$4,"")</f>
      </c>
      <c r="CH9" s="584">
        <f>IF(AND(Projects!$C$4&lt;=CH$4,CH$4&lt;=Projects!$C$4+Projects!$D$4-1),Projects!$B$4/Projects!$D$4,"")</f>
      </c>
      <c r="CI9" s="584">
        <f>IF(AND(Projects!$C$4&lt;=CI$4,CI$4&lt;=Projects!$C$4+Projects!$D$4-1),Projects!$B$4/Projects!$D$4,"")</f>
      </c>
      <c r="CJ9" s="584">
        <f>IF(AND(Projects!$C$4&lt;=CJ$4,CJ$4&lt;=Projects!$C$4+Projects!$D$4-1),Projects!$B$4/Projects!$D$4,"")</f>
      </c>
      <c r="CK9" s="584">
        <f>IF(AND(Projects!$C$4&lt;=CK$4,CK$4&lt;=Projects!$C$4+Projects!$D$4-1),Projects!$B$4/Projects!$D$4,"")</f>
      </c>
      <c r="CL9" s="584">
        <f>IF(AND(Projects!$C$4&lt;=CL$4,CL$4&lt;=Projects!$C$4+Projects!$D$4-1),Projects!$B$4/Projects!$D$4,"")</f>
      </c>
      <c r="CM9" s="584">
        <f>IF(AND(Projects!$C$4&lt;=CM$4,CM$4&lt;=Projects!$C$4+Projects!$D$4-1),Projects!$B$4/Projects!$D$4,"")</f>
      </c>
      <c r="CN9" s="584">
        <f>IF(AND(Projects!$C$4&lt;=CN$4,CN$4&lt;=Projects!$C$4+Projects!$D$4-1),Projects!$B$4/Projects!$D$4,"")</f>
      </c>
      <c r="CO9" s="584">
        <f>IF(AND(Projects!$C$4&lt;=CO$4,CO$4&lt;=Projects!$C$4+Projects!$D$4-1),Projects!$B$4/Projects!$D$4,"")</f>
      </c>
      <c r="CP9" s="584">
        <f>IF(AND(Projects!$C$4&lt;=CP$4,CP$4&lt;=Projects!$C$4+Projects!$D$4-1),Projects!$B$4/Projects!$D$4,"")</f>
      </c>
      <c r="CQ9" s="584">
        <f>IF(AND(Projects!$C$4&lt;=CQ$4,CQ$4&lt;=Projects!$C$4+Projects!$D$4-1),Projects!$B$4/Projects!$D$4,"")</f>
      </c>
      <c r="CR9" s="584">
        <f>IF(AND(Projects!$C$4&lt;=CR$4,CR$4&lt;=Projects!$C$4+Projects!$D$4-1),Projects!$B$4/Projects!$D$4,"")</f>
      </c>
      <c r="CS9" s="584">
        <f>IF(AND(Projects!$C$4&lt;=CS$4,CS$4&lt;=Projects!$C$4+Projects!$D$4-1),Projects!$B$4/Projects!$D$4,"")</f>
      </c>
      <c r="CT9" s="584">
        <f>IF(AND(Projects!$C$4&lt;=CT$4,CT$4&lt;=Projects!$C$4+Projects!$D$4-1),Projects!$B$4/Projects!$D$4,"")</f>
      </c>
      <c r="CU9" s="584">
        <f>IF(AND(Projects!$C$4&lt;=CU$4,CU$4&lt;=Projects!$C$4+Projects!$D$4-1),Projects!$B$4/Projects!$D$4,"")</f>
      </c>
      <c r="CV9" s="584">
        <f>IF(AND(Projects!$C$4&lt;=CV$4,CV$4&lt;=Projects!$C$4+Projects!$D$4-1),Projects!$B$4/Projects!$D$4,"")</f>
      </c>
      <c r="CW9" s="584">
        <f>IF(AND(Projects!$C$4&lt;=CW$4,CW$4&lt;=Projects!$C$4+Projects!$D$4-1),Projects!$B$4/Projects!$D$4,"")</f>
      </c>
      <c r="CX9" s="584">
        <f>IF(AND(Projects!$C$4&lt;=CX$4,CX$4&lt;=Projects!$C$4+Projects!$D$4-1),Projects!$B$4/Projects!$D$4,"")</f>
      </c>
      <c r="CY9" s="584">
        <f>IF(AND(Projects!$C$4&lt;=CY$4,CY$4&lt;=Projects!$C$4+Projects!$D$4-1),Projects!$B$4/Projects!$D$4,"")</f>
      </c>
      <c r="CZ9" s="584">
        <f>IF(AND(Projects!$C$4&lt;=CZ$4,CZ$4&lt;=Projects!$C$4+Projects!$D$4-1),Projects!$B$4/Projects!$D$4,"")</f>
      </c>
      <c r="DA9" s="584">
        <f>IF(AND(Projects!$C$4&lt;=DA$4,DA$4&lt;=Projects!$C$4+Projects!$D$4-1),Projects!$B$4/Projects!$D$4,"")</f>
      </c>
      <c r="DB9" s="584">
        <f>IF(AND(Projects!$C$4&lt;=DB$4,DB$4&lt;=Projects!$C$4+Projects!$D$4-1),Projects!$B$4/Projects!$D$4,"")</f>
      </c>
    </row>
    <row r="10" ht="15" customFormat="1" customHeight="1" s="381">
      <c r="A10" s="513" t="inlineStr">
        <is>
          <t>Whipple</t>
        </is>
      </c>
      <c r="B10" s="581">
        <f>Projects!$B$5</f>
        <v>14427884</v>
      </c>
      <c r="C10" s="582">
        <f>EDATE(Model!$E$2,Projects!$C$5-1)</f>
        <v>46113</v>
      </c>
      <c r="D10" s="582">
        <f>EDATE(Model!$E$2,Projects!$C$5+Projects!$D$5-2)</f>
        <v>46539</v>
      </c>
      <c r="E10" s="583">
        <f>Projects!$D$5</f>
        <v>15</v>
      </c>
      <c r="F10" s="581">
        <f>Projects!$B$5/Projects!$D$5</f>
        <v>961858.933333333</v>
      </c>
      <c r="G10" s="584">
        <f>IF(AND(Projects!$C$5&lt;=G$4,G$4&lt;=Projects!$C$5+Projects!$D$5-1),Projects!$B$5/Projects!$D$5,"")</f>
        <v>961858.933333333</v>
      </c>
      <c r="H10" s="584">
        <f>IF(AND(Projects!$C$5&lt;=H$4,H$4&lt;=Projects!$C$5+Projects!$D$5-1),Projects!$B$5/Projects!$D$5,"")</f>
        <v>961858.933333333</v>
      </c>
      <c r="I10" s="584">
        <f>IF(AND(Projects!$C$5&lt;=I$4,I$4&lt;=Projects!$C$5+Projects!$D$5-1),Projects!$B$5/Projects!$D$5,"")</f>
        <v>961858.933333333</v>
      </c>
      <c r="J10" s="584">
        <f>IF(AND(Projects!$C$5&lt;=J$4,J$4&lt;=Projects!$C$5+Projects!$D$5-1),Projects!$B$5/Projects!$D$5,"")</f>
        <v>961858.933333333</v>
      </c>
      <c r="K10" s="584">
        <f>IF(AND(Projects!$C$5&lt;=K$4,K$4&lt;=Projects!$C$5+Projects!$D$5-1),Projects!$B$5/Projects!$D$5,"")</f>
        <v>961858.933333333</v>
      </c>
      <c r="L10" s="584">
        <f>IF(AND(Projects!$C$5&lt;=L$4,L$4&lt;=Projects!$C$5+Projects!$D$5-1),Projects!$B$5/Projects!$D$5,"")</f>
        <v>961858.933333333</v>
      </c>
      <c r="M10" s="584">
        <f>IF(AND(Projects!$C$5&lt;=M$4,M$4&lt;=Projects!$C$5+Projects!$D$5-1),Projects!$B$5/Projects!$D$5,"")</f>
        <v>961858.933333333</v>
      </c>
      <c r="N10" s="584">
        <f>IF(AND(Projects!$C$5&lt;=N$4,N$4&lt;=Projects!$C$5+Projects!$D$5-1),Projects!$B$5/Projects!$D$5,"")</f>
        <v>961858.933333333</v>
      </c>
      <c r="O10" s="584">
        <f>IF(AND(Projects!$C$5&lt;=O$4,O$4&lt;=Projects!$C$5+Projects!$D$5-1),Projects!$B$5/Projects!$D$5,"")</f>
        <v>961858.933333333</v>
      </c>
      <c r="P10" s="584">
        <f>IF(AND(Projects!$C$5&lt;=P$4,P$4&lt;=Projects!$C$5+Projects!$D$5-1),Projects!$B$5/Projects!$D$5,"")</f>
        <v>961858.933333333</v>
      </c>
      <c r="Q10" s="584">
        <f>IF(AND(Projects!$C$5&lt;=Q$4,Q$4&lt;=Projects!$C$5+Projects!$D$5-1),Projects!$B$5/Projects!$D$5,"")</f>
        <v>961858.933333333</v>
      </c>
      <c r="R10" s="584">
        <f>IF(AND(Projects!$C$5&lt;=R$4,R$4&lt;=Projects!$C$5+Projects!$D$5-1),Projects!$B$5/Projects!$D$5,"")</f>
        <v>961858.933333333</v>
      </c>
      <c r="S10" s="584">
        <f>IF(AND(Projects!$C$5&lt;=S$4,S$4&lt;=Projects!$C$5+Projects!$D$5-1),Projects!$B$5/Projects!$D$5,"")</f>
        <v>961858.933333333</v>
      </c>
      <c r="T10" s="584">
        <f>IF(AND(Projects!$C$5&lt;=T$4,T$4&lt;=Projects!$C$5+Projects!$D$5-1),Projects!$B$5/Projects!$D$5,"")</f>
        <v>961858.933333333</v>
      </c>
      <c r="U10" s="584">
        <f>IF(AND(Projects!$C$5&lt;=U$4,U$4&lt;=Projects!$C$5+Projects!$D$5-1),Projects!$B$5/Projects!$D$5,"")</f>
        <v>961858.933333333</v>
      </c>
      <c r="V10" s="584">
        <f>IF(AND(Projects!$C$5&lt;=V$4,V$4&lt;=Projects!$C$5+Projects!$D$5-1),Projects!$B$5/Projects!$D$5,"")</f>
      </c>
      <c r="W10" s="584">
        <f>IF(AND(Projects!$C$5&lt;=W$4,W$4&lt;=Projects!$C$5+Projects!$D$5-1),Projects!$B$5/Projects!$D$5,"")</f>
      </c>
      <c r="X10" s="584">
        <f>IF(AND(Projects!$C$5&lt;=X$4,X$4&lt;=Projects!$C$5+Projects!$D$5-1),Projects!$B$5/Projects!$D$5,"")</f>
      </c>
      <c r="Y10" s="584">
        <f>IF(AND(Projects!$C$5&lt;=Y$4,Y$4&lt;=Projects!$C$5+Projects!$D$5-1),Projects!$B$5/Projects!$D$5,"")</f>
      </c>
      <c r="Z10" s="584">
        <f>IF(AND(Projects!$C$5&lt;=Z$4,Z$4&lt;=Projects!$C$5+Projects!$D$5-1),Projects!$B$5/Projects!$D$5,"")</f>
      </c>
      <c r="AA10" s="584">
        <f>IF(AND(Projects!$C$5&lt;=AA$4,AA$4&lt;=Projects!$C$5+Projects!$D$5-1),Projects!$B$5/Projects!$D$5,"")</f>
      </c>
      <c r="AB10" s="584">
        <f>IF(AND(Projects!$C$5&lt;=AB$4,AB$4&lt;=Projects!$C$5+Projects!$D$5-1),Projects!$B$5/Projects!$D$5,"")</f>
      </c>
      <c r="AC10" s="584">
        <f>IF(AND(Projects!$C$5&lt;=AC$4,AC$4&lt;=Projects!$C$5+Projects!$D$5-1),Projects!$B$5/Projects!$D$5,"")</f>
      </c>
      <c r="AD10" s="584">
        <f>IF(AND(Projects!$C$5&lt;=AD$4,AD$4&lt;=Projects!$C$5+Projects!$D$5-1),Projects!$B$5/Projects!$D$5,"")</f>
      </c>
      <c r="AE10" s="584">
        <f>IF(AND(Projects!$C$5&lt;=AE$4,AE$4&lt;=Projects!$C$5+Projects!$D$5-1),Projects!$B$5/Projects!$D$5,"")</f>
      </c>
      <c r="AF10" s="584">
        <f>IF(AND(Projects!$C$5&lt;=AF$4,AF$4&lt;=Projects!$C$5+Projects!$D$5-1),Projects!$B$5/Projects!$D$5,"")</f>
      </c>
      <c r="AG10" s="584">
        <f>IF(AND(Projects!$C$5&lt;=AG$4,AG$4&lt;=Projects!$C$5+Projects!$D$5-1),Projects!$B$5/Projects!$D$5,"")</f>
      </c>
      <c r="AH10" s="584">
        <f>IF(AND(Projects!$C$5&lt;=AH$4,AH$4&lt;=Projects!$C$5+Projects!$D$5-1),Projects!$B$5/Projects!$D$5,"")</f>
      </c>
      <c r="AI10" s="584">
        <f>IF(AND(Projects!$C$5&lt;=AI$4,AI$4&lt;=Projects!$C$5+Projects!$D$5-1),Projects!$B$5/Projects!$D$5,"")</f>
      </c>
      <c r="AJ10" s="584">
        <f>IF(AND(Projects!$C$5&lt;=AJ$4,AJ$4&lt;=Projects!$C$5+Projects!$D$5-1),Projects!$B$5/Projects!$D$5,"")</f>
      </c>
      <c r="AK10" s="584">
        <f>IF(AND(Projects!$C$5&lt;=AK$4,AK$4&lt;=Projects!$C$5+Projects!$D$5-1),Projects!$B$5/Projects!$D$5,"")</f>
      </c>
      <c r="AL10" s="584">
        <f>IF(AND(Projects!$C$5&lt;=AL$4,AL$4&lt;=Projects!$C$5+Projects!$D$5-1),Projects!$B$5/Projects!$D$5,"")</f>
      </c>
      <c r="AM10" s="584">
        <f>IF(AND(Projects!$C$5&lt;=AM$4,AM$4&lt;=Projects!$C$5+Projects!$D$5-1),Projects!$B$5/Projects!$D$5,"")</f>
      </c>
      <c r="AN10" s="584">
        <f>IF(AND(Projects!$C$5&lt;=AN$4,AN$4&lt;=Projects!$C$5+Projects!$D$5-1),Projects!$B$5/Projects!$D$5,"")</f>
      </c>
      <c r="AO10" s="584">
        <f>IF(AND(Projects!$C$5&lt;=AO$4,AO$4&lt;=Projects!$C$5+Projects!$D$5-1),Projects!$B$5/Projects!$D$5,"")</f>
      </c>
      <c r="AP10" s="584">
        <f>IF(AND(Projects!$C$5&lt;=AP$4,AP$4&lt;=Projects!$C$5+Projects!$D$5-1),Projects!$B$5/Projects!$D$5,"")</f>
      </c>
      <c r="AQ10" s="584">
        <f>IF(AND(Projects!$C$5&lt;=AQ$4,AQ$4&lt;=Projects!$C$5+Projects!$D$5-1),Projects!$B$5/Projects!$D$5,"")</f>
      </c>
      <c r="AR10" s="584">
        <f>IF(AND(Projects!$C$5&lt;=AR$4,AR$4&lt;=Projects!$C$5+Projects!$D$5-1),Projects!$B$5/Projects!$D$5,"")</f>
      </c>
      <c r="AS10" s="584">
        <f>IF(AND(Projects!$C$5&lt;=AS$4,AS$4&lt;=Projects!$C$5+Projects!$D$5-1),Projects!$B$5/Projects!$D$5,"")</f>
      </c>
      <c r="AT10" s="584">
        <f>IF(AND(Projects!$C$5&lt;=AT$4,AT$4&lt;=Projects!$C$5+Projects!$D$5-1),Projects!$B$5/Projects!$D$5,"")</f>
      </c>
      <c r="AU10" s="584">
        <f>IF(AND(Projects!$C$5&lt;=AU$4,AU$4&lt;=Projects!$C$5+Projects!$D$5-1),Projects!$B$5/Projects!$D$5,"")</f>
      </c>
      <c r="AV10" s="584">
        <f>IF(AND(Projects!$C$5&lt;=AV$4,AV$4&lt;=Projects!$C$5+Projects!$D$5-1),Projects!$B$5/Projects!$D$5,"")</f>
      </c>
      <c r="AW10" s="584">
        <f>IF(AND(Projects!$C$5&lt;=AW$4,AW$4&lt;=Projects!$C$5+Projects!$D$5-1),Projects!$B$5/Projects!$D$5,"")</f>
      </c>
      <c r="AX10" s="584">
        <f>IF(AND(Projects!$C$5&lt;=AX$4,AX$4&lt;=Projects!$C$5+Projects!$D$5-1),Projects!$B$5/Projects!$D$5,"")</f>
      </c>
      <c r="AY10" s="584">
        <f>IF(AND(Projects!$C$5&lt;=AY$4,AY$4&lt;=Projects!$C$5+Projects!$D$5-1),Projects!$B$5/Projects!$D$5,"")</f>
      </c>
      <c r="AZ10" s="584">
        <f>IF(AND(Projects!$C$5&lt;=AZ$4,AZ$4&lt;=Projects!$C$5+Projects!$D$5-1),Projects!$B$5/Projects!$D$5,"")</f>
      </c>
      <c r="BA10" s="584">
        <f>IF(AND(Projects!$C$5&lt;=BA$4,BA$4&lt;=Projects!$C$5+Projects!$D$5-1),Projects!$B$5/Projects!$D$5,"")</f>
      </c>
      <c r="BB10" s="584">
        <f>IF(AND(Projects!$C$5&lt;=BB$4,BB$4&lt;=Projects!$C$5+Projects!$D$5-1),Projects!$B$5/Projects!$D$5,"")</f>
      </c>
      <c r="BC10" s="584">
        <f>IF(AND(Projects!$C$5&lt;=BC$4,BC$4&lt;=Projects!$C$5+Projects!$D$5-1),Projects!$B$5/Projects!$D$5,"")</f>
      </c>
      <c r="BD10" s="584">
        <f>IF(AND(Projects!$C$5&lt;=BD$4,BD$4&lt;=Projects!$C$5+Projects!$D$5-1),Projects!$B$5/Projects!$D$5,"")</f>
      </c>
      <c r="BE10" s="584">
        <f>IF(AND(Projects!$C$5&lt;=BE$4,BE$4&lt;=Projects!$C$5+Projects!$D$5-1),Projects!$B$5/Projects!$D$5,"")</f>
      </c>
      <c r="BF10" s="584">
        <f>IF(AND(Projects!$C$5&lt;=BF$4,BF$4&lt;=Projects!$C$5+Projects!$D$5-1),Projects!$B$5/Projects!$D$5,"")</f>
      </c>
      <c r="BG10" s="584">
        <f>IF(AND(Projects!$C$5&lt;=BG$4,BG$4&lt;=Projects!$C$5+Projects!$D$5-1),Projects!$B$5/Projects!$D$5,"")</f>
      </c>
      <c r="BH10" s="584">
        <f>IF(AND(Projects!$C$5&lt;=BH$4,BH$4&lt;=Projects!$C$5+Projects!$D$5-1),Projects!$B$5/Projects!$D$5,"")</f>
      </c>
      <c r="BI10" s="584">
        <f>IF(AND(Projects!$C$5&lt;=BI$4,BI$4&lt;=Projects!$C$5+Projects!$D$5-1),Projects!$B$5/Projects!$D$5,"")</f>
      </c>
      <c r="BJ10" s="584">
        <f>IF(AND(Projects!$C$5&lt;=BJ$4,BJ$4&lt;=Projects!$C$5+Projects!$D$5-1),Projects!$B$5/Projects!$D$5,"")</f>
      </c>
      <c r="BK10" s="584">
        <f>IF(AND(Projects!$C$5&lt;=BK$4,BK$4&lt;=Projects!$C$5+Projects!$D$5-1),Projects!$B$5/Projects!$D$5,"")</f>
      </c>
      <c r="BL10" s="584">
        <f>IF(AND(Projects!$C$5&lt;=BL$4,BL$4&lt;=Projects!$C$5+Projects!$D$5-1),Projects!$B$5/Projects!$D$5,"")</f>
      </c>
      <c r="BM10" s="584">
        <f>IF(AND(Projects!$C$5&lt;=BM$4,BM$4&lt;=Projects!$C$5+Projects!$D$5-1),Projects!$B$5/Projects!$D$5,"")</f>
      </c>
      <c r="BN10" s="584">
        <f>IF(AND(Projects!$C$5&lt;=BN$4,BN$4&lt;=Projects!$C$5+Projects!$D$5-1),Projects!$B$5/Projects!$D$5,"")</f>
      </c>
      <c r="BO10" s="584">
        <f>IF(AND(Projects!$C$5&lt;=BO$4,BO$4&lt;=Projects!$C$5+Projects!$D$5-1),Projects!$B$5/Projects!$D$5,"")</f>
      </c>
      <c r="BP10" s="584">
        <f>IF(AND(Projects!$C$5&lt;=BP$4,BP$4&lt;=Projects!$C$5+Projects!$D$5-1),Projects!$B$5/Projects!$D$5,"")</f>
      </c>
      <c r="BQ10" s="584">
        <f>IF(AND(Projects!$C$5&lt;=BQ$4,BQ$4&lt;=Projects!$C$5+Projects!$D$5-1),Projects!$B$5/Projects!$D$5,"")</f>
      </c>
      <c r="BR10" s="584">
        <f>IF(AND(Projects!$C$5&lt;=BR$4,BR$4&lt;=Projects!$C$5+Projects!$D$5-1),Projects!$B$5/Projects!$D$5,"")</f>
      </c>
      <c r="BS10" s="584">
        <f>IF(AND(Projects!$C$5&lt;=BS$4,BS$4&lt;=Projects!$C$5+Projects!$D$5-1),Projects!$B$5/Projects!$D$5,"")</f>
      </c>
      <c r="BT10" s="584">
        <f>IF(AND(Projects!$C$5&lt;=BT$4,BT$4&lt;=Projects!$C$5+Projects!$D$5-1),Projects!$B$5/Projects!$D$5,"")</f>
      </c>
      <c r="BU10" s="584">
        <f>IF(AND(Projects!$C$5&lt;=BU$4,BU$4&lt;=Projects!$C$5+Projects!$D$5-1),Projects!$B$5/Projects!$D$5,"")</f>
      </c>
      <c r="BV10" s="584">
        <f>IF(AND(Projects!$C$5&lt;=BV$4,BV$4&lt;=Projects!$C$5+Projects!$D$5-1),Projects!$B$5/Projects!$D$5,"")</f>
      </c>
      <c r="BW10" s="584">
        <f>IF(AND(Projects!$C$5&lt;=BW$4,BW$4&lt;=Projects!$C$5+Projects!$D$5-1),Projects!$B$5/Projects!$D$5,"")</f>
      </c>
      <c r="BX10" s="584">
        <f>IF(AND(Projects!$C$5&lt;=BX$4,BX$4&lt;=Projects!$C$5+Projects!$D$5-1),Projects!$B$5/Projects!$D$5,"")</f>
      </c>
      <c r="BY10" s="584">
        <f>IF(AND(Projects!$C$5&lt;=BY$4,BY$4&lt;=Projects!$C$5+Projects!$D$5-1),Projects!$B$5/Projects!$D$5,"")</f>
      </c>
      <c r="BZ10" s="584">
        <f>IF(AND(Projects!$C$5&lt;=BZ$4,BZ$4&lt;=Projects!$C$5+Projects!$D$5-1),Projects!$B$5/Projects!$D$5,"")</f>
      </c>
      <c r="CA10" s="584">
        <f>IF(AND(Projects!$C$5&lt;=CA$4,CA$4&lt;=Projects!$C$5+Projects!$D$5-1),Projects!$B$5/Projects!$D$5,"")</f>
      </c>
      <c r="CB10" s="584">
        <f>IF(AND(Projects!$C$5&lt;=CB$4,CB$4&lt;=Projects!$C$5+Projects!$D$5-1),Projects!$B$5/Projects!$D$5,"")</f>
      </c>
      <c r="CC10" s="584">
        <f>IF(AND(Projects!$C$5&lt;=CC$4,CC$4&lt;=Projects!$C$5+Projects!$D$5-1),Projects!$B$5/Projects!$D$5,"")</f>
      </c>
      <c r="CD10" s="584">
        <f>IF(AND(Projects!$C$5&lt;=CD$4,CD$4&lt;=Projects!$C$5+Projects!$D$5-1),Projects!$B$5/Projects!$D$5,"")</f>
      </c>
      <c r="CE10" s="584">
        <f>IF(AND(Projects!$C$5&lt;=CE$4,CE$4&lt;=Projects!$C$5+Projects!$D$5-1),Projects!$B$5/Projects!$D$5,"")</f>
      </c>
      <c r="CF10" s="584">
        <f>IF(AND(Projects!$C$5&lt;=CF$4,CF$4&lt;=Projects!$C$5+Projects!$D$5-1),Projects!$B$5/Projects!$D$5,"")</f>
      </c>
      <c r="CG10" s="584">
        <f>IF(AND(Projects!$C$5&lt;=CG$4,CG$4&lt;=Projects!$C$5+Projects!$D$5-1),Projects!$B$5/Projects!$D$5,"")</f>
      </c>
      <c r="CH10" s="584">
        <f>IF(AND(Projects!$C$5&lt;=CH$4,CH$4&lt;=Projects!$C$5+Projects!$D$5-1),Projects!$B$5/Projects!$D$5,"")</f>
      </c>
      <c r="CI10" s="584">
        <f>IF(AND(Projects!$C$5&lt;=CI$4,CI$4&lt;=Projects!$C$5+Projects!$D$5-1),Projects!$B$5/Projects!$D$5,"")</f>
      </c>
      <c r="CJ10" s="584">
        <f>IF(AND(Projects!$C$5&lt;=CJ$4,CJ$4&lt;=Projects!$C$5+Projects!$D$5-1),Projects!$B$5/Projects!$D$5,"")</f>
      </c>
      <c r="CK10" s="584">
        <f>IF(AND(Projects!$C$5&lt;=CK$4,CK$4&lt;=Projects!$C$5+Projects!$D$5-1),Projects!$B$5/Projects!$D$5,"")</f>
      </c>
      <c r="CL10" s="584">
        <f>IF(AND(Projects!$C$5&lt;=CL$4,CL$4&lt;=Projects!$C$5+Projects!$D$5-1),Projects!$B$5/Projects!$D$5,"")</f>
      </c>
      <c r="CM10" s="584">
        <f>IF(AND(Projects!$C$5&lt;=CM$4,CM$4&lt;=Projects!$C$5+Projects!$D$5-1),Projects!$B$5/Projects!$D$5,"")</f>
      </c>
      <c r="CN10" s="584">
        <f>IF(AND(Projects!$C$5&lt;=CN$4,CN$4&lt;=Projects!$C$5+Projects!$D$5-1),Projects!$B$5/Projects!$D$5,"")</f>
      </c>
      <c r="CO10" s="584">
        <f>IF(AND(Projects!$C$5&lt;=CO$4,CO$4&lt;=Projects!$C$5+Projects!$D$5-1),Projects!$B$5/Projects!$D$5,"")</f>
      </c>
      <c r="CP10" s="584">
        <f>IF(AND(Projects!$C$5&lt;=CP$4,CP$4&lt;=Projects!$C$5+Projects!$D$5-1),Projects!$B$5/Projects!$D$5,"")</f>
      </c>
      <c r="CQ10" s="584">
        <f>IF(AND(Projects!$C$5&lt;=CQ$4,CQ$4&lt;=Projects!$C$5+Projects!$D$5-1),Projects!$B$5/Projects!$D$5,"")</f>
      </c>
      <c r="CR10" s="584">
        <f>IF(AND(Projects!$C$5&lt;=CR$4,CR$4&lt;=Projects!$C$5+Projects!$D$5-1),Projects!$B$5/Projects!$D$5,"")</f>
      </c>
      <c r="CS10" s="584">
        <f>IF(AND(Projects!$C$5&lt;=CS$4,CS$4&lt;=Projects!$C$5+Projects!$D$5-1),Projects!$B$5/Projects!$D$5,"")</f>
      </c>
      <c r="CT10" s="584">
        <f>IF(AND(Projects!$C$5&lt;=CT$4,CT$4&lt;=Projects!$C$5+Projects!$D$5-1),Projects!$B$5/Projects!$D$5,"")</f>
      </c>
      <c r="CU10" s="584">
        <f>IF(AND(Projects!$C$5&lt;=CU$4,CU$4&lt;=Projects!$C$5+Projects!$D$5-1),Projects!$B$5/Projects!$D$5,"")</f>
      </c>
      <c r="CV10" s="584">
        <f>IF(AND(Projects!$C$5&lt;=CV$4,CV$4&lt;=Projects!$C$5+Projects!$D$5-1),Projects!$B$5/Projects!$D$5,"")</f>
      </c>
      <c r="CW10" s="584">
        <f>IF(AND(Projects!$C$5&lt;=CW$4,CW$4&lt;=Projects!$C$5+Projects!$D$5-1),Projects!$B$5/Projects!$D$5,"")</f>
      </c>
      <c r="CX10" s="584">
        <f>IF(AND(Projects!$C$5&lt;=CX$4,CX$4&lt;=Projects!$C$5+Projects!$D$5-1),Projects!$B$5/Projects!$D$5,"")</f>
      </c>
      <c r="CY10" s="584">
        <f>IF(AND(Projects!$C$5&lt;=CY$4,CY$4&lt;=Projects!$C$5+Projects!$D$5-1),Projects!$B$5/Projects!$D$5,"")</f>
      </c>
      <c r="CZ10" s="584">
        <f>IF(AND(Projects!$C$5&lt;=CZ$4,CZ$4&lt;=Projects!$C$5+Projects!$D$5-1),Projects!$B$5/Projects!$D$5,"")</f>
      </c>
      <c r="DA10" s="584">
        <f>IF(AND(Projects!$C$5&lt;=DA$4,DA$4&lt;=Projects!$C$5+Projects!$D$5-1),Projects!$B$5/Projects!$D$5,"")</f>
      </c>
      <c r="DB10" s="584">
        <f>IF(AND(Projects!$C$5&lt;=DB$4,DB$4&lt;=Projects!$C$5+Projects!$D$5-1),Projects!$B$5/Projects!$D$5,"")</f>
      </c>
    </row>
    <row r="11" ht="15" customFormat="1" customHeight="1" s="381">
      <c r="A11" s="513" t="inlineStr">
        <is>
          <t>Nelrose</t>
        </is>
      </c>
      <c r="B11" s="581">
        <f>Projects!$B$6</f>
        <v>3623245</v>
      </c>
      <c r="C11" s="582">
        <f>EDATE(Model!$E$2,Projects!$C$6-1)</f>
        <v>46113</v>
      </c>
      <c r="D11" s="582">
        <f>EDATE(Model!$E$2,Projects!$C$6+Projects!$D$6-2)</f>
        <v>46661</v>
      </c>
      <c r="E11" s="583">
        <f>Projects!$D$6</f>
        <v>19</v>
      </c>
      <c r="F11" s="581">
        <f>Projects!$B$6/Projects!$D$6</f>
        <v>190697.105263158</v>
      </c>
      <c r="G11" s="584">
        <f>IF(AND(Projects!$C$6&lt;=G$4,G$4&lt;=Projects!$C$6+Projects!$D$6-1),Projects!$B$6/Projects!$D$6,"")</f>
        <v>190697.105263158</v>
      </c>
      <c r="H11" s="584">
        <f>IF(AND(Projects!$C$6&lt;=H$4,H$4&lt;=Projects!$C$6+Projects!$D$6-1),Projects!$B$6/Projects!$D$6,"")</f>
        <v>190697.105263158</v>
      </c>
      <c r="I11" s="584">
        <f>IF(AND(Projects!$C$6&lt;=I$4,I$4&lt;=Projects!$C$6+Projects!$D$6-1),Projects!$B$6/Projects!$D$6,"")</f>
        <v>190697.105263158</v>
      </c>
      <c r="J11" s="584">
        <f>IF(AND(Projects!$C$6&lt;=J$4,J$4&lt;=Projects!$C$6+Projects!$D$6-1),Projects!$B$6/Projects!$D$6,"")</f>
        <v>190697.105263158</v>
      </c>
      <c r="K11" s="584">
        <f>IF(AND(Projects!$C$6&lt;=K$4,K$4&lt;=Projects!$C$6+Projects!$D$6-1),Projects!$B$6/Projects!$D$6,"")</f>
        <v>190697.105263158</v>
      </c>
      <c r="L11" s="584">
        <f>IF(AND(Projects!$C$6&lt;=L$4,L$4&lt;=Projects!$C$6+Projects!$D$6-1),Projects!$B$6/Projects!$D$6,"")</f>
        <v>190697.105263158</v>
      </c>
      <c r="M11" s="584">
        <f>IF(AND(Projects!$C$6&lt;=M$4,M$4&lt;=Projects!$C$6+Projects!$D$6-1),Projects!$B$6/Projects!$D$6,"")</f>
        <v>190697.105263158</v>
      </c>
      <c r="N11" s="584">
        <f>IF(AND(Projects!$C$6&lt;=N$4,N$4&lt;=Projects!$C$6+Projects!$D$6-1),Projects!$B$6/Projects!$D$6,"")</f>
        <v>190697.105263158</v>
      </c>
      <c r="O11" s="584">
        <f>IF(AND(Projects!$C$6&lt;=O$4,O$4&lt;=Projects!$C$6+Projects!$D$6-1),Projects!$B$6/Projects!$D$6,"")</f>
        <v>190697.105263158</v>
      </c>
      <c r="P11" s="584">
        <f>IF(AND(Projects!$C$6&lt;=P$4,P$4&lt;=Projects!$C$6+Projects!$D$6-1),Projects!$B$6/Projects!$D$6,"")</f>
        <v>190697.105263158</v>
      </c>
      <c r="Q11" s="584">
        <f>IF(AND(Projects!$C$6&lt;=Q$4,Q$4&lt;=Projects!$C$6+Projects!$D$6-1),Projects!$B$6/Projects!$D$6,"")</f>
        <v>190697.105263158</v>
      </c>
      <c r="R11" s="584">
        <f>IF(AND(Projects!$C$6&lt;=R$4,R$4&lt;=Projects!$C$6+Projects!$D$6-1),Projects!$B$6/Projects!$D$6,"")</f>
        <v>190697.105263158</v>
      </c>
      <c r="S11" s="584">
        <f>IF(AND(Projects!$C$6&lt;=S$4,S$4&lt;=Projects!$C$6+Projects!$D$6-1),Projects!$B$6/Projects!$D$6,"")</f>
        <v>190697.105263158</v>
      </c>
      <c r="T11" s="584">
        <f>IF(AND(Projects!$C$6&lt;=T$4,T$4&lt;=Projects!$C$6+Projects!$D$6-1),Projects!$B$6/Projects!$D$6,"")</f>
        <v>190697.105263158</v>
      </c>
      <c r="U11" s="584">
        <f>IF(AND(Projects!$C$6&lt;=U$4,U$4&lt;=Projects!$C$6+Projects!$D$6-1),Projects!$B$6/Projects!$D$6,"")</f>
        <v>190697.105263158</v>
      </c>
      <c r="V11" s="584">
        <f>IF(AND(Projects!$C$6&lt;=V$4,V$4&lt;=Projects!$C$6+Projects!$D$6-1),Projects!$B$6/Projects!$D$6,"")</f>
        <v>190697.105263158</v>
      </c>
      <c r="W11" s="584">
        <f>IF(AND(Projects!$C$6&lt;=W$4,W$4&lt;=Projects!$C$6+Projects!$D$6-1),Projects!$B$6/Projects!$D$6,"")</f>
        <v>190697.105263158</v>
      </c>
      <c r="X11" s="584">
        <f>IF(AND(Projects!$C$6&lt;=X$4,X$4&lt;=Projects!$C$6+Projects!$D$6-1),Projects!$B$6/Projects!$D$6,"")</f>
        <v>190697.105263158</v>
      </c>
      <c r="Y11" s="584">
        <f>IF(AND(Projects!$C$6&lt;=Y$4,Y$4&lt;=Projects!$C$6+Projects!$D$6-1),Projects!$B$6/Projects!$D$6,"")</f>
        <v>190697.105263158</v>
      </c>
      <c r="Z11" s="584">
        <f>IF(AND(Projects!$C$6&lt;=Z$4,Z$4&lt;=Projects!$C$6+Projects!$D$6-1),Projects!$B$6/Projects!$D$6,"")</f>
      </c>
      <c r="AA11" s="584">
        <f>IF(AND(Projects!$C$6&lt;=AA$4,AA$4&lt;=Projects!$C$6+Projects!$D$6-1),Projects!$B$6/Projects!$D$6,"")</f>
      </c>
      <c r="AB11" s="584">
        <f>IF(AND(Projects!$C$6&lt;=AB$4,AB$4&lt;=Projects!$C$6+Projects!$D$6-1),Projects!$B$6/Projects!$D$6,"")</f>
      </c>
      <c r="AC11" s="584">
        <f>IF(AND(Projects!$C$6&lt;=AC$4,AC$4&lt;=Projects!$C$6+Projects!$D$6-1),Projects!$B$6/Projects!$D$6,"")</f>
      </c>
      <c r="AD11" s="584">
        <f>IF(AND(Projects!$C$6&lt;=AD$4,AD$4&lt;=Projects!$C$6+Projects!$D$6-1),Projects!$B$6/Projects!$D$6,"")</f>
      </c>
      <c r="AE11" s="584">
        <f>IF(AND(Projects!$C$6&lt;=AE$4,AE$4&lt;=Projects!$C$6+Projects!$D$6-1),Projects!$B$6/Projects!$D$6,"")</f>
      </c>
      <c r="AF11" s="584">
        <f>IF(AND(Projects!$C$6&lt;=AF$4,AF$4&lt;=Projects!$C$6+Projects!$D$6-1),Projects!$B$6/Projects!$D$6,"")</f>
      </c>
      <c r="AG11" s="584">
        <f>IF(AND(Projects!$C$6&lt;=AG$4,AG$4&lt;=Projects!$C$6+Projects!$D$6-1),Projects!$B$6/Projects!$D$6,"")</f>
      </c>
      <c r="AH11" s="584">
        <f>IF(AND(Projects!$C$6&lt;=AH$4,AH$4&lt;=Projects!$C$6+Projects!$D$6-1),Projects!$B$6/Projects!$D$6,"")</f>
      </c>
      <c r="AI11" s="584">
        <f>IF(AND(Projects!$C$6&lt;=AI$4,AI$4&lt;=Projects!$C$6+Projects!$D$6-1),Projects!$B$6/Projects!$D$6,"")</f>
      </c>
      <c r="AJ11" s="584">
        <f>IF(AND(Projects!$C$6&lt;=AJ$4,AJ$4&lt;=Projects!$C$6+Projects!$D$6-1),Projects!$B$6/Projects!$D$6,"")</f>
      </c>
      <c r="AK11" s="584">
        <f>IF(AND(Projects!$C$6&lt;=AK$4,AK$4&lt;=Projects!$C$6+Projects!$D$6-1),Projects!$B$6/Projects!$D$6,"")</f>
      </c>
      <c r="AL11" s="584">
        <f>IF(AND(Projects!$C$6&lt;=AL$4,AL$4&lt;=Projects!$C$6+Projects!$D$6-1),Projects!$B$6/Projects!$D$6,"")</f>
      </c>
      <c r="AM11" s="584">
        <f>IF(AND(Projects!$C$6&lt;=AM$4,AM$4&lt;=Projects!$C$6+Projects!$D$6-1),Projects!$B$6/Projects!$D$6,"")</f>
      </c>
      <c r="AN11" s="584">
        <f>IF(AND(Projects!$C$6&lt;=AN$4,AN$4&lt;=Projects!$C$6+Projects!$D$6-1),Projects!$B$6/Projects!$D$6,"")</f>
      </c>
      <c r="AO11" s="584">
        <f>IF(AND(Projects!$C$6&lt;=AO$4,AO$4&lt;=Projects!$C$6+Projects!$D$6-1),Projects!$B$6/Projects!$D$6,"")</f>
      </c>
      <c r="AP11" s="584">
        <f>IF(AND(Projects!$C$6&lt;=AP$4,AP$4&lt;=Projects!$C$6+Projects!$D$6-1),Projects!$B$6/Projects!$D$6,"")</f>
      </c>
      <c r="AQ11" s="584">
        <f>IF(AND(Projects!$C$6&lt;=AQ$4,AQ$4&lt;=Projects!$C$6+Projects!$D$6-1),Projects!$B$6/Projects!$D$6,"")</f>
      </c>
      <c r="AR11" s="584">
        <f>IF(AND(Projects!$C$6&lt;=AR$4,AR$4&lt;=Projects!$C$6+Projects!$D$6-1),Projects!$B$6/Projects!$D$6,"")</f>
      </c>
      <c r="AS11" s="584">
        <f>IF(AND(Projects!$C$6&lt;=AS$4,AS$4&lt;=Projects!$C$6+Projects!$D$6-1),Projects!$B$6/Projects!$D$6,"")</f>
      </c>
      <c r="AT11" s="584">
        <f>IF(AND(Projects!$C$6&lt;=AT$4,AT$4&lt;=Projects!$C$6+Projects!$D$6-1),Projects!$B$6/Projects!$D$6,"")</f>
      </c>
      <c r="AU11" s="584">
        <f>IF(AND(Projects!$C$6&lt;=AU$4,AU$4&lt;=Projects!$C$6+Projects!$D$6-1),Projects!$B$6/Projects!$D$6,"")</f>
      </c>
      <c r="AV11" s="584">
        <f>IF(AND(Projects!$C$6&lt;=AV$4,AV$4&lt;=Projects!$C$6+Projects!$D$6-1),Projects!$B$6/Projects!$D$6,"")</f>
      </c>
      <c r="AW11" s="584">
        <f>IF(AND(Projects!$C$6&lt;=AW$4,AW$4&lt;=Projects!$C$6+Projects!$D$6-1),Projects!$B$6/Projects!$D$6,"")</f>
      </c>
      <c r="AX11" s="584">
        <f>IF(AND(Projects!$C$6&lt;=AX$4,AX$4&lt;=Projects!$C$6+Projects!$D$6-1),Projects!$B$6/Projects!$D$6,"")</f>
      </c>
      <c r="AY11" s="584">
        <f>IF(AND(Projects!$C$6&lt;=AY$4,AY$4&lt;=Projects!$C$6+Projects!$D$6-1),Projects!$B$6/Projects!$D$6,"")</f>
      </c>
      <c r="AZ11" s="584">
        <f>IF(AND(Projects!$C$6&lt;=AZ$4,AZ$4&lt;=Projects!$C$6+Projects!$D$6-1),Projects!$B$6/Projects!$D$6,"")</f>
      </c>
      <c r="BA11" s="584">
        <f>IF(AND(Projects!$C$6&lt;=BA$4,BA$4&lt;=Projects!$C$6+Projects!$D$6-1),Projects!$B$6/Projects!$D$6,"")</f>
      </c>
      <c r="BB11" s="584">
        <f>IF(AND(Projects!$C$6&lt;=BB$4,BB$4&lt;=Projects!$C$6+Projects!$D$6-1),Projects!$B$6/Projects!$D$6,"")</f>
      </c>
      <c r="BC11" s="584">
        <f>IF(AND(Projects!$C$6&lt;=BC$4,BC$4&lt;=Projects!$C$6+Projects!$D$6-1),Projects!$B$6/Projects!$D$6,"")</f>
      </c>
      <c r="BD11" s="584">
        <f>IF(AND(Projects!$C$6&lt;=BD$4,BD$4&lt;=Projects!$C$6+Projects!$D$6-1),Projects!$B$6/Projects!$D$6,"")</f>
      </c>
      <c r="BE11" s="584">
        <f>IF(AND(Projects!$C$6&lt;=BE$4,BE$4&lt;=Projects!$C$6+Projects!$D$6-1),Projects!$B$6/Projects!$D$6,"")</f>
      </c>
      <c r="BF11" s="584">
        <f>IF(AND(Projects!$C$6&lt;=BF$4,BF$4&lt;=Projects!$C$6+Projects!$D$6-1),Projects!$B$6/Projects!$D$6,"")</f>
      </c>
      <c r="BG11" s="584">
        <f>IF(AND(Projects!$C$6&lt;=BG$4,BG$4&lt;=Projects!$C$6+Projects!$D$6-1),Projects!$B$6/Projects!$D$6,"")</f>
      </c>
      <c r="BH11" s="584">
        <f>IF(AND(Projects!$C$6&lt;=BH$4,BH$4&lt;=Projects!$C$6+Projects!$D$6-1),Projects!$B$6/Projects!$D$6,"")</f>
      </c>
      <c r="BI11" s="584">
        <f>IF(AND(Projects!$C$6&lt;=BI$4,BI$4&lt;=Projects!$C$6+Projects!$D$6-1),Projects!$B$6/Projects!$D$6,"")</f>
      </c>
      <c r="BJ11" s="584">
        <f>IF(AND(Projects!$C$6&lt;=BJ$4,BJ$4&lt;=Projects!$C$6+Projects!$D$6-1),Projects!$B$6/Projects!$D$6,"")</f>
      </c>
      <c r="BK11" s="584">
        <f>IF(AND(Projects!$C$6&lt;=BK$4,BK$4&lt;=Projects!$C$6+Projects!$D$6-1),Projects!$B$6/Projects!$D$6,"")</f>
      </c>
      <c r="BL11" s="584">
        <f>IF(AND(Projects!$C$6&lt;=BL$4,BL$4&lt;=Projects!$C$6+Projects!$D$6-1),Projects!$B$6/Projects!$D$6,"")</f>
      </c>
      <c r="BM11" s="584">
        <f>IF(AND(Projects!$C$6&lt;=BM$4,BM$4&lt;=Projects!$C$6+Projects!$D$6-1),Projects!$B$6/Projects!$D$6,"")</f>
      </c>
      <c r="BN11" s="584">
        <f>IF(AND(Projects!$C$6&lt;=BN$4,BN$4&lt;=Projects!$C$6+Projects!$D$6-1),Projects!$B$6/Projects!$D$6,"")</f>
      </c>
      <c r="BO11" s="584">
        <f>IF(AND(Projects!$C$6&lt;=BO$4,BO$4&lt;=Projects!$C$6+Projects!$D$6-1),Projects!$B$6/Projects!$D$6,"")</f>
      </c>
      <c r="BP11" s="584">
        <f>IF(AND(Projects!$C$6&lt;=BP$4,BP$4&lt;=Projects!$C$6+Projects!$D$6-1),Projects!$B$6/Projects!$D$6,"")</f>
      </c>
      <c r="BQ11" s="584">
        <f>IF(AND(Projects!$C$6&lt;=BQ$4,BQ$4&lt;=Projects!$C$6+Projects!$D$6-1),Projects!$B$6/Projects!$D$6,"")</f>
      </c>
      <c r="BR11" s="584">
        <f>IF(AND(Projects!$C$6&lt;=BR$4,BR$4&lt;=Projects!$C$6+Projects!$D$6-1),Projects!$B$6/Projects!$D$6,"")</f>
      </c>
      <c r="BS11" s="584">
        <f>IF(AND(Projects!$C$6&lt;=BS$4,BS$4&lt;=Projects!$C$6+Projects!$D$6-1),Projects!$B$6/Projects!$D$6,"")</f>
      </c>
      <c r="BT11" s="584">
        <f>IF(AND(Projects!$C$6&lt;=BT$4,BT$4&lt;=Projects!$C$6+Projects!$D$6-1),Projects!$B$6/Projects!$D$6,"")</f>
      </c>
      <c r="BU11" s="584">
        <f>IF(AND(Projects!$C$6&lt;=BU$4,BU$4&lt;=Projects!$C$6+Projects!$D$6-1),Projects!$B$6/Projects!$D$6,"")</f>
      </c>
      <c r="BV11" s="584">
        <f>IF(AND(Projects!$C$6&lt;=BV$4,BV$4&lt;=Projects!$C$6+Projects!$D$6-1),Projects!$B$6/Projects!$D$6,"")</f>
      </c>
      <c r="BW11" s="584">
        <f>IF(AND(Projects!$C$6&lt;=BW$4,BW$4&lt;=Projects!$C$6+Projects!$D$6-1),Projects!$B$6/Projects!$D$6,"")</f>
      </c>
      <c r="BX11" s="584">
        <f>IF(AND(Projects!$C$6&lt;=BX$4,BX$4&lt;=Projects!$C$6+Projects!$D$6-1),Projects!$B$6/Projects!$D$6,"")</f>
      </c>
      <c r="BY11" s="584">
        <f>IF(AND(Projects!$C$6&lt;=BY$4,BY$4&lt;=Projects!$C$6+Projects!$D$6-1),Projects!$B$6/Projects!$D$6,"")</f>
      </c>
      <c r="BZ11" s="584">
        <f>IF(AND(Projects!$C$6&lt;=BZ$4,BZ$4&lt;=Projects!$C$6+Projects!$D$6-1),Projects!$B$6/Projects!$D$6,"")</f>
      </c>
      <c r="CA11" s="584">
        <f>IF(AND(Projects!$C$6&lt;=CA$4,CA$4&lt;=Projects!$C$6+Projects!$D$6-1),Projects!$B$6/Projects!$D$6,"")</f>
      </c>
      <c r="CB11" s="584">
        <f>IF(AND(Projects!$C$6&lt;=CB$4,CB$4&lt;=Projects!$C$6+Projects!$D$6-1),Projects!$B$6/Projects!$D$6,"")</f>
      </c>
      <c r="CC11" s="584">
        <f>IF(AND(Projects!$C$6&lt;=CC$4,CC$4&lt;=Projects!$C$6+Projects!$D$6-1),Projects!$B$6/Projects!$D$6,"")</f>
      </c>
      <c r="CD11" s="584">
        <f>IF(AND(Projects!$C$6&lt;=CD$4,CD$4&lt;=Projects!$C$6+Projects!$D$6-1),Projects!$B$6/Projects!$D$6,"")</f>
      </c>
      <c r="CE11" s="584">
        <f>IF(AND(Projects!$C$6&lt;=CE$4,CE$4&lt;=Projects!$C$6+Projects!$D$6-1),Projects!$B$6/Projects!$D$6,"")</f>
      </c>
      <c r="CF11" s="584">
        <f>IF(AND(Projects!$C$6&lt;=CF$4,CF$4&lt;=Projects!$C$6+Projects!$D$6-1),Projects!$B$6/Projects!$D$6,"")</f>
      </c>
      <c r="CG11" s="584">
        <f>IF(AND(Projects!$C$6&lt;=CG$4,CG$4&lt;=Projects!$C$6+Projects!$D$6-1),Projects!$B$6/Projects!$D$6,"")</f>
      </c>
      <c r="CH11" s="584">
        <f>IF(AND(Projects!$C$6&lt;=CH$4,CH$4&lt;=Projects!$C$6+Projects!$D$6-1),Projects!$B$6/Projects!$D$6,"")</f>
      </c>
      <c r="CI11" s="584">
        <f>IF(AND(Projects!$C$6&lt;=CI$4,CI$4&lt;=Projects!$C$6+Projects!$D$6-1),Projects!$B$6/Projects!$D$6,"")</f>
      </c>
      <c r="CJ11" s="584">
        <f>IF(AND(Projects!$C$6&lt;=CJ$4,CJ$4&lt;=Projects!$C$6+Projects!$D$6-1),Projects!$B$6/Projects!$D$6,"")</f>
      </c>
      <c r="CK11" s="584">
        <f>IF(AND(Projects!$C$6&lt;=CK$4,CK$4&lt;=Projects!$C$6+Projects!$D$6-1),Projects!$B$6/Projects!$D$6,"")</f>
      </c>
      <c r="CL11" s="584">
        <f>IF(AND(Projects!$C$6&lt;=CL$4,CL$4&lt;=Projects!$C$6+Projects!$D$6-1),Projects!$B$6/Projects!$D$6,"")</f>
      </c>
      <c r="CM11" s="584">
        <f>IF(AND(Projects!$C$6&lt;=CM$4,CM$4&lt;=Projects!$C$6+Projects!$D$6-1),Projects!$B$6/Projects!$D$6,"")</f>
      </c>
      <c r="CN11" s="584">
        <f>IF(AND(Projects!$C$6&lt;=CN$4,CN$4&lt;=Projects!$C$6+Projects!$D$6-1),Projects!$B$6/Projects!$D$6,"")</f>
      </c>
      <c r="CO11" s="584">
        <f>IF(AND(Projects!$C$6&lt;=CO$4,CO$4&lt;=Projects!$C$6+Projects!$D$6-1),Projects!$B$6/Projects!$D$6,"")</f>
      </c>
      <c r="CP11" s="584">
        <f>IF(AND(Projects!$C$6&lt;=CP$4,CP$4&lt;=Projects!$C$6+Projects!$D$6-1),Projects!$B$6/Projects!$D$6,"")</f>
      </c>
      <c r="CQ11" s="584">
        <f>IF(AND(Projects!$C$6&lt;=CQ$4,CQ$4&lt;=Projects!$C$6+Projects!$D$6-1),Projects!$B$6/Projects!$D$6,"")</f>
      </c>
      <c r="CR11" s="584">
        <f>IF(AND(Projects!$C$6&lt;=CR$4,CR$4&lt;=Projects!$C$6+Projects!$D$6-1),Projects!$B$6/Projects!$D$6,"")</f>
      </c>
      <c r="CS11" s="584">
        <f>IF(AND(Projects!$C$6&lt;=CS$4,CS$4&lt;=Projects!$C$6+Projects!$D$6-1),Projects!$B$6/Projects!$D$6,"")</f>
      </c>
      <c r="CT11" s="584">
        <f>IF(AND(Projects!$C$6&lt;=CT$4,CT$4&lt;=Projects!$C$6+Projects!$D$6-1),Projects!$B$6/Projects!$D$6,"")</f>
      </c>
      <c r="CU11" s="584">
        <f>IF(AND(Projects!$C$6&lt;=CU$4,CU$4&lt;=Projects!$C$6+Projects!$D$6-1),Projects!$B$6/Projects!$D$6,"")</f>
      </c>
      <c r="CV11" s="584">
        <f>IF(AND(Projects!$C$6&lt;=CV$4,CV$4&lt;=Projects!$C$6+Projects!$D$6-1),Projects!$B$6/Projects!$D$6,"")</f>
      </c>
      <c r="CW11" s="584">
        <f>IF(AND(Projects!$C$6&lt;=CW$4,CW$4&lt;=Projects!$C$6+Projects!$D$6-1),Projects!$B$6/Projects!$D$6,"")</f>
      </c>
      <c r="CX11" s="584">
        <f>IF(AND(Projects!$C$6&lt;=CX$4,CX$4&lt;=Projects!$C$6+Projects!$D$6-1),Projects!$B$6/Projects!$D$6,"")</f>
      </c>
      <c r="CY11" s="584">
        <f>IF(AND(Projects!$C$6&lt;=CY$4,CY$4&lt;=Projects!$C$6+Projects!$D$6-1),Projects!$B$6/Projects!$D$6,"")</f>
      </c>
      <c r="CZ11" s="584">
        <f>IF(AND(Projects!$C$6&lt;=CZ$4,CZ$4&lt;=Projects!$C$6+Projects!$D$6-1),Projects!$B$6/Projects!$D$6,"")</f>
      </c>
      <c r="DA11" s="584">
        <f>IF(AND(Projects!$C$6&lt;=DA$4,DA$4&lt;=Projects!$C$6+Projects!$D$6-1),Projects!$B$6/Projects!$D$6,"")</f>
      </c>
      <c r="DB11" s="584">
        <f>IF(AND(Projects!$C$6&lt;=DB$4,DB$4&lt;=Projects!$C$6+Projects!$D$6-1),Projects!$B$6/Projects!$D$6,"")</f>
      </c>
    </row>
    <row r="12" ht="15" customFormat="1" customHeight="1" s="381">
      <c r="A12" s="513" t="inlineStr">
        <is>
          <t>Francis</t>
        </is>
      </c>
      <c r="B12" s="581">
        <f>Projects!$B$7</f>
        <v>42794765</v>
      </c>
      <c r="C12" s="582">
        <f>EDATE(Model!$E$2,Projects!$C$7-1)</f>
        <v>46235</v>
      </c>
      <c r="D12" s="582">
        <f>EDATE(Model!$E$2,Projects!$C$7+Projects!$D$7-2)</f>
        <v>47119</v>
      </c>
      <c r="E12" s="583">
        <f>Projects!$D$7</f>
        <v>30</v>
      </c>
      <c r="F12" s="581">
        <f>Projects!$B$7/Projects!$D$7</f>
        <v>1426492.16666667</v>
      </c>
      <c r="G12" s="584">
        <f>IF(AND(Projects!$C$7&lt;=G$4,G$4&lt;=Projects!$C$7+Projects!$D$7-1),Projects!$B$7/Projects!$D$7,"")</f>
      </c>
      <c r="H12" s="584">
        <f>IF(AND(Projects!$C$7&lt;=H$4,H$4&lt;=Projects!$C$7+Projects!$D$7-1),Projects!$B$7/Projects!$D$7,"")</f>
      </c>
      <c r="I12" s="584">
        <f>IF(AND(Projects!$C$7&lt;=I$4,I$4&lt;=Projects!$C$7+Projects!$D$7-1),Projects!$B$7/Projects!$D$7,"")</f>
      </c>
      <c r="J12" s="584">
        <f>IF(AND(Projects!$C$7&lt;=J$4,J$4&lt;=Projects!$C$7+Projects!$D$7-1),Projects!$B$7/Projects!$D$7,"")</f>
      </c>
      <c r="K12" s="584">
        <f>IF(AND(Projects!$C$7&lt;=K$4,K$4&lt;=Projects!$C$7+Projects!$D$7-1),Projects!$B$7/Projects!$D$7,"")</f>
        <v>1426492.16666667</v>
      </c>
      <c r="L12" s="584">
        <f>IF(AND(Projects!$C$7&lt;=L$4,L$4&lt;=Projects!$C$7+Projects!$D$7-1),Projects!$B$7/Projects!$D$7,"")</f>
        <v>1426492.16666667</v>
      </c>
      <c r="M12" s="584">
        <f>IF(AND(Projects!$C$7&lt;=M$4,M$4&lt;=Projects!$C$7+Projects!$D$7-1),Projects!$B$7/Projects!$D$7,"")</f>
        <v>1426492.16666667</v>
      </c>
      <c r="N12" s="584">
        <f>IF(AND(Projects!$C$7&lt;=N$4,N$4&lt;=Projects!$C$7+Projects!$D$7-1),Projects!$B$7/Projects!$D$7,"")</f>
        <v>1426492.16666667</v>
      </c>
      <c r="O12" s="584">
        <f>IF(AND(Projects!$C$7&lt;=O$4,O$4&lt;=Projects!$C$7+Projects!$D$7-1),Projects!$B$7/Projects!$D$7,"")</f>
        <v>1426492.16666667</v>
      </c>
      <c r="P12" s="584">
        <f>IF(AND(Projects!$C$7&lt;=P$4,P$4&lt;=Projects!$C$7+Projects!$D$7-1),Projects!$B$7/Projects!$D$7,"")</f>
        <v>1426492.16666667</v>
      </c>
      <c r="Q12" s="584">
        <f>IF(AND(Projects!$C$7&lt;=Q$4,Q$4&lt;=Projects!$C$7+Projects!$D$7-1),Projects!$B$7/Projects!$D$7,"")</f>
        <v>1426492.16666667</v>
      </c>
      <c r="R12" s="584">
        <f>IF(AND(Projects!$C$7&lt;=R$4,R$4&lt;=Projects!$C$7+Projects!$D$7-1),Projects!$B$7/Projects!$D$7,"")</f>
        <v>1426492.16666667</v>
      </c>
      <c r="S12" s="584">
        <f>IF(AND(Projects!$C$7&lt;=S$4,S$4&lt;=Projects!$C$7+Projects!$D$7-1),Projects!$B$7/Projects!$D$7,"")</f>
        <v>1426492.16666667</v>
      </c>
      <c r="T12" s="584">
        <f>IF(AND(Projects!$C$7&lt;=T$4,T$4&lt;=Projects!$C$7+Projects!$D$7-1),Projects!$B$7/Projects!$D$7,"")</f>
        <v>1426492.16666667</v>
      </c>
      <c r="U12" s="584">
        <f>IF(AND(Projects!$C$7&lt;=U$4,U$4&lt;=Projects!$C$7+Projects!$D$7-1),Projects!$B$7/Projects!$D$7,"")</f>
        <v>1426492.16666667</v>
      </c>
      <c r="V12" s="584">
        <f>IF(AND(Projects!$C$7&lt;=V$4,V$4&lt;=Projects!$C$7+Projects!$D$7-1),Projects!$B$7/Projects!$D$7,"")</f>
        <v>1426492.16666667</v>
      </c>
      <c r="W12" s="584">
        <f>IF(AND(Projects!$C$7&lt;=W$4,W$4&lt;=Projects!$C$7+Projects!$D$7-1),Projects!$B$7/Projects!$D$7,"")</f>
        <v>1426492.16666667</v>
      </c>
      <c r="X12" s="584">
        <f>IF(AND(Projects!$C$7&lt;=X$4,X$4&lt;=Projects!$C$7+Projects!$D$7-1),Projects!$B$7/Projects!$D$7,"")</f>
        <v>1426492.16666667</v>
      </c>
      <c r="Y12" s="584">
        <f>IF(AND(Projects!$C$7&lt;=Y$4,Y$4&lt;=Projects!$C$7+Projects!$D$7-1),Projects!$B$7/Projects!$D$7,"")</f>
        <v>1426492.16666667</v>
      </c>
      <c r="Z12" s="584">
        <f>IF(AND(Projects!$C$7&lt;=Z$4,Z$4&lt;=Projects!$C$7+Projects!$D$7-1),Projects!$B$7/Projects!$D$7,"")</f>
        <v>1426492.16666667</v>
      </c>
      <c r="AA12" s="584">
        <f>IF(AND(Projects!$C$7&lt;=AA$4,AA$4&lt;=Projects!$C$7+Projects!$D$7-1),Projects!$B$7/Projects!$D$7,"")</f>
        <v>1426492.16666667</v>
      </c>
      <c r="AB12" s="584">
        <f>IF(AND(Projects!$C$7&lt;=AB$4,AB$4&lt;=Projects!$C$7+Projects!$D$7-1),Projects!$B$7/Projects!$D$7,"")</f>
        <v>1426492.16666667</v>
      </c>
      <c r="AC12" s="584">
        <f>IF(AND(Projects!$C$7&lt;=AC$4,AC$4&lt;=Projects!$C$7+Projects!$D$7-1),Projects!$B$7/Projects!$D$7,"")</f>
        <v>1426492.16666667</v>
      </c>
      <c r="AD12" s="584">
        <f>IF(AND(Projects!$C$7&lt;=AD$4,AD$4&lt;=Projects!$C$7+Projects!$D$7-1),Projects!$B$7/Projects!$D$7,"")</f>
        <v>1426492.16666667</v>
      </c>
      <c r="AE12" s="584">
        <f>IF(AND(Projects!$C$7&lt;=AE$4,AE$4&lt;=Projects!$C$7+Projects!$D$7-1),Projects!$B$7/Projects!$D$7,"")</f>
        <v>1426492.16666667</v>
      </c>
      <c r="AF12" s="584">
        <f>IF(AND(Projects!$C$7&lt;=AF$4,AF$4&lt;=Projects!$C$7+Projects!$D$7-1),Projects!$B$7/Projects!$D$7,"")</f>
        <v>1426492.16666667</v>
      </c>
      <c r="AG12" s="584">
        <f>IF(AND(Projects!$C$7&lt;=AG$4,AG$4&lt;=Projects!$C$7+Projects!$D$7-1),Projects!$B$7/Projects!$D$7,"")</f>
        <v>1426492.16666667</v>
      </c>
      <c r="AH12" s="584">
        <f>IF(AND(Projects!$C$7&lt;=AH$4,AH$4&lt;=Projects!$C$7+Projects!$D$7-1),Projects!$B$7/Projects!$D$7,"")</f>
        <v>1426492.16666667</v>
      </c>
      <c r="AI12" s="584">
        <f>IF(AND(Projects!$C$7&lt;=AI$4,AI$4&lt;=Projects!$C$7+Projects!$D$7-1),Projects!$B$7/Projects!$D$7,"")</f>
        <v>1426492.16666667</v>
      </c>
      <c r="AJ12" s="584">
        <f>IF(AND(Projects!$C$7&lt;=AJ$4,AJ$4&lt;=Projects!$C$7+Projects!$D$7-1),Projects!$B$7/Projects!$D$7,"")</f>
        <v>1426492.16666667</v>
      </c>
      <c r="AK12" s="584">
        <f>IF(AND(Projects!$C$7&lt;=AK$4,AK$4&lt;=Projects!$C$7+Projects!$D$7-1),Projects!$B$7/Projects!$D$7,"")</f>
        <v>1426492.16666667</v>
      </c>
      <c r="AL12" s="584">
        <f>IF(AND(Projects!$C$7&lt;=AL$4,AL$4&lt;=Projects!$C$7+Projects!$D$7-1),Projects!$B$7/Projects!$D$7,"")</f>
        <v>1426492.16666667</v>
      </c>
      <c r="AM12" s="584">
        <f>IF(AND(Projects!$C$7&lt;=AM$4,AM$4&lt;=Projects!$C$7+Projects!$D$7-1),Projects!$B$7/Projects!$D$7,"")</f>
        <v>1426492.16666667</v>
      </c>
      <c r="AN12" s="584">
        <f>IF(AND(Projects!$C$7&lt;=AN$4,AN$4&lt;=Projects!$C$7+Projects!$D$7-1),Projects!$B$7/Projects!$D$7,"")</f>
        <v>1426492.16666667</v>
      </c>
      <c r="AO12" s="584">
        <f>IF(AND(Projects!$C$7&lt;=AO$4,AO$4&lt;=Projects!$C$7+Projects!$D$7-1),Projects!$B$7/Projects!$D$7,"")</f>
      </c>
      <c r="AP12" s="584">
        <f>IF(AND(Projects!$C$7&lt;=AP$4,AP$4&lt;=Projects!$C$7+Projects!$D$7-1),Projects!$B$7/Projects!$D$7,"")</f>
      </c>
      <c r="AQ12" s="584">
        <f>IF(AND(Projects!$C$7&lt;=AQ$4,AQ$4&lt;=Projects!$C$7+Projects!$D$7-1),Projects!$B$7/Projects!$D$7,"")</f>
      </c>
      <c r="AR12" s="584">
        <f>IF(AND(Projects!$C$7&lt;=AR$4,AR$4&lt;=Projects!$C$7+Projects!$D$7-1),Projects!$B$7/Projects!$D$7,"")</f>
      </c>
      <c r="AS12" s="584">
        <f>IF(AND(Projects!$C$7&lt;=AS$4,AS$4&lt;=Projects!$C$7+Projects!$D$7-1),Projects!$B$7/Projects!$D$7,"")</f>
      </c>
      <c r="AT12" s="584">
        <f>IF(AND(Projects!$C$7&lt;=AT$4,AT$4&lt;=Projects!$C$7+Projects!$D$7-1),Projects!$B$7/Projects!$D$7,"")</f>
      </c>
      <c r="AU12" s="584">
        <f>IF(AND(Projects!$C$7&lt;=AU$4,AU$4&lt;=Projects!$C$7+Projects!$D$7-1),Projects!$B$7/Projects!$D$7,"")</f>
      </c>
      <c r="AV12" s="584">
        <f>IF(AND(Projects!$C$7&lt;=AV$4,AV$4&lt;=Projects!$C$7+Projects!$D$7-1),Projects!$B$7/Projects!$D$7,"")</f>
      </c>
      <c r="AW12" s="584">
        <f>IF(AND(Projects!$C$7&lt;=AW$4,AW$4&lt;=Projects!$C$7+Projects!$D$7-1),Projects!$B$7/Projects!$D$7,"")</f>
      </c>
      <c r="AX12" s="584">
        <f>IF(AND(Projects!$C$7&lt;=AX$4,AX$4&lt;=Projects!$C$7+Projects!$D$7-1),Projects!$B$7/Projects!$D$7,"")</f>
      </c>
      <c r="AY12" s="584">
        <f>IF(AND(Projects!$C$7&lt;=AY$4,AY$4&lt;=Projects!$C$7+Projects!$D$7-1),Projects!$B$7/Projects!$D$7,"")</f>
      </c>
      <c r="AZ12" s="584">
        <f>IF(AND(Projects!$C$7&lt;=AZ$4,AZ$4&lt;=Projects!$C$7+Projects!$D$7-1),Projects!$B$7/Projects!$D$7,"")</f>
      </c>
      <c r="BA12" s="584">
        <f>IF(AND(Projects!$C$7&lt;=BA$4,BA$4&lt;=Projects!$C$7+Projects!$D$7-1),Projects!$B$7/Projects!$D$7,"")</f>
      </c>
      <c r="BB12" s="584">
        <f>IF(AND(Projects!$C$7&lt;=BB$4,BB$4&lt;=Projects!$C$7+Projects!$D$7-1),Projects!$B$7/Projects!$D$7,"")</f>
      </c>
      <c r="BC12" s="584">
        <f>IF(AND(Projects!$C$7&lt;=BC$4,BC$4&lt;=Projects!$C$7+Projects!$D$7-1),Projects!$B$7/Projects!$D$7,"")</f>
      </c>
      <c r="BD12" s="584">
        <f>IF(AND(Projects!$C$7&lt;=BD$4,BD$4&lt;=Projects!$C$7+Projects!$D$7-1),Projects!$B$7/Projects!$D$7,"")</f>
      </c>
      <c r="BE12" s="584">
        <f>IF(AND(Projects!$C$7&lt;=BE$4,BE$4&lt;=Projects!$C$7+Projects!$D$7-1),Projects!$B$7/Projects!$D$7,"")</f>
      </c>
      <c r="BF12" s="584">
        <f>IF(AND(Projects!$C$7&lt;=BF$4,BF$4&lt;=Projects!$C$7+Projects!$D$7-1),Projects!$B$7/Projects!$D$7,"")</f>
      </c>
      <c r="BG12" s="584">
        <f>IF(AND(Projects!$C$7&lt;=BG$4,BG$4&lt;=Projects!$C$7+Projects!$D$7-1),Projects!$B$7/Projects!$D$7,"")</f>
      </c>
      <c r="BH12" s="584">
        <f>IF(AND(Projects!$C$7&lt;=BH$4,BH$4&lt;=Projects!$C$7+Projects!$D$7-1),Projects!$B$7/Projects!$D$7,"")</f>
      </c>
      <c r="BI12" s="584">
        <f>IF(AND(Projects!$C$7&lt;=BI$4,BI$4&lt;=Projects!$C$7+Projects!$D$7-1),Projects!$B$7/Projects!$D$7,"")</f>
      </c>
      <c r="BJ12" s="584">
        <f>IF(AND(Projects!$C$7&lt;=BJ$4,BJ$4&lt;=Projects!$C$7+Projects!$D$7-1),Projects!$B$7/Projects!$D$7,"")</f>
      </c>
      <c r="BK12" s="584">
        <f>IF(AND(Projects!$C$7&lt;=BK$4,BK$4&lt;=Projects!$C$7+Projects!$D$7-1),Projects!$B$7/Projects!$D$7,"")</f>
      </c>
      <c r="BL12" s="584">
        <f>IF(AND(Projects!$C$7&lt;=BL$4,BL$4&lt;=Projects!$C$7+Projects!$D$7-1),Projects!$B$7/Projects!$D$7,"")</f>
      </c>
      <c r="BM12" s="584">
        <f>IF(AND(Projects!$C$7&lt;=BM$4,BM$4&lt;=Projects!$C$7+Projects!$D$7-1),Projects!$B$7/Projects!$D$7,"")</f>
      </c>
      <c r="BN12" s="584">
        <f>IF(AND(Projects!$C$7&lt;=BN$4,BN$4&lt;=Projects!$C$7+Projects!$D$7-1),Projects!$B$7/Projects!$D$7,"")</f>
      </c>
      <c r="BO12" s="584">
        <f>IF(AND(Projects!$C$7&lt;=BO$4,BO$4&lt;=Projects!$C$7+Projects!$D$7-1),Projects!$B$7/Projects!$D$7,"")</f>
      </c>
      <c r="BP12" s="584">
        <f>IF(AND(Projects!$C$7&lt;=BP$4,BP$4&lt;=Projects!$C$7+Projects!$D$7-1),Projects!$B$7/Projects!$D$7,"")</f>
      </c>
      <c r="BQ12" s="584">
        <f>IF(AND(Projects!$C$7&lt;=BQ$4,BQ$4&lt;=Projects!$C$7+Projects!$D$7-1),Projects!$B$7/Projects!$D$7,"")</f>
      </c>
      <c r="BR12" s="584">
        <f>IF(AND(Projects!$C$7&lt;=BR$4,BR$4&lt;=Projects!$C$7+Projects!$D$7-1),Projects!$B$7/Projects!$D$7,"")</f>
      </c>
      <c r="BS12" s="584">
        <f>IF(AND(Projects!$C$7&lt;=BS$4,BS$4&lt;=Projects!$C$7+Projects!$D$7-1),Projects!$B$7/Projects!$D$7,"")</f>
      </c>
      <c r="BT12" s="584">
        <f>IF(AND(Projects!$C$7&lt;=BT$4,BT$4&lt;=Projects!$C$7+Projects!$D$7-1),Projects!$B$7/Projects!$D$7,"")</f>
      </c>
      <c r="BU12" s="584">
        <f>IF(AND(Projects!$C$7&lt;=BU$4,BU$4&lt;=Projects!$C$7+Projects!$D$7-1),Projects!$B$7/Projects!$D$7,"")</f>
      </c>
      <c r="BV12" s="584">
        <f>IF(AND(Projects!$C$7&lt;=BV$4,BV$4&lt;=Projects!$C$7+Projects!$D$7-1),Projects!$B$7/Projects!$D$7,"")</f>
      </c>
      <c r="BW12" s="584">
        <f>IF(AND(Projects!$C$7&lt;=BW$4,BW$4&lt;=Projects!$C$7+Projects!$D$7-1),Projects!$B$7/Projects!$D$7,"")</f>
      </c>
      <c r="BX12" s="584">
        <f>IF(AND(Projects!$C$7&lt;=BX$4,BX$4&lt;=Projects!$C$7+Projects!$D$7-1),Projects!$B$7/Projects!$D$7,"")</f>
      </c>
      <c r="BY12" s="584">
        <f>IF(AND(Projects!$C$7&lt;=BY$4,BY$4&lt;=Projects!$C$7+Projects!$D$7-1),Projects!$B$7/Projects!$D$7,"")</f>
      </c>
      <c r="BZ12" s="584">
        <f>IF(AND(Projects!$C$7&lt;=BZ$4,BZ$4&lt;=Projects!$C$7+Projects!$D$7-1),Projects!$B$7/Projects!$D$7,"")</f>
      </c>
      <c r="CA12" s="584">
        <f>IF(AND(Projects!$C$7&lt;=CA$4,CA$4&lt;=Projects!$C$7+Projects!$D$7-1),Projects!$B$7/Projects!$D$7,"")</f>
      </c>
      <c r="CB12" s="584">
        <f>IF(AND(Projects!$C$7&lt;=CB$4,CB$4&lt;=Projects!$C$7+Projects!$D$7-1),Projects!$B$7/Projects!$D$7,"")</f>
      </c>
      <c r="CC12" s="584">
        <f>IF(AND(Projects!$C$7&lt;=CC$4,CC$4&lt;=Projects!$C$7+Projects!$D$7-1),Projects!$B$7/Projects!$D$7,"")</f>
      </c>
      <c r="CD12" s="584">
        <f>IF(AND(Projects!$C$7&lt;=CD$4,CD$4&lt;=Projects!$C$7+Projects!$D$7-1),Projects!$B$7/Projects!$D$7,"")</f>
      </c>
      <c r="CE12" s="584">
        <f>IF(AND(Projects!$C$7&lt;=CE$4,CE$4&lt;=Projects!$C$7+Projects!$D$7-1),Projects!$B$7/Projects!$D$7,"")</f>
      </c>
      <c r="CF12" s="584">
        <f>IF(AND(Projects!$C$7&lt;=CF$4,CF$4&lt;=Projects!$C$7+Projects!$D$7-1),Projects!$B$7/Projects!$D$7,"")</f>
      </c>
      <c r="CG12" s="584">
        <f>IF(AND(Projects!$C$7&lt;=CG$4,CG$4&lt;=Projects!$C$7+Projects!$D$7-1),Projects!$B$7/Projects!$D$7,"")</f>
      </c>
      <c r="CH12" s="584">
        <f>IF(AND(Projects!$C$7&lt;=CH$4,CH$4&lt;=Projects!$C$7+Projects!$D$7-1),Projects!$B$7/Projects!$D$7,"")</f>
      </c>
      <c r="CI12" s="584">
        <f>IF(AND(Projects!$C$7&lt;=CI$4,CI$4&lt;=Projects!$C$7+Projects!$D$7-1),Projects!$B$7/Projects!$D$7,"")</f>
      </c>
      <c r="CJ12" s="584">
        <f>IF(AND(Projects!$C$7&lt;=CJ$4,CJ$4&lt;=Projects!$C$7+Projects!$D$7-1),Projects!$B$7/Projects!$D$7,"")</f>
      </c>
      <c r="CK12" s="584">
        <f>IF(AND(Projects!$C$7&lt;=CK$4,CK$4&lt;=Projects!$C$7+Projects!$D$7-1),Projects!$B$7/Projects!$D$7,"")</f>
      </c>
      <c r="CL12" s="584">
        <f>IF(AND(Projects!$C$7&lt;=CL$4,CL$4&lt;=Projects!$C$7+Projects!$D$7-1),Projects!$B$7/Projects!$D$7,"")</f>
      </c>
      <c r="CM12" s="584">
        <f>IF(AND(Projects!$C$7&lt;=CM$4,CM$4&lt;=Projects!$C$7+Projects!$D$7-1),Projects!$B$7/Projects!$D$7,"")</f>
      </c>
      <c r="CN12" s="584">
        <f>IF(AND(Projects!$C$7&lt;=CN$4,CN$4&lt;=Projects!$C$7+Projects!$D$7-1),Projects!$B$7/Projects!$D$7,"")</f>
      </c>
      <c r="CO12" s="584">
        <f>IF(AND(Projects!$C$7&lt;=CO$4,CO$4&lt;=Projects!$C$7+Projects!$D$7-1),Projects!$B$7/Projects!$D$7,"")</f>
      </c>
      <c r="CP12" s="584">
        <f>IF(AND(Projects!$C$7&lt;=CP$4,CP$4&lt;=Projects!$C$7+Projects!$D$7-1),Projects!$B$7/Projects!$D$7,"")</f>
      </c>
      <c r="CQ12" s="584">
        <f>IF(AND(Projects!$C$7&lt;=CQ$4,CQ$4&lt;=Projects!$C$7+Projects!$D$7-1),Projects!$B$7/Projects!$D$7,"")</f>
      </c>
      <c r="CR12" s="584">
        <f>IF(AND(Projects!$C$7&lt;=CR$4,CR$4&lt;=Projects!$C$7+Projects!$D$7-1),Projects!$B$7/Projects!$D$7,"")</f>
      </c>
      <c r="CS12" s="584">
        <f>IF(AND(Projects!$C$7&lt;=CS$4,CS$4&lt;=Projects!$C$7+Projects!$D$7-1),Projects!$B$7/Projects!$D$7,"")</f>
      </c>
      <c r="CT12" s="584">
        <f>IF(AND(Projects!$C$7&lt;=CT$4,CT$4&lt;=Projects!$C$7+Projects!$D$7-1),Projects!$B$7/Projects!$D$7,"")</f>
      </c>
      <c r="CU12" s="584">
        <f>IF(AND(Projects!$C$7&lt;=CU$4,CU$4&lt;=Projects!$C$7+Projects!$D$7-1),Projects!$B$7/Projects!$D$7,"")</f>
      </c>
      <c r="CV12" s="584">
        <f>IF(AND(Projects!$C$7&lt;=CV$4,CV$4&lt;=Projects!$C$7+Projects!$D$7-1),Projects!$B$7/Projects!$D$7,"")</f>
      </c>
      <c r="CW12" s="584">
        <f>IF(AND(Projects!$C$7&lt;=CW$4,CW$4&lt;=Projects!$C$7+Projects!$D$7-1),Projects!$B$7/Projects!$D$7,"")</f>
      </c>
      <c r="CX12" s="584">
        <f>IF(AND(Projects!$C$7&lt;=CX$4,CX$4&lt;=Projects!$C$7+Projects!$D$7-1),Projects!$B$7/Projects!$D$7,"")</f>
      </c>
      <c r="CY12" s="584">
        <f>IF(AND(Projects!$C$7&lt;=CY$4,CY$4&lt;=Projects!$C$7+Projects!$D$7-1),Projects!$B$7/Projects!$D$7,"")</f>
      </c>
      <c r="CZ12" s="584">
        <f>IF(AND(Projects!$C$7&lt;=CZ$4,CZ$4&lt;=Projects!$C$7+Projects!$D$7-1),Projects!$B$7/Projects!$D$7,"")</f>
      </c>
      <c r="DA12" s="584">
        <f>IF(AND(Projects!$C$7&lt;=DA$4,DA$4&lt;=Projects!$C$7+Projects!$D$7-1),Projects!$B$7/Projects!$D$7,"")</f>
      </c>
      <c r="DB12" s="584">
        <f>IF(AND(Projects!$C$7&lt;=DB$4,DB$4&lt;=Projects!$C$7+Projects!$D$7-1),Projects!$B$7/Projects!$D$7,"")</f>
      </c>
    </row>
    <row r="13" ht="15" customFormat="1" customHeight="1" s="381">
      <c r="A13" s="513" t="inlineStr">
        <is>
          <t>Lexington</t>
        </is>
      </c>
      <c r="B13" s="581">
        <f>Projects!$B$8</f>
        <v>12993776.05</v>
      </c>
      <c r="C13" s="582">
        <f>EDATE(Model!$E$2,Projects!$C$8-1)</f>
        <v>46235</v>
      </c>
      <c r="D13" s="582">
        <f>EDATE(Model!$E$2,Projects!$C$8+Projects!$D$8-2)</f>
        <v>46784</v>
      </c>
      <c r="E13" s="583">
        <f>Projects!$D$8</f>
        <v>19</v>
      </c>
      <c r="F13" s="581">
        <f>Projects!$B$8/Projects!$D$8</f>
        <v>683882.95</v>
      </c>
      <c r="G13" s="584">
        <f>IF(AND(Projects!$C$8&lt;=G$4,G$4&lt;=Projects!$C$8+Projects!$D$8-1),Projects!$B$8/Projects!$D$8,"")</f>
      </c>
      <c r="H13" s="584">
        <f>IF(AND(Projects!$C$8&lt;=H$4,H$4&lt;=Projects!$C$8+Projects!$D$8-1),Projects!$B$8/Projects!$D$8,"")</f>
      </c>
      <c r="I13" s="584">
        <f>IF(AND(Projects!$C$8&lt;=I$4,I$4&lt;=Projects!$C$8+Projects!$D$8-1),Projects!$B$8/Projects!$D$8,"")</f>
      </c>
      <c r="J13" s="584">
        <f>IF(AND(Projects!$C$8&lt;=J$4,J$4&lt;=Projects!$C$8+Projects!$D$8-1),Projects!$B$8/Projects!$D$8,"")</f>
      </c>
      <c r="K13" s="584">
        <f>IF(AND(Projects!$C$8&lt;=K$4,K$4&lt;=Projects!$C$8+Projects!$D$8-1),Projects!$B$8/Projects!$D$8,"")</f>
        <v>683882.95</v>
      </c>
      <c r="L13" s="584">
        <f>IF(AND(Projects!$C$8&lt;=L$4,L$4&lt;=Projects!$C$8+Projects!$D$8-1),Projects!$B$8/Projects!$D$8,"")</f>
        <v>683882.95</v>
      </c>
      <c r="M13" s="584">
        <f>IF(AND(Projects!$C$8&lt;=M$4,M$4&lt;=Projects!$C$8+Projects!$D$8-1),Projects!$B$8/Projects!$D$8,"")</f>
        <v>683882.95</v>
      </c>
      <c r="N13" s="584">
        <f>IF(AND(Projects!$C$8&lt;=N$4,N$4&lt;=Projects!$C$8+Projects!$D$8-1),Projects!$B$8/Projects!$D$8,"")</f>
        <v>683882.95</v>
      </c>
      <c r="O13" s="584">
        <f>IF(AND(Projects!$C$8&lt;=O$4,O$4&lt;=Projects!$C$8+Projects!$D$8-1),Projects!$B$8/Projects!$D$8,"")</f>
        <v>683882.95</v>
      </c>
      <c r="P13" s="584">
        <f>IF(AND(Projects!$C$8&lt;=P$4,P$4&lt;=Projects!$C$8+Projects!$D$8-1),Projects!$B$8/Projects!$D$8,"")</f>
        <v>683882.95</v>
      </c>
      <c r="Q13" s="584">
        <f>IF(AND(Projects!$C$8&lt;=Q$4,Q$4&lt;=Projects!$C$8+Projects!$D$8-1),Projects!$B$8/Projects!$D$8,"")</f>
        <v>683882.95</v>
      </c>
      <c r="R13" s="584">
        <f>IF(AND(Projects!$C$8&lt;=R$4,R$4&lt;=Projects!$C$8+Projects!$D$8-1),Projects!$B$8/Projects!$D$8,"")</f>
        <v>683882.95</v>
      </c>
      <c r="S13" s="584">
        <f>IF(AND(Projects!$C$8&lt;=S$4,S$4&lt;=Projects!$C$8+Projects!$D$8-1),Projects!$B$8/Projects!$D$8,"")</f>
        <v>683882.95</v>
      </c>
      <c r="T13" s="584">
        <f>IF(AND(Projects!$C$8&lt;=T$4,T$4&lt;=Projects!$C$8+Projects!$D$8-1),Projects!$B$8/Projects!$D$8,"")</f>
        <v>683882.95</v>
      </c>
      <c r="U13" s="584">
        <f>IF(AND(Projects!$C$8&lt;=U$4,U$4&lt;=Projects!$C$8+Projects!$D$8-1),Projects!$B$8/Projects!$D$8,"")</f>
        <v>683882.95</v>
      </c>
      <c r="V13" s="584">
        <f>IF(AND(Projects!$C$8&lt;=V$4,V$4&lt;=Projects!$C$8+Projects!$D$8-1),Projects!$B$8/Projects!$D$8,"")</f>
        <v>683882.95</v>
      </c>
      <c r="W13" s="584">
        <f>IF(AND(Projects!$C$8&lt;=W$4,W$4&lt;=Projects!$C$8+Projects!$D$8-1),Projects!$B$8/Projects!$D$8,"")</f>
        <v>683882.95</v>
      </c>
      <c r="X13" s="584">
        <f>IF(AND(Projects!$C$8&lt;=X$4,X$4&lt;=Projects!$C$8+Projects!$D$8-1),Projects!$B$8/Projects!$D$8,"")</f>
        <v>683882.95</v>
      </c>
      <c r="Y13" s="584">
        <f>IF(AND(Projects!$C$8&lt;=Y$4,Y$4&lt;=Projects!$C$8+Projects!$D$8-1),Projects!$B$8/Projects!$D$8,"")</f>
        <v>683882.95</v>
      </c>
      <c r="Z13" s="584">
        <f>IF(AND(Projects!$C$8&lt;=Z$4,Z$4&lt;=Projects!$C$8+Projects!$D$8-1),Projects!$B$8/Projects!$D$8,"")</f>
        <v>683882.95</v>
      </c>
      <c r="AA13" s="584">
        <f>IF(AND(Projects!$C$8&lt;=AA$4,AA$4&lt;=Projects!$C$8+Projects!$D$8-1),Projects!$B$8/Projects!$D$8,"")</f>
        <v>683882.95</v>
      </c>
      <c r="AB13" s="584">
        <f>IF(AND(Projects!$C$8&lt;=AB$4,AB$4&lt;=Projects!$C$8+Projects!$D$8-1),Projects!$B$8/Projects!$D$8,"")</f>
        <v>683882.95</v>
      </c>
      <c r="AC13" s="584">
        <f>IF(AND(Projects!$C$8&lt;=AC$4,AC$4&lt;=Projects!$C$8+Projects!$D$8-1),Projects!$B$8/Projects!$D$8,"")</f>
        <v>683882.95</v>
      </c>
      <c r="AD13" s="584">
        <f>IF(AND(Projects!$C$8&lt;=AD$4,AD$4&lt;=Projects!$C$8+Projects!$D$8-1),Projects!$B$8/Projects!$D$8,"")</f>
      </c>
      <c r="AE13" s="584">
        <f>IF(AND(Projects!$C$8&lt;=AE$4,AE$4&lt;=Projects!$C$8+Projects!$D$8-1),Projects!$B$8/Projects!$D$8,"")</f>
      </c>
      <c r="AF13" s="584">
        <f>IF(AND(Projects!$C$8&lt;=AF$4,AF$4&lt;=Projects!$C$8+Projects!$D$8-1),Projects!$B$8/Projects!$D$8,"")</f>
      </c>
      <c r="AG13" s="584">
        <f>IF(AND(Projects!$C$8&lt;=AG$4,AG$4&lt;=Projects!$C$8+Projects!$D$8-1),Projects!$B$8/Projects!$D$8,"")</f>
      </c>
      <c r="AH13" s="584">
        <f>IF(AND(Projects!$C$8&lt;=AH$4,AH$4&lt;=Projects!$C$8+Projects!$D$8-1),Projects!$B$8/Projects!$D$8,"")</f>
      </c>
      <c r="AI13" s="584">
        <f>IF(AND(Projects!$C$8&lt;=AI$4,AI$4&lt;=Projects!$C$8+Projects!$D$8-1),Projects!$B$8/Projects!$D$8,"")</f>
      </c>
      <c r="AJ13" s="584">
        <f>IF(AND(Projects!$C$8&lt;=AJ$4,AJ$4&lt;=Projects!$C$8+Projects!$D$8-1),Projects!$B$8/Projects!$D$8,"")</f>
      </c>
      <c r="AK13" s="584">
        <f>IF(AND(Projects!$C$8&lt;=AK$4,AK$4&lt;=Projects!$C$8+Projects!$D$8-1),Projects!$B$8/Projects!$D$8,"")</f>
      </c>
      <c r="AL13" s="584">
        <f>IF(AND(Projects!$C$8&lt;=AL$4,AL$4&lt;=Projects!$C$8+Projects!$D$8-1),Projects!$B$8/Projects!$D$8,"")</f>
      </c>
      <c r="AM13" s="584">
        <f>IF(AND(Projects!$C$8&lt;=AM$4,AM$4&lt;=Projects!$C$8+Projects!$D$8-1),Projects!$B$8/Projects!$D$8,"")</f>
      </c>
      <c r="AN13" s="584">
        <f>IF(AND(Projects!$C$8&lt;=AN$4,AN$4&lt;=Projects!$C$8+Projects!$D$8-1),Projects!$B$8/Projects!$D$8,"")</f>
      </c>
      <c r="AO13" s="584">
        <f>IF(AND(Projects!$C$8&lt;=AO$4,AO$4&lt;=Projects!$C$8+Projects!$D$8-1),Projects!$B$8/Projects!$D$8,"")</f>
      </c>
      <c r="AP13" s="584">
        <f>IF(AND(Projects!$C$8&lt;=AP$4,AP$4&lt;=Projects!$C$8+Projects!$D$8-1),Projects!$B$8/Projects!$D$8,"")</f>
      </c>
      <c r="AQ13" s="584">
        <f>IF(AND(Projects!$C$8&lt;=AQ$4,AQ$4&lt;=Projects!$C$8+Projects!$D$8-1),Projects!$B$8/Projects!$D$8,"")</f>
      </c>
      <c r="AR13" s="584">
        <f>IF(AND(Projects!$C$8&lt;=AR$4,AR$4&lt;=Projects!$C$8+Projects!$D$8-1),Projects!$B$8/Projects!$D$8,"")</f>
      </c>
      <c r="AS13" s="584">
        <f>IF(AND(Projects!$C$8&lt;=AS$4,AS$4&lt;=Projects!$C$8+Projects!$D$8-1),Projects!$B$8/Projects!$D$8,"")</f>
      </c>
      <c r="AT13" s="584">
        <f>IF(AND(Projects!$C$8&lt;=AT$4,AT$4&lt;=Projects!$C$8+Projects!$D$8-1),Projects!$B$8/Projects!$D$8,"")</f>
      </c>
      <c r="AU13" s="584">
        <f>IF(AND(Projects!$C$8&lt;=AU$4,AU$4&lt;=Projects!$C$8+Projects!$D$8-1),Projects!$B$8/Projects!$D$8,"")</f>
      </c>
      <c r="AV13" s="584">
        <f>IF(AND(Projects!$C$8&lt;=AV$4,AV$4&lt;=Projects!$C$8+Projects!$D$8-1),Projects!$B$8/Projects!$D$8,"")</f>
      </c>
      <c r="AW13" s="584">
        <f>IF(AND(Projects!$C$8&lt;=AW$4,AW$4&lt;=Projects!$C$8+Projects!$D$8-1),Projects!$B$8/Projects!$D$8,"")</f>
      </c>
      <c r="AX13" s="584">
        <f>IF(AND(Projects!$C$8&lt;=AX$4,AX$4&lt;=Projects!$C$8+Projects!$D$8-1),Projects!$B$8/Projects!$D$8,"")</f>
      </c>
      <c r="AY13" s="584">
        <f>IF(AND(Projects!$C$8&lt;=AY$4,AY$4&lt;=Projects!$C$8+Projects!$D$8-1),Projects!$B$8/Projects!$D$8,"")</f>
      </c>
      <c r="AZ13" s="584">
        <f>IF(AND(Projects!$C$8&lt;=AZ$4,AZ$4&lt;=Projects!$C$8+Projects!$D$8-1),Projects!$B$8/Projects!$D$8,"")</f>
      </c>
      <c r="BA13" s="584">
        <f>IF(AND(Projects!$C$8&lt;=BA$4,BA$4&lt;=Projects!$C$8+Projects!$D$8-1),Projects!$B$8/Projects!$D$8,"")</f>
      </c>
      <c r="BB13" s="584">
        <f>IF(AND(Projects!$C$8&lt;=BB$4,BB$4&lt;=Projects!$C$8+Projects!$D$8-1),Projects!$B$8/Projects!$D$8,"")</f>
      </c>
      <c r="BC13" s="584">
        <f>IF(AND(Projects!$C$8&lt;=BC$4,BC$4&lt;=Projects!$C$8+Projects!$D$8-1),Projects!$B$8/Projects!$D$8,"")</f>
      </c>
      <c r="BD13" s="584">
        <f>IF(AND(Projects!$C$8&lt;=BD$4,BD$4&lt;=Projects!$C$8+Projects!$D$8-1),Projects!$B$8/Projects!$D$8,"")</f>
      </c>
      <c r="BE13" s="584">
        <f>IF(AND(Projects!$C$8&lt;=BE$4,BE$4&lt;=Projects!$C$8+Projects!$D$8-1),Projects!$B$8/Projects!$D$8,"")</f>
      </c>
      <c r="BF13" s="584">
        <f>IF(AND(Projects!$C$8&lt;=BF$4,BF$4&lt;=Projects!$C$8+Projects!$D$8-1),Projects!$B$8/Projects!$D$8,"")</f>
      </c>
      <c r="BG13" s="584">
        <f>IF(AND(Projects!$C$8&lt;=BG$4,BG$4&lt;=Projects!$C$8+Projects!$D$8-1),Projects!$B$8/Projects!$D$8,"")</f>
      </c>
      <c r="BH13" s="584">
        <f>IF(AND(Projects!$C$8&lt;=BH$4,BH$4&lt;=Projects!$C$8+Projects!$D$8-1),Projects!$B$8/Projects!$D$8,"")</f>
      </c>
      <c r="BI13" s="584">
        <f>IF(AND(Projects!$C$8&lt;=BI$4,BI$4&lt;=Projects!$C$8+Projects!$D$8-1),Projects!$B$8/Projects!$D$8,"")</f>
      </c>
      <c r="BJ13" s="584">
        <f>IF(AND(Projects!$C$8&lt;=BJ$4,BJ$4&lt;=Projects!$C$8+Projects!$D$8-1),Projects!$B$8/Projects!$D$8,"")</f>
      </c>
      <c r="BK13" s="584">
        <f>IF(AND(Projects!$C$8&lt;=BK$4,BK$4&lt;=Projects!$C$8+Projects!$D$8-1),Projects!$B$8/Projects!$D$8,"")</f>
      </c>
      <c r="BL13" s="584">
        <f>IF(AND(Projects!$C$8&lt;=BL$4,BL$4&lt;=Projects!$C$8+Projects!$D$8-1),Projects!$B$8/Projects!$D$8,"")</f>
      </c>
      <c r="BM13" s="584">
        <f>IF(AND(Projects!$C$8&lt;=BM$4,BM$4&lt;=Projects!$C$8+Projects!$D$8-1),Projects!$B$8/Projects!$D$8,"")</f>
      </c>
      <c r="BN13" s="584">
        <f>IF(AND(Projects!$C$8&lt;=BN$4,BN$4&lt;=Projects!$C$8+Projects!$D$8-1),Projects!$B$8/Projects!$D$8,"")</f>
      </c>
      <c r="BO13" s="584">
        <f>IF(AND(Projects!$C$8&lt;=BO$4,BO$4&lt;=Projects!$C$8+Projects!$D$8-1),Projects!$B$8/Projects!$D$8,"")</f>
      </c>
      <c r="BP13" s="584">
        <f>IF(AND(Projects!$C$8&lt;=BP$4,BP$4&lt;=Projects!$C$8+Projects!$D$8-1),Projects!$B$8/Projects!$D$8,"")</f>
      </c>
      <c r="BQ13" s="584">
        <f>IF(AND(Projects!$C$8&lt;=BQ$4,BQ$4&lt;=Projects!$C$8+Projects!$D$8-1),Projects!$B$8/Projects!$D$8,"")</f>
      </c>
      <c r="BR13" s="584">
        <f>IF(AND(Projects!$C$8&lt;=BR$4,BR$4&lt;=Projects!$C$8+Projects!$D$8-1),Projects!$B$8/Projects!$D$8,"")</f>
      </c>
      <c r="BS13" s="584">
        <f>IF(AND(Projects!$C$8&lt;=BS$4,BS$4&lt;=Projects!$C$8+Projects!$D$8-1),Projects!$B$8/Projects!$D$8,"")</f>
      </c>
      <c r="BT13" s="584">
        <f>IF(AND(Projects!$C$8&lt;=BT$4,BT$4&lt;=Projects!$C$8+Projects!$D$8-1),Projects!$B$8/Projects!$D$8,"")</f>
      </c>
      <c r="BU13" s="584">
        <f>IF(AND(Projects!$C$8&lt;=BU$4,BU$4&lt;=Projects!$C$8+Projects!$D$8-1),Projects!$B$8/Projects!$D$8,"")</f>
      </c>
      <c r="BV13" s="584">
        <f>IF(AND(Projects!$C$8&lt;=BV$4,BV$4&lt;=Projects!$C$8+Projects!$D$8-1),Projects!$B$8/Projects!$D$8,"")</f>
      </c>
      <c r="BW13" s="584">
        <f>IF(AND(Projects!$C$8&lt;=BW$4,BW$4&lt;=Projects!$C$8+Projects!$D$8-1),Projects!$B$8/Projects!$D$8,"")</f>
      </c>
      <c r="BX13" s="584">
        <f>IF(AND(Projects!$C$8&lt;=BX$4,BX$4&lt;=Projects!$C$8+Projects!$D$8-1),Projects!$B$8/Projects!$D$8,"")</f>
      </c>
      <c r="BY13" s="584">
        <f>IF(AND(Projects!$C$8&lt;=BY$4,BY$4&lt;=Projects!$C$8+Projects!$D$8-1),Projects!$B$8/Projects!$D$8,"")</f>
      </c>
      <c r="BZ13" s="584">
        <f>IF(AND(Projects!$C$8&lt;=BZ$4,BZ$4&lt;=Projects!$C$8+Projects!$D$8-1),Projects!$B$8/Projects!$D$8,"")</f>
      </c>
      <c r="CA13" s="584">
        <f>IF(AND(Projects!$C$8&lt;=CA$4,CA$4&lt;=Projects!$C$8+Projects!$D$8-1),Projects!$B$8/Projects!$D$8,"")</f>
      </c>
      <c r="CB13" s="584">
        <f>IF(AND(Projects!$C$8&lt;=CB$4,CB$4&lt;=Projects!$C$8+Projects!$D$8-1),Projects!$B$8/Projects!$D$8,"")</f>
      </c>
      <c r="CC13" s="584">
        <f>IF(AND(Projects!$C$8&lt;=CC$4,CC$4&lt;=Projects!$C$8+Projects!$D$8-1),Projects!$B$8/Projects!$D$8,"")</f>
      </c>
      <c r="CD13" s="584">
        <f>IF(AND(Projects!$C$8&lt;=CD$4,CD$4&lt;=Projects!$C$8+Projects!$D$8-1),Projects!$B$8/Projects!$D$8,"")</f>
      </c>
      <c r="CE13" s="584">
        <f>IF(AND(Projects!$C$8&lt;=CE$4,CE$4&lt;=Projects!$C$8+Projects!$D$8-1),Projects!$B$8/Projects!$D$8,"")</f>
      </c>
      <c r="CF13" s="584">
        <f>IF(AND(Projects!$C$8&lt;=CF$4,CF$4&lt;=Projects!$C$8+Projects!$D$8-1),Projects!$B$8/Projects!$D$8,"")</f>
      </c>
      <c r="CG13" s="584">
        <f>IF(AND(Projects!$C$8&lt;=CG$4,CG$4&lt;=Projects!$C$8+Projects!$D$8-1),Projects!$B$8/Projects!$D$8,"")</f>
      </c>
      <c r="CH13" s="584">
        <f>IF(AND(Projects!$C$8&lt;=CH$4,CH$4&lt;=Projects!$C$8+Projects!$D$8-1),Projects!$B$8/Projects!$D$8,"")</f>
      </c>
      <c r="CI13" s="584">
        <f>IF(AND(Projects!$C$8&lt;=CI$4,CI$4&lt;=Projects!$C$8+Projects!$D$8-1),Projects!$B$8/Projects!$D$8,"")</f>
      </c>
      <c r="CJ13" s="584">
        <f>IF(AND(Projects!$C$8&lt;=CJ$4,CJ$4&lt;=Projects!$C$8+Projects!$D$8-1),Projects!$B$8/Projects!$D$8,"")</f>
      </c>
      <c r="CK13" s="584">
        <f>IF(AND(Projects!$C$8&lt;=CK$4,CK$4&lt;=Projects!$C$8+Projects!$D$8-1),Projects!$B$8/Projects!$D$8,"")</f>
      </c>
      <c r="CL13" s="584">
        <f>IF(AND(Projects!$C$8&lt;=CL$4,CL$4&lt;=Projects!$C$8+Projects!$D$8-1),Projects!$B$8/Projects!$D$8,"")</f>
      </c>
      <c r="CM13" s="584">
        <f>IF(AND(Projects!$C$8&lt;=CM$4,CM$4&lt;=Projects!$C$8+Projects!$D$8-1),Projects!$B$8/Projects!$D$8,"")</f>
      </c>
      <c r="CN13" s="584">
        <f>IF(AND(Projects!$C$8&lt;=CN$4,CN$4&lt;=Projects!$C$8+Projects!$D$8-1),Projects!$B$8/Projects!$D$8,"")</f>
      </c>
      <c r="CO13" s="584">
        <f>IF(AND(Projects!$C$8&lt;=CO$4,CO$4&lt;=Projects!$C$8+Projects!$D$8-1),Projects!$B$8/Projects!$D$8,"")</f>
      </c>
      <c r="CP13" s="584">
        <f>IF(AND(Projects!$C$8&lt;=CP$4,CP$4&lt;=Projects!$C$8+Projects!$D$8-1),Projects!$B$8/Projects!$D$8,"")</f>
      </c>
      <c r="CQ13" s="584">
        <f>IF(AND(Projects!$C$8&lt;=CQ$4,CQ$4&lt;=Projects!$C$8+Projects!$D$8-1),Projects!$B$8/Projects!$D$8,"")</f>
      </c>
      <c r="CR13" s="584">
        <f>IF(AND(Projects!$C$8&lt;=CR$4,CR$4&lt;=Projects!$C$8+Projects!$D$8-1),Projects!$B$8/Projects!$D$8,"")</f>
      </c>
      <c r="CS13" s="584">
        <f>IF(AND(Projects!$C$8&lt;=CS$4,CS$4&lt;=Projects!$C$8+Projects!$D$8-1),Projects!$B$8/Projects!$D$8,"")</f>
      </c>
      <c r="CT13" s="584">
        <f>IF(AND(Projects!$C$8&lt;=CT$4,CT$4&lt;=Projects!$C$8+Projects!$D$8-1),Projects!$B$8/Projects!$D$8,"")</f>
      </c>
      <c r="CU13" s="584">
        <f>IF(AND(Projects!$C$8&lt;=CU$4,CU$4&lt;=Projects!$C$8+Projects!$D$8-1),Projects!$B$8/Projects!$D$8,"")</f>
      </c>
      <c r="CV13" s="584">
        <f>IF(AND(Projects!$C$8&lt;=CV$4,CV$4&lt;=Projects!$C$8+Projects!$D$8-1),Projects!$B$8/Projects!$D$8,"")</f>
      </c>
      <c r="CW13" s="584">
        <f>IF(AND(Projects!$C$8&lt;=CW$4,CW$4&lt;=Projects!$C$8+Projects!$D$8-1),Projects!$B$8/Projects!$D$8,"")</f>
      </c>
      <c r="CX13" s="584">
        <f>IF(AND(Projects!$C$8&lt;=CX$4,CX$4&lt;=Projects!$C$8+Projects!$D$8-1),Projects!$B$8/Projects!$D$8,"")</f>
      </c>
      <c r="CY13" s="584">
        <f>IF(AND(Projects!$C$8&lt;=CY$4,CY$4&lt;=Projects!$C$8+Projects!$D$8-1),Projects!$B$8/Projects!$D$8,"")</f>
      </c>
      <c r="CZ13" s="584">
        <f>IF(AND(Projects!$C$8&lt;=CZ$4,CZ$4&lt;=Projects!$C$8+Projects!$D$8-1),Projects!$B$8/Projects!$D$8,"")</f>
      </c>
      <c r="DA13" s="584">
        <f>IF(AND(Projects!$C$8&lt;=DA$4,DA$4&lt;=Projects!$C$8+Projects!$D$8-1),Projects!$B$8/Projects!$D$8,"")</f>
      </c>
      <c r="DB13" s="584">
        <f>IF(AND(Projects!$C$8&lt;=DB$4,DB$4&lt;=Projects!$C$8+Projects!$D$8-1),Projects!$B$8/Projects!$D$8,"")</f>
      </c>
    </row>
    <row r="14" ht="15" customFormat="1" customHeight="1" s="381">
      <c r="A14" s="513" t="inlineStr">
        <is>
          <t>Denny</t>
        </is>
      </c>
      <c r="B14" s="581">
        <f>Projects!$B$9</f>
        <v>14337010.8</v>
      </c>
      <c r="C14" s="582">
        <f>EDATE(Model!$E$2,Projects!$C$9-1)</f>
        <v>46235</v>
      </c>
      <c r="D14" s="582">
        <f>EDATE(Model!$E$2,Projects!$C$9+Projects!$D$9-2)</f>
        <v>47119</v>
      </c>
      <c r="E14" s="583">
        <f>Projects!$D$9</f>
        <v>30</v>
      </c>
      <c r="F14" s="581">
        <f>Projects!$B$9/Projects!$D$9</f>
        <v>477900.36</v>
      </c>
      <c r="G14" s="584">
        <f>IF(AND(Projects!$C$9&lt;=G$4,G$4&lt;=Projects!$C$9+Projects!$D$9-1),Projects!$B$9/Projects!$D$9,"")</f>
      </c>
      <c r="H14" s="584">
        <f>IF(AND(Projects!$C$9&lt;=H$4,H$4&lt;=Projects!$C$9+Projects!$D$9-1),Projects!$B$9/Projects!$D$9,"")</f>
      </c>
      <c r="I14" s="584">
        <f>IF(AND(Projects!$C$9&lt;=I$4,I$4&lt;=Projects!$C$9+Projects!$D$9-1),Projects!$B$9/Projects!$D$9,"")</f>
      </c>
      <c r="J14" s="584">
        <f>IF(AND(Projects!$C$9&lt;=J$4,J$4&lt;=Projects!$C$9+Projects!$D$9-1),Projects!$B$9/Projects!$D$9,"")</f>
      </c>
      <c r="K14" s="584">
        <f>IF(AND(Projects!$C$9&lt;=K$4,K$4&lt;=Projects!$C$9+Projects!$D$9-1),Projects!$B$9/Projects!$D$9,"")</f>
        <v>477900.36</v>
      </c>
      <c r="L14" s="584">
        <f>IF(AND(Projects!$C$9&lt;=L$4,L$4&lt;=Projects!$C$9+Projects!$D$9-1),Projects!$B$9/Projects!$D$9,"")</f>
        <v>477900.36</v>
      </c>
      <c r="M14" s="584">
        <f>IF(AND(Projects!$C$9&lt;=M$4,M$4&lt;=Projects!$C$9+Projects!$D$9-1),Projects!$B$9/Projects!$D$9,"")</f>
        <v>477900.36</v>
      </c>
      <c r="N14" s="584">
        <f>IF(AND(Projects!$C$9&lt;=N$4,N$4&lt;=Projects!$C$9+Projects!$D$9-1),Projects!$B$9/Projects!$D$9,"")</f>
        <v>477900.36</v>
      </c>
      <c r="O14" s="584">
        <f>IF(AND(Projects!$C$9&lt;=O$4,O$4&lt;=Projects!$C$9+Projects!$D$9-1),Projects!$B$9/Projects!$D$9,"")</f>
        <v>477900.36</v>
      </c>
      <c r="P14" s="584">
        <f>IF(AND(Projects!$C$9&lt;=P$4,P$4&lt;=Projects!$C$9+Projects!$D$9-1),Projects!$B$9/Projects!$D$9,"")</f>
        <v>477900.36</v>
      </c>
      <c r="Q14" s="584">
        <f>IF(AND(Projects!$C$9&lt;=Q$4,Q$4&lt;=Projects!$C$9+Projects!$D$9-1),Projects!$B$9/Projects!$D$9,"")</f>
        <v>477900.36</v>
      </c>
      <c r="R14" s="584">
        <f>IF(AND(Projects!$C$9&lt;=R$4,R$4&lt;=Projects!$C$9+Projects!$D$9-1),Projects!$B$9/Projects!$D$9,"")</f>
        <v>477900.36</v>
      </c>
      <c r="S14" s="584">
        <f>IF(AND(Projects!$C$9&lt;=S$4,S$4&lt;=Projects!$C$9+Projects!$D$9-1),Projects!$B$9/Projects!$D$9,"")</f>
        <v>477900.36</v>
      </c>
      <c r="T14" s="584">
        <f>IF(AND(Projects!$C$9&lt;=T$4,T$4&lt;=Projects!$C$9+Projects!$D$9-1),Projects!$B$9/Projects!$D$9,"")</f>
        <v>477900.36</v>
      </c>
      <c r="U14" s="584">
        <f>IF(AND(Projects!$C$9&lt;=U$4,U$4&lt;=Projects!$C$9+Projects!$D$9-1),Projects!$B$9/Projects!$D$9,"")</f>
        <v>477900.36</v>
      </c>
      <c r="V14" s="584">
        <f>IF(AND(Projects!$C$9&lt;=V$4,V$4&lt;=Projects!$C$9+Projects!$D$9-1),Projects!$B$9/Projects!$D$9,"")</f>
        <v>477900.36</v>
      </c>
      <c r="W14" s="584">
        <f>IF(AND(Projects!$C$9&lt;=W$4,W$4&lt;=Projects!$C$9+Projects!$D$9-1),Projects!$B$9/Projects!$D$9,"")</f>
        <v>477900.36</v>
      </c>
      <c r="X14" s="584">
        <f>IF(AND(Projects!$C$9&lt;=X$4,X$4&lt;=Projects!$C$9+Projects!$D$9-1),Projects!$B$9/Projects!$D$9,"")</f>
        <v>477900.36</v>
      </c>
      <c r="Y14" s="584">
        <f>IF(AND(Projects!$C$9&lt;=Y$4,Y$4&lt;=Projects!$C$9+Projects!$D$9-1),Projects!$B$9/Projects!$D$9,"")</f>
        <v>477900.36</v>
      </c>
      <c r="Z14" s="584">
        <f>IF(AND(Projects!$C$9&lt;=Z$4,Z$4&lt;=Projects!$C$9+Projects!$D$9-1),Projects!$B$9/Projects!$D$9,"")</f>
        <v>477900.36</v>
      </c>
      <c r="AA14" s="584">
        <f>IF(AND(Projects!$C$9&lt;=AA$4,AA$4&lt;=Projects!$C$9+Projects!$D$9-1),Projects!$B$9/Projects!$D$9,"")</f>
        <v>477900.36</v>
      </c>
      <c r="AB14" s="584">
        <f>IF(AND(Projects!$C$9&lt;=AB$4,AB$4&lt;=Projects!$C$9+Projects!$D$9-1),Projects!$B$9/Projects!$D$9,"")</f>
        <v>477900.36</v>
      </c>
      <c r="AC14" s="584">
        <f>IF(AND(Projects!$C$9&lt;=AC$4,AC$4&lt;=Projects!$C$9+Projects!$D$9-1),Projects!$B$9/Projects!$D$9,"")</f>
        <v>477900.36</v>
      </c>
      <c r="AD14" s="584">
        <f>IF(AND(Projects!$C$9&lt;=AD$4,AD$4&lt;=Projects!$C$9+Projects!$D$9-1),Projects!$B$9/Projects!$D$9,"")</f>
        <v>477900.36</v>
      </c>
      <c r="AE14" s="584">
        <f>IF(AND(Projects!$C$9&lt;=AE$4,AE$4&lt;=Projects!$C$9+Projects!$D$9-1),Projects!$B$9/Projects!$D$9,"")</f>
        <v>477900.36</v>
      </c>
      <c r="AF14" s="584">
        <f>IF(AND(Projects!$C$9&lt;=AF$4,AF$4&lt;=Projects!$C$9+Projects!$D$9-1),Projects!$B$9/Projects!$D$9,"")</f>
        <v>477900.36</v>
      </c>
      <c r="AG14" s="584">
        <f>IF(AND(Projects!$C$9&lt;=AG$4,AG$4&lt;=Projects!$C$9+Projects!$D$9-1),Projects!$B$9/Projects!$D$9,"")</f>
        <v>477900.36</v>
      </c>
      <c r="AH14" s="584">
        <f>IF(AND(Projects!$C$9&lt;=AH$4,AH$4&lt;=Projects!$C$9+Projects!$D$9-1),Projects!$B$9/Projects!$D$9,"")</f>
        <v>477900.36</v>
      </c>
      <c r="AI14" s="584">
        <f>IF(AND(Projects!$C$9&lt;=AI$4,AI$4&lt;=Projects!$C$9+Projects!$D$9-1),Projects!$B$9/Projects!$D$9,"")</f>
        <v>477900.36</v>
      </c>
      <c r="AJ14" s="584">
        <f>IF(AND(Projects!$C$9&lt;=AJ$4,AJ$4&lt;=Projects!$C$9+Projects!$D$9-1),Projects!$B$9/Projects!$D$9,"")</f>
        <v>477900.36</v>
      </c>
      <c r="AK14" s="584">
        <f>IF(AND(Projects!$C$9&lt;=AK$4,AK$4&lt;=Projects!$C$9+Projects!$D$9-1),Projects!$B$9/Projects!$D$9,"")</f>
        <v>477900.36</v>
      </c>
      <c r="AL14" s="584">
        <f>IF(AND(Projects!$C$9&lt;=AL$4,AL$4&lt;=Projects!$C$9+Projects!$D$9-1),Projects!$B$9/Projects!$D$9,"")</f>
        <v>477900.36</v>
      </c>
      <c r="AM14" s="584">
        <f>IF(AND(Projects!$C$9&lt;=AM$4,AM$4&lt;=Projects!$C$9+Projects!$D$9-1),Projects!$B$9/Projects!$D$9,"")</f>
        <v>477900.36</v>
      </c>
      <c r="AN14" s="584">
        <f>IF(AND(Projects!$C$9&lt;=AN$4,AN$4&lt;=Projects!$C$9+Projects!$D$9-1),Projects!$B$9/Projects!$D$9,"")</f>
        <v>477900.36</v>
      </c>
      <c r="AO14" s="584">
        <f>IF(AND(Projects!$C$9&lt;=AO$4,AO$4&lt;=Projects!$C$9+Projects!$D$9-1),Projects!$B$9/Projects!$D$9,"")</f>
      </c>
      <c r="AP14" s="584">
        <f>IF(AND(Projects!$C$9&lt;=AP$4,AP$4&lt;=Projects!$C$9+Projects!$D$9-1),Projects!$B$9/Projects!$D$9,"")</f>
      </c>
      <c r="AQ14" s="584">
        <f>IF(AND(Projects!$C$9&lt;=AQ$4,AQ$4&lt;=Projects!$C$9+Projects!$D$9-1),Projects!$B$9/Projects!$D$9,"")</f>
      </c>
      <c r="AR14" s="584">
        <f>IF(AND(Projects!$C$9&lt;=AR$4,AR$4&lt;=Projects!$C$9+Projects!$D$9-1),Projects!$B$9/Projects!$D$9,"")</f>
      </c>
      <c r="AS14" s="584">
        <f>IF(AND(Projects!$C$9&lt;=AS$4,AS$4&lt;=Projects!$C$9+Projects!$D$9-1),Projects!$B$9/Projects!$D$9,"")</f>
      </c>
      <c r="AT14" s="584">
        <f>IF(AND(Projects!$C$9&lt;=AT$4,AT$4&lt;=Projects!$C$9+Projects!$D$9-1),Projects!$B$9/Projects!$D$9,"")</f>
      </c>
      <c r="AU14" s="584">
        <f>IF(AND(Projects!$C$9&lt;=AU$4,AU$4&lt;=Projects!$C$9+Projects!$D$9-1),Projects!$B$9/Projects!$D$9,"")</f>
      </c>
      <c r="AV14" s="584">
        <f>IF(AND(Projects!$C$9&lt;=AV$4,AV$4&lt;=Projects!$C$9+Projects!$D$9-1),Projects!$B$9/Projects!$D$9,"")</f>
      </c>
      <c r="AW14" s="584">
        <f>IF(AND(Projects!$C$9&lt;=AW$4,AW$4&lt;=Projects!$C$9+Projects!$D$9-1),Projects!$B$9/Projects!$D$9,"")</f>
      </c>
      <c r="AX14" s="584">
        <f>IF(AND(Projects!$C$9&lt;=AX$4,AX$4&lt;=Projects!$C$9+Projects!$D$9-1),Projects!$B$9/Projects!$D$9,"")</f>
      </c>
      <c r="AY14" s="584">
        <f>IF(AND(Projects!$C$9&lt;=AY$4,AY$4&lt;=Projects!$C$9+Projects!$D$9-1),Projects!$B$9/Projects!$D$9,"")</f>
      </c>
      <c r="AZ14" s="584">
        <f>IF(AND(Projects!$C$9&lt;=AZ$4,AZ$4&lt;=Projects!$C$9+Projects!$D$9-1),Projects!$B$9/Projects!$D$9,"")</f>
      </c>
      <c r="BA14" s="584">
        <f>IF(AND(Projects!$C$9&lt;=BA$4,BA$4&lt;=Projects!$C$9+Projects!$D$9-1),Projects!$B$9/Projects!$D$9,"")</f>
      </c>
      <c r="BB14" s="584">
        <f>IF(AND(Projects!$C$9&lt;=BB$4,BB$4&lt;=Projects!$C$9+Projects!$D$9-1),Projects!$B$9/Projects!$D$9,"")</f>
      </c>
      <c r="BC14" s="584">
        <f>IF(AND(Projects!$C$9&lt;=BC$4,BC$4&lt;=Projects!$C$9+Projects!$D$9-1),Projects!$B$9/Projects!$D$9,"")</f>
      </c>
      <c r="BD14" s="584">
        <f>IF(AND(Projects!$C$9&lt;=BD$4,BD$4&lt;=Projects!$C$9+Projects!$D$9-1),Projects!$B$9/Projects!$D$9,"")</f>
      </c>
      <c r="BE14" s="584">
        <f>IF(AND(Projects!$C$9&lt;=BE$4,BE$4&lt;=Projects!$C$9+Projects!$D$9-1),Projects!$B$9/Projects!$D$9,"")</f>
      </c>
      <c r="BF14" s="584">
        <f>IF(AND(Projects!$C$9&lt;=BF$4,BF$4&lt;=Projects!$C$9+Projects!$D$9-1),Projects!$B$9/Projects!$D$9,"")</f>
      </c>
      <c r="BG14" s="584">
        <f>IF(AND(Projects!$C$9&lt;=BG$4,BG$4&lt;=Projects!$C$9+Projects!$D$9-1),Projects!$B$9/Projects!$D$9,"")</f>
      </c>
      <c r="BH14" s="584">
        <f>IF(AND(Projects!$C$9&lt;=BH$4,BH$4&lt;=Projects!$C$9+Projects!$D$9-1),Projects!$B$9/Projects!$D$9,"")</f>
      </c>
      <c r="BI14" s="584">
        <f>IF(AND(Projects!$C$9&lt;=BI$4,BI$4&lt;=Projects!$C$9+Projects!$D$9-1),Projects!$B$9/Projects!$D$9,"")</f>
      </c>
      <c r="BJ14" s="584">
        <f>IF(AND(Projects!$C$9&lt;=BJ$4,BJ$4&lt;=Projects!$C$9+Projects!$D$9-1),Projects!$B$9/Projects!$D$9,"")</f>
      </c>
      <c r="BK14" s="584">
        <f>IF(AND(Projects!$C$9&lt;=BK$4,BK$4&lt;=Projects!$C$9+Projects!$D$9-1),Projects!$B$9/Projects!$D$9,"")</f>
      </c>
      <c r="BL14" s="584">
        <f>IF(AND(Projects!$C$9&lt;=BL$4,BL$4&lt;=Projects!$C$9+Projects!$D$9-1),Projects!$B$9/Projects!$D$9,"")</f>
      </c>
      <c r="BM14" s="584">
        <f>IF(AND(Projects!$C$9&lt;=BM$4,BM$4&lt;=Projects!$C$9+Projects!$D$9-1),Projects!$B$9/Projects!$D$9,"")</f>
      </c>
      <c r="BN14" s="584">
        <f>IF(AND(Projects!$C$9&lt;=BN$4,BN$4&lt;=Projects!$C$9+Projects!$D$9-1),Projects!$B$9/Projects!$D$9,"")</f>
      </c>
      <c r="BO14" s="584">
        <f>IF(AND(Projects!$C$9&lt;=BO$4,BO$4&lt;=Projects!$C$9+Projects!$D$9-1),Projects!$B$9/Projects!$D$9,"")</f>
      </c>
      <c r="BP14" s="584">
        <f>IF(AND(Projects!$C$9&lt;=BP$4,BP$4&lt;=Projects!$C$9+Projects!$D$9-1),Projects!$B$9/Projects!$D$9,"")</f>
      </c>
      <c r="BQ14" s="584">
        <f>IF(AND(Projects!$C$9&lt;=BQ$4,BQ$4&lt;=Projects!$C$9+Projects!$D$9-1),Projects!$B$9/Projects!$D$9,"")</f>
      </c>
      <c r="BR14" s="584">
        <f>IF(AND(Projects!$C$9&lt;=BR$4,BR$4&lt;=Projects!$C$9+Projects!$D$9-1),Projects!$B$9/Projects!$D$9,"")</f>
      </c>
      <c r="BS14" s="584">
        <f>IF(AND(Projects!$C$9&lt;=BS$4,BS$4&lt;=Projects!$C$9+Projects!$D$9-1),Projects!$B$9/Projects!$D$9,"")</f>
      </c>
      <c r="BT14" s="584">
        <f>IF(AND(Projects!$C$9&lt;=BT$4,BT$4&lt;=Projects!$C$9+Projects!$D$9-1),Projects!$B$9/Projects!$D$9,"")</f>
      </c>
      <c r="BU14" s="584">
        <f>IF(AND(Projects!$C$9&lt;=BU$4,BU$4&lt;=Projects!$C$9+Projects!$D$9-1),Projects!$B$9/Projects!$D$9,"")</f>
      </c>
      <c r="BV14" s="584">
        <f>IF(AND(Projects!$C$9&lt;=BV$4,BV$4&lt;=Projects!$C$9+Projects!$D$9-1),Projects!$B$9/Projects!$D$9,"")</f>
      </c>
      <c r="BW14" s="584">
        <f>IF(AND(Projects!$C$9&lt;=BW$4,BW$4&lt;=Projects!$C$9+Projects!$D$9-1),Projects!$B$9/Projects!$D$9,"")</f>
      </c>
      <c r="BX14" s="584">
        <f>IF(AND(Projects!$C$9&lt;=BX$4,BX$4&lt;=Projects!$C$9+Projects!$D$9-1),Projects!$B$9/Projects!$D$9,"")</f>
      </c>
      <c r="BY14" s="584">
        <f>IF(AND(Projects!$C$9&lt;=BY$4,BY$4&lt;=Projects!$C$9+Projects!$D$9-1),Projects!$B$9/Projects!$D$9,"")</f>
      </c>
      <c r="BZ14" s="584">
        <f>IF(AND(Projects!$C$9&lt;=BZ$4,BZ$4&lt;=Projects!$C$9+Projects!$D$9-1),Projects!$B$9/Projects!$D$9,"")</f>
      </c>
      <c r="CA14" s="584">
        <f>IF(AND(Projects!$C$9&lt;=CA$4,CA$4&lt;=Projects!$C$9+Projects!$D$9-1),Projects!$B$9/Projects!$D$9,"")</f>
      </c>
      <c r="CB14" s="584">
        <f>IF(AND(Projects!$C$9&lt;=CB$4,CB$4&lt;=Projects!$C$9+Projects!$D$9-1),Projects!$B$9/Projects!$D$9,"")</f>
      </c>
      <c r="CC14" s="584">
        <f>IF(AND(Projects!$C$9&lt;=CC$4,CC$4&lt;=Projects!$C$9+Projects!$D$9-1),Projects!$B$9/Projects!$D$9,"")</f>
      </c>
      <c r="CD14" s="584">
        <f>IF(AND(Projects!$C$9&lt;=CD$4,CD$4&lt;=Projects!$C$9+Projects!$D$9-1),Projects!$B$9/Projects!$D$9,"")</f>
      </c>
      <c r="CE14" s="584">
        <f>IF(AND(Projects!$C$9&lt;=CE$4,CE$4&lt;=Projects!$C$9+Projects!$D$9-1),Projects!$B$9/Projects!$D$9,"")</f>
      </c>
      <c r="CF14" s="584">
        <f>IF(AND(Projects!$C$9&lt;=CF$4,CF$4&lt;=Projects!$C$9+Projects!$D$9-1),Projects!$B$9/Projects!$D$9,"")</f>
      </c>
      <c r="CG14" s="584">
        <f>IF(AND(Projects!$C$9&lt;=CG$4,CG$4&lt;=Projects!$C$9+Projects!$D$9-1),Projects!$B$9/Projects!$D$9,"")</f>
      </c>
      <c r="CH14" s="584">
        <f>IF(AND(Projects!$C$9&lt;=CH$4,CH$4&lt;=Projects!$C$9+Projects!$D$9-1),Projects!$B$9/Projects!$D$9,"")</f>
      </c>
      <c r="CI14" s="584">
        <f>IF(AND(Projects!$C$9&lt;=CI$4,CI$4&lt;=Projects!$C$9+Projects!$D$9-1),Projects!$B$9/Projects!$D$9,"")</f>
      </c>
      <c r="CJ14" s="584">
        <f>IF(AND(Projects!$C$9&lt;=CJ$4,CJ$4&lt;=Projects!$C$9+Projects!$D$9-1),Projects!$B$9/Projects!$D$9,"")</f>
      </c>
      <c r="CK14" s="584">
        <f>IF(AND(Projects!$C$9&lt;=CK$4,CK$4&lt;=Projects!$C$9+Projects!$D$9-1),Projects!$B$9/Projects!$D$9,"")</f>
      </c>
      <c r="CL14" s="584">
        <f>IF(AND(Projects!$C$9&lt;=CL$4,CL$4&lt;=Projects!$C$9+Projects!$D$9-1),Projects!$B$9/Projects!$D$9,"")</f>
      </c>
      <c r="CM14" s="584">
        <f>IF(AND(Projects!$C$9&lt;=CM$4,CM$4&lt;=Projects!$C$9+Projects!$D$9-1),Projects!$B$9/Projects!$D$9,"")</f>
      </c>
      <c r="CN14" s="584">
        <f>IF(AND(Projects!$C$9&lt;=CN$4,CN$4&lt;=Projects!$C$9+Projects!$D$9-1),Projects!$B$9/Projects!$D$9,"")</f>
      </c>
      <c r="CO14" s="584">
        <f>IF(AND(Projects!$C$9&lt;=CO$4,CO$4&lt;=Projects!$C$9+Projects!$D$9-1),Projects!$B$9/Projects!$D$9,"")</f>
      </c>
      <c r="CP14" s="584">
        <f>IF(AND(Projects!$C$9&lt;=CP$4,CP$4&lt;=Projects!$C$9+Projects!$D$9-1),Projects!$B$9/Projects!$D$9,"")</f>
      </c>
      <c r="CQ14" s="584">
        <f>IF(AND(Projects!$C$9&lt;=CQ$4,CQ$4&lt;=Projects!$C$9+Projects!$D$9-1),Projects!$B$9/Projects!$D$9,"")</f>
      </c>
      <c r="CR14" s="584">
        <f>IF(AND(Projects!$C$9&lt;=CR$4,CR$4&lt;=Projects!$C$9+Projects!$D$9-1),Projects!$B$9/Projects!$D$9,"")</f>
      </c>
      <c r="CS14" s="584">
        <f>IF(AND(Projects!$C$9&lt;=CS$4,CS$4&lt;=Projects!$C$9+Projects!$D$9-1),Projects!$B$9/Projects!$D$9,"")</f>
      </c>
      <c r="CT14" s="584">
        <f>IF(AND(Projects!$C$9&lt;=CT$4,CT$4&lt;=Projects!$C$9+Projects!$D$9-1),Projects!$B$9/Projects!$D$9,"")</f>
      </c>
      <c r="CU14" s="584">
        <f>IF(AND(Projects!$C$9&lt;=CU$4,CU$4&lt;=Projects!$C$9+Projects!$D$9-1),Projects!$B$9/Projects!$D$9,"")</f>
      </c>
      <c r="CV14" s="584">
        <f>IF(AND(Projects!$C$9&lt;=CV$4,CV$4&lt;=Projects!$C$9+Projects!$D$9-1),Projects!$B$9/Projects!$D$9,"")</f>
      </c>
      <c r="CW14" s="584">
        <f>IF(AND(Projects!$C$9&lt;=CW$4,CW$4&lt;=Projects!$C$9+Projects!$D$9-1),Projects!$B$9/Projects!$D$9,"")</f>
      </c>
      <c r="CX14" s="584">
        <f>IF(AND(Projects!$C$9&lt;=CX$4,CX$4&lt;=Projects!$C$9+Projects!$D$9-1),Projects!$B$9/Projects!$D$9,"")</f>
      </c>
      <c r="CY14" s="584">
        <f>IF(AND(Projects!$C$9&lt;=CY$4,CY$4&lt;=Projects!$C$9+Projects!$D$9-1),Projects!$B$9/Projects!$D$9,"")</f>
      </c>
      <c r="CZ14" s="584">
        <f>IF(AND(Projects!$C$9&lt;=CZ$4,CZ$4&lt;=Projects!$C$9+Projects!$D$9-1),Projects!$B$9/Projects!$D$9,"")</f>
      </c>
      <c r="DA14" s="584">
        <f>IF(AND(Projects!$C$9&lt;=DA$4,DA$4&lt;=Projects!$C$9+Projects!$D$9-1),Projects!$B$9/Projects!$D$9,"")</f>
      </c>
      <c r="DB14" s="584">
        <f>IF(AND(Projects!$C$9&lt;=DB$4,DB$4&lt;=Projects!$C$9+Projects!$D$9-1),Projects!$B$9/Projects!$D$9,"")</f>
      </c>
    </row>
    <row r="15" ht="15" customFormat="1" customHeight="1" s="381">
      <c r="A15" s="513" t="inlineStr">
        <is>
          <t>Acama</t>
        </is>
      </c>
      <c r="B15" s="581">
        <f>Projects!$B$10</f>
        <v>21263405</v>
      </c>
      <c r="C15" s="582">
        <f>EDATE(Model!$E$2,Projects!$C$10-1)</f>
        <v>46327</v>
      </c>
      <c r="D15" s="582">
        <f>EDATE(Model!$E$2,Projects!$C$10+Projects!$D$10-2)</f>
        <v>47027</v>
      </c>
      <c r="E15" s="583">
        <f>Projects!$D$10</f>
        <v>24</v>
      </c>
      <c r="F15" s="581">
        <f>Projects!$B$10/Projects!$D$10</f>
        <v>885975.208333333</v>
      </c>
      <c r="G15" s="584">
        <f>IF(AND(Projects!$C$10&lt;=G$4,G$4&lt;=Projects!$C$10+Projects!$D$10-1),Projects!$B$10/Projects!$D$10,"")</f>
      </c>
      <c r="H15" s="584">
        <f>IF(AND(Projects!$C$10&lt;=H$4,H$4&lt;=Projects!$C$10+Projects!$D$10-1),Projects!$B$10/Projects!$D$10,"")</f>
      </c>
      <c r="I15" s="584">
        <f>IF(AND(Projects!$C$10&lt;=I$4,I$4&lt;=Projects!$C$10+Projects!$D$10-1),Projects!$B$10/Projects!$D$10,"")</f>
      </c>
      <c r="J15" s="584">
        <f>IF(AND(Projects!$C$10&lt;=J$4,J$4&lt;=Projects!$C$10+Projects!$D$10-1),Projects!$B$10/Projects!$D$10,"")</f>
      </c>
      <c r="K15" s="584">
        <f>IF(AND(Projects!$C$10&lt;=K$4,K$4&lt;=Projects!$C$10+Projects!$D$10-1),Projects!$B$10/Projects!$D$10,"")</f>
      </c>
      <c r="L15" s="584">
        <f>IF(AND(Projects!$C$10&lt;=L$4,L$4&lt;=Projects!$C$10+Projects!$D$10-1),Projects!$B$10/Projects!$D$10,"")</f>
      </c>
      <c r="M15" s="584">
        <f>IF(AND(Projects!$C$10&lt;=M$4,M$4&lt;=Projects!$C$10+Projects!$D$10-1),Projects!$B$10/Projects!$D$10,"")</f>
      </c>
      <c r="N15" s="584">
        <f>IF(AND(Projects!$C$10&lt;=N$4,N$4&lt;=Projects!$C$10+Projects!$D$10-1),Projects!$B$10/Projects!$D$10,"")</f>
        <v>885975.208333333</v>
      </c>
      <c r="O15" s="584">
        <f>IF(AND(Projects!$C$10&lt;=O$4,O$4&lt;=Projects!$C$10+Projects!$D$10-1),Projects!$B$10/Projects!$D$10,"")</f>
        <v>885975.208333333</v>
      </c>
      <c r="P15" s="584">
        <f>IF(AND(Projects!$C$10&lt;=P$4,P$4&lt;=Projects!$C$10+Projects!$D$10-1),Projects!$B$10/Projects!$D$10,"")</f>
        <v>885975.208333333</v>
      </c>
      <c r="Q15" s="584">
        <f>IF(AND(Projects!$C$10&lt;=Q$4,Q$4&lt;=Projects!$C$10+Projects!$D$10-1),Projects!$B$10/Projects!$D$10,"")</f>
        <v>885975.208333333</v>
      </c>
      <c r="R15" s="584">
        <f>IF(AND(Projects!$C$10&lt;=R$4,R$4&lt;=Projects!$C$10+Projects!$D$10-1),Projects!$B$10/Projects!$D$10,"")</f>
        <v>885975.208333333</v>
      </c>
      <c r="S15" s="584">
        <f>IF(AND(Projects!$C$10&lt;=S$4,S$4&lt;=Projects!$C$10+Projects!$D$10-1),Projects!$B$10/Projects!$D$10,"")</f>
        <v>885975.208333333</v>
      </c>
      <c r="T15" s="584">
        <f>IF(AND(Projects!$C$10&lt;=T$4,T$4&lt;=Projects!$C$10+Projects!$D$10-1),Projects!$B$10/Projects!$D$10,"")</f>
        <v>885975.208333333</v>
      </c>
      <c r="U15" s="584">
        <f>IF(AND(Projects!$C$10&lt;=U$4,U$4&lt;=Projects!$C$10+Projects!$D$10-1),Projects!$B$10/Projects!$D$10,"")</f>
        <v>885975.208333333</v>
      </c>
      <c r="V15" s="584">
        <f>IF(AND(Projects!$C$10&lt;=V$4,V$4&lt;=Projects!$C$10+Projects!$D$10-1),Projects!$B$10/Projects!$D$10,"")</f>
        <v>885975.208333333</v>
      </c>
      <c r="W15" s="584">
        <f>IF(AND(Projects!$C$10&lt;=W$4,W$4&lt;=Projects!$C$10+Projects!$D$10-1),Projects!$B$10/Projects!$D$10,"")</f>
        <v>885975.208333333</v>
      </c>
      <c r="X15" s="584">
        <f>IF(AND(Projects!$C$10&lt;=X$4,X$4&lt;=Projects!$C$10+Projects!$D$10-1),Projects!$B$10/Projects!$D$10,"")</f>
        <v>885975.208333333</v>
      </c>
      <c r="Y15" s="584">
        <f>IF(AND(Projects!$C$10&lt;=Y$4,Y$4&lt;=Projects!$C$10+Projects!$D$10-1),Projects!$B$10/Projects!$D$10,"")</f>
        <v>885975.208333333</v>
      </c>
      <c r="Z15" s="584">
        <f>IF(AND(Projects!$C$10&lt;=Z$4,Z$4&lt;=Projects!$C$10+Projects!$D$10-1),Projects!$B$10/Projects!$D$10,"")</f>
        <v>885975.208333333</v>
      </c>
      <c r="AA15" s="584">
        <f>IF(AND(Projects!$C$10&lt;=AA$4,AA$4&lt;=Projects!$C$10+Projects!$D$10-1),Projects!$B$10/Projects!$D$10,"")</f>
        <v>885975.208333333</v>
      </c>
      <c r="AB15" s="584">
        <f>IF(AND(Projects!$C$10&lt;=AB$4,AB$4&lt;=Projects!$C$10+Projects!$D$10-1),Projects!$B$10/Projects!$D$10,"")</f>
        <v>885975.208333333</v>
      </c>
      <c r="AC15" s="584">
        <f>IF(AND(Projects!$C$10&lt;=AC$4,AC$4&lt;=Projects!$C$10+Projects!$D$10-1),Projects!$B$10/Projects!$D$10,"")</f>
        <v>885975.208333333</v>
      </c>
      <c r="AD15" s="584">
        <f>IF(AND(Projects!$C$10&lt;=AD$4,AD$4&lt;=Projects!$C$10+Projects!$D$10-1),Projects!$B$10/Projects!$D$10,"")</f>
        <v>885975.208333333</v>
      </c>
      <c r="AE15" s="584">
        <f>IF(AND(Projects!$C$10&lt;=AE$4,AE$4&lt;=Projects!$C$10+Projects!$D$10-1),Projects!$B$10/Projects!$D$10,"")</f>
        <v>885975.208333333</v>
      </c>
      <c r="AF15" s="584">
        <f>IF(AND(Projects!$C$10&lt;=AF$4,AF$4&lt;=Projects!$C$10+Projects!$D$10-1),Projects!$B$10/Projects!$D$10,"")</f>
        <v>885975.208333333</v>
      </c>
      <c r="AG15" s="584">
        <f>IF(AND(Projects!$C$10&lt;=AG$4,AG$4&lt;=Projects!$C$10+Projects!$D$10-1),Projects!$B$10/Projects!$D$10,"")</f>
        <v>885975.208333333</v>
      </c>
      <c r="AH15" s="584">
        <f>IF(AND(Projects!$C$10&lt;=AH$4,AH$4&lt;=Projects!$C$10+Projects!$D$10-1),Projects!$B$10/Projects!$D$10,"")</f>
        <v>885975.208333333</v>
      </c>
      <c r="AI15" s="584">
        <f>IF(AND(Projects!$C$10&lt;=AI$4,AI$4&lt;=Projects!$C$10+Projects!$D$10-1),Projects!$B$10/Projects!$D$10,"")</f>
        <v>885975.208333333</v>
      </c>
      <c r="AJ15" s="584">
        <f>IF(AND(Projects!$C$10&lt;=AJ$4,AJ$4&lt;=Projects!$C$10+Projects!$D$10-1),Projects!$B$10/Projects!$D$10,"")</f>
        <v>885975.208333333</v>
      </c>
      <c r="AK15" s="584">
        <f>IF(AND(Projects!$C$10&lt;=AK$4,AK$4&lt;=Projects!$C$10+Projects!$D$10-1),Projects!$B$10/Projects!$D$10,"")</f>
        <v>885975.208333333</v>
      </c>
      <c r="AL15" s="584">
        <f>IF(AND(Projects!$C$10&lt;=AL$4,AL$4&lt;=Projects!$C$10+Projects!$D$10-1),Projects!$B$10/Projects!$D$10,"")</f>
      </c>
      <c r="AM15" s="584">
        <f>IF(AND(Projects!$C$10&lt;=AM$4,AM$4&lt;=Projects!$C$10+Projects!$D$10-1),Projects!$B$10/Projects!$D$10,"")</f>
      </c>
      <c r="AN15" s="584">
        <f>IF(AND(Projects!$C$10&lt;=AN$4,AN$4&lt;=Projects!$C$10+Projects!$D$10-1),Projects!$B$10/Projects!$D$10,"")</f>
      </c>
      <c r="AO15" s="584">
        <f>IF(AND(Projects!$C$10&lt;=AO$4,AO$4&lt;=Projects!$C$10+Projects!$D$10-1),Projects!$B$10/Projects!$D$10,"")</f>
      </c>
      <c r="AP15" s="584">
        <f>IF(AND(Projects!$C$10&lt;=AP$4,AP$4&lt;=Projects!$C$10+Projects!$D$10-1),Projects!$B$10/Projects!$D$10,"")</f>
      </c>
      <c r="AQ15" s="584">
        <f>IF(AND(Projects!$C$10&lt;=AQ$4,AQ$4&lt;=Projects!$C$10+Projects!$D$10-1),Projects!$B$10/Projects!$D$10,"")</f>
      </c>
      <c r="AR15" s="584">
        <f>IF(AND(Projects!$C$10&lt;=AR$4,AR$4&lt;=Projects!$C$10+Projects!$D$10-1),Projects!$B$10/Projects!$D$10,"")</f>
      </c>
      <c r="AS15" s="584">
        <f>IF(AND(Projects!$C$10&lt;=AS$4,AS$4&lt;=Projects!$C$10+Projects!$D$10-1),Projects!$B$10/Projects!$D$10,"")</f>
      </c>
      <c r="AT15" s="584">
        <f>IF(AND(Projects!$C$10&lt;=AT$4,AT$4&lt;=Projects!$C$10+Projects!$D$10-1),Projects!$B$10/Projects!$D$10,"")</f>
      </c>
      <c r="AU15" s="584">
        <f>IF(AND(Projects!$C$10&lt;=AU$4,AU$4&lt;=Projects!$C$10+Projects!$D$10-1),Projects!$B$10/Projects!$D$10,"")</f>
      </c>
      <c r="AV15" s="584">
        <f>IF(AND(Projects!$C$10&lt;=AV$4,AV$4&lt;=Projects!$C$10+Projects!$D$10-1),Projects!$B$10/Projects!$D$10,"")</f>
      </c>
      <c r="AW15" s="584">
        <f>IF(AND(Projects!$C$10&lt;=AW$4,AW$4&lt;=Projects!$C$10+Projects!$D$10-1),Projects!$B$10/Projects!$D$10,"")</f>
      </c>
      <c r="AX15" s="584">
        <f>IF(AND(Projects!$C$10&lt;=AX$4,AX$4&lt;=Projects!$C$10+Projects!$D$10-1),Projects!$B$10/Projects!$D$10,"")</f>
      </c>
      <c r="AY15" s="584">
        <f>IF(AND(Projects!$C$10&lt;=AY$4,AY$4&lt;=Projects!$C$10+Projects!$D$10-1),Projects!$B$10/Projects!$D$10,"")</f>
      </c>
      <c r="AZ15" s="584">
        <f>IF(AND(Projects!$C$10&lt;=AZ$4,AZ$4&lt;=Projects!$C$10+Projects!$D$10-1),Projects!$B$10/Projects!$D$10,"")</f>
      </c>
      <c r="BA15" s="584">
        <f>IF(AND(Projects!$C$10&lt;=BA$4,BA$4&lt;=Projects!$C$10+Projects!$D$10-1),Projects!$B$10/Projects!$D$10,"")</f>
      </c>
      <c r="BB15" s="584">
        <f>IF(AND(Projects!$C$10&lt;=BB$4,BB$4&lt;=Projects!$C$10+Projects!$D$10-1),Projects!$B$10/Projects!$D$10,"")</f>
      </c>
      <c r="BC15" s="584">
        <f>IF(AND(Projects!$C$10&lt;=BC$4,BC$4&lt;=Projects!$C$10+Projects!$D$10-1),Projects!$B$10/Projects!$D$10,"")</f>
      </c>
      <c r="BD15" s="584">
        <f>IF(AND(Projects!$C$10&lt;=BD$4,BD$4&lt;=Projects!$C$10+Projects!$D$10-1),Projects!$B$10/Projects!$D$10,"")</f>
      </c>
      <c r="BE15" s="584">
        <f>IF(AND(Projects!$C$10&lt;=BE$4,BE$4&lt;=Projects!$C$10+Projects!$D$10-1),Projects!$B$10/Projects!$D$10,"")</f>
      </c>
      <c r="BF15" s="584">
        <f>IF(AND(Projects!$C$10&lt;=BF$4,BF$4&lt;=Projects!$C$10+Projects!$D$10-1),Projects!$B$10/Projects!$D$10,"")</f>
      </c>
      <c r="BG15" s="584">
        <f>IF(AND(Projects!$C$10&lt;=BG$4,BG$4&lt;=Projects!$C$10+Projects!$D$10-1),Projects!$B$10/Projects!$D$10,"")</f>
      </c>
      <c r="BH15" s="584">
        <f>IF(AND(Projects!$C$10&lt;=BH$4,BH$4&lt;=Projects!$C$10+Projects!$D$10-1),Projects!$B$10/Projects!$D$10,"")</f>
      </c>
      <c r="BI15" s="584">
        <f>IF(AND(Projects!$C$10&lt;=BI$4,BI$4&lt;=Projects!$C$10+Projects!$D$10-1),Projects!$B$10/Projects!$D$10,"")</f>
      </c>
      <c r="BJ15" s="584">
        <f>IF(AND(Projects!$C$10&lt;=BJ$4,BJ$4&lt;=Projects!$C$10+Projects!$D$10-1),Projects!$B$10/Projects!$D$10,"")</f>
      </c>
      <c r="BK15" s="584">
        <f>IF(AND(Projects!$C$10&lt;=BK$4,BK$4&lt;=Projects!$C$10+Projects!$D$10-1),Projects!$B$10/Projects!$D$10,"")</f>
      </c>
      <c r="BL15" s="584">
        <f>IF(AND(Projects!$C$10&lt;=BL$4,BL$4&lt;=Projects!$C$10+Projects!$D$10-1),Projects!$B$10/Projects!$D$10,"")</f>
      </c>
      <c r="BM15" s="584">
        <f>IF(AND(Projects!$C$10&lt;=BM$4,BM$4&lt;=Projects!$C$10+Projects!$D$10-1),Projects!$B$10/Projects!$D$10,"")</f>
      </c>
      <c r="BN15" s="584">
        <f>IF(AND(Projects!$C$10&lt;=BN$4,BN$4&lt;=Projects!$C$10+Projects!$D$10-1),Projects!$B$10/Projects!$D$10,"")</f>
      </c>
      <c r="BO15" s="584">
        <f>IF(AND(Projects!$C$10&lt;=BO$4,BO$4&lt;=Projects!$C$10+Projects!$D$10-1),Projects!$B$10/Projects!$D$10,"")</f>
      </c>
      <c r="BP15" s="584">
        <f>IF(AND(Projects!$C$10&lt;=BP$4,BP$4&lt;=Projects!$C$10+Projects!$D$10-1),Projects!$B$10/Projects!$D$10,"")</f>
      </c>
      <c r="BQ15" s="584">
        <f>IF(AND(Projects!$C$10&lt;=BQ$4,BQ$4&lt;=Projects!$C$10+Projects!$D$10-1),Projects!$B$10/Projects!$D$10,"")</f>
      </c>
      <c r="BR15" s="584">
        <f>IF(AND(Projects!$C$10&lt;=BR$4,BR$4&lt;=Projects!$C$10+Projects!$D$10-1),Projects!$B$10/Projects!$D$10,"")</f>
      </c>
      <c r="BS15" s="584">
        <f>IF(AND(Projects!$C$10&lt;=BS$4,BS$4&lt;=Projects!$C$10+Projects!$D$10-1),Projects!$B$10/Projects!$D$10,"")</f>
      </c>
      <c r="BT15" s="584">
        <f>IF(AND(Projects!$C$10&lt;=BT$4,BT$4&lt;=Projects!$C$10+Projects!$D$10-1),Projects!$B$10/Projects!$D$10,"")</f>
      </c>
      <c r="BU15" s="584">
        <f>IF(AND(Projects!$C$10&lt;=BU$4,BU$4&lt;=Projects!$C$10+Projects!$D$10-1),Projects!$B$10/Projects!$D$10,"")</f>
      </c>
      <c r="BV15" s="584">
        <f>IF(AND(Projects!$C$10&lt;=BV$4,BV$4&lt;=Projects!$C$10+Projects!$D$10-1),Projects!$B$10/Projects!$D$10,"")</f>
      </c>
      <c r="BW15" s="584">
        <f>IF(AND(Projects!$C$10&lt;=BW$4,BW$4&lt;=Projects!$C$10+Projects!$D$10-1),Projects!$B$10/Projects!$D$10,"")</f>
      </c>
      <c r="BX15" s="584">
        <f>IF(AND(Projects!$C$10&lt;=BX$4,BX$4&lt;=Projects!$C$10+Projects!$D$10-1),Projects!$B$10/Projects!$D$10,"")</f>
      </c>
      <c r="BY15" s="584">
        <f>IF(AND(Projects!$C$10&lt;=BY$4,BY$4&lt;=Projects!$C$10+Projects!$D$10-1),Projects!$B$10/Projects!$D$10,"")</f>
      </c>
      <c r="BZ15" s="584">
        <f>IF(AND(Projects!$C$10&lt;=BZ$4,BZ$4&lt;=Projects!$C$10+Projects!$D$10-1),Projects!$B$10/Projects!$D$10,"")</f>
      </c>
      <c r="CA15" s="584">
        <f>IF(AND(Projects!$C$10&lt;=CA$4,CA$4&lt;=Projects!$C$10+Projects!$D$10-1),Projects!$B$10/Projects!$D$10,"")</f>
      </c>
      <c r="CB15" s="584">
        <f>IF(AND(Projects!$C$10&lt;=CB$4,CB$4&lt;=Projects!$C$10+Projects!$D$10-1),Projects!$B$10/Projects!$D$10,"")</f>
      </c>
      <c r="CC15" s="584">
        <f>IF(AND(Projects!$C$10&lt;=CC$4,CC$4&lt;=Projects!$C$10+Projects!$D$10-1),Projects!$B$10/Projects!$D$10,"")</f>
      </c>
      <c r="CD15" s="584">
        <f>IF(AND(Projects!$C$10&lt;=CD$4,CD$4&lt;=Projects!$C$10+Projects!$D$10-1),Projects!$B$10/Projects!$D$10,"")</f>
      </c>
      <c r="CE15" s="584">
        <f>IF(AND(Projects!$C$10&lt;=CE$4,CE$4&lt;=Projects!$C$10+Projects!$D$10-1),Projects!$B$10/Projects!$D$10,"")</f>
      </c>
      <c r="CF15" s="584">
        <f>IF(AND(Projects!$C$10&lt;=CF$4,CF$4&lt;=Projects!$C$10+Projects!$D$10-1),Projects!$B$10/Projects!$D$10,"")</f>
      </c>
      <c r="CG15" s="584">
        <f>IF(AND(Projects!$C$10&lt;=CG$4,CG$4&lt;=Projects!$C$10+Projects!$D$10-1),Projects!$B$10/Projects!$D$10,"")</f>
      </c>
      <c r="CH15" s="584">
        <f>IF(AND(Projects!$C$10&lt;=CH$4,CH$4&lt;=Projects!$C$10+Projects!$D$10-1),Projects!$B$10/Projects!$D$10,"")</f>
      </c>
      <c r="CI15" s="584">
        <f>IF(AND(Projects!$C$10&lt;=CI$4,CI$4&lt;=Projects!$C$10+Projects!$D$10-1),Projects!$B$10/Projects!$D$10,"")</f>
      </c>
      <c r="CJ15" s="584">
        <f>IF(AND(Projects!$C$10&lt;=CJ$4,CJ$4&lt;=Projects!$C$10+Projects!$D$10-1),Projects!$B$10/Projects!$D$10,"")</f>
      </c>
      <c r="CK15" s="584">
        <f>IF(AND(Projects!$C$10&lt;=CK$4,CK$4&lt;=Projects!$C$10+Projects!$D$10-1),Projects!$B$10/Projects!$D$10,"")</f>
      </c>
      <c r="CL15" s="584">
        <f>IF(AND(Projects!$C$10&lt;=CL$4,CL$4&lt;=Projects!$C$10+Projects!$D$10-1),Projects!$B$10/Projects!$D$10,"")</f>
      </c>
      <c r="CM15" s="584">
        <f>IF(AND(Projects!$C$10&lt;=CM$4,CM$4&lt;=Projects!$C$10+Projects!$D$10-1),Projects!$B$10/Projects!$D$10,"")</f>
      </c>
      <c r="CN15" s="584">
        <f>IF(AND(Projects!$C$10&lt;=CN$4,CN$4&lt;=Projects!$C$10+Projects!$D$10-1),Projects!$B$10/Projects!$D$10,"")</f>
      </c>
      <c r="CO15" s="584">
        <f>IF(AND(Projects!$C$10&lt;=CO$4,CO$4&lt;=Projects!$C$10+Projects!$D$10-1),Projects!$B$10/Projects!$D$10,"")</f>
      </c>
      <c r="CP15" s="584">
        <f>IF(AND(Projects!$C$10&lt;=CP$4,CP$4&lt;=Projects!$C$10+Projects!$D$10-1),Projects!$B$10/Projects!$D$10,"")</f>
      </c>
      <c r="CQ15" s="584">
        <f>IF(AND(Projects!$C$10&lt;=CQ$4,CQ$4&lt;=Projects!$C$10+Projects!$D$10-1),Projects!$B$10/Projects!$D$10,"")</f>
      </c>
      <c r="CR15" s="584">
        <f>IF(AND(Projects!$C$10&lt;=CR$4,CR$4&lt;=Projects!$C$10+Projects!$D$10-1),Projects!$B$10/Projects!$D$10,"")</f>
      </c>
      <c r="CS15" s="584">
        <f>IF(AND(Projects!$C$10&lt;=CS$4,CS$4&lt;=Projects!$C$10+Projects!$D$10-1),Projects!$B$10/Projects!$D$10,"")</f>
      </c>
      <c r="CT15" s="584">
        <f>IF(AND(Projects!$C$10&lt;=CT$4,CT$4&lt;=Projects!$C$10+Projects!$D$10-1),Projects!$B$10/Projects!$D$10,"")</f>
      </c>
      <c r="CU15" s="584">
        <f>IF(AND(Projects!$C$10&lt;=CU$4,CU$4&lt;=Projects!$C$10+Projects!$D$10-1),Projects!$B$10/Projects!$D$10,"")</f>
      </c>
      <c r="CV15" s="584">
        <f>IF(AND(Projects!$C$10&lt;=CV$4,CV$4&lt;=Projects!$C$10+Projects!$D$10-1),Projects!$B$10/Projects!$D$10,"")</f>
      </c>
      <c r="CW15" s="584">
        <f>IF(AND(Projects!$C$10&lt;=CW$4,CW$4&lt;=Projects!$C$10+Projects!$D$10-1),Projects!$B$10/Projects!$D$10,"")</f>
      </c>
      <c r="CX15" s="584">
        <f>IF(AND(Projects!$C$10&lt;=CX$4,CX$4&lt;=Projects!$C$10+Projects!$D$10-1),Projects!$B$10/Projects!$D$10,"")</f>
      </c>
      <c r="CY15" s="584">
        <f>IF(AND(Projects!$C$10&lt;=CY$4,CY$4&lt;=Projects!$C$10+Projects!$D$10-1),Projects!$B$10/Projects!$D$10,"")</f>
      </c>
      <c r="CZ15" s="584">
        <f>IF(AND(Projects!$C$10&lt;=CZ$4,CZ$4&lt;=Projects!$C$10+Projects!$D$10-1),Projects!$B$10/Projects!$D$10,"")</f>
      </c>
      <c r="DA15" s="584">
        <f>IF(AND(Projects!$C$10&lt;=DA$4,DA$4&lt;=Projects!$C$10+Projects!$D$10-1),Projects!$B$10/Projects!$D$10,"")</f>
      </c>
      <c r="DB15" s="584">
        <f>IF(AND(Projects!$C$10&lt;=DB$4,DB$4&lt;=Projects!$C$10+Projects!$D$10-1),Projects!$B$10/Projects!$D$10,"")</f>
      </c>
    </row>
    <row r="16" ht="15" customFormat="1" customHeight="1" s="381">
      <c r="A16" s="513" t="inlineStr">
        <is>
          <t>Reseda</t>
        </is>
      </c>
      <c r="B16" s="581">
        <f>Projects!$B$13</f>
        <v>45266770</v>
      </c>
      <c r="C16" s="582">
        <f>EDATE(Model!$E$2,Projects!$C$13-1)</f>
        <v>46508</v>
      </c>
      <c r="D16" s="582">
        <f>EDATE(Model!$E$2,Projects!$C$13+Projects!$D$13-2)</f>
        <v>47392</v>
      </c>
      <c r="E16" s="583">
        <f>Projects!$D$13</f>
        <v>30</v>
      </c>
      <c r="F16" s="581">
        <f>Projects!$B$13/Projects!$D$13</f>
        <v>1508892.33333333</v>
      </c>
      <c r="G16" s="584">
        <f>IF(AND(Projects!$C$13&lt;=G$4,G$4&lt;=Projects!$C$13+Projects!$D$13-1),Projects!$B$13/Projects!$D$13,"")</f>
      </c>
      <c r="H16" s="584">
        <f>IF(AND(Projects!$C$13&lt;=H$4,H$4&lt;=Projects!$C$13+Projects!$D$13-1),Projects!$B$13/Projects!$D$13,"")</f>
      </c>
      <c r="I16" s="584">
        <f>IF(AND(Projects!$C$13&lt;=I$4,I$4&lt;=Projects!$C$13+Projects!$D$13-1),Projects!$B$13/Projects!$D$13,"")</f>
      </c>
      <c r="J16" s="584">
        <f>IF(AND(Projects!$C$13&lt;=J$4,J$4&lt;=Projects!$C$13+Projects!$D$13-1),Projects!$B$13/Projects!$D$13,"")</f>
      </c>
      <c r="K16" s="584">
        <f>IF(AND(Projects!$C$13&lt;=K$4,K$4&lt;=Projects!$C$13+Projects!$D$13-1),Projects!$B$13/Projects!$D$13,"")</f>
      </c>
      <c r="L16" s="584">
        <f>IF(AND(Projects!$C$13&lt;=L$4,L$4&lt;=Projects!$C$13+Projects!$D$13-1),Projects!$B$13/Projects!$D$13,"")</f>
      </c>
      <c r="M16" s="584">
        <f>IF(AND(Projects!$C$13&lt;=M$4,M$4&lt;=Projects!$C$13+Projects!$D$13-1),Projects!$B$13/Projects!$D$13,"")</f>
      </c>
      <c r="N16" s="584">
        <f>IF(AND(Projects!$C$13&lt;=N$4,N$4&lt;=Projects!$C$13+Projects!$D$13-1),Projects!$B$13/Projects!$D$13,"")</f>
      </c>
      <c r="O16" s="584">
        <f>IF(AND(Projects!$C$13&lt;=O$4,O$4&lt;=Projects!$C$13+Projects!$D$13-1),Projects!$B$13/Projects!$D$13,"")</f>
      </c>
      <c r="P16" s="584">
        <f>IF(AND(Projects!$C$13&lt;=P$4,P$4&lt;=Projects!$C$13+Projects!$D$13-1),Projects!$B$13/Projects!$D$13,"")</f>
      </c>
      <c r="Q16" s="584">
        <f>IF(AND(Projects!$C$13&lt;=Q$4,Q$4&lt;=Projects!$C$13+Projects!$D$13-1),Projects!$B$13/Projects!$D$13,"")</f>
      </c>
      <c r="R16" s="584">
        <f>IF(AND(Projects!$C$13&lt;=R$4,R$4&lt;=Projects!$C$13+Projects!$D$13-1),Projects!$B$13/Projects!$D$13,"")</f>
      </c>
      <c r="S16" s="584">
        <f>IF(AND(Projects!$C$13&lt;=S$4,S$4&lt;=Projects!$C$13+Projects!$D$13-1),Projects!$B$13/Projects!$D$13,"")</f>
      </c>
      <c r="T16" s="584">
        <f>IF(AND(Projects!$C$13&lt;=T$4,T$4&lt;=Projects!$C$13+Projects!$D$13-1),Projects!$B$13/Projects!$D$13,"")</f>
        <v>1508892.33333333</v>
      </c>
      <c r="U16" s="584">
        <f>IF(AND(Projects!$C$13&lt;=U$4,U$4&lt;=Projects!$C$13+Projects!$D$13-1),Projects!$B$13/Projects!$D$13,"")</f>
        <v>1508892.33333333</v>
      </c>
      <c r="V16" s="584">
        <f>IF(AND(Projects!$C$13&lt;=V$4,V$4&lt;=Projects!$C$13+Projects!$D$13-1),Projects!$B$13/Projects!$D$13,"")</f>
        <v>1508892.33333333</v>
      </c>
      <c r="W16" s="584">
        <f>IF(AND(Projects!$C$13&lt;=W$4,W$4&lt;=Projects!$C$13+Projects!$D$13-1),Projects!$B$13/Projects!$D$13,"")</f>
        <v>1508892.33333333</v>
      </c>
      <c r="X16" s="584">
        <f>IF(AND(Projects!$C$13&lt;=X$4,X$4&lt;=Projects!$C$13+Projects!$D$13-1),Projects!$B$13/Projects!$D$13,"")</f>
        <v>1508892.33333333</v>
      </c>
      <c r="Y16" s="584">
        <f>IF(AND(Projects!$C$13&lt;=Y$4,Y$4&lt;=Projects!$C$13+Projects!$D$13-1),Projects!$B$13/Projects!$D$13,"")</f>
        <v>1508892.33333333</v>
      </c>
      <c r="Z16" s="584">
        <f>IF(AND(Projects!$C$13&lt;=Z$4,Z$4&lt;=Projects!$C$13+Projects!$D$13-1),Projects!$B$13/Projects!$D$13,"")</f>
        <v>1508892.33333333</v>
      </c>
      <c r="AA16" s="584">
        <f>IF(AND(Projects!$C$13&lt;=AA$4,AA$4&lt;=Projects!$C$13+Projects!$D$13-1),Projects!$B$13/Projects!$D$13,"")</f>
        <v>1508892.33333333</v>
      </c>
      <c r="AB16" s="584">
        <f>IF(AND(Projects!$C$13&lt;=AB$4,AB$4&lt;=Projects!$C$13+Projects!$D$13-1),Projects!$B$13/Projects!$D$13,"")</f>
        <v>1508892.33333333</v>
      </c>
      <c r="AC16" s="584">
        <f>IF(AND(Projects!$C$13&lt;=AC$4,AC$4&lt;=Projects!$C$13+Projects!$D$13-1),Projects!$B$13/Projects!$D$13,"")</f>
        <v>1508892.33333333</v>
      </c>
      <c r="AD16" s="584">
        <f>IF(AND(Projects!$C$13&lt;=AD$4,AD$4&lt;=Projects!$C$13+Projects!$D$13-1),Projects!$B$13/Projects!$D$13,"")</f>
        <v>1508892.33333333</v>
      </c>
      <c r="AE16" s="584">
        <f>IF(AND(Projects!$C$13&lt;=AE$4,AE$4&lt;=Projects!$C$13+Projects!$D$13-1),Projects!$B$13/Projects!$D$13,"")</f>
        <v>1508892.33333333</v>
      </c>
      <c r="AF16" s="584">
        <f>IF(AND(Projects!$C$13&lt;=AF$4,AF$4&lt;=Projects!$C$13+Projects!$D$13-1),Projects!$B$13/Projects!$D$13,"")</f>
        <v>1508892.33333333</v>
      </c>
      <c r="AG16" s="584">
        <f>IF(AND(Projects!$C$13&lt;=AG$4,AG$4&lt;=Projects!$C$13+Projects!$D$13-1),Projects!$B$13/Projects!$D$13,"")</f>
        <v>1508892.33333333</v>
      </c>
      <c r="AH16" s="584">
        <f>IF(AND(Projects!$C$13&lt;=AH$4,AH$4&lt;=Projects!$C$13+Projects!$D$13-1),Projects!$B$13/Projects!$D$13,"")</f>
        <v>1508892.33333333</v>
      </c>
      <c r="AI16" s="584">
        <f>IF(AND(Projects!$C$13&lt;=AI$4,AI$4&lt;=Projects!$C$13+Projects!$D$13-1),Projects!$B$13/Projects!$D$13,"")</f>
        <v>1508892.33333333</v>
      </c>
      <c r="AJ16" s="584">
        <f>IF(AND(Projects!$C$13&lt;=AJ$4,AJ$4&lt;=Projects!$C$13+Projects!$D$13-1),Projects!$B$13/Projects!$D$13,"")</f>
        <v>1508892.33333333</v>
      </c>
      <c r="AK16" s="584">
        <f>IF(AND(Projects!$C$13&lt;=AK$4,AK$4&lt;=Projects!$C$13+Projects!$D$13-1),Projects!$B$13/Projects!$D$13,"")</f>
        <v>1508892.33333333</v>
      </c>
      <c r="AL16" s="584">
        <f>IF(AND(Projects!$C$13&lt;=AL$4,AL$4&lt;=Projects!$C$13+Projects!$D$13-1),Projects!$B$13/Projects!$D$13,"")</f>
        <v>1508892.33333333</v>
      </c>
      <c r="AM16" s="584">
        <f>IF(AND(Projects!$C$13&lt;=AM$4,AM$4&lt;=Projects!$C$13+Projects!$D$13-1),Projects!$B$13/Projects!$D$13,"")</f>
        <v>1508892.33333333</v>
      </c>
      <c r="AN16" s="584">
        <f>IF(AND(Projects!$C$13&lt;=AN$4,AN$4&lt;=Projects!$C$13+Projects!$D$13-1),Projects!$B$13/Projects!$D$13,"")</f>
        <v>1508892.33333333</v>
      </c>
      <c r="AO16" s="584">
        <f>IF(AND(Projects!$C$13&lt;=AO$4,AO$4&lt;=Projects!$C$13+Projects!$D$13-1),Projects!$B$13/Projects!$D$13,"")</f>
        <v>1508892.33333333</v>
      </c>
      <c r="AP16" s="584">
        <f>IF(AND(Projects!$C$13&lt;=AP$4,AP$4&lt;=Projects!$C$13+Projects!$D$13-1),Projects!$B$13/Projects!$D$13,"")</f>
        <v>1508892.33333333</v>
      </c>
      <c r="AQ16" s="584">
        <f>IF(AND(Projects!$C$13&lt;=AQ$4,AQ$4&lt;=Projects!$C$13+Projects!$D$13-1),Projects!$B$13/Projects!$D$13,"")</f>
        <v>1508892.33333333</v>
      </c>
      <c r="AR16" s="584">
        <f>IF(AND(Projects!$C$13&lt;=AR$4,AR$4&lt;=Projects!$C$13+Projects!$D$13-1),Projects!$B$13/Projects!$D$13,"")</f>
        <v>1508892.33333333</v>
      </c>
      <c r="AS16" s="584">
        <f>IF(AND(Projects!$C$13&lt;=AS$4,AS$4&lt;=Projects!$C$13+Projects!$D$13-1),Projects!$B$13/Projects!$D$13,"")</f>
        <v>1508892.33333333</v>
      </c>
      <c r="AT16" s="584">
        <f>IF(AND(Projects!$C$13&lt;=AT$4,AT$4&lt;=Projects!$C$13+Projects!$D$13-1),Projects!$B$13/Projects!$D$13,"")</f>
        <v>1508892.33333333</v>
      </c>
      <c r="AU16" s="584">
        <f>IF(AND(Projects!$C$13&lt;=AU$4,AU$4&lt;=Projects!$C$13+Projects!$D$13-1),Projects!$B$13/Projects!$D$13,"")</f>
        <v>1508892.33333333</v>
      </c>
      <c r="AV16" s="584">
        <f>IF(AND(Projects!$C$13&lt;=AV$4,AV$4&lt;=Projects!$C$13+Projects!$D$13-1),Projects!$B$13/Projects!$D$13,"")</f>
        <v>1508892.33333333</v>
      </c>
      <c r="AW16" s="584">
        <f>IF(AND(Projects!$C$13&lt;=AW$4,AW$4&lt;=Projects!$C$13+Projects!$D$13-1),Projects!$B$13/Projects!$D$13,"")</f>
        <v>1508892.33333333</v>
      </c>
      <c r="AX16" s="584">
        <f>IF(AND(Projects!$C$13&lt;=AX$4,AX$4&lt;=Projects!$C$13+Projects!$D$13-1),Projects!$B$13/Projects!$D$13,"")</f>
      </c>
      <c r="AY16" s="584">
        <f>IF(AND(Projects!$C$13&lt;=AY$4,AY$4&lt;=Projects!$C$13+Projects!$D$13-1),Projects!$B$13/Projects!$D$13,"")</f>
      </c>
      <c r="AZ16" s="584">
        <f>IF(AND(Projects!$C$13&lt;=AZ$4,AZ$4&lt;=Projects!$C$13+Projects!$D$13-1),Projects!$B$13/Projects!$D$13,"")</f>
      </c>
      <c r="BA16" s="584">
        <f>IF(AND(Projects!$C$13&lt;=BA$4,BA$4&lt;=Projects!$C$13+Projects!$D$13-1),Projects!$B$13/Projects!$D$13,"")</f>
      </c>
      <c r="BB16" s="584">
        <f>IF(AND(Projects!$C$13&lt;=BB$4,BB$4&lt;=Projects!$C$13+Projects!$D$13-1),Projects!$B$13/Projects!$D$13,"")</f>
      </c>
      <c r="BC16" s="584">
        <f>IF(AND(Projects!$C$13&lt;=BC$4,BC$4&lt;=Projects!$C$13+Projects!$D$13-1),Projects!$B$13/Projects!$D$13,"")</f>
      </c>
      <c r="BD16" s="584">
        <f>IF(AND(Projects!$C$13&lt;=BD$4,BD$4&lt;=Projects!$C$13+Projects!$D$13-1),Projects!$B$13/Projects!$D$13,"")</f>
      </c>
      <c r="BE16" s="584">
        <f>IF(AND(Projects!$C$13&lt;=BE$4,BE$4&lt;=Projects!$C$13+Projects!$D$13-1),Projects!$B$13/Projects!$D$13,"")</f>
      </c>
      <c r="BF16" s="584">
        <f>IF(AND(Projects!$C$13&lt;=BF$4,BF$4&lt;=Projects!$C$13+Projects!$D$13-1),Projects!$B$13/Projects!$D$13,"")</f>
      </c>
      <c r="BG16" s="584">
        <f>IF(AND(Projects!$C$13&lt;=BG$4,BG$4&lt;=Projects!$C$13+Projects!$D$13-1),Projects!$B$13/Projects!$D$13,"")</f>
      </c>
      <c r="BH16" s="584">
        <f>IF(AND(Projects!$C$13&lt;=BH$4,BH$4&lt;=Projects!$C$13+Projects!$D$13-1),Projects!$B$13/Projects!$D$13,"")</f>
      </c>
      <c r="BI16" s="584">
        <f>IF(AND(Projects!$C$13&lt;=BI$4,BI$4&lt;=Projects!$C$13+Projects!$D$13-1),Projects!$B$13/Projects!$D$13,"")</f>
      </c>
      <c r="BJ16" s="584">
        <f>IF(AND(Projects!$C$13&lt;=BJ$4,BJ$4&lt;=Projects!$C$13+Projects!$D$13-1),Projects!$B$13/Projects!$D$13,"")</f>
      </c>
      <c r="BK16" s="584">
        <f>IF(AND(Projects!$C$13&lt;=BK$4,BK$4&lt;=Projects!$C$13+Projects!$D$13-1),Projects!$B$13/Projects!$D$13,"")</f>
      </c>
      <c r="BL16" s="584">
        <f>IF(AND(Projects!$C$13&lt;=BL$4,BL$4&lt;=Projects!$C$13+Projects!$D$13-1),Projects!$B$13/Projects!$D$13,"")</f>
      </c>
      <c r="BM16" s="584">
        <f>IF(AND(Projects!$C$13&lt;=BM$4,BM$4&lt;=Projects!$C$13+Projects!$D$13-1),Projects!$B$13/Projects!$D$13,"")</f>
      </c>
      <c r="BN16" s="584">
        <f>IF(AND(Projects!$C$13&lt;=BN$4,BN$4&lt;=Projects!$C$13+Projects!$D$13-1),Projects!$B$13/Projects!$D$13,"")</f>
      </c>
      <c r="BO16" s="584">
        <f>IF(AND(Projects!$C$13&lt;=BO$4,BO$4&lt;=Projects!$C$13+Projects!$D$13-1),Projects!$B$13/Projects!$D$13,"")</f>
      </c>
      <c r="BP16" s="584">
        <f>IF(AND(Projects!$C$13&lt;=BP$4,BP$4&lt;=Projects!$C$13+Projects!$D$13-1),Projects!$B$13/Projects!$D$13,"")</f>
      </c>
      <c r="BQ16" s="584">
        <f>IF(AND(Projects!$C$13&lt;=BQ$4,BQ$4&lt;=Projects!$C$13+Projects!$D$13-1),Projects!$B$13/Projects!$D$13,"")</f>
      </c>
      <c r="BR16" s="584">
        <f>IF(AND(Projects!$C$13&lt;=BR$4,BR$4&lt;=Projects!$C$13+Projects!$D$13-1),Projects!$B$13/Projects!$D$13,"")</f>
      </c>
      <c r="BS16" s="584">
        <f>IF(AND(Projects!$C$13&lt;=BS$4,BS$4&lt;=Projects!$C$13+Projects!$D$13-1),Projects!$B$13/Projects!$D$13,"")</f>
      </c>
      <c r="BT16" s="584">
        <f>IF(AND(Projects!$C$13&lt;=BT$4,BT$4&lt;=Projects!$C$13+Projects!$D$13-1),Projects!$B$13/Projects!$D$13,"")</f>
      </c>
      <c r="BU16" s="584">
        <f>IF(AND(Projects!$C$13&lt;=BU$4,BU$4&lt;=Projects!$C$13+Projects!$D$13-1),Projects!$B$13/Projects!$D$13,"")</f>
      </c>
      <c r="BV16" s="584">
        <f>IF(AND(Projects!$C$13&lt;=BV$4,BV$4&lt;=Projects!$C$13+Projects!$D$13-1),Projects!$B$13/Projects!$D$13,"")</f>
      </c>
      <c r="BW16" s="584">
        <f>IF(AND(Projects!$C$13&lt;=BW$4,BW$4&lt;=Projects!$C$13+Projects!$D$13-1),Projects!$B$13/Projects!$D$13,"")</f>
      </c>
      <c r="BX16" s="584">
        <f>IF(AND(Projects!$C$13&lt;=BX$4,BX$4&lt;=Projects!$C$13+Projects!$D$13-1),Projects!$B$13/Projects!$D$13,"")</f>
      </c>
      <c r="BY16" s="584">
        <f>IF(AND(Projects!$C$13&lt;=BY$4,BY$4&lt;=Projects!$C$13+Projects!$D$13-1),Projects!$B$13/Projects!$D$13,"")</f>
      </c>
      <c r="BZ16" s="584">
        <f>IF(AND(Projects!$C$13&lt;=BZ$4,BZ$4&lt;=Projects!$C$13+Projects!$D$13-1),Projects!$B$13/Projects!$D$13,"")</f>
      </c>
      <c r="CA16" s="584">
        <f>IF(AND(Projects!$C$13&lt;=CA$4,CA$4&lt;=Projects!$C$13+Projects!$D$13-1),Projects!$B$13/Projects!$D$13,"")</f>
      </c>
      <c r="CB16" s="584">
        <f>IF(AND(Projects!$C$13&lt;=CB$4,CB$4&lt;=Projects!$C$13+Projects!$D$13-1),Projects!$B$13/Projects!$D$13,"")</f>
      </c>
      <c r="CC16" s="584">
        <f>IF(AND(Projects!$C$13&lt;=CC$4,CC$4&lt;=Projects!$C$13+Projects!$D$13-1),Projects!$B$13/Projects!$D$13,"")</f>
      </c>
      <c r="CD16" s="584">
        <f>IF(AND(Projects!$C$13&lt;=CD$4,CD$4&lt;=Projects!$C$13+Projects!$D$13-1),Projects!$B$13/Projects!$D$13,"")</f>
      </c>
      <c r="CE16" s="584">
        <f>IF(AND(Projects!$C$13&lt;=CE$4,CE$4&lt;=Projects!$C$13+Projects!$D$13-1),Projects!$B$13/Projects!$D$13,"")</f>
      </c>
      <c r="CF16" s="584">
        <f>IF(AND(Projects!$C$13&lt;=CF$4,CF$4&lt;=Projects!$C$13+Projects!$D$13-1),Projects!$B$13/Projects!$D$13,"")</f>
      </c>
      <c r="CG16" s="584">
        <f>IF(AND(Projects!$C$13&lt;=CG$4,CG$4&lt;=Projects!$C$13+Projects!$D$13-1),Projects!$B$13/Projects!$D$13,"")</f>
      </c>
      <c r="CH16" s="584">
        <f>IF(AND(Projects!$C$13&lt;=CH$4,CH$4&lt;=Projects!$C$13+Projects!$D$13-1),Projects!$B$13/Projects!$D$13,"")</f>
      </c>
      <c r="CI16" s="584">
        <f>IF(AND(Projects!$C$13&lt;=CI$4,CI$4&lt;=Projects!$C$13+Projects!$D$13-1),Projects!$B$13/Projects!$D$13,"")</f>
      </c>
      <c r="CJ16" s="584">
        <f>IF(AND(Projects!$C$13&lt;=CJ$4,CJ$4&lt;=Projects!$C$13+Projects!$D$13-1),Projects!$B$13/Projects!$D$13,"")</f>
      </c>
      <c r="CK16" s="584">
        <f>IF(AND(Projects!$C$13&lt;=CK$4,CK$4&lt;=Projects!$C$13+Projects!$D$13-1),Projects!$B$13/Projects!$D$13,"")</f>
      </c>
      <c r="CL16" s="584">
        <f>IF(AND(Projects!$C$13&lt;=CL$4,CL$4&lt;=Projects!$C$13+Projects!$D$13-1),Projects!$B$13/Projects!$D$13,"")</f>
      </c>
      <c r="CM16" s="584">
        <f>IF(AND(Projects!$C$13&lt;=CM$4,CM$4&lt;=Projects!$C$13+Projects!$D$13-1),Projects!$B$13/Projects!$D$13,"")</f>
      </c>
      <c r="CN16" s="584">
        <f>IF(AND(Projects!$C$13&lt;=CN$4,CN$4&lt;=Projects!$C$13+Projects!$D$13-1),Projects!$B$13/Projects!$D$13,"")</f>
      </c>
      <c r="CO16" s="584">
        <f>IF(AND(Projects!$C$13&lt;=CO$4,CO$4&lt;=Projects!$C$13+Projects!$D$13-1),Projects!$B$13/Projects!$D$13,"")</f>
      </c>
      <c r="CP16" s="584">
        <f>IF(AND(Projects!$C$13&lt;=CP$4,CP$4&lt;=Projects!$C$13+Projects!$D$13-1),Projects!$B$13/Projects!$D$13,"")</f>
      </c>
      <c r="CQ16" s="584">
        <f>IF(AND(Projects!$C$13&lt;=CQ$4,CQ$4&lt;=Projects!$C$13+Projects!$D$13-1),Projects!$B$13/Projects!$D$13,"")</f>
      </c>
      <c r="CR16" s="584">
        <f>IF(AND(Projects!$C$13&lt;=CR$4,CR$4&lt;=Projects!$C$13+Projects!$D$13-1),Projects!$B$13/Projects!$D$13,"")</f>
      </c>
      <c r="CS16" s="584">
        <f>IF(AND(Projects!$C$13&lt;=CS$4,CS$4&lt;=Projects!$C$13+Projects!$D$13-1),Projects!$B$13/Projects!$D$13,"")</f>
      </c>
      <c r="CT16" s="584">
        <f>IF(AND(Projects!$C$13&lt;=CT$4,CT$4&lt;=Projects!$C$13+Projects!$D$13-1),Projects!$B$13/Projects!$D$13,"")</f>
      </c>
      <c r="CU16" s="584">
        <f>IF(AND(Projects!$C$13&lt;=CU$4,CU$4&lt;=Projects!$C$13+Projects!$D$13-1),Projects!$B$13/Projects!$D$13,"")</f>
      </c>
      <c r="CV16" s="584">
        <f>IF(AND(Projects!$C$13&lt;=CV$4,CV$4&lt;=Projects!$C$13+Projects!$D$13-1),Projects!$B$13/Projects!$D$13,"")</f>
      </c>
      <c r="CW16" s="584">
        <f>IF(AND(Projects!$C$13&lt;=CW$4,CW$4&lt;=Projects!$C$13+Projects!$D$13-1),Projects!$B$13/Projects!$D$13,"")</f>
      </c>
      <c r="CX16" s="584">
        <f>IF(AND(Projects!$C$13&lt;=CX$4,CX$4&lt;=Projects!$C$13+Projects!$D$13-1),Projects!$B$13/Projects!$D$13,"")</f>
      </c>
      <c r="CY16" s="584">
        <f>IF(AND(Projects!$C$13&lt;=CY$4,CY$4&lt;=Projects!$C$13+Projects!$D$13-1),Projects!$B$13/Projects!$D$13,"")</f>
      </c>
      <c r="CZ16" s="584">
        <f>IF(AND(Projects!$C$13&lt;=CZ$4,CZ$4&lt;=Projects!$C$13+Projects!$D$13-1),Projects!$B$13/Projects!$D$13,"")</f>
      </c>
      <c r="DA16" s="584">
        <f>IF(AND(Projects!$C$13&lt;=DA$4,DA$4&lt;=Projects!$C$13+Projects!$D$13-1),Projects!$B$13/Projects!$D$13,"")</f>
      </c>
      <c r="DB16" s="584">
        <f>IF(AND(Projects!$C$13&lt;=DB$4,DB$4&lt;=Projects!$C$13+Projects!$D$13-1),Projects!$B$13/Projects!$D$13,"")</f>
      </c>
    </row>
    <row r="17" ht="15" customFormat="1" customHeight="1" s="381">
      <c r="A17" s="513" t="inlineStr">
        <is>
          <t>3rd St</t>
        </is>
      </c>
      <c r="B17" s="581">
        <f>Projects!$B$14</f>
        <v>41354632</v>
      </c>
      <c r="C17" s="582">
        <f>EDATE(Model!$E$2,Projects!$C$14-1)</f>
        <v>46905</v>
      </c>
      <c r="D17" s="582">
        <f>EDATE(Model!$E$2,Projects!$C$14+Projects!$D$14-2)</f>
        <v>47788</v>
      </c>
      <c r="E17" s="583">
        <f>Projects!$D$14</f>
        <v>30</v>
      </c>
      <c r="F17" s="581">
        <f>Projects!$B$14/Projects!$D$14</f>
        <v>1378487.73333333</v>
      </c>
      <c r="G17" s="584">
        <f>IF(AND(Projects!$C$14&lt;=G$4,G$4&lt;=Projects!$C$14+Projects!$D$14-1),Projects!$B$14/Projects!$D$14,"")</f>
      </c>
      <c r="H17" s="584">
        <f>IF(AND(Projects!$C$14&lt;=H$4,H$4&lt;=Projects!$C$14+Projects!$D$14-1),Projects!$B$14/Projects!$D$14,"")</f>
      </c>
      <c r="I17" s="584">
        <f>IF(AND(Projects!$C$14&lt;=I$4,I$4&lt;=Projects!$C$14+Projects!$D$14-1),Projects!$B$14/Projects!$D$14,"")</f>
      </c>
      <c r="J17" s="584">
        <f>IF(AND(Projects!$C$14&lt;=J$4,J$4&lt;=Projects!$C$14+Projects!$D$14-1),Projects!$B$14/Projects!$D$14,"")</f>
      </c>
      <c r="K17" s="584">
        <f>IF(AND(Projects!$C$14&lt;=K$4,K$4&lt;=Projects!$C$14+Projects!$D$14-1),Projects!$B$14/Projects!$D$14,"")</f>
      </c>
      <c r="L17" s="584">
        <f>IF(AND(Projects!$C$14&lt;=L$4,L$4&lt;=Projects!$C$14+Projects!$D$14-1),Projects!$B$14/Projects!$D$14,"")</f>
      </c>
      <c r="M17" s="584">
        <f>IF(AND(Projects!$C$14&lt;=M$4,M$4&lt;=Projects!$C$14+Projects!$D$14-1),Projects!$B$14/Projects!$D$14,"")</f>
      </c>
      <c r="N17" s="584">
        <f>IF(AND(Projects!$C$14&lt;=N$4,N$4&lt;=Projects!$C$14+Projects!$D$14-1),Projects!$B$14/Projects!$D$14,"")</f>
      </c>
      <c r="O17" s="584">
        <f>IF(AND(Projects!$C$14&lt;=O$4,O$4&lt;=Projects!$C$14+Projects!$D$14-1),Projects!$B$14/Projects!$D$14,"")</f>
      </c>
      <c r="P17" s="584">
        <f>IF(AND(Projects!$C$14&lt;=P$4,P$4&lt;=Projects!$C$14+Projects!$D$14-1),Projects!$B$14/Projects!$D$14,"")</f>
      </c>
      <c r="Q17" s="584">
        <f>IF(AND(Projects!$C$14&lt;=Q$4,Q$4&lt;=Projects!$C$14+Projects!$D$14-1),Projects!$B$14/Projects!$D$14,"")</f>
      </c>
      <c r="R17" s="584">
        <f>IF(AND(Projects!$C$14&lt;=R$4,R$4&lt;=Projects!$C$14+Projects!$D$14-1),Projects!$B$14/Projects!$D$14,"")</f>
      </c>
      <c r="S17" s="584">
        <f>IF(AND(Projects!$C$14&lt;=S$4,S$4&lt;=Projects!$C$14+Projects!$D$14-1),Projects!$B$14/Projects!$D$14,"")</f>
      </c>
      <c r="T17" s="584">
        <f>IF(AND(Projects!$C$14&lt;=T$4,T$4&lt;=Projects!$C$14+Projects!$D$14-1),Projects!$B$14/Projects!$D$14,"")</f>
      </c>
      <c r="U17" s="584">
        <f>IF(AND(Projects!$C$14&lt;=U$4,U$4&lt;=Projects!$C$14+Projects!$D$14-1),Projects!$B$14/Projects!$D$14,"")</f>
      </c>
      <c r="V17" s="584">
        <f>IF(AND(Projects!$C$14&lt;=V$4,V$4&lt;=Projects!$C$14+Projects!$D$14-1),Projects!$B$14/Projects!$D$14,"")</f>
      </c>
      <c r="W17" s="584">
        <f>IF(AND(Projects!$C$14&lt;=W$4,W$4&lt;=Projects!$C$14+Projects!$D$14-1),Projects!$B$14/Projects!$D$14,"")</f>
      </c>
      <c r="X17" s="584">
        <f>IF(AND(Projects!$C$14&lt;=X$4,X$4&lt;=Projects!$C$14+Projects!$D$14-1),Projects!$B$14/Projects!$D$14,"")</f>
      </c>
      <c r="Y17" s="584">
        <f>IF(AND(Projects!$C$14&lt;=Y$4,Y$4&lt;=Projects!$C$14+Projects!$D$14-1),Projects!$B$14/Projects!$D$14,"")</f>
      </c>
      <c r="Z17" s="584">
        <f>IF(AND(Projects!$C$14&lt;=Z$4,Z$4&lt;=Projects!$C$14+Projects!$D$14-1),Projects!$B$14/Projects!$D$14,"")</f>
      </c>
      <c r="AA17" s="584">
        <f>IF(AND(Projects!$C$14&lt;=AA$4,AA$4&lt;=Projects!$C$14+Projects!$D$14-1),Projects!$B$14/Projects!$D$14,"")</f>
      </c>
      <c r="AB17" s="584">
        <f>IF(AND(Projects!$C$14&lt;=AB$4,AB$4&lt;=Projects!$C$14+Projects!$D$14-1),Projects!$B$14/Projects!$D$14,"")</f>
      </c>
      <c r="AC17" s="584">
        <f>IF(AND(Projects!$C$14&lt;=AC$4,AC$4&lt;=Projects!$C$14+Projects!$D$14-1),Projects!$B$14/Projects!$D$14,"")</f>
      </c>
      <c r="AD17" s="584">
        <f>IF(AND(Projects!$C$14&lt;=AD$4,AD$4&lt;=Projects!$C$14+Projects!$D$14-1),Projects!$B$14/Projects!$D$14,"")</f>
      </c>
      <c r="AE17" s="584">
        <f>IF(AND(Projects!$C$14&lt;=AE$4,AE$4&lt;=Projects!$C$14+Projects!$D$14-1),Projects!$B$14/Projects!$D$14,"")</f>
      </c>
      <c r="AF17" s="584">
        <f>IF(AND(Projects!$C$14&lt;=AF$4,AF$4&lt;=Projects!$C$14+Projects!$D$14-1),Projects!$B$14/Projects!$D$14,"")</f>
      </c>
      <c r="AG17" s="584">
        <f>IF(AND(Projects!$C$14&lt;=AG$4,AG$4&lt;=Projects!$C$14+Projects!$D$14-1),Projects!$B$14/Projects!$D$14,"")</f>
        <v>1378487.73333333</v>
      </c>
      <c r="AH17" s="584">
        <f>IF(AND(Projects!$C$14&lt;=AH$4,AH$4&lt;=Projects!$C$14+Projects!$D$14-1),Projects!$B$14/Projects!$D$14,"")</f>
        <v>1378487.73333333</v>
      </c>
      <c r="AI17" s="584">
        <f>IF(AND(Projects!$C$14&lt;=AI$4,AI$4&lt;=Projects!$C$14+Projects!$D$14-1),Projects!$B$14/Projects!$D$14,"")</f>
        <v>1378487.73333333</v>
      </c>
      <c r="AJ17" s="584">
        <f>IF(AND(Projects!$C$14&lt;=AJ$4,AJ$4&lt;=Projects!$C$14+Projects!$D$14-1),Projects!$B$14/Projects!$D$14,"")</f>
        <v>1378487.73333333</v>
      </c>
      <c r="AK17" s="584">
        <f>IF(AND(Projects!$C$14&lt;=AK$4,AK$4&lt;=Projects!$C$14+Projects!$D$14-1),Projects!$B$14/Projects!$D$14,"")</f>
        <v>1378487.73333333</v>
      </c>
      <c r="AL17" s="584">
        <f>IF(AND(Projects!$C$14&lt;=AL$4,AL$4&lt;=Projects!$C$14+Projects!$D$14-1),Projects!$B$14/Projects!$D$14,"")</f>
        <v>1378487.73333333</v>
      </c>
      <c r="AM17" s="584">
        <f>IF(AND(Projects!$C$14&lt;=AM$4,AM$4&lt;=Projects!$C$14+Projects!$D$14-1),Projects!$B$14/Projects!$D$14,"")</f>
        <v>1378487.73333333</v>
      </c>
      <c r="AN17" s="584">
        <f>IF(AND(Projects!$C$14&lt;=AN$4,AN$4&lt;=Projects!$C$14+Projects!$D$14-1),Projects!$B$14/Projects!$D$14,"")</f>
        <v>1378487.73333333</v>
      </c>
      <c r="AO17" s="584">
        <f>IF(AND(Projects!$C$14&lt;=AO$4,AO$4&lt;=Projects!$C$14+Projects!$D$14-1),Projects!$B$14/Projects!$D$14,"")</f>
        <v>1378487.73333333</v>
      </c>
      <c r="AP17" s="584">
        <f>IF(AND(Projects!$C$14&lt;=AP$4,AP$4&lt;=Projects!$C$14+Projects!$D$14-1),Projects!$B$14/Projects!$D$14,"")</f>
        <v>1378487.73333333</v>
      </c>
      <c r="AQ17" s="584">
        <f>IF(AND(Projects!$C$14&lt;=AQ$4,AQ$4&lt;=Projects!$C$14+Projects!$D$14-1),Projects!$B$14/Projects!$D$14,"")</f>
        <v>1378487.73333333</v>
      </c>
      <c r="AR17" s="584">
        <f>IF(AND(Projects!$C$14&lt;=AR$4,AR$4&lt;=Projects!$C$14+Projects!$D$14-1),Projects!$B$14/Projects!$D$14,"")</f>
        <v>1378487.73333333</v>
      </c>
      <c r="AS17" s="584">
        <f>IF(AND(Projects!$C$14&lt;=AS$4,AS$4&lt;=Projects!$C$14+Projects!$D$14-1),Projects!$B$14/Projects!$D$14,"")</f>
        <v>1378487.73333333</v>
      </c>
      <c r="AT17" s="584">
        <f>IF(AND(Projects!$C$14&lt;=AT$4,AT$4&lt;=Projects!$C$14+Projects!$D$14-1),Projects!$B$14/Projects!$D$14,"")</f>
        <v>1378487.73333333</v>
      </c>
      <c r="AU17" s="584">
        <f>IF(AND(Projects!$C$14&lt;=AU$4,AU$4&lt;=Projects!$C$14+Projects!$D$14-1),Projects!$B$14/Projects!$D$14,"")</f>
        <v>1378487.73333333</v>
      </c>
      <c r="AV17" s="584">
        <f>IF(AND(Projects!$C$14&lt;=AV$4,AV$4&lt;=Projects!$C$14+Projects!$D$14-1),Projects!$B$14/Projects!$D$14,"")</f>
        <v>1378487.73333333</v>
      </c>
      <c r="AW17" s="584">
        <f>IF(AND(Projects!$C$14&lt;=AW$4,AW$4&lt;=Projects!$C$14+Projects!$D$14-1),Projects!$B$14/Projects!$D$14,"")</f>
        <v>1378487.73333333</v>
      </c>
      <c r="AX17" s="584">
        <f>IF(AND(Projects!$C$14&lt;=AX$4,AX$4&lt;=Projects!$C$14+Projects!$D$14-1),Projects!$B$14/Projects!$D$14,"")</f>
        <v>1378487.73333333</v>
      </c>
      <c r="AY17" s="584">
        <f>IF(AND(Projects!$C$14&lt;=AY$4,AY$4&lt;=Projects!$C$14+Projects!$D$14-1),Projects!$B$14/Projects!$D$14,"")</f>
        <v>1378487.73333333</v>
      </c>
      <c r="AZ17" s="584">
        <f>IF(AND(Projects!$C$14&lt;=AZ$4,AZ$4&lt;=Projects!$C$14+Projects!$D$14-1),Projects!$B$14/Projects!$D$14,"")</f>
        <v>1378487.73333333</v>
      </c>
      <c r="BA17" s="584">
        <f>IF(AND(Projects!$C$14&lt;=BA$4,BA$4&lt;=Projects!$C$14+Projects!$D$14-1),Projects!$B$14/Projects!$D$14,"")</f>
        <v>1378487.73333333</v>
      </c>
      <c r="BB17" s="584">
        <f>IF(AND(Projects!$C$14&lt;=BB$4,BB$4&lt;=Projects!$C$14+Projects!$D$14-1),Projects!$B$14/Projects!$D$14,"")</f>
        <v>1378487.73333333</v>
      </c>
      <c r="BC17" s="584">
        <f>IF(AND(Projects!$C$14&lt;=BC$4,BC$4&lt;=Projects!$C$14+Projects!$D$14-1),Projects!$B$14/Projects!$D$14,"")</f>
        <v>1378487.73333333</v>
      </c>
      <c r="BD17" s="584">
        <f>IF(AND(Projects!$C$14&lt;=BD$4,BD$4&lt;=Projects!$C$14+Projects!$D$14-1),Projects!$B$14/Projects!$D$14,"")</f>
        <v>1378487.73333333</v>
      </c>
      <c r="BE17" s="584">
        <f>IF(AND(Projects!$C$14&lt;=BE$4,BE$4&lt;=Projects!$C$14+Projects!$D$14-1),Projects!$B$14/Projects!$D$14,"")</f>
        <v>1378487.73333333</v>
      </c>
      <c r="BF17" s="584">
        <f>IF(AND(Projects!$C$14&lt;=BF$4,BF$4&lt;=Projects!$C$14+Projects!$D$14-1),Projects!$B$14/Projects!$D$14,"")</f>
        <v>1378487.73333333</v>
      </c>
      <c r="BG17" s="584">
        <f>IF(AND(Projects!$C$14&lt;=BG$4,BG$4&lt;=Projects!$C$14+Projects!$D$14-1),Projects!$B$14/Projects!$D$14,"")</f>
        <v>1378487.73333333</v>
      </c>
      <c r="BH17" s="584">
        <f>IF(AND(Projects!$C$14&lt;=BH$4,BH$4&lt;=Projects!$C$14+Projects!$D$14-1),Projects!$B$14/Projects!$D$14,"")</f>
        <v>1378487.73333333</v>
      </c>
      <c r="BI17" s="584">
        <f>IF(AND(Projects!$C$14&lt;=BI$4,BI$4&lt;=Projects!$C$14+Projects!$D$14-1),Projects!$B$14/Projects!$D$14,"")</f>
        <v>1378487.73333333</v>
      </c>
      <c r="BJ17" s="584">
        <f>IF(AND(Projects!$C$14&lt;=BJ$4,BJ$4&lt;=Projects!$C$14+Projects!$D$14-1),Projects!$B$14/Projects!$D$14,"")</f>
        <v>1378487.73333333</v>
      </c>
      <c r="BK17" s="584">
        <f>IF(AND(Projects!$C$14&lt;=BK$4,BK$4&lt;=Projects!$C$14+Projects!$D$14-1),Projects!$B$14/Projects!$D$14,"")</f>
      </c>
      <c r="BL17" s="584">
        <f>IF(AND(Projects!$C$14&lt;=BL$4,BL$4&lt;=Projects!$C$14+Projects!$D$14-1),Projects!$B$14/Projects!$D$14,"")</f>
      </c>
      <c r="BM17" s="584">
        <f>IF(AND(Projects!$C$14&lt;=BM$4,BM$4&lt;=Projects!$C$14+Projects!$D$14-1),Projects!$B$14/Projects!$D$14,"")</f>
      </c>
      <c r="BN17" s="584">
        <f>IF(AND(Projects!$C$14&lt;=BN$4,BN$4&lt;=Projects!$C$14+Projects!$D$14-1),Projects!$B$14/Projects!$D$14,"")</f>
      </c>
      <c r="BO17" s="584">
        <f>IF(AND(Projects!$C$14&lt;=BO$4,BO$4&lt;=Projects!$C$14+Projects!$D$14-1),Projects!$B$14/Projects!$D$14,"")</f>
      </c>
      <c r="BP17" s="584">
        <f>IF(AND(Projects!$C$14&lt;=BP$4,BP$4&lt;=Projects!$C$14+Projects!$D$14-1),Projects!$B$14/Projects!$D$14,"")</f>
      </c>
      <c r="BQ17" s="584">
        <f>IF(AND(Projects!$C$14&lt;=BQ$4,BQ$4&lt;=Projects!$C$14+Projects!$D$14-1),Projects!$B$14/Projects!$D$14,"")</f>
      </c>
      <c r="BR17" s="584">
        <f>IF(AND(Projects!$C$14&lt;=BR$4,BR$4&lt;=Projects!$C$14+Projects!$D$14-1),Projects!$B$14/Projects!$D$14,"")</f>
      </c>
      <c r="BS17" s="584">
        <f>IF(AND(Projects!$C$14&lt;=BS$4,BS$4&lt;=Projects!$C$14+Projects!$D$14-1),Projects!$B$14/Projects!$D$14,"")</f>
      </c>
      <c r="BT17" s="584">
        <f>IF(AND(Projects!$C$14&lt;=BT$4,BT$4&lt;=Projects!$C$14+Projects!$D$14-1),Projects!$B$14/Projects!$D$14,"")</f>
      </c>
      <c r="BU17" s="584">
        <f>IF(AND(Projects!$C$14&lt;=BU$4,BU$4&lt;=Projects!$C$14+Projects!$D$14-1),Projects!$B$14/Projects!$D$14,"")</f>
      </c>
      <c r="BV17" s="584">
        <f>IF(AND(Projects!$C$14&lt;=BV$4,BV$4&lt;=Projects!$C$14+Projects!$D$14-1),Projects!$B$14/Projects!$D$14,"")</f>
      </c>
      <c r="BW17" s="584">
        <f>IF(AND(Projects!$C$14&lt;=BW$4,BW$4&lt;=Projects!$C$14+Projects!$D$14-1),Projects!$B$14/Projects!$D$14,"")</f>
      </c>
      <c r="BX17" s="584">
        <f>IF(AND(Projects!$C$14&lt;=BX$4,BX$4&lt;=Projects!$C$14+Projects!$D$14-1),Projects!$B$14/Projects!$D$14,"")</f>
      </c>
      <c r="BY17" s="584">
        <f>IF(AND(Projects!$C$14&lt;=BY$4,BY$4&lt;=Projects!$C$14+Projects!$D$14-1),Projects!$B$14/Projects!$D$14,"")</f>
      </c>
      <c r="BZ17" s="584">
        <f>IF(AND(Projects!$C$14&lt;=BZ$4,BZ$4&lt;=Projects!$C$14+Projects!$D$14-1),Projects!$B$14/Projects!$D$14,"")</f>
      </c>
      <c r="CA17" s="584">
        <f>IF(AND(Projects!$C$14&lt;=CA$4,CA$4&lt;=Projects!$C$14+Projects!$D$14-1),Projects!$B$14/Projects!$D$14,"")</f>
      </c>
      <c r="CB17" s="584">
        <f>IF(AND(Projects!$C$14&lt;=CB$4,CB$4&lt;=Projects!$C$14+Projects!$D$14-1),Projects!$B$14/Projects!$D$14,"")</f>
      </c>
      <c r="CC17" s="584">
        <f>IF(AND(Projects!$C$14&lt;=CC$4,CC$4&lt;=Projects!$C$14+Projects!$D$14-1),Projects!$B$14/Projects!$D$14,"")</f>
      </c>
      <c r="CD17" s="584">
        <f>IF(AND(Projects!$C$14&lt;=CD$4,CD$4&lt;=Projects!$C$14+Projects!$D$14-1),Projects!$B$14/Projects!$D$14,"")</f>
      </c>
      <c r="CE17" s="584">
        <f>IF(AND(Projects!$C$14&lt;=CE$4,CE$4&lt;=Projects!$C$14+Projects!$D$14-1),Projects!$B$14/Projects!$D$14,"")</f>
      </c>
      <c r="CF17" s="584">
        <f>IF(AND(Projects!$C$14&lt;=CF$4,CF$4&lt;=Projects!$C$14+Projects!$D$14-1),Projects!$B$14/Projects!$D$14,"")</f>
      </c>
      <c r="CG17" s="584">
        <f>IF(AND(Projects!$C$14&lt;=CG$4,CG$4&lt;=Projects!$C$14+Projects!$D$14-1),Projects!$B$14/Projects!$D$14,"")</f>
      </c>
      <c r="CH17" s="584">
        <f>IF(AND(Projects!$C$14&lt;=CH$4,CH$4&lt;=Projects!$C$14+Projects!$D$14-1),Projects!$B$14/Projects!$D$14,"")</f>
      </c>
      <c r="CI17" s="584">
        <f>IF(AND(Projects!$C$14&lt;=CI$4,CI$4&lt;=Projects!$C$14+Projects!$D$14-1),Projects!$B$14/Projects!$D$14,"")</f>
      </c>
      <c r="CJ17" s="584">
        <f>IF(AND(Projects!$C$14&lt;=CJ$4,CJ$4&lt;=Projects!$C$14+Projects!$D$14-1),Projects!$B$14/Projects!$D$14,"")</f>
      </c>
      <c r="CK17" s="584">
        <f>IF(AND(Projects!$C$14&lt;=CK$4,CK$4&lt;=Projects!$C$14+Projects!$D$14-1),Projects!$B$14/Projects!$D$14,"")</f>
      </c>
      <c r="CL17" s="584">
        <f>IF(AND(Projects!$C$14&lt;=CL$4,CL$4&lt;=Projects!$C$14+Projects!$D$14-1),Projects!$B$14/Projects!$D$14,"")</f>
      </c>
      <c r="CM17" s="584">
        <f>IF(AND(Projects!$C$14&lt;=CM$4,CM$4&lt;=Projects!$C$14+Projects!$D$14-1),Projects!$B$14/Projects!$D$14,"")</f>
      </c>
      <c r="CN17" s="584">
        <f>IF(AND(Projects!$C$14&lt;=CN$4,CN$4&lt;=Projects!$C$14+Projects!$D$14-1),Projects!$B$14/Projects!$D$14,"")</f>
      </c>
      <c r="CO17" s="584">
        <f>IF(AND(Projects!$C$14&lt;=CO$4,CO$4&lt;=Projects!$C$14+Projects!$D$14-1),Projects!$B$14/Projects!$D$14,"")</f>
      </c>
      <c r="CP17" s="584">
        <f>IF(AND(Projects!$C$14&lt;=CP$4,CP$4&lt;=Projects!$C$14+Projects!$D$14-1),Projects!$B$14/Projects!$D$14,"")</f>
      </c>
      <c r="CQ17" s="584">
        <f>IF(AND(Projects!$C$14&lt;=CQ$4,CQ$4&lt;=Projects!$C$14+Projects!$D$14-1),Projects!$B$14/Projects!$D$14,"")</f>
      </c>
      <c r="CR17" s="584">
        <f>IF(AND(Projects!$C$14&lt;=CR$4,CR$4&lt;=Projects!$C$14+Projects!$D$14-1),Projects!$B$14/Projects!$D$14,"")</f>
      </c>
      <c r="CS17" s="584">
        <f>IF(AND(Projects!$C$14&lt;=CS$4,CS$4&lt;=Projects!$C$14+Projects!$D$14-1),Projects!$B$14/Projects!$D$14,"")</f>
      </c>
      <c r="CT17" s="584">
        <f>IF(AND(Projects!$C$14&lt;=CT$4,CT$4&lt;=Projects!$C$14+Projects!$D$14-1),Projects!$B$14/Projects!$D$14,"")</f>
      </c>
      <c r="CU17" s="584">
        <f>IF(AND(Projects!$C$14&lt;=CU$4,CU$4&lt;=Projects!$C$14+Projects!$D$14-1),Projects!$B$14/Projects!$D$14,"")</f>
      </c>
      <c r="CV17" s="584">
        <f>IF(AND(Projects!$C$14&lt;=CV$4,CV$4&lt;=Projects!$C$14+Projects!$D$14-1),Projects!$B$14/Projects!$D$14,"")</f>
      </c>
      <c r="CW17" s="584">
        <f>IF(AND(Projects!$C$14&lt;=CW$4,CW$4&lt;=Projects!$C$14+Projects!$D$14-1),Projects!$B$14/Projects!$D$14,"")</f>
      </c>
      <c r="CX17" s="584">
        <f>IF(AND(Projects!$C$14&lt;=CX$4,CX$4&lt;=Projects!$C$14+Projects!$D$14-1),Projects!$B$14/Projects!$D$14,"")</f>
      </c>
      <c r="CY17" s="584">
        <f>IF(AND(Projects!$C$14&lt;=CY$4,CY$4&lt;=Projects!$C$14+Projects!$D$14-1),Projects!$B$14/Projects!$D$14,"")</f>
      </c>
      <c r="CZ17" s="584">
        <f>IF(AND(Projects!$C$14&lt;=CZ$4,CZ$4&lt;=Projects!$C$14+Projects!$D$14-1),Projects!$B$14/Projects!$D$14,"")</f>
      </c>
      <c r="DA17" s="584">
        <f>IF(AND(Projects!$C$14&lt;=DA$4,DA$4&lt;=Projects!$C$14+Projects!$D$14-1),Projects!$B$14/Projects!$D$14,"")</f>
      </c>
      <c r="DB17" s="584">
        <f>IF(AND(Projects!$C$14&lt;=DB$4,DB$4&lt;=Projects!$C$14+Projects!$D$14-1),Projects!$B$14/Projects!$D$14,"")</f>
      </c>
    </row>
    <row r="18" ht="15" customFormat="1" customHeight="1" s="381">
      <c r="A18" s="513" t="inlineStr">
        <is>
          <t>Dickens</t>
        </is>
      </c>
      <c r="B18" s="581">
        <f>Projects!$B$17</f>
        <v>15316015</v>
      </c>
      <c r="C18" s="582">
        <f>EDATE(Model!$E$2,Projects!$C$17-1)</f>
        <v>46508</v>
      </c>
      <c r="D18" s="582">
        <f>EDATE(Model!$E$2,Projects!$C$17+Projects!$D$17-2)</f>
        <v>47058</v>
      </c>
      <c r="E18" s="583">
        <f>Projects!$D$17</f>
        <v>19</v>
      </c>
      <c r="F18" s="581">
        <f>Projects!$B$17/Projects!$D$17</f>
        <v>806106.052631579</v>
      </c>
      <c r="G18" s="584">
        <f>IF(AND(Projects!$C$17&lt;=G$4,G$4&lt;=Projects!$C$17+Projects!$D$17-1),Projects!$B$17/Projects!$D$17,"")</f>
      </c>
      <c r="H18" s="584">
        <f>IF(AND(Projects!$C$17&lt;=H$4,H$4&lt;=Projects!$C$17+Projects!$D$17-1),Projects!$B$17/Projects!$D$17,"")</f>
      </c>
      <c r="I18" s="584">
        <f>IF(AND(Projects!$C$17&lt;=I$4,I$4&lt;=Projects!$C$17+Projects!$D$17-1),Projects!$B$17/Projects!$D$17,"")</f>
      </c>
      <c r="J18" s="584">
        <f>IF(AND(Projects!$C$17&lt;=J$4,J$4&lt;=Projects!$C$17+Projects!$D$17-1),Projects!$B$17/Projects!$D$17,"")</f>
      </c>
      <c r="K18" s="584">
        <f>IF(AND(Projects!$C$17&lt;=K$4,K$4&lt;=Projects!$C$17+Projects!$D$17-1),Projects!$B$17/Projects!$D$17,"")</f>
      </c>
      <c r="L18" s="584">
        <f>IF(AND(Projects!$C$17&lt;=L$4,L$4&lt;=Projects!$C$17+Projects!$D$17-1),Projects!$B$17/Projects!$D$17,"")</f>
      </c>
      <c r="M18" s="584">
        <f>IF(AND(Projects!$C$17&lt;=M$4,M$4&lt;=Projects!$C$17+Projects!$D$17-1),Projects!$B$17/Projects!$D$17,"")</f>
      </c>
      <c r="N18" s="584">
        <f>IF(AND(Projects!$C$17&lt;=N$4,N$4&lt;=Projects!$C$17+Projects!$D$17-1),Projects!$B$17/Projects!$D$17,"")</f>
      </c>
      <c r="O18" s="584">
        <f>IF(AND(Projects!$C$17&lt;=O$4,O$4&lt;=Projects!$C$17+Projects!$D$17-1),Projects!$B$17/Projects!$D$17,"")</f>
      </c>
      <c r="P18" s="584">
        <f>IF(AND(Projects!$C$17&lt;=P$4,P$4&lt;=Projects!$C$17+Projects!$D$17-1),Projects!$B$17/Projects!$D$17,"")</f>
      </c>
      <c r="Q18" s="584">
        <f>IF(AND(Projects!$C$17&lt;=Q$4,Q$4&lt;=Projects!$C$17+Projects!$D$17-1),Projects!$B$17/Projects!$D$17,"")</f>
      </c>
      <c r="R18" s="584">
        <f>IF(AND(Projects!$C$17&lt;=R$4,R$4&lt;=Projects!$C$17+Projects!$D$17-1),Projects!$B$17/Projects!$D$17,"")</f>
      </c>
      <c r="S18" s="584">
        <f>IF(AND(Projects!$C$17&lt;=S$4,S$4&lt;=Projects!$C$17+Projects!$D$17-1),Projects!$B$17/Projects!$D$17,"")</f>
      </c>
      <c r="T18" s="584">
        <f>IF(AND(Projects!$C$17&lt;=T$4,T$4&lt;=Projects!$C$17+Projects!$D$17-1),Projects!$B$17/Projects!$D$17,"")</f>
        <v>806106.052631579</v>
      </c>
      <c r="U18" s="584">
        <f>IF(AND(Projects!$C$17&lt;=U$4,U$4&lt;=Projects!$C$17+Projects!$D$17-1),Projects!$B$17/Projects!$D$17,"")</f>
        <v>806106.052631579</v>
      </c>
      <c r="V18" s="584">
        <f>IF(AND(Projects!$C$17&lt;=V$4,V$4&lt;=Projects!$C$17+Projects!$D$17-1),Projects!$B$17/Projects!$D$17,"")</f>
        <v>806106.052631579</v>
      </c>
      <c r="W18" s="584">
        <f>IF(AND(Projects!$C$17&lt;=W$4,W$4&lt;=Projects!$C$17+Projects!$D$17-1),Projects!$B$17/Projects!$D$17,"")</f>
        <v>806106.052631579</v>
      </c>
      <c r="X18" s="584">
        <f>IF(AND(Projects!$C$17&lt;=X$4,X$4&lt;=Projects!$C$17+Projects!$D$17-1),Projects!$B$17/Projects!$D$17,"")</f>
        <v>806106.052631579</v>
      </c>
      <c r="Y18" s="584">
        <f>IF(AND(Projects!$C$17&lt;=Y$4,Y$4&lt;=Projects!$C$17+Projects!$D$17-1),Projects!$B$17/Projects!$D$17,"")</f>
        <v>806106.052631579</v>
      </c>
      <c r="Z18" s="584">
        <f>IF(AND(Projects!$C$17&lt;=Z$4,Z$4&lt;=Projects!$C$17+Projects!$D$17-1),Projects!$B$17/Projects!$D$17,"")</f>
        <v>806106.052631579</v>
      </c>
      <c r="AA18" s="584">
        <f>IF(AND(Projects!$C$17&lt;=AA$4,AA$4&lt;=Projects!$C$17+Projects!$D$17-1),Projects!$B$17/Projects!$D$17,"")</f>
        <v>806106.052631579</v>
      </c>
      <c r="AB18" s="584">
        <f>IF(AND(Projects!$C$17&lt;=AB$4,AB$4&lt;=Projects!$C$17+Projects!$D$17-1),Projects!$B$17/Projects!$D$17,"")</f>
        <v>806106.052631579</v>
      </c>
      <c r="AC18" s="584">
        <f>IF(AND(Projects!$C$17&lt;=AC$4,AC$4&lt;=Projects!$C$17+Projects!$D$17-1),Projects!$B$17/Projects!$D$17,"")</f>
        <v>806106.052631579</v>
      </c>
      <c r="AD18" s="584">
        <f>IF(AND(Projects!$C$17&lt;=AD$4,AD$4&lt;=Projects!$C$17+Projects!$D$17-1),Projects!$B$17/Projects!$D$17,"")</f>
        <v>806106.052631579</v>
      </c>
      <c r="AE18" s="584">
        <f>IF(AND(Projects!$C$17&lt;=AE$4,AE$4&lt;=Projects!$C$17+Projects!$D$17-1),Projects!$B$17/Projects!$D$17,"")</f>
        <v>806106.052631579</v>
      </c>
      <c r="AF18" s="584">
        <f>IF(AND(Projects!$C$17&lt;=AF$4,AF$4&lt;=Projects!$C$17+Projects!$D$17-1),Projects!$B$17/Projects!$D$17,"")</f>
        <v>806106.052631579</v>
      </c>
      <c r="AG18" s="584">
        <f>IF(AND(Projects!$C$17&lt;=AG$4,AG$4&lt;=Projects!$C$17+Projects!$D$17-1),Projects!$B$17/Projects!$D$17,"")</f>
        <v>806106.052631579</v>
      </c>
      <c r="AH18" s="584">
        <f>IF(AND(Projects!$C$17&lt;=AH$4,AH$4&lt;=Projects!$C$17+Projects!$D$17-1),Projects!$B$17/Projects!$D$17,"")</f>
        <v>806106.052631579</v>
      </c>
      <c r="AI18" s="584">
        <f>IF(AND(Projects!$C$17&lt;=AI$4,AI$4&lt;=Projects!$C$17+Projects!$D$17-1),Projects!$B$17/Projects!$D$17,"")</f>
        <v>806106.052631579</v>
      </c>
      <c r="AJ18" s="584">
        <f>IF(AND(Projects!$C$17&lt;=AJ$4,AJ$4&lt;=Projects!$C$17+Projects!$D$17-1),Projects!$B$17/Projects!$D$17,"")</f>
        <v>806106.052631579</v>
      </c>
      <c r="AK18" s="584">
        <f>IF(AND(Projects!$C$17&lt;=AK$4,AK$4&lt;=Projects!$C$17+Projects!$D$17-1),Projects!$B$17/Projects!$D$17,"")</f>
        <v>806106.052631579</v>
      </c>
      <c r="AL18" s="584">
        <f>IF(AND(Projects!$C$17&lt;=AL$4,AL$4&lt;=Projects!$C$17+Projects!$D$17-1),Projects!$B$17/Projects!$D$17,"")</f>
        <v>806106.052631579</v>
      </c>
      <c r="AM18" s="584">
        <f>IF(AND(Projects!$C$17&lt;=AM$4,AM$4&lt;=Projects!$C$17+Projects!$D$17-1),Projects!$B$17/Projects!$D$17,"")</f>
      </c>
      <c r="AN18" s="584">
        <f>IF(AND(Projects!$C$17&lt;=AN$4,AN$4&lt;=Projects!$C$17+Projects!$D$17-1),Projects!$B$17/Projects!$D$17,"")</f>
      </c>
      <c r="AO18" s="584">
        <f>IF(AND(Projects!$C$17&lt;=AO$4,AO$4&lt;=Projects!$C$17+Projects!$D$17-1),Projects!$B$17/Projects!$D$17,"")</f>
      </c>
      <c r="AP18" s="584">
        <f>IF(AND(Projects!$C$17&lt;=AP$4,AP$4&lt;=Projects!$C$17+Projects!$D$17-1),Projects!$B$17/Projects!$D$17,"")</f>
      </c>
      <c r="AQ18" s="584">
        <f>IF(AND(Projects!$C$17&lt;=AQ$4,AQ$4&lt;=Projects!$C$17+Projects!$D$17-1),Projects!$B$17/Projects!$D$17,"")</f>
      </c>
      <c r="AR18" s="584">
        <f>IF(AND(Projects!$C$17&lt;=AR$4,AR$4&lt;=Projects!$C$17+Projects!$D$17-1),Projects!$B$17/Projects!$D$17,"")</f>
      </c>
      <c r="AS18" s="584">
        <f>IF(AND(Projects!$C$17&lt;=AS$4,AS$4&lt;=Projects!$C$17+Projects!$D$17-1),Projects!$B$17/Projects!$D$17,"")</f>
      </c>
      <c r="AT18" s="584">
        <f>IF(AND(Projects!$C$17&lt;=AT$4,AT$4&lt;=Projects!$C$17+Projects!$D$17-1),Projects!$B$17/Projects!$D$17,"")</f>
      </c>
      <c r="AU18" s="584">
        <f>IF(AND(Projects!$C$17&lt;=AU$4,AU$4&lt;=Projects!$C$17+Projects!$D$17-1),Projects!$B$17/Projects!$D$17,"")</f>
      </c>
      <c r="AV18" s="584">
        <f>IF(AND(Projects!$C$17&lt;=AV$4,AV$4&lt;=Projects!$C$17+Projects!$D$17-1),Projects!$B$17/Projects!$D$17,"")</f>
      </c>
      <c r="AW18" s="584">
        <f>IF(AND(Projects!$C$17&lt;=AW$4,AW$4&lt;=Projects!$C$17+Projects!$D$17-1),Projects!$B$17/Projects!$D$17,"")</f>
      </c>
      <c r="AX18" s="584">
        <f>IF(AND(Projects!$C$17&lt;=AX$4,AX$4&lt;=Projects!$C$17+Projects!$D$17-1),Projects!$B$17/Projects!$D$17,"")</f>
      </c>
      <c r="AY18" s="584">
        <f>IF(AND(Projects!$C$17&lt;=AY$4,AY$4&lt;=Projects!$C$17+Projects!$D$17-1),Projects!$B$17/Projects!$D$17,"")</f>
      </c>
      <c r="AZ18" s="584">
        <f>IF(AND(Projects!$C$17&lt;=AZ$4,AZ$4&lt;=Projects!$C$17+Projects!$D$17-1),Projects!$B$17/Projects!$D$17,"")</f>
      </c>
      <c r="BA18" s="584">
        <f>IF(AND(Projects!$C$17&lt;=BA$4,BA$4&lt;=Projects!$C$17+Projects!$D$17-1),Projects!$B$17/Projects!$D$17,"")</f>
      </c>
      <c r="BB18" s="584">
        <f>IF(AND(Projects!$C$17&lt;=BB$4,BB$4&lt;=Projects!$C$17+Projects!$D$17-1),Projects!$B$17/Projects!$D$17,"")</f>
      </c>
      <c r="BC18" s="584">
        <f>IF(AND(Projects!$C$17&lt;=BC$4,BC$4&lt;=Projects!$C$17+Projects!$D$17-1),Projects!$B$17/Projects!$D$17,"")</f>
      </c>
      <c r="BD18" s="584">
        <f>IF(AND(Projects!$C$17&lt;=BD$4,BD$4&lt;=Projects!$C$17+Projects!$D$17-1),Projects!$B$17/Projects!$D$17,"")</f>
      </c>
      <c r="BE18" s="584">
        <f>IF(AND(Projects!$C$17&lt;=BE$4,BE$4&lt;=Projects!$C$17+Projects!$D$17-1),Projects!$B$17/Projects!$D$17,"")</f>
      </c>
      <c r="BF18" s="584">
        <f>IF(AND(Projects!$C$17&lt;=BF$4,BF$4&lt;=Projects!$C$17+Projects!$D$17-1),Projects!$B$17/Projects!$D$17,"")</f>
      </c>
      <c r="BG18" s="584">
        <f>IF(AND(Projects!$C$17&lt;=BG$4,BG$4&lt;=Projects!$C$17+Projects!$D$17-1),Projects!$B$17/Projects!$D$17,"")</f>
      </c>
      <c r="BH18" s="584">
        <f>IF(AND(Projects!$C$17&lt;=BH$4,BH$4&lt;=Projects!$C$17+Projects!$D$17-1),Projects!$B$17/Projects!$D$17,"")</f>
      </c>
      <c r="BI18" s="584">
        <f>IF(AND(Projects!$C$17&lt;=BI$4,BI$4&lt;=Projects!$C$17+Projects!$D$17-1),Projects!$B$17/Projects!$D$17,"")</f>
      </c>
      <c r="BJ18" s="584">
        <f>IF(AND(Projects!$C$17&lt;=BJ$4,BJ$4&lt;=Projects!$C$17+Projects!$D$17-1),Projects!$B$17/Projects!$D$17,"")</f>
      </c>
      <c r="BK18" s="584">
        <f>IF(AND(Projects!$C$17&lt;=BK$4,BK$4&lt;=Projects!$C$17+Projects!$D$17-1),Projects!$B$17/Projects!$D$17,"")</f>
      </c>
      <c r="BL18" s="584">
        <f>IF(AND(Projects!$C$17&lt;=BL$4,BL$4&lt;=Projects!$C$17+Projects!$D$17-1),Projects!$B$17/Projects!$D$17,"")</f>
      </c>
      <c r="BM18" s="584">
        <f>IF(AND(Projects!$C$17&lt;=BM$4,BM$4&lt;=Projects!$C$17+Projects!$D$17-1),Projects!$B$17/Projects!$D$17,"")</f>
      </c>
      <c r="BN18" s="584">
        <f>IF(AND(Projects!$C$17&lt;=BN$4,BN$4&lt;=Projects!$C$17+Projects!$D$17-1),Projects!$B$17/Projects!$D$17,"")</f>
      </c>
      <c r="BO18" s="584">
        <f>IF(AND(Projects!$C$17&lt;=BO$4,BO$4&lt;=Projects!$C$17+Projects!$D$17-1),Projects!$B$17/Projects!$D$17,"")</f>
      </c>
      <c r="BP18" s="584">
        <f>IF(AND(Projects!$C$17&lt;=BP$4,BP$4&lt;=Projects!$C$17+Projects!$D$17-1),Projects!$B$17/Projects!$D$17,"")</f>
      </c>
      <c r="BQ18" s="584">
        <f>IF(AND(Projects!$C$17&lt;=BQ$4,BQ$4&lt;=Projects!$C$17+Projects!$D$17-1),Projects!$B$17/Projects!$D$17,"")</f>
      </c>
      <c r="BR18" s="584">
        <f>IF(AND(Projects!$C$17&lt;=BR$4,BR$4&lt;=Projects!$C$17+Projects!$D$17-1),Projects!$B$17/Projects!$D$17,"")</f>
      </c>
      <c r="BS18" s="584">
        <f>IF(AND(Projects!$C$17&lt;=BS$4,BS$4&lt;=Projects!$C$17+Projects!$D$17-1),Projects!$B$17/Projects!$D$17,"")</f>
      </c>
      <c r="BT18" s="584">
        <f>IF(AND(Projects!$C$17&lt;=BT$4,BT$4&lt;=Projects!$C$17+Projects!$D$17-1),Projects!$B$17/Projects!$D$17,"")</f>
      </c>
      <c r="BU18" s="584">
        <f>IF(AND(Projects!$C$17&lt;=BU$4,BU$4&lt;=Projects!$C$17+Projects!$D$17-1),Projects!$B$17/Projects!$D$17,"")</f>
      </c>
      <c r="BV18" s="584">
        <f>IF(AND(Projects!$C$17&lt;=BV$4,BV$4&lt;=Projects!$C$17+Projects!$D$17-1),Projects!$B$17/Projects!$D$17,"")</f>
      </c>
      <c r="BW18" s="584">
        <f>IF(AND(Projects!$C$17&lt;=BW$4,BW$4&lt;=Projects!$C$17+Projects!$D$17-1),Projects!$B$17/Projects!$D$17,"")</f>
      </c>
      <c r="BX18" s="584">
        <f>IF(AND(Projects!$C$17&lt;=BX$4,BX$4&lt;=Projects!$C$17+Projects!$D$17-1),Projects!$B$17/Projects!$D$17,"")</f>
      </c>
      <c r="BY18" s="584">
        <f>IF(AND(Projects!$C$17&lt;=BY$4,BY$4&lt;=Projects!$C$17+Projects!$D$17-1),Projects!$B$17/Projects!$D$17,"")</f>
      </c>
      <c r="BZ18" s="584">
        <f>IF(AND(Projects!$C$17&lt;=BZ$4,BZ$4&lt;=Projects!$C$17+Projects!$D$17-1),Projects!$B$17/Projects!$D$17,"")</f>
      </c>
      <c r="CA18" s="584">
        <f>IF(AND(Projects!$C$17&lt;=CA$4,CA$4&lt;=Projects!$C$17+Projects!$D$17-1),Projects!$B$17/Projects!$D$17,"")</f>
      </c>
      <c r="CB18" s="584">
        <f>IF(AND(Projects!$C$17&lt;=CB$4,CB$4&lt;=Projects!$C$17+Projects!$D$17-1),Projects!$B$17/Projects!$D$17,"")</f>
      </c>
      <c r="CC18" s="584">
        <f>IF(AND(Projects!$C$17&lt;=CC$4,CC$4&lt;=Projects!$C$17+Projects!$D$17-1),Projects!$B$17/Projects!$D$17,"")</f>
      </c>
      <c r="CD18" s="584">
        <f>IF(AND(Projects!$C$17&lt;=CD$4,CD$4&lt;=Projects!$C$17+Projects!$D$17-1),Projects!$B$17/Projects!$D$17,"")</f>
      </c>
      <c r="CE18" s="584">
        <f>IF(AND(Projects!$C$17&lt;=CE$4,CE$4&lt;=Projects!$C$17+Projects!$D$17-1),Projects!$B$17/Projects!$D$17,"")</f>
      </c>
      <c r="CF18" s="584">
        <f>IF(AND(Projects!$C$17&lt;=CF$4,CF$4&lt;=Projects!$C$17+Projects!$D$17-1),Projects!$B$17/Projects!$D$17,"")</f>
      </c>
      <c r="CG18" s="584">
        <f>IF(AND(Projects!$C$17&lt;=CG$4,CG$4&lt;=Projects!$C$17+Projects!$D$17-1),Projects!$B$17/Projects!$D$17,"")</f>
      </c>
      <c r="CH18" s="584">
        <f>IF(AND(Projects!$C$17&lt;=CH$4,CH$4&lt;=Projects!$C$17+Projects!$D$17-1),Projects!$B$17/Projects!$D$17,"")</f>
      </c>
      <c r="CI18" s="584">
        <f>IF(AND(Projects!$C$17&lt;=CI$4,CI$4&lt;=Projects!$C$17+Projects!$D$17-1),Projects!$B$17/Projects!$D$17,"")</f>
      </c>
      <c r="CJ18" s="584">
        <f>IF(AND(Projects!$C$17&lt;=CJ$4,CJ$4&lt;=Projects!$C$17+Projects!$D$17-1),Projects!$B$17/Projects!$D$17,"")</f>
      </c>
      <c r="CK18" s="584">
        <f>IF(AND(Projects!$C$17&lt;=CK$4,CK$4&lt;=Projects!$C$17+Projects!$D$17-1),Projects!$B$17/Projects!$D$17,"")</f>
      </c>
      <c r="CL18" s="584">
        <f>IF(AND(Projects!$C$17&lt;=CL$4,CL$4&lt;=Projects!$C$17+Projects!$D$17-1),Projects!$B$17/Projects!$D$17,"")</f>
      </c>
      <c r="CM18" s="584">
        <f>IF(AND(Projects!$C$17&lt;=CM$4,CM$4&lt;=Projects!$C$17+Projects!$D$17-1),Projects!$B$17/Projects!$D$17,"")</f>
      </c>
      <c r="CN18" s="584">
        <f>IF(AND(Projects!$C$17&lt;=CN$4,CN$4&lt;=Projects!$C$17+Projects!$D$17-1),Projects!$B$17/Projects!$D$17,"")</f>
      </c>
      <c r="CO18" s="584">
        <f>IF(AND(Projects!$C$17&lt;=CO$4,CO$4&lt;=Projects!$C$17+Projects!$D$17-1),Projects!$B$17/Projects!$D$17,"")</f>
      </c>
      <c r="CP18" s="584">
        <f>IF(AND(Projects!$C$17&lt;=CP$4,CP$4&lt;=Projects!$C$17+Projects!$D$17-1),Projects!$B$17/Projects!$D$17,"")</f>
      </c>
      <c r="CQ18" s="584">
        <f>IF(AND(Projects!$C$17&lt;=CQ$4,CQ$4&lt;=Projects!$C$17+Projects!$D$17-1),Projects!$B$17/Projects!$D$17,"")</f>
      </c>
      <c r="CR18" s="584">
        <f>IF(AND(Projects!$C$17&lt;=CR$4,CR$4&lt;=Projects!$C$17+Projects!$D$17-1),Projects!$B$17/Projects!$D$17,"")</f>
      </c>
      <c r="CS18" s="584">
        <f>IF(AND(Projects!$C$17&lt;=CS$4,CS$4&lt;=Projects!$C$17+Projects!$D$17-1),Projects!$B$17/Projects!$D$17,"")</f>
      </c>
      <c r="CT18" s="584">
        <f>IF(AND(Projects!$C$17&lt;=CT$4,CT$4&lt;=Projects!$C$17+Projects!$D$17-1),Projects!$B$17/Projects!$D$17,"")</f>
      </c>
      <c r="CU18" s="584">
        <f>IF(AND(Projects!$C$17&lt;=CU$4,CU$4&lt;=Projects!$C$17+Projects!$D$17-1),Projects!$B$17/Projects!$D$17,"")</f>
      </c>
      <c r="CV18" s="584">
        <f>IF(AND(Projects!$C$17&lt;=CV$4,CV$4&lt;=Projects!$C$17+Projects!$D$17-1),Projects!$B$17/Projects!$D$17,"")</f>
      </c>
      <c r="CW18" s="584">
        <f>IF(AND(Projects!$C$17&lt;=CW$4,CW$4&lt;=Projects!$C$17+Projects!$D$17-1),Projects!$B$17/Projects!$D$17,"")</f>
      </c>
      <c r="CX18" s="584">
        <f>IF(AND(Projects!$C$17&lt;=CX$4,CX$4&lt;=Projects!$C$17+Projects!$D$17-1),Projects!$B$17/Projects!$D$17,"")</f>
      </c>
      <c r="CY18" s="584">
        <f>IF(AND(Projects!$C$17&lt;=CY$4,CY$4&lt;=Projects!$C$17+Projects!$D$17-1),Projects!$B$17/Projects!$D$17,"")</f>
      </c>
      <c r="CZ18" s="584">
        <f>IF(AND(Projects!$C$17&lt;=CZ$4,CZ$4&lt;=Projects!$C$17+Projects!$D$17-1),Projects!$B$17/Projects!$D$17,"")</f>
      </c>
      <c r="DA18" s="584">
        <f>IF(AND(Projects!$C$17&lt;=DA$4,DA$4&lt;=Projects!$C$17+Projects!$D$17-1),Projects!$B$17/Projects!$D$17,"")</f>
      </c>
      <c r="DB18" s="584">
        <f>IF(AND(Projects!$C$17&lt;=DB$4,DB$4&lt;=Projects!$C$17+Projects!$D$17-1),Projects!$B$17/Projects!$D$17,"")</f>
      </c>
    </row>
    <row r="19" ht="15" customFormat="1" customHeight="1" s="381">
      <c r="A19" s="513" t="inlineStr">
        <is>
          <t>Riverton</t>
        </is>
      </c>
      <c r="B19" s="581">
        <f>Projects!$B$18</f>
        <v>11317385</v>
      </c>
      <c r="C19" s="582">
        <f>EDATE(Model!$E$2,Projects!$C$18-1)</f>
        <v>46539</v>
      </c>
      <c r="D19" s="582">
        <f>EDATE(Model!$E$2,Projects!$C$18+Projects!$D$18-2)</f>
        <v>47088</v>
      </c>
      <c r="E19" s="583">
        <f>Projects!$D$18</f>
        <v>19</v>
      </c>
      <c r="F19" s="581">
        <f>Projects!$B$18/Projects!$D$18</f>
        <v>595651.842105263</v>
      </c>
      <c r="G19" s="584">
        <f>IF(AND(Projects!$C$18&lt;=G$4,G$4&lt;=Projects!$C$18+Projects!$D$18-1),Projects!$B$18/Projects!$D$18,"")</f>
      </c>
      <c r="H19" s="584">
        <f>IF(AND(Projects!$C$18&lt;=H$4,H$4&lt;=Projects!$C$18+Projects!$D$18-1),Projects!$B$18/Projects!$D$18,"")</f>
      </c>
      <c r="I19" s="584">
        <f>IF(AND(Projects!$C$18&lt;=I$4,I$4&lt;=Projects!$C$18+Projects!$D$18-1),Projects!$B$18/Projects!$D$18,"")</f>
      </c>
      <c r="J19" s="584">
        <f>IF(AND(Projects!$C$18&lt;=J$4,J$4&lt;=Projects!$C$18+Projects!$D$18-1),Projects!$B$18/Projects!$D$18,"")</f>
      </c>
      <c r="K19" s="584">
        <f>IF(AND(Projects!$C$18&lt;=K$4,K$4&lt;=Projects!$C$18+Projects!$D$18-1),Projects!$B$18/Projects!$D$18,"")</f>
      </c>
      <c r="L19" s="584">
        <f>IF(AND(Projects!$C$18&lt;=L$4,L$4&lt;=Projects!$C$18+Projects!$D$18-1),Projects!$B$18/Projects!$D$18,"")</f>
      </c>
      <c r="M19" s="584">
        <f>IF(AND(Projects!$C$18&lt;=M$4,M$4&lt;=Projects!$C$18+Projects!$D$18-1),Projects!$B$18/Projects!$D$18,"")</f>
      </c>
      <c r="N19" s="584">
        <f>IF(AND(Projects!$C$18&lt;=N$4,N$4&lt;=Projects!$C$18+Projects!$D$18-1),Projects!$B$18/Projects!$D$18,"")</f>
      </c>
      <c r="O19" s="584">
        <f>IF(AND(Projects!$C$18&lt;=O$4,O$4&lt;=Projects!$C$18+Projects!$D$18-1),Projects!$B$18/Projects!$D$18,"")</f>
      </c>
      <c r="P19" s="584">
        <f>IF(AND(Projects!$C$18&lt;=P$4,P$4&lt;=Projects!$C$18+Projects!$D$18-1),Projects!$B$18/Projects!$D$18,"")</f>
      </c>
      <c r="Q19" s="584">
        <f>IF(AND(Projects!$C$18&lt;=Q$4,Q$4&lt;=Projects!$C$18+Projects!$D$18-1),Projects!$B$18/Projects!$D$18,"")</f>
      </c>
      <c r="R19" s="584">
        <f>IF(AND(Projects!$C$18&lt;=R$4,R$4&lt;=Projects!$C$18+Projects!$D$18-1),Projects!$B$18/Projects!$D$18,"")</f>
      </c>
      <c r="S19" s="584">
        <f>IF(AND(Projects!$C$18&lt;=S$4,S$4&lt;=Projects!$C$18+Projects!$D$18-1),Projects!$B$18/Projects!$D$18,"")</f>
      </c>
      <c r="T19" s="584">
        <f>IF(AND(Projects!$C$18&lt;=T$4,T$4&lt;=Projects!$C$18+Projects!$D$18-1),Projects!$B$18/Projects!$D$18,"")</f>
      </c>
      <c r="U19" s="584">
        <f>IF(AND(Projects!$C$18&lt;=U$4,U$4&lt;=Projects!$C$18+Projects!$D$18-1),Projects!$B$18/Projects!$D$18,"")</f>
        <v>595651.842105263</v>
      </c>
      <c r="V19" s="584">
        <f>IF(AND(Projects!$C$18&lt;=V$4,V$4&lt;=Projects!$C$18+Projects!$D$18-1),Projects!$B$18/Projects!$D$18,"")</f>
        <v>595651.842105263</v>
      </c>
      <c r="W19" s="584">
        <f>IF(AND(Projects!$C$18&lt;=W$4,W$4&lt;=Projects!$C$18+Projects!$D$18-1),Projects!$B$18/Projects!$D$18,"")</f>
        <v>595651.842105263</v>
      </c>
      <c r="X19" s="584">
        <f>IF(AND(Projects!$C$18&lt;=X$4,X$4&lt;=Projects!$C$18+Projects!$D$18-1),Projects!$B$18/Projects!$D$18,"")</f>
        <v>595651.842105263</v>
      </c>
      <c r="Y19" s="584">
        <f>IF(AND(Projects!$C$18&lt;=Y$4,Y$4&lt;=Projects!$C$18+Projects!$D$18-1),Projects!$B$18/Projects!$D$18,"")</f>
        <v>595651.842105263</v>
      </c>
      <c r="Z19" s="584">
        <f>IF(AND(Projects!$C$18&lt;=Z$4,Z$4&lt;=Projects!$C$18+Projects!$D$18-1),Projects!$B$18/Projects!$D$18,"")</f>
        <v>595651.842105263</v>
      </c>
      <c r="AA19" s="584">
        <f>IF(AND(Projects!$C$18&lt;=AA$4,AA$4&lt;=Projects!$C$18+Projects!$D$18-1),Projects!$B$18/Projects!$D$18,"")</f>
        <v>595651.842105263</v>
      </c>
      <c r="AB19" s="584">
        <f>IF(AND(Projects!$C$18&lt;=AB$4,AB$4&lt;=Projects!$C$18+Projects!$D$18-1),Projects!$B$18/Projects!$D$18,"")</f>
        <v>595651.842105263</v>
      </c>
      <c r="AC19" s="584">
        <f>IF(AND(Projects!$C$18&lt;=AC$4,AC$4&lt;=Projects!$C$18+Projects!$D$18-1),Projects!$B$18/Projects!$D$18,"")</f>
        <v>595651.842105263</v>
      </c>
      <c r="AD19" s="584">
        <f>IF(AND(Projects!$C$18&lt;=AD$4,AD$4&lt;=Projects!$C$18+Projects!$D$18-1),Projects!$B$18/Projects!$D$18,"")</f>
        <v>595651.842105263</v>
      </c>
      <c r="AE19" s="584">
        <f>IF(AND(Projects!$C$18&lt;=AE$4,AE$4&lt;=Projects!$C$18+Projects!$D$18-1),Projects!$B$18/Projects!$D$18,"")</f>
        <v>595651.842105263</v>
      </c>
      <c r="AF19" s="584">
        <f>IF(AND(Projects!$C$18&lt;=AF$4,AF$4&lt;=Projects!$C$18+Projects!$D$18-1),Projects!$B$18/Projects!$D$18,"")</f>
        <v>595651.842105263</v>
      </c>
      <c r="AG19" s="584">
        <f>IF(AND(Projects!$C$18&lt;=AG$4,AG$4&lt;=Projects!$C$18+Projects!$D$18-1),Projects!$B$18/Projects!$D$18,"")</f>
        <v>595651.842105263</v>
      </c>
      <c r="AH19" s="584">
        <f>IF(AND(Projects!$C$18&lt;=AH$4,AH$4&lt;=Projects!$C$18+Projects!$D$18-1),Projects!$B$18/Projects!$D$18,"")</f>
        <v>595651.842105263</v>
      </c>
      <c r="AI19" s="584">
        <f>IF(AND(Projects!$C$18&lt;=AI$4,AI$4&lt;=Projects!$C$18+Projects!$D$18-1),Projects!$B$18/Projects!$D$18,"")</f>
        <v>595651.842105263</v>
      </c>
      <c r="AJ19" s="584">
        <f>IF(AND(Projects!$C$18&lt;=AJ$4,AJ$4&lt;=Projects!$C$18+Projects!$D$18-1),Projects!$B$18/Projects!$D$18,"")</f>
        <v>595651.842105263</v>
      </c>
      <c r="AK19" s="584">
        <f>IF(AND(Projects!$C$18&lt;=AK$4,AK$4&lt;=Projects!$C$18+Projects!$D$18-1),Projects!$B$18/Projects!$D$18,"")</f>
        <v>595651.842105263</v>
      </c>
      <c r="AL19" s="584">
        <f>IF(AND(Projects!$C$18&lt;=AL$4,AL$4&lt;=Projects!$C$18+Projects!$D$18-1),Projects!$B$18/Projects!$D$18,"")</f>
        <v>595651.842105263</v>
      </c>
      <c r="AM19" s="584">
        <f>IF(AND(Projects!$C$18&lt;=AM$4,AM$4&lt;=Projects!$C$18+Projects!$D$18-1),Projects!$B$18/Projects!$D$18,"")</f>
        <v>595651.842105263</v>
      </c>
      <c r="AN19" s="584">
        <f>IF(AND(Projects!$C$18&lt;=AN$4,AN$4&lt;=Projects!$C$18+Projects!$D$18-1),Projects!$B$18/Projects!$D$18,"")</f>
      </c>
      <c r="AO19" s="584">
        <f>IF(AND(Projects!$C$18&lt;=AO$4,AO$4&lt;=Projects!$C$18+Projects!$D$18-1),Projects!$B$18/Projects!$D$18,"")</f>
      </c>
      <c r="AP19" s="584">
        <f>IF(AND(Projects!$C$18&lt;=AP$4,AP$4&lt;=Projects!$C$18+Projects!$D$18-1),Projects!$B$18/Projects!$D$18,"")</f>
      </c>
      <c r="AQ19" s="584">
        <f>IF(AND(Projects!$C$18&lt;=AQ$4,AQ$4&lt;=Projects!$C$18+Projects!$D$18-1),Projects!$B$18/Projects!$D$18,"")</f>
      </c>
      <c r="AR19" s="584">
        <f>IF(AND(Projects!$C$18&lt;=AR$4,AR$4&lt;=Projects!$C$18+Projects!$D$18-1),Projects!$B$18/Projects!$D$18,"")</f>
      </c>
      <c r="AS19" s="584">
        <f>IF(AND(Projects!$C$18&lt;=AS$4,AS$4&lt;=Projects!$C$18+Projects!$D$18-1),Projects!$B$18/Projects!$D$18,"")</f>
      </c>
      <c r="AT19" s="584">
        <f>IF(AND(Projects!$C$18&lt;=AT$4,AT$4&lt;=Projects!$C$18+Projects!$D$18-1),Projects!$B$18/Projects!$D$18,"")</f>
      </c>
      <c r="AU19" s="584">
        <f>IF(AND(Projects!$C$18&lt;=AU$4,AU$4&lt;=Projects!$C$18+Projects!$D$18-1),Projects!$B$18/Projects!$D$18,"")</f>
      </c>
      <c r="AV19" s="584">
        <f>IF(AND(Projects!$C$18&lt;=AV$4,AV$4&lt;=Projects!$C$18+Projects!$D$18-1),Projects!$B$18/Projects!$D$18,"")</f>
      </c>
      <c r="AW19" s="584">
        <f>IF(AND(Projects!$C$18&lt;=AW$4,AW$4&lt;=Projects!$C$18+Projects!$D$18-1),Projects!$B$18/Projects!$D$18,"")</f>
      </c>
      <c r="AX19" s="584">
        <f>IF(AND(Projects!$C$18&lt;=AX$4,AX$4&lt;=Projects!$C$18+Projects!$D$18-1),Projects!$B$18/Projects!$D$18,"")</f>
      </c>
      <c r="AY19" s="584">
        <f>IF(AND(Projects!$C$18&lt;=AY$4,AY$4&lt;=Projects!$C$18+Projects!$D$18-1),Projects!$B$18/Projects!$D$18,"")</f>
      </c>
      <c r="AZ19" s="584">
        <f>IF(AND(Projects!$C$18&lt;=AZ$4,AZ$4&lt;=Projects!$C$18+Projects!$D$18-1),Projects!$B$18/Projects!$D$18,"")</f>
      </c>
      <c r="BA19" s="584">
        <f>IF(AND(Projects!$C$18&lt;=BA$4,BA$4&lt;=Projects!$C$18+Projects!$D$18-1),Projects!$B$18/Projects!$D$18,"")</f>
      </c>
      <c r="BB19" s="584">
        <f>IF(AND(Projects!$C$18&lt;=BB$4,BB$4&lt;=Projects!$C$18+Projects!$D$18-1),Projects!$B$18/Projects!$D$18,"")</f>
      </c>
      <c r="BC19" s="584">
        <f>IF(AND(Projects!$C$18&lt;=BC$4,BC$4&lt;=Projects!$C$18+Projects!$D$18-1),Projects!$B$18/Projects!$D$18,"")</f>
      </c>
      <c r="BD19" s="584">
        <f>IF(AND(Projects!$C$18&lt;=BD$4,BD$4&lt;=Projects!$C$18+Projects!$D$18-1),Projects!$B$18/Projects!$D$18,"")</f>
      </c>
      <c r="BE19" s="584">
        <f>IF(AND(Projects!$C$18&lt;=BE$4,BE$4&lt;=Projects!$C$18+Projects!$D$18-1),Projects!$B$18/Projects!$D$18,"")</f>
      </c>
      <c r="BF19" s="584">
        <f>IF(AND(Projects!$C$18&lt;=BF$4,BF$4&lt;=Projects!$C$18+Projects!$D$18-1),Projects!$B$18/Projects!$D$18,"")</f>
      </c>
      <c r="BG19" s="584">
        <f>IF(AND(Projects!$C$18&lt;=BG$4,BG$4&lt;=Projects!$C$18+Projects!$D$18-1),Projects!$B$18/Projects!$D$18,"")</f>
      </c>
      <c r="BH19" s="584">
        <f>IF(AND(Projects!$C$18&lt;=BH$4,BH$4&lt;=Projects!$C$18+Projects!$D$18-1),Projects!$B$18/Projects!$D$18,"")</f>
      </c>
      <c r="BI19" s="584">
        <f>IF(AND(Projects!$C$18&lt;=BI$4,BI$4&lt;=Projects!$C$18+Projects!$D$18-1),Projects!$B$18/Projects!$D$18,"")</f>
      </c>
      <c r="BJ19" s="584">
        <f>IF(AND(Projects!$C$18&lt;=BJ$4,BJ$4&lt;=Projects!$C$18+Projects!$D$18-1),Projects!$B$18/Projects!$D$18,"")</f>
      </c>
      <c r="BK19" s="584">
        <f>IF(AND(Projects!$C$18&lt;=BK$4,BK$4&lt;=Projects!$C$18+Projects!$D$18-1),Projects!$B$18/Projects!$D$18,"")</f>
      </c>
      <c r="BL19" s="584">
        <f>IF(AND(Projects!$C$18&lt;=BL$4,BL$4&lt;=Projects!$C$18+Projects!$D$18-1),Projects!$B$18/Projects!$D$18,"")</f>
      </c>
      <c r="BM19" s="584">
        <f>IF(AND(Projects!$C$18&lt;=BM$4,BM$4&lt;=Projects!$C$18+Projects!$D$18-1),Projects!$B$18/Projects!$D$18,"")</f>
      </c>
      <c r="BN19" s="584">
        <f>IF(AND(Projects!$C$18&lt;=BN$4,BN$4&lt;=Projects!$C$18+Projects!$D$18-1),Projects!$B$18/Projects!$D$18,"")</f>
      </c>
      <c r="BO19" s="584">
        <f>IF(AND(Projects!$C$18&lt;=BO$4,BO$4&lt;=Projects!$C$18+Projects!$D$18-1),Projects!$B$18/Projects!$D$18,"")</f>
      </c>
      <c r="BP19" s="584">
        <f>IF(AND(Projects!$C$18&lt;=BP$4,BP$4&lt;=Projects!$C$18+Projects!$D$18-1),Projects!$B$18/Projects!$D$18,"")</f>
      </c>
      <c r="BQ19" s="584">
        <f>IF(AND(Projects!$C$18&lt;=BQ$4,BQ$4&lt;=Projects!$C$18+Projects!$D$18-1),Projects!$B$18/Projects!$D$18,"")</f>
      </c>
      <c r="BR19" s="584">
        <f>IF(AND(Projects!$C$18&lt;=BR$4,BR$4&lt;=Projects!$C$18+Projects!$D$18-1),Projects!$B$18/Projects!$D$18,"")</f>
      </c>
      <c r="BS19" s="584">
        <f>IF(AND(Projects!$C$18&lt;=BS$4,BS$4&lt;=Projects!$C$18+Projects!$D$18-1),Projects!$B$18/Projects!$D$18,"")</f>
      </c>
      <c r="BT19" s="584">
        <f>IF(AND(Projects!$C$18&lt;=BT$4,BT$4&lt;=Projects!$C$18+Projects!$D$18-1),Projects!$B$18/Projects!$D$18,"")</f>
      </c>
      <c r="BU19" s="584">
        <f>IF(AND(Projects!$C$18&lt;=BU$4,BU$4&lt;=Projects!$C$18+Projects!$D$18-1),Projects!$B$18/Projects!$D$18,"")</f>
      </c>
      <c r="BV19" s="584">
        <f>IF(AND(Projects!$C$18&lt;=BV$4,BV$4&lt;=Projects!$C$18+Projects!$D$18-1),Projects!$B$18/Projects!$D$18,"")</f>
      </c>
      <c r="BW19" s="584">
        <f>IF(AND(Projects!$C$18&lt;=BW$4,BW$4&lt;=Projects!$C$18+Projects!$D$18-1),Projects!$B$18/Projects!$D$18,"")</f>
      </c>
      <c r="BX19" s="584">
        <f>IF(AND(Projects!$C$18&lt;=BX$4,BX$4&lt;=Projects!$C$18+Projects!$D$18-1),Projects!$B$18/Projects!$D$18,"")</f>
      </c>
      <c r="BY19" s="584">
        <f>IF(AND(Projects!$C$18&lt;=BY$4,BY$4&lt;=Projects!$C$18+Projects!$D$18-1),Projects!$B$18/Projects!$D$18,"")</f>
      </c>
      <c r="BZ19" s="584">
        <f>IF(AND(Projects!$C$18&lt;=BZ$4,BZ$4&lt;=Projects!$C$18+Projects!$D$18-1),Projects!$B$18/Projects!$D$18,"")</f>
      </c>
      <c r="CA19" s="584">
        <f>IF(AND(Projects!$C$18&lt;=CA$4,CA$4&lt;=Projects!$C$18+Projects!$D$18-1),Projects!$B$18/Projects!$D$18,"")</f>
      </c>
      <c r="CB19" s="584">
        <f>IF(AND(Projects!$C$18&lt;=CB$4,CB$4&lt;=Projects!$C$18+Projects!$D$18-1),Projects!$B$18/Projects!$D$18,"")</f>
      </c>
      <c r="CC19" s="584">
        <f>IF(AND(Projects!$C$18&lt;=CC$4,CC$4&lt;=Projects!$C$18+Projects!$D$18-1),Projects!$B$18/Projects!$D$18,"")</f>
      </c>
      <c r="CD19" s="584">
        <f>IF(AND(Projects!$C$18&lt;=CD$4,CD$4&lt;=Projects!$C$18+Projects!$D$18-1),Projects!$B$18/Projects!$D$18,"")</f>
      </c>
      <c r="CE19" s="584">
        <f>IF(AND(Projects!$C$18&lt;=CE$4,CE$4&lt;=Projects!$C$18+Projects!$D$18-1),Projects!$B$18/Projects!$D$18,"")</f>
      </c>
      <c r="CF19" s="584">
        <f>IF(AND(Projects!$C$18&lt;=CF$4,CF$4&lt;=Projects!$C$18+Projects!$D$18-1),Projects!$B$18/Projects!$D$18,"")</f>
      </c>
      <c r="CG19" s="584">
        <f>IF(AND(Projects!$C$18&lt;=CG$4,CG$4&lt;=Projects!$C$18+Projects!$D$18-1),Projects!$B$18/Projects!$D$18,"")</f>
      </c>
      <c r="CH19" s="584">
        <f>IF(AND(Projects!$C$18&lt;=CH$4,CH$4&lt;=Projects!$C$18+Projects!$D$18-1),Projects!$B$18/Projects!$D$18,"")</f>
      </c>
      <c r="CI19" s="584">
        <f>IF(AND(Projects!$C$18&lt;=CI$4,CI$4&lt;=Projects!$C$18+Projects!$D$18-1),Projects!$B$18/Projects!$D$18,"")</f>
      </c>
      <c r="CJ19" s="584">
        <f>IF(AND(Projects!$C$18&lt;=CJ$4,CJ$4&lt;=Projects!$C$18+Projects!$D$18-1),Projects!$B$18/Projects!$D$18,"")</f>
      </c>
      <c r="CK19" s="584">
        <f>IF(AND(Projects!$C$18&lt;=CK$4,CK$4&lt;=Projects!$C$18+Projects!$D$18-1),Projects!$B$18/Projects!$D$18,"")</f>
      </c>
      <c r="CL19" s="584">
        <f>IF(AND(Projects!$C$18&lt;=CL$4,CL$4&lt;=Projects!$C$18+Projects!$D$18-1),Projects!$B$18/Projects!$D$18,"")</f>
      </c>
      <c r="CM19" s="584">
        <f>IF(AND(Projects!$C$18&lt;=CM$4,CM$4&lt;=Projects!$C$18+Projects!$D$18-1),Projects!$B$18/Projects!$D$18,"")</f>
      </c>
      <c r="CN19" s="584">
        <f>IF(AND(Projects!$C$18&lt;=CN$4,CN$4&lt;=Projects!$C$18+Projects!$D$18-1),Projects!$B$18/Projects!$D$18,"")</f>
      </c>
      <c r="CO19" s="584">
        <f>IF(AND(Projects!$C$18&lt;=CO$4,CO$4&lt;=Projects!$C$18+Projects!$D$18-1),Projects!$B$18/Projects!$D$18,"")</f>
      </c>
      <c r="CP19" s="584">
        <f>IF(AND(Projects!$C$18&lt;=CP$4,CP$4&lt;=Projects!$C$18+Projects!$D$18-1),Projects!$B$18/Projects!$D$18,"")</f>
      </c>
      <c r="CQ19" s="584">
        <f>IF(AND(Projects!$C$18&lt;=CQ$4,CQ$4&lt;=Projects!$C$18+Projects!$D$18-1),Projects!$B$18/Projects!$D$18,"")</f>
      </c>
      <c r="CR19" s="584">
        <f>IF(AND(Projects!$C$18&lt;=CR$4,CR$4&lt;=Projects!$C$18+Projects!$D$18-1),Projects!$B$18/Projects!$D$18,"")</f>
      </c>
      <c r="CS19" s="584">
        <f>IF(AND(Projects!$C$18&lt;=CS$4,CS$4&lt;=Projects!$C$18+Projects!$D$18-1),Projects!$B$18/Projects!$D$18,"")</f>
      </c>
      <c r="CT19" s="584">
        <f>IF(AND(Projects!$C$18&lt;=CT$4,CT$4&lt;=Projects!$C$18+Projects!$D$18-1),Projects!$B$18/Projects!$D$18,"")</f>
      </c>
      <c r="CU19" s="584">
        <f>IF(AND(Projects!$C$18&lt;=CU$4,CU$4&lt;=Projects!$C$18+Projects!$D$18-1),Projects!$B$18/Projects!$D$18,"")</f>
      </c>
      <c r="CV19" s="584">
        <f>IF(AND(Projects!$C$18&lt;=CV$4,CV$4&lt;=Projects!$C$18+Projects!$D$18-1),Projects!$B$18/Projects!$D$18,"")</f>
      </c>
      <c r="CW19" s="584">
        <f>IF(AND(Projects!$C$18&lt;=CW$4,CW$4&lt;=Projects!$C$18+Projects!$D$18-1),Projects!$B$18/Projects!$D$18,"")</f>
      </c>
      <c r="CX19" s="584">
        <f>IF(AND(Projects!$C$18&lt;=CX$4,CX$4&lt;=Projects!$C$18+Projects!$D$18-1),Projects!$B$18/Projects!$D$18,"")</f>
      </c>
      <c r="CY19" s="584">
        <f>IF(AND(Projects!$C$18&lt;=CY$4,CY$4&lt;=Projects!$C$18+Projects!$D$18-1),Projects!$B$18/Projects!$D$18,"")</f>
      </c>
      <c r="CZ19" s="584">
        <f>IF(AND(Projects!$C$18&lt;=CZ$4,CZ$4&lt;=Projects!$C$18+Projects!$D$18-1),Projects!$B$18/Projects!$D$18,"")</f>
      </c>
      <c r="DA19" s="584">
        <f>IF(AND(Projects!$C$18&lt;=DA$4,DA$4&lt;=Projects!$C$18+Projects!$D$18-1),Projects!$B$18/Projects!$D$18,"")</f>
      </c>
      <c r="DB19" s="584">
        <f>IF(AND(Projects!$C$18&lt;=DB$4,DB$4&lt;=Projects!$C$18+Projects!$D$18-1),Projects!$B$18/Projects!$D$18,"")</f>
      </c>
    </row>
    <row r="20" ht="15" customFormat="1" customHeight="1" s="381">
      <c r="A20" s="513" t="inlineStr">
        <is>
          <t>Moorpark</t>
        </is>
      </c>
      <c r="B20" s="581">
        <f>Projects!$B$19</f>
        <v>18442769</v>
      </c>
      <c r="C20" s="582">
        <f>EDATE(Model!$E$2,Projects!$C$19-1)</f>
        <v>46569</v>
      </c>
      <c r="D20" s="582">
        <f>EDATE(Model!$E$2,Projects!$C$19+Projects!$D$19-2)</f>
        <v>47119</v>
      </c>
      <c r="E20" s="583">
        <f>Projects!$D$19</f>
        <v>19</v>
      </c>
      <c r="F20" s="581">
        <f>Projects!$B$19/Projects!$D$19</f>
        <v>970672.052631579</v>
      </c>
      <c r="G20" s="584">
        <f>IF(AND(Projects!$C$19&lt;=G$4,G$4&lt;=Projects!$C$19+Projects!$D$19-1),Projects!$B$19/Projects!$D$19,"")</f>
      </c>
      <c r="H20" s="584">
        <f>IF(AND(Projects!$C$19&lt;=H$4,H$4&lt;=Projects!$C$19+Projects!$D$19-1),Projects!$B$19/Projects!$D$19,"")</f>
      </c>
      <c r="I20" s="584">
        <f>IF(AND(Projects!$C$19&lt;=I$4,I$4&lt;=Projects!$C$19+Projects!$D$19-1),Projects!$B$19/Projects!$D$19,"")</f>
      </c>
      <c r="J20" s="584">
        <f>IF(AND(Projects!$C$19&lt;=J$4,J$4&lt;=Projects!$C$19+Projects!$D$19-1),Projects!$B$19/Projects!$D$19,"")</f>
      </c>
      <c r="K20" s="584">
        <f>IF(AND(Projects!$C$19&lt;=K$4,K$4&lt;=Projects!$C$19+Projects!$D$19-1),Projects!$B$19/Projects!$D$19,"")</f>
      </c>
      <c r="L20" s="584">
        <f>IF(AND(Projects!$C$19&lt;=L$4,L$4&lt;=Projects!$C$19+Projects!$D$19-1),Projects!$B$19/Projects!$D$19,"")</f>
      </c>
      <c r="M20" s="584">
        <f>IF(AND(Projects!$C$19&lt;=M$4,M$4&lt;=Projects!$C$19+Projects!$D$19-1),Projects!$B$19/Projects!$D$19,"")</f>
      </c>
      <c r="N20" s="584">
        <f>IF(AND(Projects!$C$19&lt;=N$4,N$4&lt;=Projects!$C$19+Projects!$D$19-1),Projects!$B$19/Projects!$D$19,"")</f>
      </c>
      <c r="O20" s="584">
        <f>IF(AND(Projects!$C$19&lt;=O$4,O$4&lt;=Projects!$C$19+Projects!$D$19-1),Projects!$B$19/Projects!$D$19,"")</f>
      </c>
      <c r="P20" s="584">
        <f>IF(AND(Projects!$C$19&lt;=P$4,P$4&lt;=Projects!$C$19+Projects!$D$19-1),Projects!$B$19/Projects!$D$19,"")</f>
      </c>
      <c r="Q20" s="584">
        <f>IF(AND(Projects!$C$19&lt;=Q$4,Q$4&lt;=Projects!$C$19+Projects!$D$19-1),Projects!$B$19/Projects!$D$19,"")</f>
      </c>
      <c r="R20" s="584">
        <f>IF(AND(Projects!$C$19&lt;=R$4,R$4&lt;=Projects!$C$19+Projects!$D$19-1),Projects!$B$19/Projects!$D$19,"")</f>
      </c>
      <c r="S20" s="584">
        <f>IF(AND(Projects!$C$19&lt;=S$4,S$4&lt;=Projects!$C$19+Projects!$D$19-1),Projects!$B$19/Projects!$D$19,"")</f>
      </c>
      <c r="T20" s="584">
        <f>IF(AND(Projects!$C$19&lt;=T$4,T$4&lt;=Projects!$C$19+Projects!$D$19-1),Projects!$B$19/Projects!$D$19,"")</f>
      </c>
      <c r="U20" s="584">
        <f>IF(AND(Projects!$C$19&lt;=U$4,U$4&lt;=Projects!$C$19+Projects!$D$19-1),Projects!$B$19/Projects!$D$19,"")</f>
      </c>
      <c r="V20" s="584">
        <f>IF(AND(Projects!$C$19&lt;=V$4,V$4&lt;=Projects!$C$19+Projects!$D$19-1),Projects!$B$19/Projects!$D$19,"")</f>
        <v>970672.052631579</v>
      </c>
      <c r="W20" s="584">
        <f>IF(AND(Projects!$C$19&lt;=W$4,W$4&lt;=Projects!$C$19+Projects!$D$19-1),Projects!$B$19/Projects!$D$19,"")</f>
        <v>970672.052631579</v>
      </c>
      <c r="X20" s="584">
        <f>IF(AND(Projects!$C$19&lt;=X$4,X$4&lt;=Projects!$C$19+Projects!$D$19-1),Projects!$B$19/Projects!$D$19,"")</f>
        <v>970672.052631579</v>
      </c>
      <c r="Y20" s="584">
        <f>IF(AND(Projects!$C$19&lt;=Y$4,Y$4&lt;=Projects!$C$19+Projects!$D$19-1),Projects!$B$19/Projects!$D$19,"")</f>
        <v>970672.052631579</v>
      </c>
      <c r="Z20" s="584">
        <f>IF(AND(Projects!$C$19&lt;=Z$4,Z$4&lt;=Projects!$C$19+Projects!$D$19-1),Projects!$B$19/Projects!$D$19,"")</f>
        <v>970672.052631579</v>
      </c>
      <c r="AA20" s="584">
        <f>IF(AND(Projects!$C$19&lt;=AA$4,AA$4&lt;=Projects!$C$19+Projects!$D$19-1),Projects!$B$19/Projects!$D$19,"")</f>
        <v>970672.052631579</v>
      </c>
      <c r="AB20" s="584">
        <f>IF(AND(Projects!$C$19&lt;=AB$4,AB$4&lt;=Projects!$C$19+Projects!$D$19-1),Projects!$B$19/Projects!$D$19,"")</f>
        <v>970672.052631579</v>
      </c>
      <c r="AC20" s="584">
        <f>IF(AND(Projects!$C$19&lt;=AC$4,AC$4&lt;=Projects!$C$19+Projects!$D$19-1),Projects!$B$19/Projects!$D$19,"")</f>
        <v>970672.052631579</v>
      </c>
      <c r="AD20" s="584">
        <f>IF(AND(Projects!$C$19&lt;=AD$4,AD$4&lt;=Projects!$C$19+Projects!$D$19-1),Projects!$B$19/Projects!$D$19,"")</f>
        <v>970672.052631579</v>
      </c>
      <c r="AE20" s="584">
        <f>IF(AND(Projects!$C$19&lt;=AE$4,AE$4&lt;=Projects!$C$19+Projects!$D$19-1),Projects!$B$19/Projects!$D$19,"")</f>
        <v>970672.052631579</v>
      </c>
      <c r="AF20" s="584">
        <f>IF(AND(Projects!$C$19&lt;=AF$4,AF$4&lt;=Projects!$C$19+Projects!$D$19-1),Projects!$B$19/Projects!$D$19,"")</f>
        <v>970672.052631579</v>
      </c>
      <c r="AG20" s="584">
        <f>IF(AND(Projects!$C$19&lt;=AG$4,AG$4&lt;=Projects!$C$19+Projects!$D$19-1),Projects!$B$19/Projects!$D$19,"")</f>
        <v>970672.052631579</v>
      </c>
      <c r="AH20" s="584">
        <f>IF(AND(Projects!$C$19&lt;=AH$4,AH$4&lt;=Projects!$C$19+Projects!$D$19-1),Projects!$B$19/Projects!$D$19,"")</f>
        <v>970672.052631579</v>
      </c>
      <c r="AI20" s="584">
        <f>IF(AND(Projects!$C$19&lt;=AI$4,AI$4&lt;=Projects!$C$19+Projects!$D$19-1),Projects!$B$19/Projects!$D$19,"")</f>
        <v>970672.052631579</v>
      </c>
      <c r="AJ20" s="584">
        <f>IF(AND(Projects!$C$19&lt;=AJ$4,AJ$4&lt;=Projects!$C$19+Projects!$D$19-1),Projects!$B$19/Projects!$D$19,"")</f>
        <v>970672.052631579</v>
      </c>
      <c r="AK20" s="584">
        <f>IF(AND(Projects!$C$19&lt;=AK$4,AK$4&lt;=Projects!$C$19+Projects!$D$19-1),Projects!$B$19/Projects!$D$19,"")</f>
        <v>970672.052631579</v>
      </c>
      <c r="AL20" s="584">
        <f>IF(AND(Projects!$C$19&lt;=AL$4,AL$4&lt;=Projects!$C$19+Projects!$D$19-1),Projects!$B$19/Projects!$D$19,"")</f>
        <v>970672.052631579</v>
      </c>
      <c r="AM20" s="584">
        <f>IF(AND(Projects!$C$19&lt;=AM$4,AM$4&lt;=Projects!$C$19+Projects!$D$19-1),Projects!$B$19/Projects!$D$19,"")</f>
        <v>970672.052631579</v>
      </c>
      <c r="AN20" s="584">
        <f>IF(AND(Projects!$C$19&lt;=AN$4,AN$4&lt;=Projects!$C$19+Projects!$D$19-1),Projects!$B$19/Projects!$D$19,"")</f>
        <v>970672.052631579</v>
      </c>
      <c r="AO20" s="584">
        <f>IF(AND(Projects!$C$19&lt;=AO$4,AO$4&lt;=Projects!$C$19+Projects!$D$19-1),Projects!$B$19/Projects!$D$19,"")</f>
      </c>
      <c r="AP20" s="584">
        <f>IF(AND(Projects!$C$19&lt;=AP$4,AP$4&lt;=Projects!$C$19+Projects!$D$19-1),Projects!$B$19/Projects!$D$19,"")</f>
      </c>
      <c r="AQ20" s="584">
        <f>IF(AND(Projects!$C$19&lt;=AQ$4,AQ$4&lt;=Projects!$C$19+Projects!$D$19-1),Projects!$B$19/Projects!$D$19,"")</f>
      </c>
      <c r="AR20" s="584">
        <f>IF(AND(Projects!$C$19&lt;=AR$4,AR$4&lt;=Projects!$C$19+Projects!$D$19-1),Projects!$B$19/Projects!$D$19,"")</f>
      </c>
      <c r="AS20" s="584">
        <f>IF(AND(Projects!$C$19&lt;=AS$4,AS$4&lt;=Projects!$C$19+Projects!$D$19-1),Projects!$B$19/Projects!$D$19,"")</f>
      </c>
      <c r="AT20" s="584">
        <f>IF(AND(Projects!$C$19&lt;=AT$4,AT$4&lt;=Projects!$C$19+Projects!$D$19-1),Projects!$B$19/Projects!$D$19,"")</f>
      </c>
      <c r="AU20" s="584">
        <f>IF(AND(Projects!$C$19&lt;=AU$4,AU$4&lt;=Projects!$C$19+Projects!$D$19-1),Projects!$B$19/Projects!$D$19,"")</f>
      </c>
      <c r="AV20" s="584">
        <f>IF(AND(Projects!$C$19&lt;=AV$4,AV$4&lt;=Projects!$C$19+Projects!$D$19-1),Projects!$B$19/Projects!$D$19,"")</f>
      </c>
      <c r="AW20" s="584">
        <f>IF(AND(Projects!$C$19&lt;=AW$4,AW$4&lt;=Projects!$C$19+Projects!$D$19-1),Projects!$B$19/Projects!$D$19,"")</f>
      </c>
      <c r="AX20" s="584">
        <f>IF(AND(Projects!$C$19&lt;=AX$4,AX$4&lt;=Projects!$C$19+Projects!$D$19-1),Projects!$B$19/Projects!$D$19,"")</f>
      </c>
      <c r="AY20" s="584">
        <f>IF(AND(Projects!$C$19&lt;=AY$4,AY$4&lt;=Projects!$C$19+Projects!$D$19-1),Projects!$B$19/Projects!$D$19,"")</f>
      </c>
      <c r="AZ20" s="584">
        <f>IF(AND(Projects!$C$19&lt;=AZ$4,AZ$4&lt;=Projects!$C$19+Projects!$D$19-1),Projects!$B$19/Projects!$D$19,"")</f>
      </c>
      <c r="BA20" s="584">
        <f>IF(AND(Projects!$C$19&lt;=BA$4,BA$4&lt;=Projects!$C$19+Projects!$D$19-1),Projects!$B$19/Projects!$D$19,"")</f>
      </c>
      <c r="BB20" s="584">
        <f>IF(AND(Projects!$C$19&lt;=BB$4,BB$4&lt;=Projects!$C$19+Projects!$D$19-1),Projects!$B$19/Projects!$D$19,"")</f>
      </c>
      <c r="BC20" s="584">
        <f>IF(AND(Projects!$C$19&lt;=BC$4,BC$4&lt;=Projects!$C$19+Projects!$D$19-1),Projects!$B$19/Projects!$D$19,"")</f>
      </c>
      <c r="BD20" s="584">
        <f>IF(AND(Projects!$C$19&lt;=BD$4,BD$4&lt;=Projects!$C$19+Projects!$D$19-1),Projects!$B$19/Projects!$D$19,"")</f>
      </c>
      <c r="BE20" s="584">
        <f>IF(AND(Projects!$C$19&lt;=BE$4,BE$4&lt;=Projects!$C$19+Projects!$D$19-1),Projects!$B$19/Projects!$D$19,"")</f>
      </c>
      <c r="BF20" s="584">
        <f>IF(AND(Projects!$C$19&lt;=BF$4,BF$4&lt;=Projects!$C$19+Projects!$D$19-1),Projects!$B$19/Projects!$D$19,"")</f>
      </c>
      <c r="BG20" s="584">
        <f>IF(AND(Projects!$C$19&lt;=BG$4,BG$4&lt;=Projects!$C$19+Projects!$D$19-1),Projects!$B$19/Projects!$D$19,"")</f>
      </c>
      <c r="BH20" s="584">
        <f>IF(AND(Projects!$C$19&lt;=BH$4,BH$4&lt;=Projects!$C$19+Projects!$D$19-1),Projects!$B$19/Projects!$D$19,"")</f>
      </c>
      <c r="BI20" s="584">
        <f>IF(AND(Projects!$C$19&lt;=BI$4,BI$4&lt;=Projects!$C$19+Projects!$D$19-1),Projects!$B$19/Projects!$D$19,"")</f>
      </c>
      <c r="BJ20" s="584">
        <f>IF(AND(Projects!$C$19&lt;=BJ$4,BJ$4&lt;=Projects!$C$19+Projects!$D$19-1),Projects!$B$19/Projects!$D$19,"")</f>
      </c>
      <c r="BK20" s="584">
        <f>IF(AND(Projects!$C$19&lt;=BK$4,BK$4&lt;=Projects!$C$19+Projects!$D$19-1),Projects!$B$19/Projects!$D$19,"")</f>
      </c>
      <c r="BL20" s="584">
        <f>IF(AND(Projects!$C$19&lt;=BL$4,BL$4&lt;=Projects!$C$19+Projects!$D$19-1),Projects!$B$19/Projects!$D$19,"")</f>
      </c>
      <c r="BM20" s="584">
        <f>IF(AND(Projects!$C$19&lt;=BM$4,BM$4&lt;=Projects!$C$19+Projects!$D$19-1),Projects!$B$19/Projects!$D$19,"")</f>
      </c>
      <c r="BN20" s="584">
        <f>IF(AND(Projects!$C$19&lt;=BN$4,BN$4&lt;=Projects!$C$19+Projects!$D$19-1),Projects!$B$19/Projects!$D$19,"")</f>
      </c>
      <c r="BO20" s="584">
        <f>IF(AND(Projects!$C$19&lt;=BO$4,BO$4&lt;=Projects!$C$19+Projects!$D$19-1),Projects!$B$19/Projects!$D$19,"")</f>
      </c>
      <c r="BP20" s="584">
        <f>IF(AND(Projects!$C$19&lt;=BP$4,BP$4&lt;=Projects!$C$19+Projects!$D$19-1),Projects!$B$19/Projects!$D$19,"")</f>
      </c>
      <c r="BQ20" s="584">
        <f>IF(AND(Projects!$C$19&lt;=BQ$4,BQ$4&lt;=Projects!$C$19+Projects!$D$19-1),Projects!$B$19/Projects!$D$19,"")</f>
      </c>
      <c r="BR20" s="584">
        <f>IF(AND(Projects!$C$19&lt;=BR$4,BR$4&lt;=Projects!$C$19+Projects!$D$19-1),Projects!$B$19/Projects!$D$19,"")</f>
      </c>
      <c r="BS20" s="584">
        <f>IF(AND(Projects!$C$19&lt;=BS$4,BS$4&lt;=Projects!$C$19+Projects!$D$19-1),Projects!$B$19/Projects!$D$19,"")</f>
      </c>
      <c r="BT20" s="584">
        <f>IF(AND(Projects!$C$19&lt;=BT$4,BT$4&lt;=Projects!$C$19+Projects!$D$19-1),Projects!$B$19/Projects!$D$19,"")</f>
      </c>
      <c r="BU20" s="584">
        <f>IF(AND(Projects!$C$19&lt;=BU$4,BU$4&lt;=Projects!$C$19+Projects!$D$19-1),Projects!$B$19/Projects!$D$19,"")</f>
      </c>
      <c r="BV20" s="584">
        <f>IF(AND(Projects!$C$19&lt;=BV$4,BV$4&lt;=Projects!$C$19+Projects!$D$19-1),Projects!$B$19/Projects!$D$19,"")</f>
      </c>
      <c r="BW20" s="584">
        <f>IF(AND(Projects!$C$19&lt;=BW$4,BW$4&lt;=Projects!$C$19+Projects!$D$19-1),Projects!$B$19/Projects!$D$19,"")</f>
      </c>
      <c r="BX20" s="584">
        <f>IF(AND(Projects!$C$19&lt;=BX$4,BX$4&lt;=Projects!$C$19+Projects!$D$19-1),Projects!$B$19/Projects!$D$19,"")</f>
      </c>
      <c r="BY20" s="584">
        <f>IF(AND(Projects!$C$19&lt;=BY$4,BY$4&lt;=Projects!$C$19+Projects!$D$19-1),Projects!$B$19/Projects!$D$19,"")</f>
      </c>
      <c r="BZ20" s="584">
        <f>IF(AND(Projects!$C$19&lt;=BZ$4,BZ$4&lt;=Projects!$C$19+Projects!$D$19-1),Projects!$B$19/Projects!$D$19,"")</f>
      </c>
      <c r="CA20" s="584">
        <f>IF(AND(Projects!$C$19&lt;=CA$4,CA$4&lt;=Projects!$C$19+Projects!$D$19-1),Projects!$B$19/Projects!$D$19,"")</f>
      </c>
      <c r="CB20" s="584">
        <f>IF(AND(Projects!$C$19&lt;=CB$4,CB$4&lt;=Projects!$C$19+Projects!$D$19-1),Projects!$B$19/Projects!$D$19,"")</f>
      </c>
      <c r="CC20" s="584">
        <f>IF(AND(Projects!$C$19&lt;=CC$4,CC$4&lt;=Projects!$C$19+Projects!$D$19-1),Projects!$B$19/Projects!$D$19,"")</f>
      </c>
      <c r="CD20" s="584">
        <f>IF(AND(Projects!$C$19&lt;=CD$4,CD$4&lt;=Projects!$C$19+Projects!$D$19-1),Projects!$B$19/Projects!$D$19,"")</f>
      </c>
      <c r="CE20" s="584">
        <f>IF(AND(Projects!$C$19&lt;=CE$4,CE$4&lt;=Projects!$C$19+Projects!$D$19-1),Projects!$B$19/Projects!$D$19,"")</f>
      </c>
      <c r="CF20" s="584">
        <f>IF(AND(Projects!$C$19&lt;=CF$4,CF$4&lt;=Projects!$C$19+Projects!$D$19-1),Projects!$B$19/Projects!$D$19,"")</f>
      </c>
      <c r="CG20" s="584">
        <f>IF(AND(Projects!$C$19&lt;=CG$4,CG$4&lt;=Projects!$C$19+Projects!$D$19-1),Projects!$B$19/Projects!$D$19,"")</f>
      </c>
      <c r="CH20" s="584">
        <f>IF(AND(Projects!$C$19&lt;=CH$4,CH$4&lt;=Projects!$C$19+Projects!$D$19-1),Projects!$B$19/Projects!$D$19,"")</f>
      </c>
      <c r="CI20" s="584">
        <f>IF(AND(Projects!$C$19&lt;=CI$4,CI$4&lt;=Projects!$C$19+Projects!$D$19-1),Projects!$B$19/Projects!$D$19,"")</f>
      </c>
      <c r="CJ20" s="584">
        <f>IF(AND(Projects!$C$19&lt;=CJ$4,CJ$4&lt;=Projects!$C$19+Projects!$D$19-1),Projects!$B$19/Projects!$D$19,"")</f>
      </c>
      <c r="CK20" s="584">
        <f>IF(AND(Projects!$C$19&lt;=CK$4,CK$4&lt;=Projects!$C$19+Projects!$D$19-1),Projects!$B$19/Projects!$D$19,"")</f>
      </c>
      <c r="CL20" s="584">
        <f>IF(AND(Projects!$C$19&lt;=CL$4,CL$4&lt;=Projects!$C$19+Projects!$D$19-1),Projects!$B$19/Projects!$D$19,"")</f>
      </c>
      <c r="CM20" s="584">
        <f>IF(AND(Projects!$C$19&lt;=CM$4,CM$4&lt;=Projects!$C$19+Projects!$D$19-1),Projects!$B$19/Projects!$D$19,"")</f>
      </c>
      <c r="CN20" s="584">
        <f>IF(AND(Projects!$C$19&lt;=CN$4,CN$4&lt;=Projects!$C$19+Projects!$D$19-1),Projects!$B$19/Projects!$D$19,"")</f>
      </c>
      <c r="CO20" s="584">
        <f>IF(AND(Projects!$C$19&lt;=CO$4,CO$4&lt;=Projects!$C$19+Projects!$D$19-1),Projects!$B$19/Projects!$D$19,"")</f>
      </c>
      <c r="CP20" s="584">
        <f>IF(AND(Projects!$C$19&lt;=CP$4,CP$4&lt;=Projects!$C$19+Projects!$D$19-1),Projects!$B$19/Projects!$D$19,"")</f>
      </c>
      <c r="CQ20" s="584">
        <f>IF(AND(Projects!$C$19&lt;=CQ$4,CQ$4&lt;=Projects!$C$19+Projects!$D$19-1),Projects!$B$19/Projects!$D$19,"")</f>
      </c>
      <c r="CR20" s="584">
        <f>IF(AND(Projects!$C$19&lt;=CR$4,CR$4&lt;=Projects!$C$19+Projects!$D$19-1),Projects!$B$19/Projects!$D$19,"")</f>
      </c>
      <c r="CS20" s="584">
        <f>IF(AND(Projects!$C$19&lt;=CS$4,CS$4&lt;=Projects!$C$19+Projects!$D$19-1),Projects!$B$19/Projects!$D$19,"")</f>
      </c>
      <c r="CT20" s="584">
        <f>IF(AND(Projects!$C$19&lt;=CT$4,CT$4&lt;=Projects!$C$19+Projects!$D$19-1),Projects!$B$19/Projects!$D$19,"")</f>
      </c>
      <c r="CU20" s="584">
        <f>IF(AND(Projects!$C$19&lt;=CU$4,CU$4&lt;=Projects!$C$19+Projects!$D$19-1),Projects!$B$19/Projects!$D$19,"")</f>
      </c>
      <c r="CV20" s="584">
        <f>IF(AND(Projects!$C$19&lt;=CV$4,CV$4&lt;=Projects!$C$19+Projects!$D$19-1),Projects!$B$19/Projects!$D$19,"")</f>
      </c>
      <c r="CW20" s="584">
        <f>IF(AND(Projects!$C$19&lt;=CW$4,CW$4&lt;=Projects!$C$19+Projects!$D$19-1),Projects!$B$19/Projects!$D$19,"")</f>
      </c>
      <c r="CX20" s="584">
        <f>IF(AND(Projects!$C$19&lt;=CX$4,CX$4&lt;=Projects!$C$19+Projects!$D$19-1),Projects!$B$19/Projects!$D$19,"")</f>
      </c>
      <c r="CY20" s="584">
        <f>IF(AND(Projects!$C$19&lt;=CY$4,CY$4&lt;=Projects!$C$19+Projects!$D$19-1),Projects!$B$19/Projects!$D$19,"")</f>
      </c>
      <c r="CZ20" s="584">
        <f>IF(AND(Projects!$C$19&lt;=CZ$4,CZ$4&lt;=Projects!$C$19+Projects!$D$19-1),Projects!$B$19/Projects!$D$19,"")</f>
      </c>
      <c r="DA20" s="584">
        <f>IF(AND(Projects!$C$19&lt;=DA$4,DA$4&lt;=Projects!$C$19+Projects!$D$19-1),Projects!$B$19/Projects!$D$19,"")</f>
      </c>
      <c r="DB20" s="584">
        <f>IF(AND(Projects!$C$19&lt;=DB$4,DB$4&lt;=Projects!$C$19+Projects!$D$19-1),Projects!$B$19/Projects!$D$19,"")</f>
      </c>
    </row>
    <row r="21" ht="15" customFormat="1" customHeight="1" s="381">
      <c r="A21" s="477" t="inlineStr">
        <is>
          <t>Committed: Monthly Billing In Place ($M)</t>
        </is>
      </c>
      <c r="G21" s="585">
        <f>SUM(G7:G20)+SUM(G24:G27)</f>
        <v>4099668.80942982</v>
      </c>
      <c r="H21" s="585">
        <f>SUM(H7:H20)+SUM(H24:H27)</f>
        <v>4099668.80942982</v>
      </c>
      <c r="I21" s="585">
        <f>SUM(I7:I20)+SUM(I24:I27)</f>
        <v>4099668.80942982</v>
      </c>
      <c r="J21" s="585">
        <f>SUM(J7:J20)+SUM(J24:J27)</f>
        <v>4099668.80942982</v>
      </c>
      <c r="K21" s="585">
        <f>SUM(K7:K20)+SUM(K24:K27)</f>
        <v>6687944.28609649</v>
      </c>
      <c r="L21" s="585">
        <f>SUM(L7:L20)+SUM(L24:L27)</f>
        <v>6687944.28609649</v>
      </c>
      <c r="M21" s="585">
        <f>SUM(M7:M20)+SUM(M24:M27)</f>
        <v>6687944.28609649</v>
      </c>
      <c r="N21" s="585">
        <f>SUM(N7:N20)+SUM(N24:N27)</f>
        <v>7573919.49442983</v>
      </c>
      <c r="O21" s="585">
        <f>SUM(O7:O20)+SUM(O24:O27)</f>
        <v>6683160.11942983</v>
      </c>
      <c r="P21" s="585">
        <f>SUM(P7:P20)+SUM(P24:P27)</f>
        <v>8383782.26416667</v>
      </c>
      <c r="Q21" s="585">
        <f>SUM(Q7:Q20)+SUM(Q24:Q27)</f>
        <v>8383782.26416667</v>
      </c>
      <c r="R21" s="585">
        <f>SUM(R7:R20)+SUM(R24:R27)</f>
        <v>8383782.26416667</v>
      </c>
      <c r="S21" s="585">
        <f>SUM(S7:S20)+SUM(S24:S27)</f>
        <v>8383782.26416667</v>
      </c>
      <c r="T21" s="585">
        <f>SUM(T7:T20)+SUM(T24:T27)</f>
        <v>10698780.6501316</v>
      </c>
      <c r="U21" s="585">
        <f>SUM(U7:U20)+SUM(U24:U27)</f>
        <v>11294432.4922368</v>
      </c>
      <c r="V21" s="585">
        <f>SUM(V7:V20)+SUM(V24:V27)</f>
        <v>10507920.2782018</v>
      </c>
      <c r="W21" s="585">
        <f>SUM(W7:W20)+SUM(W24:W27)</f>
        <v>9246892.21570176</v>
      </c>
      <c r="X21" s="585">
        <f>SUM(X7:X20)+SUM(X24:X27)</f>
        <v>9246892.21570176</v>
      </c>
      <c r="Y21" s="585">
        <f>SUM(Y7:Y20)+SUM(Y24:Y27)</f>
        <v>9246892.21570176</v>
      </c>
      <c r="Z21" s="585">
        <f>SUM(Z7:Z20)+SUM(Z24:Z27)</f>
        <v>10098958.8846053</v>
      </c>
      <c r="AA21" s="585">
        <f>SUM(AA7:AA20)+SUM(AA24:AA27)</f>
        <v>10098958.8846053</v>
      </c>
      <c r="AB21" s="585">
        <f>SUM(AB7:AB20)+SUM(AB24:AB27)</f>
        <v>10098958.8846053</v>
      </c>
      <c r="AC21" s="585">
        <f>SUM(AC7:AC20)+SUM(AC24:AC27)</f>
        <v>10098958.8846053</v>
      </c>
      <c r="AD21" s="585">
        <f>SUM(AD7:AD20)+SUM(AD24:AD27)</f>
        <v>9415075.93460526</v>
      </c>
      <c r="AE21" s="585">
        <f>SUM(AE7:AE20)+SUM(AE24:AE27)</f>
        <v>9415075.93460526</v>
      </c>
      <c r="AF21" s="585">
        <f>SUM(AF7:AF20)+SUM(AF24:AF27)</f>
        <v>9415075.93460526</v>
      </c>
      <c r="AG21" s="585">
        <f>SUM(AG7:AG20)+SUM(AG24:AG27)</f>
        <v>10793563.6679386</v>
      </c>
      <c r="AH21" s="585">
        <f>SUM(AH7:AH20)+SUM(AH24:AH27)</f>
        <v>10793563.6679386</v>
      </c>
      <c r="AI21" s="585">
        <f>SUM(AI7:AI20)+SUM(AI24:AI27)</f>
        <v>9092941.52320175</v>
      </c>
      <c r="AJ21" s="585">
        <f>SUM(AJ7:AJ20)+SUM(AJ24:AJ27)</f>
        <v>9092941.52320175</v>
      </c>
      <c r="AK21" s="585">
        <f>SUM(AK7:AK20)+SUM(AK24:AK27)</f>
        <v>9092941.52320175</v>
      </c>
      <c r="AL21" s="585">
        <f>SUM(AL7:AL20)+SUM(AL24:AL27)</f>
        <v>8206966.31486842</v>
      </c>
      <c r="AM21" s="585">
        <f>SUM(AM7:AM20)+SUM(AM24:AM27)</f>
        <v>7400860.26223684</v>
      </c>
      <c r="AN21" s="585">
        <f>SUM(AN7:AN20)+SUM(AN24:AN27)</f>
        <v>6805208.42013158</v>
      </c>
      <c r="AO21" s="585">
        <f>SUM(AO7:AO20)+SUM(AO24:AO27)</f>
        <v>3930143.84083333</v>
      </c>
      <c r="AP21" s="585">
        <f>SUM(AP7:AP20)+SUM(AP24:AP27)</f>
        <v>3930143.84083333</v>
      </c>
      <c r="AQ21" s="585">
        <f>SUM(AQ7:AQ20)+SUM(AQ24:AQ27)</f>
        <v>3930143.84083333</v>
      </c>
      <c r="AR21" s="585">
        <f>SUM(AR7:AR20)+SUM(AR24:AR27)</f>
        <v>3930143.84083333</v>
      </c>
      <c r="AS21" s="585">
        <f>SUM(AS7:AS20)+SUM(AS24:AS27)</f>
        <v>3930143.84083333</v>
      </c>
      <c r="AT21" s="585">
        <f>SUM(AT7:AT20)+SUM(AT24:AT27)</f>
        <v>3930143.84083333</v>
      </c>
      <c r="AU21" s="585">
        <f>SUM(AU7:AU20)+SUM(AU24:AU27)</f>
        <v>3930143.84083333</v>
      </c>
      <c r="AV21" s="585">
        <f>SUM(AV7:AV20)+SUM(AV24:AV27)</f>
        <v>3930143.84083333</v>
      </c>
      <c r="AW21" s="585">
        <f>SUM(AW7:AW20)+SUM(AW24:AW27)</f>
        <v>3930143.84083333</v>
      </c>
      <c r="AX21" s="585">
        <f>SUM(AX7:AX20)+SUM(AX24:AX27)</f>
        <v>1378487.73333333</v>
      </c>
      <c r="AY21" s="585">
        <f>SUM(AY7:AY20)+SUM(AY24:AY27)</f>
        <v>1378487.73333333</v>
      </c>
      <c r="AZ21" s="585">
        <f>SUM(AZ7:AZ20)+SUM(AZ24:AZ27)</f>
        <v>1378487.73333333</v>
      </c>
      <c r="BA21" s="585">
        <f>SUM(BA7:BA20)+SUM(BA24:BA27)</f>
        <v>1378487.73333333</v>
      </c>
      <c r="BB21" s="585">
        <f>SUM(BB7:BB20)+SUM(BB24:BB27)</f>
        <v>1378487.73333333</v>
      </c>
      <c r="BC21" s="585">
        <f>SUM(BC7:BC20)+SUM(BC24:BC27)</f>
        <v>1378487.73333333</v>
      </c>
      <c r="BD21" s="585">
        <f>SUM(BD7:BD20)+SUM(BD24:BD27)</f>
        <v>1378487.73333333</v>
      </c>
      <c r="BE21" s="585">
        <f>SUM(BE7:BE20)+SUM(BE24:BE27)</f>
        <v>1378487.73333333</v>
      </c>
      <c r="BF21" s="585">
        <f>SUM(BF7:BF20)+SUM(BF24:BF27)</f>
        <v>1378487.73333333</v>
      </c>
      <c r="BG21" s="585">
        <f>SUM(BG7:BG20)+SUM(BG24:BG27)</f>
        <v>1378487.73333333</v>
      </c>
      <c r="BH21" s="585">
        <f>SUM(BH7:BH20)+SUM(BH24:BH27)</f>
        <v>1378487.73333333</v>
      </c>
      <c r="BI21" s="585">
        <f>SUM(BI7:BI20)+SUM(BI24:BI27)</f>
        <v>1378487.73333333</v>
      </c>
      <c r="BJ21" s="585">
        <f>SUM(BJ7:BJ20)+SUM(BJ24:BJ27)</f>
        <v>1378487.73333333</v>
      </c>
      <c r="BK21" s="585">
        <f>SUM(BK7:BK20)+SUM(BK24:BK27)</f>
        <v>0</v>
      </c>
      <c r="BL21" s="585">
        <f>SUM(BL7:BL20)+SUM(BL24:BL27)</f>
        <v>0</v>
      </c>
      <c r="BM21" s="585">
        <f>SUM(BM7:BM20)+SUM(BM24:BM27)</f>
        <v>0</v>
      </c>
      <c r="BN21" s="585">
        <f>SUM(BN7:BN20)+SUM(BN24:BN27)</f>
        <v>0</v>
      </c>
      <c r="BO21" s="585">
        <f>SUM(BO7:BO20)+SUM(BO24:BO27)</f>
        <v>0</v>
      </c>
      <c r="BP21" s="585">
        <f>SUM(BP7:BP20)+SUM(BP24:BP27)</f>
        <v>0</v>
      </c>
      <c r="BQ21" s="585">
        <f>SUM(BQ7:BQ20)+SUM(BQ24:BQ27)</f>
        <v>0</v>
      </c>
      <c r="BR21" s="585">
        <f>SUM(BR7:BR20)+SUM(BR24:BR27)</f>
        <v>0</v>
      </c>
      <c r="BS21" s="585">
        <f>SUM(BS7:BS20)+SUM(BS24:BS27)</f>
        <v>0</v>
      </c>
      <c r="BT21" s="585">
        <f>SUM(BT7:BT20)+SUM(BT24:BT27)</f>
        <v>0</v>
      </c>
      <c r="BU21" s="585">
        <f>SUM(BU7:BU20)+SUM(BU24:BU27)</f>
        <v>0</v>
      </c>
      <c r="BV21" s="585">
        <f>SUM(BV7:BV20)+SUM(BV24:BV27)</f>
        <v>0</v>
      </c>
      <c r="BW21" s="585">
        <f>SUM(BW7:BW20)+SUM(BW24:BW27)</f>
        <v>0</v>
      </c>
      <c r="BX21" s="585">
        <f>SUM(BX7:BX20)+SUM(BX24:BX27)</f>
        <v>0</v>
      </c>
      <c r="BY21" s="585">
        <f>SUM(BY7:BY20)+SUM(BY24:BY27)</f>
        <v>0</v>
      </c>
      <c r="BZ21" s="585">
        <f>SUM(BZ7:BZ20)+SUM(BZ24:BZ27)</f>
        <v>0</v>
      </c>
      <c r="CA21" s="585">
        <f>SUM(CA7:CA20)+SUM(CA24:CA27)</f>
        <v>0</v>
      </c>
      <c r="CB21" s="585">
        <f>SUM(CB7:CB20)+SUM(CB24:CB27)</f>
        <v>0</v>
      </c>
      <c r="CC21" s="585">
        <f>SUM(CC7:CC20)+SUM(CC24:CC27)</f>
        <v>0</v>
      </c>
      <c r="CD21" s="585">
        <f>SUM(CD7:CD20)+SUM(CD24:CD27)</f>
        <v>0</v>
      </c>
      <c r="CE21" s="585">
        <f>SUM(CE7:CE20)+SUM(CE24:CE27)</f>
        <v>0</v>
      </c>
      <c r="CF21" s="585">
        <f>SUM(CF7:CF20)+SUM(CF24:CF27)</f>
        <v>0</v>
      </c>
      <c r="CG21" s="585">
        <f>SUM(CG7:CG20)+SUM(CG24:CG27)</f>
        <v>0</v>
      </c>
      <c r="CH21" s="585">
        <f>SUM(CH7:CH20)+SUM(CH24:CH27)</f>
        <v>0</v>
      </c>
      <c r="CI21" s="585">
        <f>SUM(CI7:CI20)+SUM(CI24:CI27)</f>
        <v>0</v>
      </c>
      <c r="CJ21" s="585">
        <f>SUM(CJ7:CJ20)+SUM(CJ24:CJ27)</f>
        <v>0</v>
      </c>
      <c r="CK21" s="585">
        <f>SUM(CK7:CK20)+SUM(CK24:CK27)</f>
        <v>0</v>
      </c>
      <c r="CL21" s="585">
        <f>SUM(CL7:CL20)+SUM(CL24:CL27)</f>
        <v>0</v>
      </c>
      <c r="CM21" s="585">
        <f>SUM(CM7:CM20)+SUM(CM24:CM27)</f>
        <v>0</v>
      </c>
      <c r="CN21" s="585">
        <f>SUM(CN7:CN20)+SUM(CN24:CN27)</f>
        <v>0</v>
      </c>
      <c r="CO21" s="585">
        <f>SUM(CO7:CO20)+SUM(CO24:CO27)</f>
        <v>0</v>
      </c>
      <c r="CP21" s="585">
        <f>SUM(CP7:CP20)+SUM(CP24:CP27)</f>
        <v>0</v>
      </c>
      <c r="CQ21" s="585">
        <f>SUM(CQ7:CQ20)+SUM(CQ24:CQ27)</f>
        <v>0</v>
      </c>
      <c r="CR21" s="585">
        <f>SUM(CR7:CR20)+SUM(CR24:CR27)</f>
        <v>0</v>
      </c>
      <c r="CS21" s="585">
        <f>SUM(CS7:CS20)+SUM(CS24:CS27)</f>
        <v>0</v>
      </c>
      <c r="CT21" s="585">
        <f>SUM(CT7:CT20)+SUM(CT24:CT27)</f>
        <v>0</v>
      </c>
      <c r="CU21" s="585">
        <f>SUM(CU7:CU20)+SUM(CU24:CU27)</f>
        <v>0</v>
      </c>
      <c r="CV21" s="585">
        <f>SUM(CV7:CV20)+SUM(CV24:CV27)</f>
        <v>0</v>
      </c>
      <c r="CW21" s="585">
        <f>SUM(CW7:CW20)+SUM(CW24:CW27)</f>
        <v>0</v>
      </c>
      <c r="CX21" s="585">
        <f>SUM(CX7:CX20)+SUM(CX24:CX27)</f>
        <v>0</v>
      </c>
      <c r="CY21" s="585">
        <f>SUM(CY7:CY20)+SUM(CY24:CY27)</f>
        <v>0</v>
      </c>
      <c r="CZ21" s="585">
        <f>SUM(CZ7:CZ20)+SUM(CZ24:CZ27)</f>
        <v>0</v>
      </c>
      <c r="DA21" s="585">
        <f>SUM(DA7:DA20)+SUM(DA24:DA27)</f>
        <v>0</v>
      </c>
      <c r="DB21" s="585">
        <f>SUM(DB7:DB20)+SUM(DB24:DB27)</f>
        <v>0</v>
      </c>
    </row>
    <row r="22" ht="15" customFormat="1" customHeight="1" s="381">
      <c r="A22" s="477" t="inlineStr">
        <is>
          <t>Committed: Jobs Active (#)</t>
        </is>
      </c>
      <c r="G22" s="586">
        <f>COUNT(G7:G20)+COUNT(G24:G27)</f>
        <v>5</v>
      </c>
      <c r="H22" s="586">
        <f>COUNT(H7:H20)+COUNT(H24:H27)</f>
        <v>5</v>
      </c>
      <c r="I22" s="586">
        <f>COUNT(I7:I20)+COUNT(I24:I27)</f>
        <v>5</v>
      </c>
      <c r="J22" s="586">
        <f>COUNT(J7:J20)+COUNT(J24:J27)</f>
        <v>5</v>
      </c>
      <c r="K22" s="586">
        <f>COUNT(K7:K20)+COUNT(K24:K27)</f>
        <v>8</v>
      </c>
      <c r="L22" s="586">
        <f>COUNT(L7:L20)+COUNT(L24:L27)</f>
        <v>8</v>
      </c>
      <c r="M22" s="586">
        <f>COUNT(M7:M20)+COUNT(M24:M27)</f>
        <v>8</v>
      </c>
      <c r="N22" s="586">
        <f>COUNT(N7:N20)+COUNT(N24:N27)</f>
        <v>9</v>
      </c>
      <c r="O22" s="586">
        <f>COUNT(O7:O20)+COUNT(O24:O27)</f>
        <v>8</v>
      </c>
      <c r="P22" s="586">
        <f>COUNT(P7:P20)+COUNT(P24:P27)</f>
        <v>11</v>
      </c>
      <c r="Q22" s="586">
        <f>COUNT(Q7:Q20)+COUNT(Q24:Q27)</f>
        <v>11</v>
      </c>
      <c r="R22" s="586">
        <f>COUNT(R7:R20)+COUNT(R24:R27)</f>
        <v>11</v>
      </c>
      <c r="S22" s="586">
        <f>COUNT(S7:S20)+COUNT(S24:S27)</f>
        <v>11</v>
      </c>
      <c r="T22" s="586">
        <f>COUNT(T7:T20)+COUNT(T24:T27)</f>
        <v>13</v>
      </c>
      <c r="U22" s="586">
        <f>COUNT(U7:U20)+COUNT(U24:U27)</f>
        <v>14</v>
      </c>
      <c r="V22" s="586">
        <f>COUNT(V7:V20)+COUNT(V24:V27)</f>
        <v>13</v>
      </c>
      <c r="W22" s="586">
        <f>COUNT(W7:W20)+COUNT(W24:W27)</f>
        <v>12</v>
      </c>
      <c r="X22" s="586">
        <f>COUNT(X7:X20)+COUNT(X24:X27)</f>
        <v>12</v>
      </c>
      <c r="Y22" s="586">
        <f>COUNT(Y7:Y20)+COUNT(Y24:Y27)</f>
        <v>12</v>
      </c>
      <c r="Z22" s="586">
        <f>COUNT(Z7:Z20)+COUNT(Z24:Z27)</f>
        <v>12</v>
      </c>
      <c r="AA22" s="586">
        <f>COUNT(AA7:AA20)+COUNT(AA24:AA27)</f>
        <v>12</v>
      </c>
      <c r="AB22" s="586">
        <f>COUNT(AB7:AB20)+COUNT(AB24:AB27)</f>
        <v>12</v>
      </c>
      <c r="AC22" s="586">
        <f>COUNT(AC7:AC20)+COUNT(AC24:AC27)</f>
        <v>12</v>
      </c>
      <c r="AD22" s="586">
        <f>COUNT(AD7:AD20)+COUNT(AD24:AD27)</f>
        <v>11</v>
      </c>
      <c r="AE22" s="586">
        <f>COUNT(AE7:AE20)+COUNT(AE24:AE27)</f>
        <v>11</v>
      </c>
      <c r="AF22" s="586">
        <f>COUNT(AF7:AF20)+COUNT(AF24:AF27)</f>
        <v>11</v>
      </c>
      <c r="AG22" s="586">
        <f>COUNT(AG7:AG20)+COUNT(AG24:AG27)</f>
        <v>12</v>
      </c>
      <c r="AH22" s="586">
        <f>COUNT(AH7:AH20)+COUNT(AH24:AH27)</f>
        <v>12</v>
      </c>
      <c r="AI22" s="586">
        <f>COUNT(AI7:AI20)+COUNT(AI24:AI27)</f>
        <v>9</v>
      </c>
      <c r="AJ22" s="586">
        <f>COUNT(AJ7:AJ20)+COUNT(AJ24:AJ27)</f>
        <v>9</v>
      </c>
      <c r="AK22" s="586">
        <f>COUNT(AK7:AK20)+COUNT(AK24:AK27)</f>
        <v>9</v>
      </c>
      <c r="AL22" s="586">
        <f>COUNT(AL7:AL20)+COUNT(AL24:AL27)</f>
        <v>8</v>
      </c>
      <c r="AM22" s="586">
        <f>COUNT(AM7:AM20)+COUNT(AM24:AM27)</f>
        <v>7</v>
      </c>
      <c r="AN22" s="586">
        <f>COUNT(AN7:AN20)+COUNT(AN24:AN27)</f>
        <v>6</v>
      </c>
      <c r="AO22" s="586">
        <f>COUNT(AO7:AO20)+COUNT(AO24:AO27)</f>
        <v>3</v>
      </c>
      <c r="AP22" s="586">
        <f>COUNT(AP7:AP20)+COUNT(AP24:AP27)</f>
        <v>3</v>
      </c>
      <c r="AQ22" s="586">
        <f>COUNT(AQ7:AQ20)+COUNT(AQ24:AQ27)</f>
        <v>3</v>
      </c>
      <c r="AR22" s="586">
        <f>COUNT(AR7:AR20)+COUNT(AR24:AR27)</f>
        <v>3</v>
      </c>
      <c r="AS22" s="586">
        <f>COUNT(AS7:AS20)+COUNT(AS24:AS27)</f>
        <v>3</v>
      </c>
      <c r="AT22" s="586">
        <f>COUNT(AT7:AT20)+COUNT(AT24:AT27)</f>
        <v>3</v>
      </c>
      <c r="AU22" s="586">
        <f>COUNT(AU7:AU20)+COUNT(AU24:AU27)</f>
        <v>3</v>
      </c>
      <c r="AV22" s="586">
        <f>COUNT(AV7:AV20)+COUNT(AV24:AV27)</f>
        <v>3</v>
      </c>
      <c r="AW22" s="586">
        <f>COUNT(AW7:AW20)+COUNT(AW24:AW27)</f>
        <v>3</v>
      </c>
      <c r="AX22" s="586">
        <f>COUNT(AX7:AX20)+COUNT(AX24:AX27)</f>
        <v>1</v>
      </c>
      <c r="AY22" s="586">
        <f>COUNT(AY7:AY20)+COUNT(AY24:AY27)</f>
        <v>1</v>
      </c>
      <c r="AZ22" s="586">
        <f>COUNT(AZ7:AZ20)+COUNT(AZ24:AZ27)</f>
        <v>1</v>
      </c>
      <c r="BA22" s="586">
        <f>COUNT(BA7:BA20)+COUNT(BA24:BA27)</f>
        <v>1</v>
      </c>
      <c r="BB22" s="586">
        <f>COUNT(BB7:BB20)+COUNT(BB24:BB27)</f>
        <v>1</v>
      </c>
      <c r="BC22" s="586">
        <f>COUNT(BC7:BC20)+COUNT(BC24:BC27)</f>
        <v>1</v>
      </c>
      <c r="BD22" s="586">
        <f>COUNT(BD7:BD20)+COUNT(BD24:BD27)</f>
        <v>1</v>
      </c>
      <c r="BE22" s="586">
        <f>COUNT(BE7:BE20)+COUNT(BE24:BE27)</f>
        <v>1</v>
      </c>
      <c r="BF22" s="586">
        <f>COUNT(BF7:BF20)+COUNT(BF24:BF27)</f>
        <v>1</v>
      </c>
      <c r="BG22" s="586">
        <f>COUNT(BG7:BG20)+COUNT(BG24:BG27)</f>
        <v>1</v>
      </c>
      <c r="BH22" s="586">
        <f>COUNT(BH7:BH20)+COUNT(BH24:BH27)</f>
        <v>1</v>
      </c>
      <c r="BI22" s="586">
        <f>COUNT(BI7:BI20)+COUNT(BI24:BI27)</f>
        <v>1</v>
      </c>
      <c r="BJ22" s="586">
        <f>COUNT(BJ7:BJ20)+COUNT(BJ24:BJ27)</f>
        <v>1</v>
      </c>
      <c r="BK22" s="586">
        <f>COUNT(BK7:BK20)+COUNT(BK24:BK27)</f>
        <v>0</v>
      </c>
      <c r="BL22" s="586">
        <f>COUNT(BL7:BL20)+COUNT(BL24:BL27)</f>
        <v>0</v>
      </c>
      <c r="BM22" s="586">
        <f>COUNT(BM7:BM20)+COUNT(BM24:BM27)</f>
        <v>0</v>
      </c>
      <c r="BN22" s="586">
        <f>COUNT(BN7:BN20)+COUNT(BN24:BN27)</f>
        <v>0</v>
      </c>
      <c r="BO22" s="586">
        <f>COUNT(BO7:BO20)+COUNT(BO24:BO27)</f>
        <v>0</v>
      </c>
      <c r="BP22" s="586">
        <f>COUNT(BP7:BP20)+COUNT(BP24:BP27)</f>
        <v>0</v>
      </c>
      <c r="BQ22" s="586">
        <f>COUNT(BQ7:BQ20)+COUNT(BQ24:BQ27)</f>
        <v>0</v>
      </c>
      <c r="BR22" s="586">
        <f>COUNT(BR7:BR20)+COUNT(BR24:BR27)</f>
        <v>0</v>
      </c>
      <c r="BS22" s="586">
        <f>COUNT(BS7:BS20)+COUNT(BS24:BS27)</f>
        <v>0</v>
      </c>
      <c r="BT22" s="586">
        <f>COUNT(BT7:BT20)+COUNT(BT24:BT27)</f>
        <v>0</v>
      </c>
      <c r="BU22" s="586">
        <f>COUNT(BU7:BU20)+COUNT(BU24:BU27)</f>
        <v>0</v>
      </c>
      <c r="BV22" s="586">
        <f>COUNT(BV7:BV20)+COUNT(BV24:BV27)</f>
        <v>0</v>
      </c>
      <c r="BW22" s="586">
        <f>COUNT(BW7:BW20)+COUNT(BW24:BW27)</f>
        <v>0</v>
      </c>
      <c r="BX22" s="586">
        <f>COUNT(BX7:BX20)+COUNT(BX24:BX27)</f>
        <v>0</v>
      </c>
      <c r="BY22" s="586">
        <f>COUNT(BY7:BY20)+COUNT(BY24:BY27)</f>
        <v>0</v>
      </c>
      <c r="BZ22" s="586">
        <f>COUNT(BZ7:BZ20)+COUNT(BZ24:BZ27)</f>
        <v>0</v>
      </c>
      <c r="CA22" s="586">
        <f>COUNT(CA7:CA20)+COUNT(CA24:CA27)</f>
        <v>0</v>
      </c>
      <c r="CB22" s="586">
        <f>COUNT(CB7:CB20)+COUNT(CB24:CB27)</f>
        <v>0</v>
      </c>
      <c r="CC22" s="586">
        <f>COUNT(CC7:CC20)+COUNT(CC24:CC27)</f>
        <v>0</v>
      </c>
      <c r="CD22" s="586">
        <f>COUNT(CD7:CD20)+COUNT(CD24:CD27)</f>
        <v>0</v>
      </c>
      <c r="CE22" s="586">
        <f>COUNT(CE7:CE20)+COUNT(CE24:CE27)</f>
        <v>0</v>
      </c>
      <c r="CF22" s="586">
        <f>COUNT(CF7:CF20)+COUNT(CF24:CF27)</f>
        <v>0</v>
      </c>
      <c r="CG22" s="586">
        <f>COUNT(CG7:CG20)+COUNT(CG24:CG27)</f>
        <v>0</v>
      </c>
      <c r="CH22" s="586">
        <f>COUNT(CH7:CH20)+COUNT(CH24:CH27)</f>
        <v>0</v>
      </c>
      <c r="CI22" s="586">
        <f>COUNT(CI7:CI20)+COUNT(CI24:CI27)</f>
        <v>0</v>
      </c>
      <c r="CJ22" s="586">
        <f>COUNT(CJ7:CJ20)+COUNT(CJ24:CJ27)</f>
        <v>0</v>
      </c>
      <c r="CK22" s="586">
        <f>COUNT(CK7:CK20)+COUNT(CK24:CK27)</f>
        <v>0</v>
      </c>
      <c r="CL22" s="586">
        <f>COUNT(CL7:CL20)+COUNT(CL24:CL27)</f>
        <v>0</v>
      </c>
      <c r="CM22" s="586">
        <f>COUNT(CM7:CM20)+COUNT(CM24:CM27)</f>
        <v>0</v>
      </c>
      <c r="CN22" s="586">
        <f>COUNT(CN7:CN20)+COUNT(CN24:CN27)</f>
        <v>0</v>
      </c>
      <c r="CO22" s="586">
        <f>COUNT(CO7:CO20)+COUNT(CO24:CO27)</f>
        <v>0</v>
      </c>
      <c r="CP22" s="586">
        <f>COUNT(CP7:CP20)+COUNT(CP24:CP27)</f>
        <v>0</v>
      </c>
      <c r="CQ22" s="586">
        <f>COUNT(CQ7:CQ20)+COUNT(CQ24:CQ27)</f>
        <v>0</v>
      </c>
      <c r="CR22" s="586">
        <f>COUNT(CR7:CR20)+COUNT(CR24:CR27)</f>
        <v>0</v>
      </c>
      <c r="CS22" s="586">
        <f>COUNT(CS7:CS20)+COUNT(CS24:CS27)</f>
        <v>0</v>
      </c>
      <c r="CT22" s="586">
        <f>COUNT(CT7:CT20)+COUNT(CT24:CT27)</f>
        <v>0</v>
      </c>
      <c r="CU22" s="586">
        <f>COUNT(CU7:CU20)+COUNT(CU24:CU27)</f>
        <v>0</v>
      </c>
      <c r="CV22" s="586">
        <f>COUNT(CV7:CV20)+COUNT(CV24:CV27)</f>
        <v>0</v>
      </c>
      <c r="CW22" s="586">
        <f>COUNT(CW7:CW20)+COUNT(CW24:CW27)</f>
        <v>0</v>
      </c>
      <c r="CX22" s="586">
        <f>COUNT(CX7:CX20)+COUNT(CX24:CX27)</f>
        <v>0</v>
      </c>
      <c r="CY22" s="586">
        <f>COUNT(CY7:CY20)+COUNT(CY24:CY27)</f>
        <v>0</v>
      </c>
      <c r="CZ22" s="586">
        <f>COUNT(CZ7:CZ20)+COUNT(CZ24:CZ27)</f>
        <v>0</v>
      </c>
      <c r="DA22" s="586">
        <f>COUNT(DA7:DA20)+COUNT(DA24:DA27)</f>
        <v>0</v>
      </c>
      <c r="DB22" s="586">
        <f>COUNT(DB7:DB20)+COUNT(DB24:DB27)</f>
        <v>0</v>
      </c>
    </row>
    <row r="23" ht="15" customFormat="1" customHeight="1" s="381">
      <c r="A23" s="511" t="inlineStr">
        <is>
          <t>COMMITTED (cont., rows 24-27: Klump, Scott, Beverly (BD-04), Troost)  —  PIPELINE (inactive BD deals) from row 28</t>
        </is>
      </c>
      <c r="B23" s="512" t="n"/>
      <c r="C23" s="512" t="n"/>
      <c r="D23" s="512" t="n"/>
      <c r="E23" s="512" t="n"/>
      <c r="F23" s="512" t="n"/>
      <c r="G23" s="512" t="n"/>
      <c r="H23" s="512" t="n"/>
      <c r="I23" s="512" t="n"/>
      <c r="J23" s="512" t="n"/>
      <c r="K23" s="512" t="n"/>
      <c r="L23" s="512" t="n"/>
      <c r="M23" s="512" t="n"/>
      <c r="N23" s="512" t="n"/>
      <c r="O23" s="512" t="n"/>
      <c r="P23" s="512" t="n"/>
      <c r="Q23" s="512" t="n"/>
      <c r="R23" s="512" t="n"/>
      <c r="S23" s="512" t="n"/>
      <c r="T23" s="512" t="n"/>
      <c r="U23" s="512" t="n"/>
      <c r="V23" s="512" t="n"/>
      <c r="W23" s="512" t="n"/>
      <c r="X23" s="512" t="n"/>
      <c r="Y23" s="512" t="n"/>
      <c r="Z23" s="512" t="n"/>
      <c r="AA23" s="512" t="n"/>
      <c r="AB23" s="512" t="n"/>
      <c r="AC23" s="512" t="n"/>
      <c r="AD23" s="512" t="n"/>
      <c r="AE23" s="512" t="n"/>
      <c r="AF23" s="512" t="n"/>
      <c r="AG23" s="512" t="n"/>
      <c r="AH23" s="512" t="n"/>
      <c r="AI23" s="512" t="n"/>
      <c r="AJ23" s="512" t="n"/>
      <c r="AK23" s="512" t="n"/>
      <c r="AL23" s="512" t="n"/>
      <c r="AM23" s="512" t="n"/>
      <c r="AN23" s="512" t="n"/>
      <c r="AO23" s="512" t="n"/>
      <c r="AP23" s="512" t="n"/>
      <c r="AQ23" s="512" t="n"/>
      <c r="AR23" s="512" t="n"/>
      <c r="AS23" s="512" t="n"/>
      <c r="AT23" s="512" t="n"/>
      <c r="AU23" s="512" t="n"/>
      <c r="AV23" s="512" t="n"/>
      <c r="AW23" s="512" t="n"/>
      <c r="AX23" s="512" t="n"/>
      <c r="AY23" s="512" t="n"/>
      <c r="AZ23" s="512" t="n"/>
      <c r="BA23" s="512" t="n"/>
      <c r="BB23" s="512" t="n"/>
      <c r="BC23" s="512" t="n"/>
      <c r="BD23" s="512" t="n"/>
      <c r="BE23" s="512" t="n"/>
      <c r="BF23" s="512" t="n"/>
      <c r="BG23" s="512" t="n"/>
      <c r="BH23" s="512" t="n"/>
      <c r="BI23" s="512" t="n"/>
      <c r="BJ23" s="512" t="n"/>
      <c r="BK23" s="512" t="n"/>
      <c r="BL23" s="512" t="n"/>
      <c r="BM23" s="512" t="n"/>
      <c r="BN23" s="512" t="n"/>
      <c r="BO23" s="512" t="n"/>
      <c r="BP23" s="512" t="n"/>
      <c r="BQ23" s="512" t="n"/>
      <c r="BR23" s="512" t="n"/>
      <c r="BS23" s="512" t="n"/>
      <c r="BT23" s="512" t="n"/>
      <c r="BU23" s="512" t="n"/>
      <c r="BV23" s="512" t="n"/>
      <c r="BW23" s="512" t="n"/>
      <c r="BX23" s="512" t="n"/>
      <c r="BY23" s="512" t="n"/>
      <c r="BZ23" s="512" t="n"/>
      <c r="CA23" s="512" t="n"/>
      <c r="CB23" s="512" t="n"/>
      <c r="CC23" s="512" t="n"/>
      <c r="CD23" s="512" t="n"/>
      <c r="CE23" s="512" t="n"/>
      <c r="CF23" s="512" t="n"/>
      <c r="CG23" s="512" t="n"/>
      <c r="CH23" s="512" t="n"/>
      <c r="CI23" s="512" t="n"/>
      <c r="CJ23" s="512" t="n"/>
      <c r="CK23" s="512" t="n"/>
      <c r="CL23" s="512" t="n"/>
      <c r="CM23" s="512" t="n"/>
      <c r="CN23" s="512" t="n"/>
      <c r="CO23" s="512" t="n"/>
      <c r="CP23" s="512" t="n"/>
      <c r="CQ23" s="512" t="n"/>
      <c r="CR23" s="512" t="n"/>
      <c r="CS23" s="512" t="n"/>
      <c r="CT23" s="512" t="n"/>
      <c r="CU23" s="512" t="n"/>
      <c r="CV23" s="512" t="n"/>
      <c r="CW23" s="512" t="n"/>
      <c r="CX23" s="512" t="n"/>
      <c r="CY23" s="512" t="n"/>
      <c r="CZ23" s="512" t="n"/>
      <c r="DA23" s="512" t="n"/>
      <c r="DB23" s="512" t="n"/>
    </row>
    <row r="24" ht="15" customFormat="1" customHeight="1" s="381">
      <c r="A24" s="513" t="inlineStr">
        <is>
          <t>Klump</t>
        </is>
      </c>
      <c r="B24" s="581">
        <f>Projects!$B$11</f>
        <v>9577109</v>
      </c>
      <c r="C24" s="582">
        <f>EDATE(Model!$E$2,Projects!$C$11-1)</f>
        <v>46388</v>
      </c>
      <c r="D24" s="582">
        <f>EDATE(Model!$E$2,Projects!$C$11+Projects!$D$11-2)</f>
        <v>46935</v>
      </c>
      <c r="E24" s="583">
        <f>Projects!$D$11</f>
        <v>19</v>
      </c>
      <c r="F24" s="581">
        <f>Projects!$B$11/Projects!$D$11</f>
        <v>504058.368421053</v>
      </c>
      <c r="G24" s="584">
        <f>IF(AND(Projects!$C$11&lt;=G$4,G$4&lt;=Projects!$C$11+Projects!$D$11-1),Projects!$B$11/Projects!$D$11,"")</f>
      </c>
      <c r="H24" s="584">
        <f>IF(AND(Projects!$C$11&lt;=H$4,H$4&lt;=Projects!$C$11+Projects!$D$11-1),Projects!$B$11/Projects!$D$11,"")</f>
      </c>
      <c r="I24" s="584">
        <f>IF(AND(Projects!$C$11&lt;=I$4,I$4&lt;=Projects!$C$11+Projects!$D$11-1),Projects!$B$11/Projects!$D$11,"")</f>
      </c>
      <c r="J24" s="584">
        <f>IF(AND(Projects!$C$11&lt;=J$4,J$4&lt;=Projects!$C$11+Projects!$D$11-1),Projects!$B$11/Projects!$D$11,"")</f>
      </c>
      <c r="K24" s="584">
        <f>IF(AND(Projects!$C$11&lt;=K$4,K$4&lt;=Projects!$C$11+Projects!$D$11-1),Projects!$B$11/Projects!$D$11,"")</f>
      </c>
      <c r="L24" s="584">
        <f>IF(AND(Projects!$C$11&lt;=L$4,L$4&lt;=Projects!$C$11+Projects!$D$11-1),Projects!$B$11/Projects!$D$11,"")</f>
      </c>
      <c r="M24" s="584">
        <f>IF(AND(Projects!$C$11&lt;=M$4,M$4&lt;=Projects!$C$11+Projects!$D$11-1),Projects!$B$11/Projects!$D$11,"")</f>
      </c>
      <c r="N24" s="584">
        <f>IF(AND(Projects!$C$11&lt;=N$4,N$4&lt;=Projects!$C$11+Projects!$D$11-1),Projects!$B$11/Projects!$D$11,"")</f>
      </c>
      <c r="O24" s="584">
        <f>IF(AND(Projects!$C$11&lt;=O$4,O$4&lt;=Projects!$C$11+Projects!$D$11-1),Projects!$B$11/Projects!$D$11,"")</f>
      </c>
      <c r="P24" s="584">
        <f>IF(AND(Projects!$C$11&lt;=P$4,P$4&lt;=Projects!$C$11+Projects!$D$11-1),Projects!$B$11/Projects!$D$11,"")</f>
        <v>504058.368421053</v>
      </c>
      <c r="Q24" s="584">
        <f>IF(AND(Projects!$C$11&lt;=Q$4,Q$4&lt;=Projects!$C$11+Projects!$D$11-1),Projects!$B$11/Projects!$D$11,"")</f>
        <v>504058.368421053</v>
      </c>
      <c r="R24" s="584">
        <f>IF(AND(Projects!$C$11&lt;=R$4,R$4&lt;=Projects!$C$11+Projects!$D$11-1),Projects!$B$11/Projects!$D$11,"")</f>
        <v>504058.368421053</v>
      </c>
      <c r="S24" s="584">
        <f>IF(AND(Projects!$C$11&lt;=S$4,S$4&lt;=Projects!$C$11+Projects!$D$11-1),Projects!$B$11/Projects!$D$11,"")</f>
        <v>504058.368421053</v>
      </c>
      <c r="T24" s="584">
        <f>IF(AND(Projects!$C$11&lt;=T$4,T$4&lt;=Projects!$C$11+Projects!$D$11-1),Projects!$B$11/Projects!$D$11,"")</f>
        <v>504058.368421053</v>
      </c>
      <c r="U24" s="584">
        <f>IF(AND(Projects!$C$11&lt;=U$4,U$4&lt;=Projects!$C$11+Projects!$D$11-1),Projects!$B$11/Projects!$D$11,"")</f>
        <v>504058.368421053</v>
      </c>
      <c r="V24" s="584">
        <f>IF(AND(Projects!$C$11&lt;=V$4,V$4&lt;=Projects!$C$11+Projects!$D$11-1),Projects!$B$11/Projects!$D$11,"")</f>
        <v>504058.368421053</v>
      </c>
      <c r="W24" s="584">
        <f>IF(AND(Projects!$C$11&lt;=W$4,W$4&lt;=Projects!$C$11+Projects!$D$11-1),Projects!$B$11/Projects!$D$11,"")</f>
        <v>504058.368421053</v>
      </c>
      <c r="X24" s="584">
        <f>IF(AND(Projects!$C$11&lt;=X$4,X$4&lt;=Projects!$C$11+Projects!$D$11-1),Projects!$B$11/Projects!$D$11,"")</f>
        <v>504058.368421053</v>
      </c>
      <c r="Y24" s="584">
        <f>IF(AND(Projects!$C$11&lt;=Y$4,Y$4&lt;=Projects!$C$11+Projects!$D$11-1),Projects!$B$11/Projects!$D$11,"")</f>
        <v>504058.368421053</v>
      </c>
      <c r="Z24" s="584">
        <f>IF(AND(Projects!$C$11&lt;=Z$4,Z$4&lt;=Projects!$C$11+Projects!$D$11-1),Projects!$B$11/Projects!$D$11,"")</f>
        <v>504058.368421053</v>
      </c>
      <c r="AA24" s="584">
        <f>IF(AND(Projects!$C$11&lt;=AA$4,AA$4&lt;=Projects!$C$11+Projects!$D$11-1),Projects!$B$11/Projects!$D$11,"")</f>
        <v>504058.368421053</v>
      </c>
      <c r="AB24" s="584">
        <f>IF(AND(Projects!$C$11&lt;=AB$4,AB$4&lt;=Projects!$C$11+Projects!$D$11-1),Projects!$B$11/Projects!$D$11,"")</f>
        <v>504058.368421053</v>
      </c>
      <c r="AC24" s="584">
        <f>IF(AND(Projects!$C$11&lt;=AC$4,AC$4&lt;=Projects!$C$11+Projects!$D$11-1),Projects!$B$11/Projects!$D$11,"")</f>
        <v>504058.368421053</v>
      </c>
      <c r="AD24" s="584">
        <f>IF(AND(Projects!$C$11&lt;=AD$4,AD$4&lt;=Projects!$C$11+Projects!$D$11-1),Projects!$B$11/Projects!$D$11,"")</f>
        <v>504058.368421053</v>
      </c>
      <c r="AE24" s="584">
        <f>IF(AND(Projects!$C$11&lt;=AE$4,AE$4&lt;=Projects!$C$11+Projects!$D$11-1),Projects!$B$11/Projects!$D$11,"")</f>
        <v>504058.368421053</v>
      </c>
      <c r="AF24" s="584">
        <f>IF(AND(Projects!$C$11&lt;=AF$4,AF$4&lt;=Projects!$C$11+Projects!$D$11-1),Projects!$B$11/Projects!$D$11,"")</f>
        <v>504058.368421053</v>
      </c>
      <c r="AG24" s="584">
        <f>IF(AND(Projects!$C$11&lt;=AG$4,AG$4&lt;=Projects!$C$11+Projects!$D$11-1),Projects!$B$11/Projects!$D$11,"")</f>
        <v>504058.368421053</v>
      </c>
      <c r="AH24" s="584">
        <f>IF(AND(Projects!$C$11&lt;=AH$4,AH$4&lt;=Projects!$C$11+Projects!$D$11-1),Projects!$B$11/Projects!$D$11,"")</f>
        <v>504058.368421053</v>
      </c>
      <c r="AI24" s="584">
        <f>IF(AND(Projects!$C$11&lt;=AI$4,AI$4&lt;=Projects!$C$11+Projects!$D$11-1),Projects!$B$11/Projects!$D$11,"")</f>
      </c>
      <c r="AJ24" s="584">
        <f>IF(AND(Projects!$C$11&lt;=AJ$4,AJ$4&lt;=Projects!$C$11+Projects!$D$11-1),Projects!$B$11/Projects!$D$11,"")</f>
      </c>
      <c r="AK24" s="584">
        <f>IF(AND(Projects!$C$11&lt;=AK$4,AK$4&lt;=Projects!$C$11+Projects!$D$11-1),Projects!$B$11/Projects!$D$11,"")</f>
      </c>
      <c r="AL24" s="584">
        <f>IF(AND(Projects!$C$11&lt;=AL$4,AL$4&lt;=Projects!$C$11+Projects!$D$11-1),Projects!$B$11/Projects!$D$11,"")</f>
      </c>
      <c r="AM24" s="584">
        <f>IF(AND(Projects!$C$11&lt;=AM$4,AM$4&lt;=Projects!$C$11+Projects!$D$11-1),Projects!$B$11/Projects!$D$11,"")</f>
      </c>
      <c r="AN24" s="584">
        <f>IF(AND(Projects!$C$11&lt;=AN$4,AN$4&lt;=Projects!$C$11+Projects!$D$11-1),Projects!$B$11/Projects!$D$11,"")</f>
      </c>
      <c r="AO24" s="584">
        <f>IF(AND(Projects!$C$11&lt;=AO$4,AO$4&lt;=Projects!$C$11+Projects!$D$11-1),Projects!$B$11/Projects!$D$11,"")</f>
      </c>
      <c r="AP24" s="584">
        <f>IF(AND(Projects!$C$11&lt;=AP$4,AP$4&lt;=Projects!$C$11+Projects!$D$11-1),Projects!$B$11/Projects!$D$11,"")</f>
      </c>
      <c r="AQ24" s="584">
        <f>IF(AND(Projects!$C$11&lt;=AQ$4,AQ$4&lt;=Projects!$C$11+Projects!$D$11-1),Projects!$B$11/Projects!$D$11,"")</f>
      </c>
      <c r="AR24" s="584">
        <f>IF(AND(Projects!$C$11&lt;=AR$4,AR$4&lt;=Projects!$C$11+Projects!$D$11-1),Projects!$B$11/Projects!$D$11,"")</f>
      </c>
      <c r="AS24" s="584">
        <f>IF(AND(Projects!$C$11&lt;=AS$4,AS$4&lt;=Projects!$C$11+Projects!$D$11-1),Projects!$B$11/Projects!$D$11,"")</f>
      </c>
      <c r="AT24" s="584">
        <f>IF(AND(Projects!$C$11&lt;=AT$4,AT$4&lt;=Projects!$C$11+Projects!$D$11-1),Projects!$B$11/Projects!$D$11,"")</f>
      </c>
      <c r="AU24" s="584">
        <f>IF(AND(Projects!$C$11&lt;=AU$4,AU$4&lt;=Projects!$C$11+Projects!$D$11-1),Projects!$B$11/Projects!$D$11,"")</f>
      </c>
      <c r="AV24" s="584">
        <f>IF(AND(Projects!$C$11&lt;=AV$4,AV$4&lt;=Projects!$C$11+Projects!$D$11-1),Projects!$B$11/Projects!$D$11,"")</f>
      </c>
      <c r="AW24" s="584">
        <f>IF(AND(Projects!$C$11&lt;=AW$4,AW$4&lt;=Projects!$C$11+Projects!$D$11-1),Projects!$B$11/Projects!$D$11,"")</f>
      </c>
      <c r="AX24" s="584">
        <f>IF(AND(Projects!$C$11&lt;=AX$4,AX$4&lt;=Projects!$C$11+Projects!$D$11-1),Projects!$B$11/Projects!$D$11,"")</f>
      </c>
      <c r="AY24" s="584">
        <f>IF(AND(Projects!$C$11&lt;=AY$4,AY$4&lt;=Projects!$C$11+Projects!$D$11-1),Projects!$B$11/Projects!$D$11,"")</f>
      </c>
      <c r="AZ24" s="584">
        <f>IF(AND(Projects!$C$11&lt;=AZ$4,AZ$4&lt;=Projects!$C$11+Projects!$D$11-1),Projects!$B$11/Projects!$D$11,"")</f>
      </c>
      <c r="BA24" s="584">
        <f>IF(AND(Projects!$C$11&lt;=BA$4,BA$4&lt;=Projects!$C$11+Projects!$D$11-1),Projects!$B$11/Projects!$D$11,"")</f>
      </c>
      <c r="BB24" s="584">
        <f>IF(AND(Projects!$C$11&lt;=BB$4,BB$4&lt;=Projects!$C$11+Projects!$D$11-1),Projects!$B$11/Projects!$D$11,"")</f>
      </c>
      <c r="BC24" s="584">
        <f>IF(AND(Projects!$C$11&lt;=BC$4,BC$4&lt;=Projects!$C$11+Projects!$D$11-1),Projects!$B$11/Projects!$D$11,"")</f>
      </c>
      <c r="BD24" s="584">
        <f>IF(AND(Projects!$C$11&lt;=BD$4,BD$4&lt;=Projects!$C$11+Projects!$D$11-1),Projects!$B$11/Projects!$D$11,"")</f>
      </c>
      <c r="BE24" s="584">
        <f>IF(AND(Projects!$C$11&lt;=BE$4,BE$4&lt;=Projects!$C$11+Projects!$D$11-1),Projects!$B$11/Projects!$D$11,"")</f>
      </c>
      <c r="BF24" s="584">
        <f>IF(AND(Projects!$C$11&lt;=BF$4,BF$4&lt;=Projects!$C$11+Projects!$D$11-1),Projects!$B$11/Projects!$D$11,"")</f>
      </c>
      <c r="BG24" s="584">
        <f>IF(AND(Projects!$C$11&lt;=BG$4,BG$4&lt;=Projects!$C$11+Projects!$D$11-1),Projects!$B$11/Projects!$D$11,"")</f>
      </c>
      <c r="BH24" s="584">
        <f>IF(AND(Projects!$C$11&lt;=BH$4,BH$4&lt;=Projects!$C$11+Projects!$D$11-1),Projects!$B$11/Projects!$D$11,"")</f>
      </c>
      <c r="BI24" s="584">
        <f>IF(AND(Projects!$C$11&lt;=BI$4,BI$4&lt;=Projects!$C$11+Projects!$D$11-1),Projects!$B$11/Projects!$D$11,"")</f>
      </c>
      <c r="BJ24" s="584">
        <f>IF(AND(Projects!$C$11&lt;=BJ$4,BJ$4&lt;=Projects!$C$11+Projects!$D$11-1),Projects!$B$11/Projects!$D$11,"")</f>
      </c>
      <c r="BK24" s="584">
        <f>IF(AND(Projects!$C$11&lt;=BK$4,BK$4&lt;=Projects!$C$11+Projects!$D$11-1),Projects!$B$11/Projects!$D$11,"")</f>
      </c>
      <c r="BL24" s="584">
        <f>IF(AND(Projects!$C$11&lt;=BL$4,BL$4&lt;=Projects!$C$11+Projects!$D$11-1),Projects!$B$11/Projects!$D$11,"")</f>
      </c>
      <c r="BM24" s="584">
        <f>IF(AND(Projects!$C$11&lt;=BM$4,BM$4&lt;=Projects!$C$11+Projects!$D$11-1),Projects!$B$11/Projects!$D$11,"")</f>
      </c>
      <c r="BN24" s="584">
        <f>IF(AND(Projects!$C$11&lt;=BN$4,BN$4&lt;=Projects!$C$11+Projects!$D$11-1),Projects!$B$11/Projects!$D$11,"")</f>
      </c>
      <c r="BO24" s="584">
        <f>IF(AND(Projects!$C$11&lt;=BO$4,BO$4&lt;=Projects!$C$11+Projects!$D$11-1),Projects!$B$11/Projects!$D$11,"")</f>
      </c>
      <c r="BP24" s="584">
        <f>IF(AND(Projects!$C$11&lt;=BP$4,BP$4&lt;=Projects!$C$11+Projects!$D$11-1),Projects!$B$11/Projects!$D$11,"")</f>
      </c>
      <c r="BQ24" s="584">
        <f>IF(AND(Projects!$C$11&lt;=BQ$4,BQ$4&lt;=Projects!$C$11+Projects!$D$11-1),Projects!$B$11/Projects!$D$11,"")</f>
      </c>
      <c r="BR24" s="584">
        <f>IF(AND(Projects!$C$11&lt;=BR$4,BR$4&lt;=Projects!$C$11+Projects!$D$11-1),Projects!$B$11/Projects!$D$11,"")</f>
      </c>
      <c r="BS24" s="584">
        <f>IF(AND(Projects!$C$11&lt;=BS$4,BS$4&lt;=Projects!$C$11+Projects!$D$11-1),Projects!$B$11/Projects!$D$11,"")</f>
      </c>
      <c r="BT24" s="584">
        <f>IF(AND(Projects!$C$11&lt;=BT$4,BT$4&lt;=Projects!$C$11+Projects!$D$11-1),Projects!$B$11/Projects!$D$11,"")</f>
      </c>
      <c r="BU24" s="584">
        <f>IF(AND(Projects!$C$11&lt;=BU$4,BU$4&lt;=Projects!$C$11+Projects!$D$11-1),Projects!$B$11/Projects!$D$11,"")</f>
      </c>
      <c r="BV24" s="584">
        <f>IF(AND(Projects!$C$11&lt;=BV$4,BV$4&lt;=Projects!$C$11+Projects!$D$11-1),Projects!$B$11/Projects!$D$11,"")</f>
      </c>
      <c r="BW24" s="584">
        <f>IF(AND(Projects!$C$11&lt;=BW$4,BW$4&lt;=Projects!$C$11+Projects!$D$11-1),Projects!$B$11/Projects!$D$11,"")</f>
      </c>
      <c r="BX24" s="584">
        <f>IF(AND(Projects!$C$11&lt;=BX$4,BX$4&lt;=Projects!$C$11+Projects!$D$11-1),Projects!$B$11/Projects!$D$11,"")</f>
      </c>
      <c r="BY24" s="584">
        <f>IF(AND(Projects!$C$11&lt;=BY$4,BY$4&lt;=Projects!$C$11+Projects!$D$11-1),Projects!$B$11/Projects!$D$11,"")</f>
      </c>
      <c r="BZ24" s="584">
        <f>IF(AND(Projects!$C$11&lt;=BZ$4,BZ$4&lt;=Projects!$C$11+Projects!$D$11-1),Projects!$B$11/Projects!$D$11,"")</f>
      </c>
      <c r="CA24" s="584">
        <f>IF(AND(Projects!$C$11&lt;=CA$4,CA$4&lt;=Projects!$C$11+Projects!$D$11-1),Projects!$B$11/Projects!$D$11,"")</f>
      </c>
      <c r="CB24" s="584">
        <f>IF(AND(Projects!$C$11&lt;=CB$4,CB$4&lt;=Projects!$C$11+Projects!$D$11-1),Projects!$B$11/Projects!$D$11,"")</f>
      </c>
      <c r="CC24" s="584">
        <f>IF(AND(Projects!$C$11&lt;=CC$4,CC$4&lt;=Projects!$C$11+Projects!$D$11-1),Projects!$B$11/Projects!$D$11,"")</f>
      </c>
      <c r="CD24" s="584">
        <f>IF(AND(Projects!$C$11&lt;=CD$4,CD$4&lt;=Projects!$C$11+Projects!$D$11-1),Projects!$B$11/Projects!$D$11,"")</f>
      </c>
      <c r="CE24" s="584">
        <f>IF(AND(Projects!$C$11&lt;=CE$4,CE$4&lt;=Projects!$C$11+Projects!$D$11-1),Projects!$B$11/Projects!$D$11,"")</f>
      </c>
      <c r="CF24" s="584">
        <f>IF(AND(Projects!$C$11&lt;=CF$4,CF$4&lt;=Projects!$C$11+Projects!$D$11-1),Projects!$B$11/Projects!$D$11,"")</f>
      </c>
      <c r="CG24" s="584">
        <f>IF(AND(Projects!$C$11&lt;=CG$4,CG$4&lt;=Projects!$C$11+Projects!$D$11-1),Projects!$B$11/Projects!$D$11,"")</f>
      </c>
      <c r="CH24" s="584">
        <f>IF(AND(Projects!$C$11&lt;=CH$4,CH$4&lt;=Projects!$C$11+Projects!$D$11-1),Projects!$B$11/Projects!$D$11,"")</f>
      </c>
      <c r="CI24" s="584">
        <f>IF(AND(Projects!$C$11&lt;=CI$4,CI$4&lt;=Projects!$C$11+Projects!$D$11-1),Projects!$B$11/Projects!$D$11,"")</f>
      </c>
      <c r="CJ24" s="584">
        <f>IF(AND(Projects!$C$11&lt;=CJ$4,CJ$4&lt;=Projects!$C$11+Projects!$D$11-1),Projects!$B$11/Projects!$D$11,"")</f>
      </c>
      <c r="CK24" s="584">
        <f>IF(AND(Projects!$C$11&lt;=CK$4,CK$4&lt;=Projects!$C$11+Projects!$D$11-1),Projects!$B$11/Projects!$D$11,"")</f>
      </c>
      <c r="CL24" s="584">
        <f>IF(AND(Projects!$C$11&lt;=CL$4,CL$4&lt;=Projects!$C$11+Projects!$D$11-1),Projects!$B$11/Projects!$D$11,"")</f>
      </c>
      <c r="CM24" s="584">
        <f>IF(AND(Projects!$C$11&lt;=CM$4,CM$4&lt;=Projects!$C$11+Projects!$D$11-1),Projects!$B$11/Projects!$D$11,"")</f>
      </c>
      <c r="CN24" s="584">
        <f>IF(AND(Projects!$C$11&lt;=CN$4,CN$4&lt;=Projects!$C$11+Projects!$D$11-1),Projects!$B$11/Projects!$D$11,"")</f>
      </c>
      <c r="CO24" s="584">
        <f>IF(AND(Projects!$C$11&lt;=CO$4,CO$4&lt;=Projects!$C$11+Projects!$D$11-1),Projects!$B$11/Projects!$D$11,"")</f>
      </c>
      <c r="CP24" s="584">
        <f>IF(AND(Projects!$C$11&lt;=CP$4,CP$4&lt;=Projects!$C$11+Projects!$D$11-1),Projects!$B$11/Projects!$D$11,"")</f>
      </c>
      <c r="CQ24" s="584">
        <f>IF(AND(Projects!$C$11&lt;=CQ$4,CQ$4&lt;=Projects!$C$11+Projects!$D$11-1),Projects!$B$11/Projects!$D$11,"")</f>
      </c>
      <c r="CR24" s="584">
        <f>IF(AND(Projects!$C$11&lt;=CR$4,CR$4&lt;=Projects!$C$11+Projects!$D$11-1),Projects!$B$11/Projects!$D$11,"")</f>
      </c>
      <c r="CS24" s="584">
        <f>IF(AND(Projects!$C$11&lt;=CS$4,CS$4&lt;=Projects!$C$11+Projects!$D$11-1),Projects!$B$11/Projects!$D$11,"")</f>
      </c>
      <c r="CT24" s="584">
        <f>IF(AND(Projects!$C$11&lt;=CT$4,CT$4&lt;=Projects!$C$11+Projects!$D$11-1),Projects!$B$11/Projects!$D$11,"")</f>
      </c>
      <c r="CU24" s="584">
        <f>IF(AND(Projects!$C$11&lt;=CU$4,CU$4&lt;=Projects!$C$11+Projects!$D$11-1),Projects!$B$11/Projects!$D$11,"")</f>
      </c>
      <c r="CV24" s="584">
        <f>IF(AND(Projects!$C$11&lt;=CV$4,CV$4&lt;=Projects!$C$11+Projects!$D$11-1),Projects!$B$11/Projects!$D$11,"")</f>
      </c>
      <c r="CW24" s="584">
        <f>IF(AND(Projects!$C$11&lt;=CW$4,CW$4&lt;=Projects!$C$11+Projects!$D$11-1),Projects!$B$11/Projects!$D$11,"")</f>
      </c>
      <c r="CX24" s="584">
        <f>IF(AND(Projects!$C$11&lt;=CX$4,CX$4&lt;=Projects!$C$11+Projects!$D$11-1),Projects!$B$11/Projects!$D$11,"")</f>
      </c>
      <c r="CY24" s="584">
        <f>IF(AND(Projects!$C$11&lt;=CY$4,CY$4&lt;=Projects!$C$11+Projects!$D$11-1),Projects!$B$11/Projects!$D$11,"")</f>
      </c>
      <c r="CZ24" s="584">
        <f>IF(AND(Projects!$C$11&lt;=CZ$4,CZ$4&lt;=Projects!$C$11+Projects!$D$11-1),Projects!$B$11/Projects!$D$11,"")</f>
      </c>
      <c r="DA24" s="584">
        <f>IF(AND(Projects!$C$11&lt;=DA$4,DA$4&lt;=Projects!$C$11+Projects!$D$11-1),Projects!$B$11/Projects!$D$11,"")</f>
      </c>
      <c r="DB24" s="584">
        <f>IF(AND(Projects!$C$11&lt;=DB$4,DB$4&lt;=Projects!$C$11+Projects!$D$11-1),Projects!$B$11/Projects!$D$11,"")</f>
      </c>
    </row>
    <row r="25" ht="15" customFormat="1" customHeight="1" s="381">
      <c r="A25" s="513" t="inlineStr">
        <is>
          <t>Scott</t>
        </is>
      </c>
      <c r="B25" s="581">
        <f>Projects!$B$12</f>
        <v>7545203</v>
      </c>
      <c r="C25" s="582">
        <f>EDATE(Model!$E$2,Projects!$C$12-1)</f>
        <v>46388</v>
      </c>
      <c r="D25" s="582">
        <f>EDATE(Model!$E$2,Projects!$C$12+Projects!$D$12-2)</f>
        <v>46935</v>
      </c>
      <c r="E25" s="583">
        <f>Projects!$D$12</f>
        <v>19</v>
      </c>
      <c r="F25" s="581">
        <f>Projects!$B$12/Projects!$D$12</f>
        <v>397115.947368421</v>
      </c>
      <c r="G25" s="584">
        <f>IF(AND(Projects!$C$12&lt;=G$4,G$4&lt;=Projects!$C$12+Projects!$D$12-1),Projects!$B$12/Projects!$D$12,"")</f>
      </c>
      <c r="H25" s="584">
        <f>IF(AND(Projects!$C$12&lt;=H$4,H$4&lt;=Projects!$C$12+Projects!$D$12-1),Projects!$B$12/Projects!$D$12,"")</f>
      </c>
      <c r="I25" s="584">
        <f>IF(AND(Projects!$C$12&lt;=I$4,I$4&lt;=Projects!$C$12+Projects!$D$12-1),Projects!$B$12/Projects!$D$12,"")</f>
      </c>
      <c r="J25" s="584">
        <f>IF(AND(Projects!$C$12&lt;=J$4,J$4&lt;=Projects!$C$12+Projects!$D$12-1),Projects!$B$12/Projects!$D$12,"")</f>
      </c>
      <c r="K25" s="584">
        <f>IF(AND(Projects!$C$12&lt;=K$4,K$4&lt;=Projects!$C$12+Projects!$D$12-1),Projects!$B$12/Projects!$D$12,"")</f>
      </c>
      <c r="L25" s="584">
        <f>IF(AND(Projects!$C$12&lt;=L$4,L$4&lt;=Projects!$C$12+Projects!$D$12-1),Projects!$B$12/Projects!$D$12,"")</f>
      </c>
      <c r="M25" s="584">
        <f>IF(AND(Projects!$C$12&lt;=M$4,M$4&lt;=Projects!$C$12+Projects!$D$12-1),Projects!$B$12/Projects!$D$12,"")</f>
      </c>
      <c r="N25" s="584">
        <f>IF(AND(Projects!$C$12&lt;=N$4,N$4&lt;=Projects!$C$12+Projects!$D$12-1),Projects!$B$12/Projects!$D$12,"")</f>
      </c>
      <c r="O25" s="584">
        <f>IF(AND(Projects!$C$12&lt;=O$4,O$4&lt;=Projects!$C$12+Projects!$D$12-1),Projects!$B$12/Projects!$D$12,"")</f>
      </c>
      <c r="P25" s="584">
        <f>IF(AND(Projects!$C$12&lt;=P$4,P$4&lt;=Projects!$C$12+Projects!$D$12-1),Projects!$B$12/Projects!$D$12,"")</f>
        <v>397115.947368421</v>
      </c>
      <c r="Q25" s="584">
        <f>IF(AND(Projects!$C$12&lt;=Q$4,Q$4&lt;=Projects!$C$12+Projects!$D$12-1),Projects!$B$12/Projects!$D$12,"")</f>
        <v>397115.947368421</v>
      </c>
      <c r="R25" s="584">
        <f>IF(AND(Projects!$C$12&lt;=R$4,R$4&lt;=Projects!$C$12+Projects!$D$12-1),Projects!$B$12/Projects!$D$12,"")</f>
        <v>397115.947368421</v>
      </c>
      <c r="S25" s="584">
        <f>IF(AND(Projects!$C$12&lt;=S$4,S$4&lt;=Projects!$C$12+Projects!$D$12-1),Projects!$B$12/Projects!$D$12,"")</f>
        <v>397115.947368421</v>
      </c>
      <c r="T25" s="584">
        <f>IF(AND(Projects!$C$12&lt;=T$4,T$4&lt;=Projects!$C$12+Projects!$D$12-1),Projects!$B$12/Projects!$D$12,"")</f>
        <v>397115.947368421</v>
      </c>
      <c r="U25" s="584">
        <f>IF(AND(Projects!$C$12&lt;=U$4,U$4&lt;=Projects!$C$12+Projects!$D$12-1),Projects!$B$12/Projects!$D$12,"")</f>
        <v>397115.947368421</v>
      </c>
      <c r="V25" s="584">
        <f>IF(AND(Projects!$C$12&lt;=V$4,V$4&lt;=Projects!$C$12+Projects!$D$12-1),Projects!$B$12/Projects!$D$12,"")</f>
        <v>397115.947368421</v>
      </c>
      <c r="W25" s="584">
        <f>IF(AND(Projects!$C$12&lt;=W$4,W$4&lt;=Projects!$C$12+Projects!$D$12-1),Projects!$B$12/Projects!$D$12,"")</f>
        <v>397115.947368421</v>
      </c>
      <c r="X25" s="584">
        <f>IF(AND(Projects!$C$12&lt;=X$4,X$4&lt;=Projects!$C$12+Projects!$D$12-1),Projects!$B$12/Projects!$D$12,"")</f>
        <v>397115.947368421</v>
      </c>
      <c r="Y25" s="584">
        <f>IF(AND(Projects!$C$12&lt;=Y$4,Y$4&lt;=Projects!$C$12+Projects!$D$12-1),Projects!$B$12/Projects!$D$12,"")</f>
        <v>397115.947368421</v>
      </c>
      <c r="Z25" s="584">
        <f>IF(AND(Projects!$C$12&lt;=Z$4,Z$4&lt;=Projects!$C$12+Projects!$D$12-1),Projects!$B$12/Projects!$D$12,"")</f>
        <v>397115.947368421</v>
      </c>
      <c r="AA25" s="584">
        <f>IF(AND(Projects!$C$12&lt;=AA$4,AA$4&lt;=Projects!$C$12+Projects!$D$12-1),Projects!$B$12/Projects!$D$12,"")</f>
        <v>397115.947368421</v>
      </c>
      <c r="AB25" s="584">
        <f>IF(AND(Projects!$C$12&lt;=AB$4,AB$4&lt;=Projects!$C$12+Projects!$D$12-1),Projects!$B$12/Projects!$D$12,"")</f>
        <v>397115.947368421</v>
      </c>
      <c r="AC25" s="584">
        <f>IF(AND(Projects!$C$12&lt;=AC$4,AC$4&lt;=Projects!$C$12+Projects!$D$12-1),Projects!$B$12/Projects!$D$12,"")</f>
        <v>397115.947368421</v>
      </c>
      <c r="AD25" s="584">
        <f>IF(AND(Projects!$C$12&lt;=AD$4,AD$4&lt;=Projects!$C$12+Projects!$D$12-1),Projects!$B$12/Projects!$D$12,"")</f>
        <v>397115.947368421</v>
      </c>
      <c r="AE25" s="584">
        <f>IF(AND(Projects!$C$12&lt;=AE$4,AE$4&lt;=Projects!$C$12+Projects!$D$12-1),Projects!$B$12/Projects!$D$12,"")</f>
        <v>397115.947368421</v>
      </c>
      <c r="AF25" s="584">
        <f>IF(AND(Projects!$C$12&lt;=AF$4,AF$4&lt;=Projects!$C$12+Projects!$D$12-1),Projects!$B$12/Projects!$D$12,"")</f>
        <v>397115.947368421</v>
      </c>
      <c r="AG25" s="584">
        <f>IF(AND(Projects!$C$12&lt;=AG$4,AG$4&lt;=Projects!$C$12+Projects!$D$12-1),Projects!$B$12/Projects!$D$12,"")</f>
        <v>397115.947368421</v>
      </c>
      <c r="AH25" s="584">
        <f>IF(AND(Projects!$C$12&lt;=AH$4,AH$4&lt;=Projects!$C$12+Projects!$D$12-1),Projects!$B$12/Projects!$D$12,"")</f>
        <v>397115.947368421</v>
      </c>
      <c r="AI25" s="584">
        <f>IF(AND(Projects!$C$12&lt;=AI$4,AI$4&lt;=Projects!$C$12+Projects!$D$12-1),Projects!$B$12/Projects!$D$12,"")</f>
      </c>
      <c r="AJ25" s="584">
        <f>IF(AND(Projects!$C$12&lt;=AJ$4,AJ$4&lt;=Projects!$C$12+Projects!$D$12-1),Projects!$B$12/Projects!$D$12,"")</f>
      </c>
      <c r="AK25" s="584">
        <f>IF(AND(Projects!$C$12&lt;=AK$4,AK$4&lt;=Projects!$C$12+Projects!$D$12-1),Projects!$B$12/Projects!$D$12,"")</f>
      </c>
      <c r="AL25" s="584">
        <f>IF(AND(Projects!$C$12&lt;=AL$4,AL$4&lt;=Projects!$C$12+Projects!$D$12-1),Projects!$B$12/Projects!$D$12,"")</f>
      </c>
      <c r="AM25" s="584">
        <f>IF(AND(Projects!$C$12&lt;=AM$4,AM$4&lt;=Projects!$C$12+Projects!$D$12-1),Projects!$B$12/Projects!$D$12,"")</f>
      </c>
      <c r="AN25" s="584">
        <f>IF(AND(Projects!$C$12&lt;=AN$4,AN$4&lt;=Projects!$C$12+Projects!$D$12-1),Projects!$B$12/Projects!$D$12,"")</f>
      </c>
      <c r="AO25" s="584">
        <f>IF(AND(Projects!$C$12&lt;=AO$4,AO$4&lt;=Projects!$C$12+Projects!$D$12-1),Projects!$B$12/Projects!$D$12,"")</f>
      </c>
      <c r="AP25" s="584">
        <f>IF(AND(Projects!$C$12&lt;=AP$4,AP$4&lt;=Projects!$C$12+Projects!$D$12-1),Projects!$B$12/Projects!$D$12,"")</f>
      </c>
      <c r="AQ25" s="584">
        <f>IF(AND(Projects!$C$12&lt;=AQ$4,AQ$4&lt;=Projects!$C$12+Projects!$D$12-1),Projects!$B$12/Projects!$D$12,"")</f>
      </c>
      <c r="AR25" s="584">
        <f>IF(AND(Projects!$C$12&lt;=AR$4,AR$4&lt;=Projects!$C$12+Projects!$D$12-1),Projects!$B$12/Projects!$D$12,"")</f>
      </c>
      <c r="AS25" s="584">
        <f>IF(AND(Projects!$C$12&lt;=AS$4,AS$4&lt;=Projects!$C$12+Projects!$D$12-1),Projects!$B$12/Projects!$D$12,"")</f>
      </c>
      <c r="AT25" s="584">
        <f>IF(AND(Projects!$C$12&lt;=AT$4,AT$4&lt;=Projects!$C$12+Projects!$D$12-1),Projects!$B$12/Projects!$D$12,"")</f>
      </c>
      <c r="AU25" s="584">
        <f>IF(AND(Projects!$C$12&lt;=AU$4,AU$4&lt;=Projects!$C$12+Projects!$D$12-1),Projects!$B$12/Projects!$D$12,"")</f>
      </c>
      <c r="AV25" s="584">
        <f>IF(AND(Projects!$C$12&lt;=AV$4,AV$4&lt;=Projects!$C$12+Projects!$D$12-1),Projects!$B$12/Projects!$D$12,"")</f>
      </c>
      <c r="AW25" s="584">
        <f>IF(AND(Projects!$C$12&lt;=AW$4,AW$4&lt;=Projects!$C$12+Projects!$D$12-1),Projects!$B$12/Projects!$D$12,"")</f>
      </c>
      <c r="AX25" s="584">
        <f>IF(AND(Projects!$C$12&lt;=AX$4,AX$4&lt;=Projects!$C$12+Projects!$D$12-1),Projects!$B$12/Projects!$D$12,"")</f>
      </c>
      <c r="AY25" s="584">
        <f>IF(AND(Projects!$C$12&lt;=AY$4,AY$4&lt;=Projects!$C$12+Projects!$D$12-1),Projects!$B$12/Projects!$D$12,"")</f>
      </c>
      <c r="AZ25" s="584">
        <f>IF(AND(Projects!$C$12&lt;=AZ$4,AZ$4&lt;=Projects!$C$12+Projects!$D$12-1),Projects!$B$12/Projects!$D$12,"")</f>
      </c>
      <c r="BA25" s="584">
        <f>IF(AND(Projects!$C$12&lt;=BA$4,BA$4&lt;=Projects!$C$12+Projects!$D$12-1),Projects!$B$12/Projects!$D$12,"")</f>
      </c>
      <c r="BB25" s="584">
        <f>IF(AND(Projects!$C$12&lt;=BB$4,BB$4&lt;=Projects!$C$12+Projects!$D$12-1),Projects!$B$12/Projects!$D$12,"")</f>
      </c>
      <c r="BC25" s="584">
        <f>IF(AND(Projects!$C$12&lt;=BC$4,BC$4&lt;=Projects!$C$12+Projects!$D$12-1),Projects!$B$12/Projects!$D$12,"")</f>
      </c>
      <c r="BD25" s="584">
        <f>IF(AND(Projects!$C$12&lt;=BD$4,BD$4&lt;=Projects!$C$12+Projects!$D$12-1),Projects!$B$12/Projects!$D$12,"")</f>
      </c>
      <c r="BE25" s="584">
        <f>IF(AND(Projects!$C$12&lt;=BE$4,BE$4&lt;=Projects!$C$12+Projects!$D$12-1),Projects!$B$12/Projects!$D$12,"")</f>
      </c>
      <c r="BF25" s="584">
        <f>IF(AND(Projects!$C$12&lt;=BF$4,BF$4&lt;=Projects!$C$12+Projects!$D$12-1),Projects!$B$12/Projects!$D$12,"")</f>
      </c>
      <c r="BG25" s="584">
        <f>IF(AND(Projects!$C$12&lt;=BG$4,BG$4&lt;=Projects!$C$12+Projects!$D$12-1),Projects!$B$12/Projects!$D$12,"")</f>
      </c>
      <c r="BH25" s="584">
        <f>IF(AND(Projects!$C$12&lt;=BH$4,BH$4&lt;=Projects!$C$12+Projects!$D$12-1),Projects!$B$12/Projects!$D$12,"")</f>
      </c>
      <c r="BI25" s="584">
        <f>IF(AND(Projects!$C$12&lt;=BI$4,BI$4&lt;=Projects!$C$12+Projects!$D$12-1),Projects!$B$12/Projects!$D$12,"")</f>
      </c>
      <c r="BJ25" s="584">
        <f>IF(AND(Projects!$C$12&lt;=BJ$4,BJ$4&lt;=Projects!$C$12+Projects!$D$12-1),Projects!$B$12/Projects!$D$12,"")</f>
      </c>
      <c r="BK25" s="584">
        <f>IF(AND(Projects!$C$12&lt;=BK$4,BK$4&lt;=Projects!$C$12+Projects!$D$12-1),Projects!$B$12/Projects!$D$12,"")</f>
      </c>
      <c r="BL25" s="584">
        <f>IF(AND(Projects!$C$12&lt;=BL$4,BL$4&lt;=Projects!$C$12+Projects!$D$12-1),Projects!$B$12/Projects!$D$12,"")</f>
      </c>
      <c r="BM25" s="584">
        <f>IF(AND(Projects!$C$12&lt;=BM$4,BM$4&lt;=Projects!$C$12+Projects!$D$12-1),Projects!$B$12/Projects!$D$12,"")</f>
      </c>
      <c r="BN25" s="584">
        <f>IF(AND(Projects!$C$12&lt;=BN$4,BN$4&lt;=Projects!$C$12+Projects!$D$12-1),Projects!$B$12/Projects!$D$12,"")</f>
      </c>
      <c r="BO25" s="584">
        <f>IF(AND(Projects!$C$12&lt;=BO$4,BO$4&lt;=Projects!$C$12+Projects!$D$12-1),Projects!$B$12/Projects!$D$12,"")</f>
      </c>
      <c r="BP25" s="584">
        <f>IF(AND(Projects!$C$12&lt;=BP$4,BP$4&lt;=Projects!$C$12+Projects!$D$12-1),Projects!$B$12/Projects!$D$12,"")</f>
      </c>
      <c r="BQ25" s="584">
        <f>IF(AND(Projects!$C$12&lt;=BQ$4,BQ$4&lt;=Projects!$C$12+Projects!$D$12-1),Projects!$B$12/Projects!$D$12,"")</f>
      </c>
      <c r="BR25" s="584">
        <f>IF(AND(Projects!$C$12&lt;=BR$4,BR$4&lt;=Projects!$C$12+Projects!$D$12-1),Projects!$B$12/Projects!$D$12,"")</f>
      </c>
      <c r="BS25" s="584">
        <f>IF(AND(Projects!$C$12&lt;=BS$4,BS$4&lt;=Projects!$C$12+Projects!$D$12-1),Projects!$B$12/Projects!$D$12,"")</f>
      </c>
      <c r="BT25" s="584">
        <f>IF(AND(Projects!$C$12&lt;=BT$4,BT$4&lt;=Projects!$C$12+Projects!$D$12-1),Projects!$B$12/Projects!$D$12,"")</f>
      </c>
      <c r="BU25" s="584">
        <f>IF(AND(Projects!$C$12&lt;=BU$4,BU$4&lt;=Projects!$C$12+Projects!$D$12-1),Projects!$B$12/Projects!$D$12,"")</f>
      </c>
      <c r="BV25" s="584">
        <f>IF(AND(Projects!$C$12&lt;=BV$4,BV$4&lt;=Projects!$C$12+Projects!$D$12-1),Projects!$B$12/Projects!$D$12,"")</f>
      </c>
      <c r="BW25" s="584">
        <f>IF(AND(Projects!$C$12&lt;=BW$4,BW$4&lt;=Projects!$C$12+Projects!$D$12-1),Projects!$B$12/Projects!$D$12,"")</f>
      </c>
      <c r="BX25" s="584">
        <f>IF(AND(Projects!$C$12&lt;=BX$4,BX$4&lt;=Projects!$C$12+Projects!$D$12-1),Projects!$B$12/Projects!$D$12,"")</f>
      </c>
      <c r="BY25" s="584">
        <f>IF(AND(Projects!$C$12&lt;=BY$4,BY$4&lt;=Projects!$C$12+Projects!$D$12-1),Projects!$B$12/Projects!$D$12,"")</f>
      </c>
      <c r="BZ25" s="584">
        <f>IF(AND(Projects!$C$12&lt;=BZ$4,BZ$4&lt;=Projects!$C$12+Projects!$D$12-1),Projects!$B$12/Projects!$D$12,"")</f>
      </c>
      <c r="CA25" s="584">
        <f>IF(AND(Projects!$C$12&lt;=CA$4,CA$4&lt;=Projects!$C$12+Projects!$D$12-1),Projects!$B$12/Projects!$D$12,"")</f>
      </c>
      <c r="CB25" s="584">
        <f>IF(AND(Projects!$C$12&lt;=CB$4,CB$4&lt;=Projects!$C$12+Projects!$D$12-1),Projects!$B$12/Projects!$D$12,"")</f>
      </c>
      <c r="CC25" s="584">
        <f>IF(AND(Projects!$C$12&lt;=CC$4,CC$4&lt;=Projects!$C$12+Projects!$D$12-1),Projects!$B$12/Projects!$D$12,"")</f>
      </c>
      <c r="CD25" s="584">
        <f>IF(AND(Projects!$C$12&lt;=CD$4,CD$4&lt;=Projects!$C$12+Projects!$D$12-1),Projects!$B$12/Projects!$D$12,"")</f>
      </c>
      <c r="CE25" s="584">
        <f>IF(AND(Projects!$C$12&lt;=CE$4,CE$4&lt;=Projects!$C$12+Projects!$D$12-1),Projects!$B$12/Projects!$D$12,"")</f>
      </c>
      <c r="CF25" s="584">
        <f>IF(AND(Projects!$C$12&lt;=CF$4,CF$4&lt;=Projects!$C$12+Projects!$D$12-1),Projects!$B$12/Projects!$D$12,"")</f>
      </c>
      <c r="CG25" s="584">
        <f>IF(AND(Projects!$C$12&lt;=CG$4,CG$4&lt;=Projects!$C$12+Projects!$D$12-1),Projects!$B$12/Projects!$D$12,"")</f>
      </c>
      <c r="CH25" s="584">
        <f>IF(AND(Projects!$C$12&lt;=CH$4,CH$4&lt;=Projects!$C$12+Projects!$D$12-1),Projects!$B$12/Projects!$D$12,"")</f>
      </c>
      <c r="CI25" s="584">
        <f>IF(AND(Projects!$C$12&lt;=CI$4,CI$4&lt;=Projects!$C$12+Projects!$D$12-1),Projects!$B$12/Projects!$D$12,"")</f>
      </c>
      <c r="CJ25" s="584">
        <f>IF(AND(Projects!$C$12&lt;=CJ$4,CJ$4&lt;=Projects!$C$12+Projects!$D$12-1),Projects!$B$12/Projects!$D$12,"")</f>
      </c>
      <c r="CK25" s="584">
        <f>IF(AND(Projects!$C$12&lt;=CK$4,CK$4&lt;=Projects!$C$12+Projects!$D$12-1),Projects!$B$12/Projects!$D$12,"")</f>
      </c>
      <c r="CL25" s="584">
        <f>IF(AND(Projects!$C$12&lt;=CL$4,CL$4&lt;=Projects!$C$12+Projects!$D$12-1),Projects!$B$12/Projects!$D$12,"")</f>
      </c>
      <c r="CM25" s="584">
        <f>IF(AND(Projects!$C$12&lt;=CM$4,CM$4&lt;=Projects!$C$12+Projects!$D$12-1),Projects!$B$12/Projects!$D$12,"")</f>
      </c>
      <c r="CN25" s="584">
        <f>IF(AND(Projects!$C$12&lt;=CN$4,CN$4&lt;=Projects!$C$12+Projects!$D$12-1),Projects!$B$12/Projects!$D$12,"")</f>
      </c>
      <c r="CO25" s="584">
        <f>IF(AND(Projects!$C$12&lt;=CO$4,CO$4&lt;=Projects!$C$12+Projects!$D$12-1),Projects!$B$12/Projects!$D$12,"")</f>
      </c>
      <c r="CP25" s="584">
        <f>IF(AND(Projects!$C$12&lt;=CP$4,CP$4&lt;=Projects!$C$12+Projects!$D$12-1),Projects!$B$12/Projects!$D$12,"")</f>
      </c>
      <c r="CQ25" s="584">
        <f>IF(AND(Projects!$C$12&lt;=CQ$4,CQ$4&lt;=Projects!$C$12+Projects!$D$12-1),Projects!$B$12/Projects!$D$12,"")</f>
      </c>
      <c r="CR25" s="584">
        <f>IF(AND(Projects!$C$12&lt;=CR$4,CR$4&lt;=Projects!$C$12+Projects!$D$12-1),Projects!$B$12/Projects!$D$12,"")</f>
      </c>
      <c r="CS25" s="584">
        <f>IF(AND(Projects!$C$12&lt;=CS$4,CS$4&lt;=Projects!$C$12+Projects!$D$12-1),Projects!$B$12/Projects!$D$12,"")</f>
      </c>
      <c r="CT25" s="584">
        <f>IF(AND(Projects!$C$12&lt;=CT$4,CT$4&lt;=Projects!$C$12+Projects!$D$12-1),Projects!$B$12/Projects!$D$12,"")</f>
      </c>
      <c r="CU25" s="584">
        <f>IF(AND(Projects!$C$12&lt;=CU$4,CU$4&lt;=Projects!$C$12+Projects!$D$12-1),Projects!$B$12/Projects!$D$12,"")</f>
      </c>
      <c r="CV25" s="584">
        <f>IF(AND(Projects!$C$12&lt;=CV$4,CV$4&lt;=Projects!$C$12+Projects!$D$12-1),Projects!$B$12/Projects!$D$12,"")</f>
      </c>
      <c r="CW25" s="584">
        <f>IF(AND(Projects!$C$12&lt;=CW$4,CW$4&lt;=Projects!$C$12+Projects!$D$12-1),Projects!$B$12/Projects!$D$12,"")</f>
      </c>
      <c r="CX25" s="584">
        <f>IF(AND(Projects!$C$12&lt;=CX$4,CX$4&lt;=Projects!$C$12+Projects!$D$12-1),Projects!$B$12/Projects!$D$12,"")</f>
      </c>
      <c r="CY25" s="584">
        <f>IF(AND(Projects!$C$12&lt;=CY$4,CY$4&lt;=Projects!$C$12+Projects!$D$12-1),Projects!$B$12/Projects!$D$12,"")</f>
      </c>
      <c r="CZ25" s="584">
        <f>IF(AND(Projects!$C$12&lt;=CZ$4,CZ$4&lt;=Projects!$C$12+Projects!$D$12-1),Projects!$B$12/Projects!$D$12,"")</f>
      </c>
      <c r="DA25" s="584">
        <f>IF(AND(Projects!$C$12&lt;=DA$4,DA$4&lt;=Projects!$C$12+Projects!$D$12-1),Projects!$B$12/Projects!$D$12,"")</f>
      </c>
      <c r="DB25" s="584">
        <f>IF(AND(Projects!$C$12&lt;=DB$4,DB$4&lt;=Projects!$C$12+Projects!$D$12-1),Projects!$B$12/Projects!$D$12,"")</f>
      </c>
    </row>
    <row r="26" ht="15" customFormat="1" customHeight="1" s="381">
      <c r="A26" s="513" t="inlineStr">
        <is>
          <t>Beverly (BD-04)</t>
        </is>
      </c>
      <c r="B26" s="581">
        <f>Projects!$B$20</f>
        <v>25026330.58</v>
      </c>
      <c r="C26" s="582">
        <f>EDATE(Model!$E$2,Projects!$C$20-1)</f>
        <v>46692</v>
      </c>
      <c r="D26" s="582">
        <f>EDATE(Model!$E$2,Projects!$C$20+Projects!$D$20-2)</f>
        <v>47392</v>
      </c>
      <c r="E26" s="583">
        <f>Projects!$D$20</f>
        <v>24</v>
      </c>
      <c r="F26" s="581">
        <f>Projects!$B$20/Projects!$D$20</f>
        <v>1042763.77416667</v>
      </c>
      <c r="G26" s="584">
        <f>IF(AND(Projects!$C$20&lt;=G$4,G$4&lt;=Projects!$C$20+Projects!$D$20-1),Projects!$B$20/Projects!$D$20,"")</f>
      </c>
      <c r="H26" s="584">
        <f>IF(AND(Projects!$C$20&lt;=H$4,H$4&lt;=Projects!$C$20+Projects!$D$20-1),Projects!$B$20/Projects!$D$20,"")</f>
      </c>
      <c r="I26" s="584">
        <f>IF(AND(Projects!$C$20&lt;=I$4,I$4&lt;=Projects!$C$20+Projects!$D$20-1),Projects!$B$20/Projects!$D$20,"")</f>
      </c>
      <c r="J26" s="584">
        <f>IF(AND(Projects!$C$20&lt;=J$4,J$4&lt;=Projects!$C$20+Projects!$D$20-1),Projects!$B$20/Projects!$D$20,"")</f>
      </c>
      <c r="K26" s="584">
        <f>IF(AND(Projects!$C$20&lt;=K$4,K$4&lt;=Projects!$C$20+Projects!$D$20-1),Projects!$B$20/Projects!$D$20,"")</f>
      </c>
      <c r="L26" s="584">
        <f>IF(AND(Projects!$C$20&lt;=L$4,L$4&lt;=Projects!$C$20+Projects!$D$20-1),Projects!$B$20/Projects!$D$20,"")</f>
      </c>
      <c r="M26" s="584">
        <f>IF(AND(Projects!$C$20&lt;=M$4,M$4&lt;=Projects!$C$20+Projects!$D$20-1),Projects!$B$20/Projects!$D$20,"")</f>
      </c>
      <c r="N26" s="584">
        <f>IF(AND(Projects!$C$20&lt;=N$4,N$4&lt;=Projects!$C$20+Projects!$D$20-1),Projects!$B$20/Projects!$D$20,"")</f>
      </c>
      <c r="O26" s="584">
        <f>IF(AND(Projects!$C$20&lt;=O$4,O$4&lt;=Projects!$C$20+Projects!$D$20-1),Projects!$B$20/Projects!$D$20,"")</f>
      </c>
      <c r="P26" s="584">
        <f>IF(AND(Projects!$C$20&lt;=P$4,P$4&lt;=Projects!$C$20+Projects!$D$20-1),Projects!$B$20/Projects!$D$20,"")</f>
      </c>
      <c r="Q26" s="584">
        <f>IF(AND(Projects!$C$20&lt;=Q$4,Q$4&lt;=Projects!$C$20+Projects!$D$20-1),Projects!$B$20/Projects!$D$20,"")</f>
      </c>
      <c r="R26" s="584">
        <f>IF(AND(Projects!$C$20&lt;=R$4,R$4&lt;=Projects!$C$20+Projects!$D$20-1),Projects!$B$20/Projects!$D$20,"")</f>
      </c>
      <c r="S26" s="584">
        <f>IF(AND(Projects!$C$20&lt;=S$4,S$4&lt;=Projects!$C$20+Projects!$D$20-1),Projects!$B$20/Projects!$D$20,"")</f>
      </c>
      <c r="T26" s="584">
        <f>IF(AND(Projects!$C$20&lt;=T$4,T$4&lt;=Projects!$C$20+Projects!$D$20-1),Projects!$B$20/Projects!$D$20,"")</f>
      </c>
      <c r="U26" s="584">
        <f>IF(AND(Projects!$C$20&lt;=U$4,U$4&lt;=Projects!$C$20+Projects!$D$20-1),Projects!$B$20/Projects!$D$20,"")</f>
      </c>
      <c r="V26" s="584">
        <f>IF(AND(Projects!$C$20&lt;=V$4,V$4&lt;=Projects!$C$20+Projects!$D$20-1),Projects!$B$20/Projects!$D$20,"")</f>
      </c>
      <c r="W26" s="584">
        <f>IF(AND(Projects!$C$20&lt;=W$4,W$4&lt;=Projects!$C$20+Projects!$D$20-1),Projects!$B$20/Projects!$D$20,"")</f>
      </c>
      <c r="X26" s="584">
        <f>IF(AND(Projects!$C$20&lt;=X$4,X$4&lt;=Projects!$C$20+Projects!$D$20-1),Projects!$B$20/Projects!$D$20,"")</f>
      </c>
      <c r="Y26" s="584">
        <f>IF(AND(Projects!$C$20&lt;=Y$4,Y$4&lt;=Projects!$C$20+Projects!$D$20-1),Projects!$B$20/Projects!$D$20,"")</f>
      </c>
      <c r="Z26" s="584">
        <f>IF(AND(Projects!$C$20&lt;=Z$4,Z$4&lt;=Projects!$C$20+Projects!$D$20-1),Projects!$B$20/Projects!$D$20,"")</f>
        <v>1042763.77416667</v>
      </c>
      <c r="AA26" s="584">
        <f>IF(AND(Projects!$C$20&lt;=AA$4,AA$4&lt;=Projects!$C$20+Projects!$D$20-1),Projects!$B$20/Projects!$D$20,"")</f>
        <v>1042763.77416667</v>
      </c>
      <c r="AB26" s="584">
        <f>IF(AND(Projects!$C$20&lt;=AB$4,AB$4&lt;=Projects!$C$20+Projects!$D$20-1),Projects!$B$20/Projects!$D$20,"")</f>
        <v>1042763.77416667</v>
      </c>
      <c r="AC26" s="584">
        <f>IF(AND(Projects!$C$20&lt;=AC$4,AC$4&lt;=Projects!$C$20+Projects!$D$20-1),Projects!$B$20/Projects!$D$20,"")</f>
        <v>1042763.77416667</v>
      </c>
      <c r="AD26" s="584">
        <f>IF(AND(Projects!$C$20&lt;=AD$4,AD$4&lt;=Projects!$C$20+Projects!$D$20-1),Projects!$B$20/Projects!$D$20,"")</f>
        <v>1042763.77416667</v>
      </c>
      <c r="AE26" s="584">
        <f>IF(AND(Projects!$C$20&lt;=AE$4,AE$4&lt;=Projects!$C$20+Projects!$D$20-1),Projects!$B$20/Projects!$D$20,"")</f>
        <v>1042763.77416667</v>
      </c>
      <c r="AF26" s="584">
        <f>IF(AND(Projects!$C$20&lt;=AF$4,AF$4&lt;=Projects!$C$20+Projects!$D$20-1),Projects!$B$20/Projects!$D$20,"")</f>
        <v>1042763.77416667</v>
      </c>
      <c r="AG26" s="584">
        <f>IF(AND(Projects!$C$20&lt;=AG$4,AG$4&lt;=Projects!$C$20+Projects!$D$20-1),Projects!$B$20/Projects!$D$20,"")</f>
        <v>1042763.77416667</v>
      </c>
      <c r="AH26" s="584">
        <f>IF(AND(Projects!$C$20&lt;=AH$4,AH$4&lt;=Projects!$C$20+Projects!$D$20-1),Projects!$B$20/Projects!$D$20,"")</f>
        <v>1042763.77416667</v>
      </c>
      <c r="AI26" s="584">
        <f>IF(AND(Projects!$C$20&lt;=AI$4,AI$4&lt;=Projects!$C$20+Projects!$D$20-1),Projects!$B$20/Projects!$D$20,"")</f>
        <v>1042763.77416667</v>
      </c>
      <c r="AJ26" s="584">
        <f>IF(AND(Projects!$C$20&lt;=AJ$4,AJ$4&lt;=Projects!$C$20+Projects!$D$20-1),Projects!$B$20/Projects!$D$20,"")</f>
        <v>1042763.77416667</v>
      </c>
      <c r="AK26" s="584">
        <f>IF(AND(Projects!$C$20&lt;=AK$4,AK$4&lt;=Projects!$C$20+Projects!$D$20-1),Projects!$B$20/Projects!$D$20,"")</f>
        <v>1042763.77416667</v>
      </c>
      <c r="AL26" s="584">
        <f>IF(AND(Projects!$C$20&lt;=AL$4,AL$4&lt;=Projects!$C$20+Projects!$D$20-1),Projects!$B$20/Projects!$D$20,"")</f>
        <v>1042763.77416667</v>
      </c>
      <c r="AM26" s="584">
        <f>IF(AND(Projects!$C$20&lt;=AM$4,AM$4&lt;=Projects!$C$20+Projects!$D$20-1),Projects!$B$20/Projects!$D$20,"")</f>
        <v>1042763.77416667</v>
      </c>
      <c r="AN26" s="584">
        <f>IF(AND(Projects!$C$20&lt;=AN$4,AN$4&lt;=Projects!$C$20+Projects!$D$20-1),Projects!$B$20/Projects!$D$20,"")</f>
        <v>1042763.77416667</v>
      </c>
      <c r="AO26" s="584">
        <f>IF(AND(Projects!$C$20&lt;=AO$4,AO$4&lt;=Projects!$C$20+Projects!$D$20-1),Projects!$B$20/Projects!$D$20,"")</f>
        <v>1042763.77416667</v>
      </c>
      <c r="AP26" s="584">
        <f>IF(AND(Projects!$C$20&lt;=AP$4,AP$4&lt;=Projects!$C$20+Projects!$D$20-1),Projects!$B$20/Projects!$D$20,"")</f>
        <v>1042763.77416667</v>
      </c>
      <c r="AQ26" s="584">
        <f>IF(AND(Projects!$C$20&lt;=AQ$4,AQ$4&lt;=Projects!$C$20+Projects!$D$20-1),Projects!$B$20/Projects!$D$20,"")</f>
        <v>1042763.77416667</v>
      </c>
      <c r="AR26" s="584">
        <f>IF(AND(Projects!$C$20&lt;=AR$4,AR$4&lt;=Projects!$C$20+Projects!$D$20-1),Projects!$B$20/Projects!$D$20,"")</f>
        <v>1042763.77416667</v>
      </c>
      <c r="AS26" s="584">
        <f>IF(AND(Projects!$C$20&lt;=AS$4,AS$4&lt;=Projects!$C$20+Projects!$D$20-1),Projects!$B$20/Projects!$D$20,"")</f>
        <v>1042763.77416667</v>
      </c>
      <c r="AT26" s="584">
        <f>IF(AND(Projects!$C$20&lt;=AT$4,AT$4&lt;=Projects!$C$20+Projects!$D$20-1),Projects!$B$20/Projects!$D$20,"")</f>
        <v>1042763.77416667</v>
      </c>
      <c r="AU26" s="584">
        <f>IF(AND(Projects!$C$20&lt;=AU$4,AU$4&lt;=Projects!$C$20+Projects!$D$20-1),Projects!$B$20/Projects!$D$20,"")</f>
        <v>1042763.77416667</v>
      </c>
      <c r="AV26" s="584">
        <f>IF(AND(Projects!$C$20&lt;=AV$4,AV$4&lt;=Projects!$C$20+Projects!$D$20-1),Projects!$B$20/Projects!$D$20,"")</f>
        <v>1042763.77416667</v>
      </c>
      <c r="AW26" s="584">
        <f>IF(AND(Projects!$C$20&lt;=AW$4,AW$4&lt;=Projects!$C$20+Projects!$D$20-1),Projects!$B$20/Projects!$D$20,"")</f>
        <v>1042763.77416667</v>
      </c>
      <c r="AX26" s="584">
        <f>IF(AND(Projects!$C$20&lt;=AX$4,AX$4&lt;=Projects!$C$20+Projects!$D$20-1),Projects!$B$20/Projects!$D$20,"")</f>
      </c>
      <c r="AY26" s="584">
        <f>IF(AND(Projects!$C$20&lt;=AY$4,AY$4&lt;=Projects!$C$20+Projects!$D$20-1),Projects!$B$20/Projects!$D$20,"")</f>
      </c>
      <c r="AZ26" s="584">
        <f>IF(AND(Projects!$C$20&lt;=AZ$4,AZ$4&lt;=Projects!$C$20+Projects!$D$20-1),Projects!$B$20/Projects!$D$20,"")</f>
      </c>
      <c r="BA26" s="584">
        <f>IF(AND(Projects!$C$20&lt;=BA$4,BA$4&lt;=Projects!$C$20+Projects!$D$20-1),Projects!$B$20/Projects!$D$20,"")</f>
      </c>
      <c r="BB26" s="584">
        <f>IF(AND(Projects!$C$20&lt;=BB$4,BB$4&lt;=Projects!$C$20+Projects!$D$20-1),Projects!$B$20/Projects!$D$20,"")</f>
      </c>
      <c r="BC26" s="584">
        <f>IF(AND(Projects!$C$20&lt;=BC$4,BC$4&lt;=Projects!$C$20+Projects!$D$20-1),Projects!$B$20/Projects!$D$20,"")</f>
      </c>
      <c r="BD26" s="584">
        <f>IF(AND(Projects!$C$20&lt;=BD$4,BD$4&lt;=Projects!$C$20+Projects!$D$20-1),Projects!$B$20/Projects!$D$20,"")</f>
      </c>
      <c r="BE26" s="584">
        <f>IF(AND(Projects!$C$20&lt;=BE$4,BE$4&lt;=Projects!$C$20+Projects!$D$20-1),Projects!$B$20/Projects!$D$20,"")</f>
      </c>
      <c r="BF26" s="584">
        <f>IF(AND(Projects!$C$20&lt;=BF$4,BF$4&lt;=Projects!$C$20+Projects!$D$20-1),Projects!$B$20/Projects!$D$20,"")</f>
      </c>
      <c r="BG26" s="584">
        <f>IF(AND(Projects!$C$20&lt;=BG$4,BG$4&lt;=Projects!$C$20+Projects!$D$20-1),Projects!$B$20/Projects!$D$20,"")</f>
      </c>
      <c r="BH26" s="584">
        <f>IF(AND(Projects!$C$20&lt;=BH$4,BH$4&lt;=Projects!$C$20+Projects!$D$20-1),Projects!$B$20/Projects!$D$20,"")</f>
      </c>
      <c r="BI26" s="584">
        <f>IF(AND(Projects!$C$20&lt;=BI$4,BI$4&lt;=Projects!$C$20+Projects!$D$20-1),Projects!$B$20/Projects!$D$20,"")</f>
      </c>
      <c r="BJ26" s="584">
        <f>IF(AND(Projects!$C$20&lt;=BJ$4,BJ$4&lt;=Projects!$C$20+Projects!$D$20-1),Projects!$B$20/Projects!$D$20,"")</f>
      </c>
      <c r="BK26" s="584">
        <f>IF(AND(Projects!$C$20&lt;=BK$4,BK$4&lt;=Projects!$C$20+Projects!$D$20-1),Projects!$B$20/Projects!$D$20,"")</f>
      </c>
      <c r="BL26" s="584">
        <f>IF(AND(Projects!$C$20&lt;=BL$4,BL$4&lt;=Projects!$C$20+Projects!$D$20-1),Projects!$B$20/Projects!$D$20,"")</f>
      </c>
      <c r="BM26" s="584">
        <f>IF(AND(Projects!$C$20&lt;=BM$4,BM$4&lt;=Projects!$C$20+Projects!$D$20-1),Projects!$B$20/Projects!$D$20,"")</f>
      </c>
      <c r="BN26" s="584">
        <f>IF(AND(Projects!$C$20&lt;=BN$4,BN$4&lt;=Projects!$C$20+Projects!$D$20-1),Projects!$B$20/Projects!$D$20,"")</f>
      </c>
      <c r="BO26" s="584">
        <f>IF(AND(Projects!$C$20&lt;=BO$4,BO$4&lt;=Projects!$C$20+Projects!$D$20-1),Projects!$B$20/Projects!$D$20,"")</f>
      </c>
      <c r="BP26" s="584">
        <f>IF(AND(Projects!$C$20&lt;=BP$4,BP$4&lt;=Projects!$C$20+Projects!$D$20-1),Projects!$B$20/Projects!$D$20,"")</f>
      </c>
      <c r="BQ26" s="584">
        <f>IF(AND(Projects!$C$20&lt;=BQ$4,BQ$4&lt;=Projects!$C$20+Projects!$D$20-1),Projects!$B$20/Projects!$D$20,"")</f>
      </c>
      <c r="BR26" s="584">
        <f>IF(AND(Projects!$C$20&lt;=BR$4,BR$4&lt;=Projects!$C$20+Projects!$D$20-1),Projects!$B$20/Projects!$D$20,"")</f>
      </c>
      <c r="BS26" s="584">
        <f>IF(AND(Projects!$C$20&lt;=BS$4,BS$4&lt;=Projects!$C$20+Projects!$D$20-1),Projects!$B$20/Projects!$D$20,"")</f>
      </c>
      <c r="BT26" s="584">
        <f>IF(AND(Projects!$C$20&lt;=BT$4,BT$4&lt;=Projects!$C$20+Projects!$D$20-1),Projects!$B$20/Projects!$D$20,"")</f>
      </c>
      <c r="BU26" s="584">
        <f>IF(AND(Projects!$C$20&lt;=BU$4,BU$4&lt;=Projects!$C$20+Projects!$D$20-1),Projects!$B$20/Projects!$D$20,"")</f>
      </c>
      <c r="BV26" s="584">
        <f>IF(AND(Projects!$C$20&lt;=BV$4,BV$4&lt;=Projects!$C$20+Projects!$D$20-1),Projects!$B$20/Projects!$D$20,"")</f>
      </c>
      <c r="BW26" s="584">
        <f>IF(AND(Projects!$C$20&lt;=BW$4,BW$4&lt;=Projects!$C$20+Projects!$D$20-1),Projects!$B$20/Projects!$D$20,"")</f>
      </c>
      <c r="BX26" s="584">
        <f>IF(AND(Projects!$C$20&lt;=BX$4,BX$4&lt;=Projects!$C$20+Projects!$D$20-1),Projects!$B$20/Projects!$D$20,"")</f>
      </c>
      <c r="BY26" s="584">
        <f>IF(AND(Projects!$C$20&lt;=BY$4,BY$4&lt;=Projects!$C$20+Projects!$D$20-1),Projects!$B$20/Projects!$D$20,"")</f>
      </c>
      <c r="BZ26" s="584">
        <f>IF(AND(Projects!$C$20&lt;=BZ$4,BZ$4&lt;=Projects!$C$20+Projects!$D$20-1),Projects!$B$20/Projects!$D$20,"")</f>
      </c>
      <c r="CA26" s="584">
        <f>IF(AND(Projects!$C$20&lt;=CA$4,CA$4&lt;=Projects!$C$20+Projects!$D$20-1),Projects!$B$20/Projects!$D$20,"")</f>
      </c>
      <c r="CB26" s="584">
        <f>IF(AND(Projects!$C$20&lt;=CB$4,CB$4&lt;=Projects!$C$20+Projects!$D$20-1),Projects!$B$20/Projects!$D$20,"")</f>
      </c>
      <c r="CC26" s="584">
        <f>IF(AND(Projects!$C$20&lt;=CC$4,CC$4&lt;=Projects!$C$20+Projects!$D$20-1),Projects!$B$20/Projects!$D$20,"")</f>
      </c>
      <c r="CD26" s="584">
        <f>IF(AND(Projects!$C$20&lt;=CD$4,CD$4&lt;=Projects!$C$20+Projects!$D$20-1),Projects!$B$20/Projects!$D$20,"")</f>
      </c>
      <c r="CE26" s="584">
        <f>IF(AND(Projects!$C$20&lt;=CE$4,CE$4&lt;=Projects!$C$20+Projects!$D$20-1),Projects!$B$20/Projects!$D$20,"")</f>
      </c>
      <c r="CF26" s="584">
        <f>IF(AND(Projects!$C$20&lt;=CF$4,CF$4&lt;=Projects!$C$20+Projects!$D$20-1),Projects!$B$20/Projects!$D$20,"")</f>
      </c>
      <c r="CG26" s="584">
        <f>IF(AND(Projects!$C$20&lt;=CG$4,CG$4&lt;=Projects!$C$20+Projects!$D$20-1),Projects!$B$20/Projects!$D$20,"")</f>
      </c>
      <c r="CH26" s="584">
        <f>IF(AND(Projects!$C$20&lt;=CH$4,CH$4&lt;=Projects!$C$20+Projects!$D$20-1),Projects!$B$20/Projects!$D$20,"")</f>
      </c>
      <c r="CI26" s="584">
        <f>IF(AND(Projects!$C$20&lt;=CI$4,CI$4&lt;=Projects!$C$20+Projects!$D$20-1),Projects!$B$20/Projects!$D$20,"")</f>
      </c>
      <c r="CJ26" s="584">
        <f>IF(AND(Projects!$C$20&lt;=CJ$4,CJ$4&lt;=Projects!$C$20+Projects!$D$20-1),Projects!$B$20/Projects!$D$20,"")</f>
      </c>
      <c r="CK26" s="584">
        <f>IF(AND(Projects!$C$20&lt;=CK$4,CK$4&lt;=Projects!$C$20+Projects!$D$20-1),Projects!$B$20/Projects!$D$20,"")</f>
      </c>
      <c r="CL26" s="584">
        <f>IF(AND(Projects!$C$20&lt;=CL$4,CL$4&lt;=Projects!$C$20+Projects!$D$20-1),Projects!$B$20/Projects!$D$20,"")</f>
      </c>
      <c r="CM26" s="584">
        <f>IF(AND(Projects!$C$20&lt;=CM$4,CM$4&lt;=Projects!$C$20+Projects!$D$20-1),Projects!$B$20/Projects!$D$20,"")</f>
      </c>
      <c r="CN26" s="584">
        <f>IF(AND(Projects!$C$20&lt;=CN$4,CN$4&lt;=Projects!$C$20+Projects!$D$20-1),Projects!$B$20/Projects!$D$20,"")</f>
      </c>
      <c r="CO26" s="584">
        <f>IF(AND(Projects!$C$20&lt;=CO$4,CO$4&lt;=Projects!$C$20+Projects!$D$20-1),Projects!$B$20/Projects!$D$20,"")</f>
      </c>
      <c r="CP26" s="584">
        <f>IF(AND(Projects!$C$20&lt;=CP$4,CP$4&lt;=Projects!$C$20+Projects!$D$20-1),Projects!$B$20/Projects!$D$20,"")</f>
      </c>
      <c r="CQ26" s="584">
        <f>IF(AND(Projects!$C$20&lt;=CQ$4,CQ$4&lt;=Projects!$C$20+Projects!$D$20-1),Projects!$B$20/Projects!$D$20,"")</f>
      </c>
      <c r="CR26" s="584">
        <f>IF(AND(Projects!$C$20&lt;=CR$4,CR$4&lt;=Projects!$C$20+Projects!$D$20-1),Projects!$B$20/Projects!$D$20,"")</f>
      </c>
      <c r="CS26" s="584">
        <f>IF(AND(Projects!$C$20&lt;=CS$4,CS$4&lt;=Projects!$C$20+Projects!$D$20-1),Projects!$B$20/Projects!$D$20,"")</f>
      </c>
      <c r="CT26" s="584">
        <f>IF(AND(Projects!$C$20&lt;=CT$4,CT$4&lt;=Projects!$C$20+Projects!$D$20-1),Projects!$B$20/Projects!$D$20,"")</f>
      </c>
      <c r="CU26" s="584">
        <f>IF(AND(Projects!$C$20&lt;=CU$4,CU$4&lt;=Projects!$C$20+Projects!$D$20-1),Projects!$B$20/Projects!$D$20,"")</f>
      </c>
      <c r="CV26" s="584">
        <f>IF(AND(Projects!$C$20&lt;=CV$4,CV$4&lt;=Projects!$C$20+Projects!$D$20-1),Projects!$B$20/Projects!$D$20,"")</f>
      </c>
      <c r="CW26" s="584">
        <f>IF(AND(Projects!$C$20&lt;=CW$4,CW$4&lt;=Projects!$C$20+Projects!$D$20-1),Projects!$B$20/Projects!$D$20,"")</f>
      </c>
      <c r="CX26" s="584">
        <f>IF(AND(Projects!$C$20&lt;=CX$4,CX$4&lt;=Projects!$C$20+Projects!$D$20-1),Projects!$B$20/Projects!$D$20,"")</f>
      </c>
      <c r="CY26" s="584">
        <f>IF(AND(Projects!$C$20&lt;=CY$4,CY$4&lt;=Projects!$C$20+Projects!$D$20-1),Projects!$B$20/Projects!$D$20,"")</f>
      </c>
      <c r="CZ26" s="584">
        <f>IF(AND(Projects!$C$20&lt;=CZ$4,CZ$4&lt;=Projects!$C$20+Projects!$D$20-1),Projects!$B$20/Projects!$D$20,"")</f>
      </c>
      <c r="DA26" s="584">
        <f>IF(AND(Projects!$C$20&lt;=DA$4,DA$4&lt;=Projects!$C$20+Projects!$D$20-1),Projects!$B$20/Projects!$D$20,"")</f>
      </c>
      <c r="DB26" s="584">
        <f>IF(AND(Projects!$C$20&lt;=DB$4,DB$4&lt;=Projects!$C$20+Projects!$D$20-1),Projects!$B$20/Projects!$D$20,"")</f>
      </c>
    </row>
    <row r="27" ht="15" customFormat="1" customHeight="1" s="381">
      <c r="A27" s="513" t="inlineStr">
        <is>
          <t>Troost</t>
        </is>
      </c>
      <c r="B27" s="581">
        <f>Projects!$B$21</f>
        <v>15189508.75</v>
      </c>
      <c r="C27" s="582">
        <f>EDATE(Model!$E$2,Projects!$C$21-1)</f>
        <v>46388</v>
      </c>
      <c r="D27" s="582">
        <f>EDATE(Model!$E$2,Projects!$C$21+Projects!$D$21-2)</f>
        <v>46935</v>
      </c>
      <c r="E27" s="583">
        <f>Projects!$D$21</f>
        <v>19</v>
      </c>
      <c r="F27" s="581">
        <f>Projects!$B$21/Projects!$D$21</f>
        <v>799447.828947368</v>
      </c>
      <c r="G27" s="584">
        <f>IF(AND(Projects!$C$21&lt;=G$4,G$4&lt;=Projects!$C$21+Projects!$D$21-1),Projects!$B$21/Projects!$D$21,"")</f>
      </c>
      <c r="H27" s="584">
        <f>IF(AND(Projects!$C$21&lt;=H$4,H$4&lt;=Projects!$C$21+Projects!$D$21-1),Projects!$B$21/Projects!$D$21,"")</f>
      </c>
      <c r="I27" s="584">
        <f>IF(AND(Projects!$C$21&lt;=I$4,I$4&lt;=Projects!$C$21+Projects!$D$21-1),Projects!$B$21/Projects!$D$21,"")</f>
      </c>
      <c r="J27" s="584">
        <f>IF(AND(Projects!$C$21&lt;=J$4,J$4&lt;=Projects!$C$21+Projects!$D$21-1),Projects!$B$21/Projects!$D$21,"")</f>
      </c>
      <c r="K27" s="584">
        <f>IF(AND(Projects!$C$21&lt;=K$4,K$4&lt;=Projects!$C$21+Projects!$D$21-1),Projects!$B$21/Projects!$D$21,"")</f>
      </c>
      <c r="L27" s="584">
        <f>IF(AND(Projects!$C$21&lt;=L$4,L$4&lt;=Projects!$C$21+Projects!$D$21-1),Projects!$B$21/Projects!$D$21,"")</f>
      </c>
      <c r="M27" s="584">
        <f>IF(AND(Projects!$C$21&lt;=M$4,M$4&lt;=Projects!$C$21+Projects!$D$21-1),Projects!$B$21/Projects!$D$21,"")</f>
      </c>
      <c r="N27" s="584">
        <f>IF(AND(Projects!$C$21&lt;=N$4,N$4&lt;=Projects!$C$21+Projects!$D$21-1),Projects!$B$21/Projects!$D$21,"")</f>
      </c>
      <c r="O27" s="584">
        <f>IF(AND(Projects!$C$21&lt;=O$4,O$4&lt;=Projects!$C$21+Projects!$D$21-1),Projects!$B$21/Projects!$D$21,"")</f>
      </c>
      <c r="P27" s="584">
        <f>IF(AND(Projects!$C$21&lt;=P$4,P$4&lt;=Projects!$C$21+Projects!$D$21-1),Projects!$B$21/Projects!$D$21,"")</f>
        <v>799447.828947368</v>
      </c>
      <c r="Q27" s="584">
        <f>IF(AND(Projects!$C$21&lt;=Q$4,Q$4&lt;=Projects!$C$21+Projects!$D$21-1),Projects!$B$21/Projects!$D$21,"")</f>
        <v>799447.828947368</v>
      </c>
      <c r="R27" s="584">
        <f>IF(AND(Projects!$C$21&lt;=R$4,R$4&lt;=Projects!$C$21+Projects!$D$21-1),Projects!$B$21/Projects!$D$21,"")</f>
        <v>799447.828947368</v>
      </c>
      <c r="S27" s="584">
        <f>IF(AND(Projects!$C$21&lt;=S$4,S$4&lt;=Projects!$C$21+Projects!$D$21-1),Projects!$B$21/Projects!$D$21,"")</f>
        <v>799447.828947368</v>
      </c>
      <c r="T27" s="584">
        <f>IF(AND(Projects!$C$21&lt;=T$4,T$4&lt;=Projects!$C$21+Projects!$D$21-1),Projects!$B$21/Projects!$D$21,"")</f>
        <v>799447.828947368</v>
      </c>
      <c r="U27" s="584">
        <f>IF(AND(Projects!$C$21&lt;=U$4,U$4&lt;=Projects!$C$21+Projects!$D$21-1),Projects!$B$21/Projects!$D$21,"")</f>
        <v>799447.828947368</v>
      </c>
      <c r="V27" s="584">
        <f>IF(AND(Projects!$C$21&lt;=V$4,V$4&lt;=Projects!$C$21+Projects!$D$21-1),Projects!$B$21/Projects!$D$21,"")</f>
        <v>799447.828947368</v>
      </c>
      <c r="W27" s="584">
        <f>IF(AND(Projects!$C$21&lt;=W$4,W$4&lt;=Projects!$C$21+Projects!$D$21-1),Projects!$B$21/Projects!$D$21,"")</f>
        <v>799447.828947368</v>
      </c>
      <c r="X27" s="584">
        <f>IF(AND(Projects!$C$21&lt;=X$4,X$4&lt;=Projects!$C$21+Projects!$D$21-1),Projects!$B$21/Projects!$D$21,"")</f>
        <v>799447.828947368</v>
      </c>
      <c r="Y27" s="584">
        <f>IF(AND(Projects!$C$21&lt;=Y$4,Y$4&lt;=Projects!$C$21+Projects!$D$21-1),Projects!$B$21/Projects!$D$21,"")</f>
        <v>799447.828947368</v>
      </c>
      <c r="Z27" s="584">
        <f>IF(AND(Projects!$C$21&lt;=Z$4,Z$4&lt;=Projects!$C$21+Projects!$D$21-1),Projects!$B$21/Projects!$D$21,"")</f>
        <v>799447.828947368</v>
      </c>
      <c r="AA27" s="584">
        <f>IF(AND(Projects!$C$21&lt;=AA$4,AA$4&lt;=Projects!$C$21+Projects!$D$21-1),Projects!$B$21/Projects!$D$21,"")</f>
        <v>799447.828947368</v>
      </c>
      <c r="AB27" s="584">
        <f>IF(AND(Projects!$C$21&lt;=AB$4,AB$4&lt;=Projects!$C$21+Projects!$D$21-1),Projects!$B$21/Projects!$D$21,"")</f>
        <v>799447.828947368</v>
      </c>
      <c r="AC27" s="584">
        <f>IF(AND(Projects!$C$21&lt;=AC$4,AC$4&lt;=Projects!$C$21+Projects!$D$21-1),Projects!$B$21/Projects!$D$21,"")</f>
        <v>799447.828947368</v>
      </c>
      <c r="AD27" s="584">
        <f>IF(AND(Projects!$C$21&lt;=AD$4,AD$4&lt;=Projects!$C$21+Projects!$D$21-1),Projects!$B$21/Projects!$D$21,"")</f>
        <v>799447.828947368</v>
      </c>
      <c r="AE27" s="584">
        <f>IF(AND(Projects!$C$21&lt;=AE$4,AE$4&lt;=Projects!$C$21+Projects!$D$21-1),Projects!$B$21/Projects!$D$21,"")</f>
        <v>799447.828947368</v>
      </c>
      <c r="AF27" s="584">
        <f>IF(AND(Projects!$C$21&lt;=AF$4,AF$4&lt;=Projects!$C$21+Projects!$D$21-1),Projects!$B$21/Projects!$D$21,"")</f>
        <v>799447.828947368</v>
      </c>
      <c r="AG27" s="584">
        <f>IF(AND(Projects!$C$21&lt;=AG$4,AG$4&lt;=Projects!$C$21+Projects!$D$21-1),Projects!$B$21/Projects!$D$21,"")</f>
        <v>799447.828947368</v>
      </c>
      <c r="AH27" s="584">
        <f>IF(AND(Projects!$C$21&lt;=AH$4,AH$4&lt;=Projects!$C$21+Projects!$D$21-1),Projects!$B$21/Projects!$D$21,"")</f>
        <v>799447.828947368</v>
      </c>
      <c r="AI27" s="584">
        <f>IF(AND(Projects!$C$21&lt;=AI$4,AI$4&lt;=Projects!$C$21+Projects!$D$21-1),Projects!$B$21/Projects!$D$21,"")</f>
      </c>
      <c r="AJ27" s="584">
        <f>IF(AND(Projects!$C$21&lt;=AJ$4,AJ$4&lt;=Projects!$C$21+Projects!$D$21-1),Projects!$B$21/Projects!$D$21,"")</f>
      </c>
      <c r="AK27" s="584">
        <f>IF(AND(Projects!$C$21&lt;=AK$4,AK$4&lt;=Projects!$C$21+Projects!$D$21-1),Projects!$B$21/Projects!$D$21,"")</f>
      </c>
      <c r="AL27" s="584">
        <f>IF(AND(Projects!$C$21&lt;=AL$4,AL$4&lt;=Projects!$C$21+Projects!$D$21-1),Projects!$B$21/Projects!$D$21,"")</f>
      </c>
      <c r="AM27" s="584">
        <f>IF(AND(Projects!$C$21&lt;=AM$4,AM$4&lt;=Projects!$C$21+Projects!$D$21-1),Projects!$B$21/Projects!$D$21,"")</f>
      </c>
      <c r="AN27" s="584">
        <f>IF(AND(Projects!$C$21&lt;=AN$4,AN$4&lt;=Projects!$C$21+Projects!$D$21-1),Projects!$B$21/Projects!$D$21,"")</f>
      </c>
      <c r="AO27" s="584">
        <f>IF(AND(Projects!$C$21&lt;=AO$4,AO$4&lt;=Projects!$C$21+Projects!$D$21-1),Projects!$B$21/Projects!$D$21,"")</f>
      </c>
      <c r="AP27" s="584">
        <f>IF(AND(Projects!$C$21&lt;=AP$4,AP$4&lt;=Projects!$C$21+Projects!$D$21-1),Projects!$B$21/Projects!$D$21,"")</f>
      </c>
      <c r="AQ27" s="584">
        <f>IF(AND(Projects!$C$21&lt;=AQ$4,AQ$4&lt;=Projects!$C$21+Projects!$D$21-1),Projects!$B$21/Projects!$D$21,"")</f>
      </c>
      <c r="AR27" s="584">
        <f>IF(AND(Projects!$C$21&lt;=AR$4,AR$4&lt;=Projects!$C$21+Projects!$D$21-1),Projects!$B$21/Projects!$D$21,"")</f>
      </c>
      <c r="AS27" s="584">
        <f>IF(AND(Projects!$C$21&lt;=AS$4,AS$4&lt;=Projects!$C$21+Projects!$D$21-1),Projects!$B$21/Projects!$D$21,"")</f>
      </c>
      <c r="AT27" s="584">
        <f>IF(AND(Projects!$C$21&lt;=AT$4,AT$4&lt;=Projects!$C$21+Projects!$D$21-1),Projects!$B$21/Projects!$D$21,"")</f>
      </c>
      <c r="AU27" s="584">
        <f>IF(AND(Projects!$C$21&lt;=AU$4,AU$4&lt;=Projects!$C$21+Projects!$D$21-1),Projects!$B$21/Projects!$D$21,"")</f>
      </c>
      <c r="AV27" s="584">
        <f>IF(AND(Projects!$C$21&lt;=AV$4,AV$4&lt;=Projects!$C$21+Projects!$D$21-1),Projects!$B$21/Projects!$D$21,"")</f>
      </c>
      <c r="AW27" s="584">
        <f>IF(AND(Projects!$C$21&lt;=AW$4,AW$4&lt;=Projects!$C$21+Projects!$D$21-1),Projects!$B$21/Projects!$D$21,"")</f>
      </c>
      <c r="AX27" s="584">
        <f>IF(AND(Projects!$C$21&lt;=AX$4,AX$4&lt;=Projects!$C$21+Projects!$D$21-1),Projects!$B$21/Projects!$D$21,"")</f>
      </c>
      <c r="AY27" s="584">
        <f>IF(AND(Projects!$C$21&lt;=AY$4,AY$4&lt;=Projects!$C$21+Projects!$D$21-1),Projects!$B$21/Projects!$D$21,"")</f>
      </c>
      <c r="AZ27" s="584">
        <f>IF(AND(Projects!$C$21&lt;=AZ$4,AZ$4&lt;=Projects!$C$21+Projects!$D$21-1),Projects!$B$21/Projects!$D$21,"")</f>
      </c>
      <c r="BA27" s="584">
        <f>IF(AND(Projects!$C$21&lt;=BA$4,BA$4&lt;=Projects!$C$21+Projects!$D$21-1),Projects!$B$21/Projects!$D$21,"")</f>
      </c>
      <c r="BB27" s="584">
        <f>IF(AND(Projects!$C$21&lt;=BB$4,BB$4&lt;=Projects!$C$21+Projects!$D$21-1),Projects!$B$21/Projects!$D$21,"")</f>
      </c>
      <c r="BC27" s="584">
        <f>IF(AND(Projects!$C$21&lt;=BC$4,BC$4&lt;=Projects!$C$21+Projects!$D$21-1),Projects!$B$21/Projects!$D$21,"")</f>
      </c>
      <c r="BD27" s="584">
        <f>IF(AND(Projects!$C$21&lt;=BD$4,BD$4&lt;=Projects!$C$21+Projects!$D$21-1),Projects!$B$21/Projects!$D$21,"")</f>
      </c>
      <c r="BE27" s="584">
        <f>IF(AND(Projects!$C$21&lt;=BE$4,BE$4&lt;=Projects!$C$21+Projects!$D$21-1),Projects!$B$21/Projects!$D$21,"")</f>
      </c>
      <c r="BF27" s="584">
        <f>IF(AND(Projects!$C$21&lt;=BF$4,BF$4&lt;=Projects!$C$21+Projects!$D$21-1),Projects!$B$21/Projects!$D$21,"")</f>
      </c>
      <c r="BG27" s="584">
        <f>IF(AND(Projects!$C$21&lt;=BG$4,BG$4&lt;=Projects!$C$21+Projects!$D$21-1),Projects!$B$21/Projects!$D$21,"")</f>
      </c>
      <c r="BH27" s="584">
        <f>IF(AND(Projects!$C$21&lt;=BH$4,BH$4&lt;=Projects!$C$21+Projects!$D$21-1),Projects!$B$21/Projects!$D$21,"")</f>
      </c>
      <c r="BI27" s="584">
        <f>IF(AND(Projects!$C$21&lt;=BI$4,BI$4&lt;=Projects!$C$21+Projects!$D$21-1),Projects!$B$21/Projects!$D$21,"")</f>
      </c>
      <c r="BJ27" s="584">
        <f>IF(AND(Projects!$C$21&lt;=BJ$4,BJ$4&lt;=Projects!$C$21+Projects!$D$21-1),Projects!$B$21/Projects!$D$21,"")</f>
      </c>
      <c r="BK27" s="584">
        <f>IF(AND(Projects!$C$21&lt;=BK$4,BK$4&lt;=Projects!$C$21+Projects!$D$21-1),Projects!$B$21/Projects!$D$21,"")</f>
      </c>
      <c r="BL27" s="584">
        <f>IF(AND(Projects!$C$21&lt;=BL$4,BL$4&lt;=Projects!$C$21+Projects!$D$21-1),Projects!$B$21/Projects!$D$21,"")</f>
      </c>
      <c r="BM27" s="584">
        <f>IF(AND(Projects!$C$21&lt;=BM$4,BM$4&lt;=Projects!$C$21+Projects!$D$21-1),Projects!$B$21/Projects!$D$21,"")</f>
      </c>
      <c r="BN27" s="584">
        <f>IF(AND(Projects!$C$21&lt;=BN$4,BN$4&lt;=Projects!$C$21+Projects!$D$21-1),Projects!$B$21/Projects!$D$21,"")</f>
      </c>
      <c r="BO27" s="584">
        <f>IF(AND(Projects!$C$21&lt;=BO$4,BO$4&lt;=Projects!$C$21+Projects!$D$21-1),Projects!$B$21/Projects!$D$21,"")</f>
      </c>
      <c r="BP27" s="584">
        <f>IF(AND(Projects!$C$21&lt;=BP$4,BP$4&lt;=Projects!$C$21+Projects!$D$21-1),Projects!$B$21/Projects!$D$21,"")</f>
      </c>
      <c r="BQ27" s="584">
        <f>IF(AND(Projects!$C$21&lt;=BQ$4,BQ$4&lt;=Projects!$C$21+Projects!$D$21-1),Projects!$B$21/Projects!$D$21,"")</f>
      </c>
      <c r="BR27" s="584">
        <f>IF(AND(Projects!$C$21&lt;=BR$4,BR$4&lt;=Projects!$C$21+Projects!$D$21-1),Projects!$B$21/Projects!$D$21,"")</f>
      </c>
      <c r="BS27" s="584">
        <f>IF(AND(Projects!$C$21&lt;=BS$4,BS$4&lt;=Projects!$C$21+Projects!$D$21-1),Projects!$B$21/Projects!$D$21,"")</f>
      </c>
      <c r="BT27" s="584">
        <f>IF(AND(Projects!$C$21&lt;=BT$4,BT$4&lt;=Projects!$C$21+Projects!$D$21-1),Projects!$B$21/Projects!$D$21,"")</f>
      </c>
      <c r="BU27" s="584">
        <f>IF(AND(Projects!$C$21&lt;=BU$4,BU$4&lt;=Projects!$C$21+Projects!$D$21-1),Projects!$B$21/Projects!$D$21,"")</f>
      </c>
      <c r="BV27" s="584">
        <f>IF(AND(Projects!$C$21&lt;=BV$4,BV$4&lt;=Projects!$C$21+Projects!$D$21-1),Projects!$B$21/Projects!$D$21,"")</f>
      </c>
      <c r="BW27" s="584">
        <f>IF(AND(Projects!$C$21&lt;=BW$4,BW$4&lt;=Projects!$C$21+Projects!$D$21-1),Projects!$B$21/Projects!$D$21,"")</f>
      </c>
      <c r="BX27" s="584">
        <f>IF(AND(Projects!$C$21&lt;=BX$4,BX$4&lt;=Projects!$C$21+Projects!$D$21-1),Projects!$B$21/Projects!$D$21,"")</f>
      </c>
      <c r="BY27" s="584">
        <f>IF(AND(Projects!$C$21&lt;=BY$4,BY$4&lt;=Projects!$C$21+Projects!$D$21-1),Projects!$B$21/Projects!$D$21,"")</f>
      </c>
      <c r="BZ27" s="584">
        <f>IF(AND(Projects!$C$21&lt;=BZ$4,BZ$4&lt;=Projects!$C$21+Projects!$D$21-1),Projects!$B$21/Projects!$D$21,"")</f>
      </c>
      <c r="CA27" s="584">
        <f>IF(AND(Projects!$C$21&lt;=CA$4,CA$4&lt;=Projects!$C$21+Projects!$D$21-1),Projects!$B$21/Projects!$D$21,"")</f>
      </c>
      <c r="CB27" s="584">
        <f>IF(AND(Projects!$C$21&lt;=CB$4,CB$4&lt;=Projects!$C$21+Projects!$D$21-1),Projects!$B$21/Projects!$D$21,"")</f>
      </c>
      <c r="CC27" s="584">
        <f>IF(AND(Projects!$C$21&lt;=CC$4,CC$4&lt;=Projects!$C$21+Projects!$D$21-1),Projects!$B$21/Projects!$D$21,"")</f>
      </c>
      <c r="CD27" s="584">
        <f>IF(AND(Projects!$C$21&lt;=CD$4,CD$4&lt;=Projects!$C$21+Projects!$D$21-1),Projects!$B$21/Projects!$D$21,"")</f>
      </c>
      <c r="CE27" s="584">
        <f>IF(AND(Projects!$C$21&lt;=CE$4,CE$4&lt;=Projects!$C$21+Projects!$D$21-1),Projects!$B$21/Projects!$D$21,"")</f>
      </c>
      <c r="CF27" s="584">
        <f>IF(AND(Projects!$C$21&lt;=CF$4,CF$4&lt;=Projects!$C$21+Projects!$D$21-1),Projects!$B$21/Projects!$D$21,"")</f>
      </c>
      <c r="CG27" s="584">
        <f>IF(AND(Projects!$C$21&lt;=CG$4,CG$4&lt;=Projects!$C$21+Projects!$D$21-1),Projects!$B$21/Projects!$D$21,"")</f>
      </c>
      <c r="CH27" s="584">
        <f>IF(AND(Projects!$C$21&lt;=CH$4,CH$4&lt;=Projects!$C$21+Projects!$D$21-1),Projects!$B$21/Projects!$D$21,"")</f>
      </c>
      <c r="CI27" s="584">
        <f>IF(AND(Projects!$C$21&lt;=CI$4,CI$4&lt;=Projects!$C$21+Projects!$D$21-1),Projects!$B$21/Projects!$D$21,"")</f>
      </c>
      <c r="CJ27" s="584">
        <f>IF(AND(Projects!$C$21&lt;=CJ$4,CJ$4&lt;=Projects!$C$21+Projects!$D$21-1),Projects!$B$21/Projects!$D$21,"")</f>
      </c>
      <c r="CK27" s="584">
        <f>IF(AND(Projects!$C$21&lt;=CK$4,CK$4&lt;=Projects!$C$21+Projects!$D$21-1),Projects!$B$21/Projects!$D$21,"")</f>
      </c>
      <c r="CL27" s="584">
        <f>IF(AND(Projects!$C$21&lt;=CL$4,CL$4&lt;=Projects!$C$21+Projects!$D$21-1),Projects!$B$21/Projects!$D$21,"")</f>
      </c>
      <c r="CM27" s="584">
        <f>IF(AND(Projects!$C$21&lt;=CM$4,CM$4&lt;=Projects!$C$21+Projects!$D$21-1),Projects!$B$21/Projects!$D$21,"")</f>
      </c>
      <c r="CN27" s="584">
        <f>IF(AND(Projects!$C$21&lt;=CN$4,CN$4&lt;=Projects!$C$21+Projects!$D$21-1),Projects!$B$21/Projects!$D$21,"")</f>
      </c>
      <c r="CO27" s="584">
        <f>IF(AND(Projects!$C$21&lt;=CO$4,CO$4&lt;=Projects!$C$21+Projects!$D$21-1),Projects!$B$21/Projects!$D$21,"")</f>
      </c>
      <c r="CP27" s="584">
        <f>IF(AND(Projects!$C$21&lt;=CP$4,CP$4&lt;=Projects!$C$21+Projects!$D$21-1),Projects!$B$21/Projects!$D$21,"")</f>
      </c>
      <c r="CQ27" s="584">
        <f>IF(AND(Projects!$C$21&lt;=CQ$4,CQ$4&lt;=Projects!$C$21+Projects!$D$21-1),Projects!$B$21/Projects!$D$21,"")</f>
      </c>
      <c r="CR27" s="584">
        <f>IF(AND(Projects!$C$21&lt;=CR$4,CR$4&lt;=Projects!$C$21+Projects!$D$21-1),Projects!$B$21/Projects!$D$21,"")</f>
      </c>
      <c r="CS27" s="584">
        <f>IF(AND(Projects!$C$21&lt;=CS$4,CS$4&lt;=Projects!$C$21+Projects!$D$21-1),Projects!$B$21/Projects!$D$21,"")</f>
      </c>
      <c r="CT27" s="584">
        <f>IF(AND(Projects!$C$21&lt;=CT$4,CT$4&lt;=Projects!$C$21+Projects!$D$21-1),Projects!$B$21/Projects!$D$21,"")</f>
      </c>
      <c r="CU27" s="584">
        <f>IF(AND(Projects!$C$21&lt;=CU$4,CU$4&lt;=Projects!$C$21+Projects!$D$21-1),Projects!$B$21/Projects!$D$21,"")</f>
      </c>
      <c r="CV27" s="584">
        <f>IF(AND(Projects!$C$21&lt;=CV$4,CV$4&lt;=Projects!$C$21+Projects!$D$21-1),Projects!$B$21/Projects!$D$21,"")</f>
      </c>
      <c r="CW27" s="584">
        <f>IF(AND(Projects!$C$21&lt;=CW$4,CW$4&lt;=Projects!$C$21+Projects!$D$21-1),Projects!$B$21/Projects!$D$21,"")</f>
      </c>
      <c r="CX27" s="584">
        <f>IF(AND(Projects!$C$21&lt;=CX$4,CX$4&lt;=Projects!$C$21+Projects!$D$21-1),Projects!$B$21/Projects!$D$21,"")</f>
      </c>
      <c r="CY27" s="584">
        <f>IF(AND(Projects!$C$21&lt;=CY$4,CY$4&lt;=Projects!$C$21+Projects!$D$21-1),Projects!$B$21/Projects!$D$21,"")</f>
      </c>
      <c r="CZ27" s="584">
        <f>IF(AND(Projects!$C$21&lt;=CZ$4,CZ$4&lt;=Projects!$C$21+Projects!$D$21-1),Projects!$B$21/Projects!$D$21,"")</f>
      </c>
      <c r="DA27" s="584">
        <f>IF(AND(Projects!$C$21&lt;=DA$4,DA$4&lt;=Projects!$C$21+Projects!$D$21-1),Projects!$B$21/Projects!$D$21,"")</f>
      </c>
      <c r="DB27" s="584">
        <f>IF(AND(Projects!$C$21&lt;=DB$4,DB$4&lt;=Projects!$C$21+Projects!$D$21-1),Projects!$B$21/Projects!$D$21,"")</f>
      </c>
    </row>
    <row r="28" ht="15" customFormat="1" customHeight="1" s="381">
      <c r="A28" s="513" t="inlineStr">
        <is>
          <t>BD-06</t>
        </is>
      </c>
      <c r="B28" s="581">
        <f>Projects!$B$22</f>
        <v>15000000</v>
      </c>
      <c r="C28" s="582">
        <f>EDATE(Model!$E$2,Projects!$C$22-1)</f>
        <v>46569</v>
      </c>
      <c r="D28" s="582">
        <f>EDATE(Model!$E$2,Projects!$C$22+Projects!$D$22-2)</f>
        <v>47119</v>
      </c>
      <c r="E28" s="583">
        <f>Projects!$D$22</f>
        <v>19</v>
      </c>
      <c r="F28" s="581">
        <f>Projects!$B$22/Projects!$D$22</f>
        <v>789473.684210526</v>
      </c>
      <c r="G28" s="584">
        <f>IF(AND(Projects!$C$22&lt;=G$4,G$4&lt;=Projects!$C$22+Projects!$D$22-1),Projects!$B$22/Projects!$D$22,"")</f>
      </c>
      <c r="H28" s="584">
        <f>IF(AND(Projects!$C$22&lt;=H$4,H$4&lt;=Projects!$C$22+Projects!$D$22-1),Projects!$B$22/Projects!$D$22,"")</f>
      </c>
      <c r="I28" s="584">
        <f>IF(AND(Projects!$C$22&lt;=I$4,I$4&lt;=Projects!$C$22+Projects!$D$22-1),Projects!$B$22/Projects!$D$22,"")</f>
      </c>
      <c r="J28" s="584">
        <f>IF(AND(Projects!$C$22&lt;=J$4,J$4&lt;=Projects!$C$22+Projects!$D$22-1),Projects!$B$22/Projects!$D$22,"")</f>
      </c>
      <c r="K28" s="584">
        <f>IF(AND(Projects!$C$22&lt;=K$4,K$4&lt;=Projects!$C$22+Projects!$D$22-1),Projects!$B$22/Projects!$D$22,"")</f>
      </c>
      <c r="L28" s="584">
        <f>IF(AND(Projects!$C$22&lt;=L$4,L$4&lt;=Projects!$C$22+Projects!$D$22-1),Projects!$B$22/Projects!$D$22,"")</f>
      </c>
      <c r="M28" s="584">
        <f>IF(AND(Projects!$C$22&lt;=M$4,M$4&lt;=Projects!$C$22+Projects!$D$22-1),Projects!$B$22/Projects!$D$22,"")</f>
      </c>
      <c r="N28" s="584">
        <f>IF(AND(Projects!$C$22&lt;=N$4,N$4&lt;=Projects!$C$22+Projects!$D$22-1),Projects!$B$22/Projects!$D$22,"")</f>
      </c>
      <c r="O28" s="584">
        <f>IF(AND(Projects!$C$22&lt;=O$4,O$4&lt;=Projects!$C$22+Projects!$D$22-1),Projects!$B$22/Projects!$D$22,"")</f>
      </c>
      <c r="P28" s="584">
        <f>IF(AND(Projects!$C$22&lt;=P$4,P$4&lt;=Projects!$C$22+Projects!$D$22-1),Projects!$B$22/Projects!$D$22,"")</f>
      </c>
      <c r="Q28" s="584">
        <f>IF(AND(Projects!$C$22&lt;=Q$4,Q$4&lt;=Projects!$C$22+Projects!$D$22-1),Projects!$B$22/Projects!$D$22,"")</f>
      </c>
      <c r="R28" s="584">
        <f>IF(AND(Projects!$C$22&lt;=R$4,R$4&lt;=Projects!$C$22+Projects!$D$22-1),Projects!$B$22/Projects!$D$22,"")</f>
      </c>
      <c r="S28" s="584">
        <f>IF(AND(Projects!$C$22&lt;=S$4,S$4&lt;=Projects!$C$22+Projects!$D$22-1),Projects!$B$22/Projects!$D$22,"")</f>
      </c>
      <c r="T28" s="584">
        <f>IF(AND(Projects!$C$22&lt;=T$4,T$4&lt;=Projects!$C$22+Projects!$D$22-1),Projects!$B$22/Projects!$D$22,"")</f>
      </c>
      <c r="U28" s="584">
        <f>IF(AND(Projects!$C$22&lt;=U$4,U$4&lt;=Projects!$C$22+Projects!$D$22-1),Projects!$B$22/Projects!$D$22,"")</f>
      </c>
      <c r="V28" s="584">
        <f>IF(AND(Projects!$C$22&lt;=V$4,V$4&lt;=Projects!$C$22+Projects!$D$22-1),Projects!$B$22/Projects!$D$22,"")</f>
        <v>789473.684210526</v>
      </c>
      <c r="W28" s="584">
        <f>IF(AND(Projects!$C$22&lt;=W$4,W$4&lt;=Projects!$C$22+Projects!$D$22-1),Projects!$B$22/Projects!$D$22,"")</f>
        <v>789473.684210526</v>
      </c>
      <c r="X28" s="584">
        <f>IF(AND(Projects!$C$22&lt;=X$4,X$4&lt;=Projects!$C$22+Projects!$D$22-1),Projects!$B$22/Projects!$D$22,"")</f>
        <v>789473.684210526</v>
      </c>
      <c r="Y28" s="584">
        <f>IF(AND(Projects!$C$22&lt;=Y$4,Y$4&lt;=Projects!$C$22+Projects!$D$22-1),Projects!$B$22/Projects!$D$22,"")</f>
        <v>789473.684210526</v>
      </c>
      <c r="Z28" s="584">
        <f>IF(AND(Projects!$C$22&lt;=Z$4,Z$4&lt;=Projects!$C$22+Projects!$D$22-1),Projects!$B$22/Projects!$D$22,"")</f>
        <v>789473.684210526</v>
      </c>
      <c r="AA28" s="584">
        <f>IF(AND(Projects!$C$22&lt;=AA$4,AA$4&lt;=Projects!$C$22+Projects!$D$22-1),Projects!$B$22/Projects!$D$22,"")</f>
        <v>789473.684210526</v>
      </c>
      <c r="AB28" s="584">
        <f>IF(AND(Projects!$C$22&lt;=AB$4,AB$4&lt;=Projects!$C$22+Projects!$D$22-1),Projects!$B$22/Projects!$D$22,"")</f>
        <v>789473.684210526</v>
      </c>
      <c r="AC28" s="584">
        <f>IF(AND(Projects!$C$22&lt;=AC$4,AC$4&lt;=Projects!$C$22+Projects!$D$22-1),Projects!$B$22/Projects!$D$22,"")</f>
        <v>789473.684210526</v>
      </c>
      <c r="AD28" s="584">
        <f>IF(AND(Projects!$C$22&lt;=AD$4,AD$4&lt;=Projects!$C$22+Projects!$D$22-1),Projects!$B$22/Projects!$D$22,"")</f>
        <v>789473.684210526</v>
      </c>
      <c r="AE28" s="584">
        <f>IF(AND(Projects!$C$22&lt;=AE$4,AE$4&lt;=Projects!$C$22+Projects!$D$22-1),Projects!$B$22/Projects!$D$22,"")</f>
        <v>789473.684210526</v>
      </c>
      <c r="AF28" s="584">
        <f>IF(AND(Projects!$C$22&lt;=AF$4,AF$4&lt;=Projects!$C$22+Projects!$D$22-1),Projects!$B$22/Projects!$D$22,"")</f>
        <v>789473.684210526</v>
      </c>
      <c r="AG28" s="584">
        <f>IF(AND(Projects!$C$22&lt;=AG$4,AG$4&lt;=Projects!$C$22+Projects!$D$22-1),Projects!$B$22/Projects!$D$22,"")</f>
        <v>789473.684210526</v>
      </c>
      <c r="AH28" s="584">
        <f>IF(AND(Projects!$C$22&lt;=AH$4,AH$4&lt;=Projects!$C$22+Projects!$D$22-1),Projects!$B$22/Projects!$D$22,"")</f>
        <v>789473.684210526</v>
      </c>
      <c r="AI28" s="584">
        <f>IF(AND(Projects!$C$22&lt;=AI$4,AI$4&lt;=Projects!$C$22+Projects!$D$22-1),Projects!$B$22/Projects!$D$22,"")</f>
        <v>789473.684210526</v>
      </c>
      <c r="AJ28" s="584">
        <f>IF(AND(Projects!$C$22&lt;=AJ$4,AJ$4&lt;=Projects!$C$22+Projects!$D$22-1),Projects!$B$22/Projects!$D$22,"")</f>
        <v>789473.684210526</v>
      </c>
      <c r="AK28" s="584">
        <f>IF(AND(Projects!$C$22&lt;=AK$4,AK$4&lt;=Projects!$C$22+Projects!$D$22-1),Projects!$B$22/Projects!$D$22,"")</f>
        <v>789473.684210526</v>
      </c>
      <c r="AL28" s="584">
        <f>IF(AND(Projects!$C$22&lt;=AL$4,AL$4&lt;=Projects!$C$22+Projects!$D$22-1),Projects!$B$22/Projects!$D$22,"")</f>
        <v>789473.684210526</v>
      </c>
      <c r="AM28" s="584">
        <f>IF(AND(Projects!$C$22&lt;=AM$4,AM$4&lt;=Projects!$C$22+Projects!$D$22-1),Projects!$B$22/Projects!$D$22,"")</f>
        <v>789473.684210526</v>
      </c>
      <c r="AN28" s="584">
        <f>IF(AND(Projects!$C$22&lt;=AN$4,AN$4&lt;=Projects!$C$22+Projects!$D$22-1),Projects!$B$22/Projects!$D$22,"")</f>
        <v>789473.684210526</v>
      </c>
      <c r="AO28" s="584">
        <f>IF(AND(Projects!$C$22&lt;=AO$4,AO$4&lt;=Projects!$C$22+Projects!$D$22-1),Projects!$B$22/Projects!$D$22,"")</f>
      </c>
      <c r="AP28" s="584">
        <f>IF(AND(Projects!$C$22&lt;=AP$4,AP$4&lt;=Projects!$C$22+Projects!$D$22-1),Projects!$B$22/Projects!$D$22,"")</f>
      </c>
      <c r="AQ28" s="584">
        <f>IF(AND(Projects!$C$22&lt;=AQ$4,AQ$4&lt;=Projects!$C$22+Projects!$D$22-1),Projects!$B$22/Projects!$D$22,"")</f>
      </c>
      <c r="AR28" s="584">
        <f>IF(AND(Projects!$C$22&lt;=AR$4,AR$4&lt;=Projects!$C$22+Projects!$D$22-1),Projects!$B$22/Projects!$D$22,"")</f>
      </c>
      <c r="AS28" s="584">
        <f>IF(AND(Projects!$C$22&lt;=AS$4,AS$4&lt;=Projects!$C$22+Projects!$D$22-1),Projects!$B$22/Projects!$D$22,"")</f>
      </c>
      <c r="AT28" s="584">
        <f>IF(AND(Projects!$C$22&lt;=AT$4,AT$4&lt;=Projects!$C$22+Projects!$D$22-1),Projects!$B$22/Projects!$D$22,"")</f>
      </c>
      <c r="AU28" s="584">
        <f>IF(AND(Projects!$C$22&lt;=AU$4,AU$4&lt;=Projects!$C$22+Projects!$D$22-1),Projects!$B$22/Projects!$D$22,"")</f>
      </c>
      <c r="AV28" s="584">
        <f>IF(AND(Projects!$C$22&lt;=AV$4,AV$4&lt;=Projects!$C$22+Projects!$D$22-1),Projects!$B$22/Projects!$D$22,"")</f>
      </c>
      <c r="AW28" s="584">
        <f>IF(AND(Projects!$C$22&lt;=AW$4,AW$4&lt;=Projects!$C$22+Projects!$D$22-1),Projects!$B$22/Projects!$D$22,"")</f>
      </c>
      <c r="AX28" s="584">
        <f>IF(AND(Projects!$C$22&lt;=AX$4,AX$4&lt;=Projects!$C$22+Projects!$D$22-1),Projects!$B$22/Projects!$D$22,"")</f>
      </c>
      <c r="AY28" s="584">
        <f>IF(AND(Projects!$C$22&lt;=AY$4,AY$4&lt;=Projects!$C$22+Projects!$D$22-1),Projects!$B$22/Projects!$D$22,"")</f>
      </c>
      <c r="AZ28" s="584">
        <f>IF(AND(Projects!$C$22&lt;=AZ$4,AZ$4&lt;=Projects!$C$22+Projects!$D$22-1),Projects!$B$22/Projects!$D$22,"")</f>
      </c>
      <c r="BA28" s="584">
        <f>IF(AND(Projects!$C$22&lt;=BA$4,BA$4&lt;=Projects!$C$22+Projects!$D$22-1),Projects!$B$22/Projects!$D$22,"")</f>
      </c>
      <c r="BB28" s="584">
        <f>IF(AND(Projects!$C$22&lt;=BB$4,BB$4&lt;=Projects!$C$22+Projects!$D$22-1),Projects!$B$22/Projects!$D$22,"")</f>
      </c>
      <c r="BC28" s="584">
        <f>IF(AND(Projects!$C$22&lt;=BC$4,BC$4&lt;=Projects!$C$22+Projects!$D$22-1),Projects!$B$22/Projects!$D$22,"")</f>
      </c>
      <c r="BD28" s="584">
        <f>IF(AND(Projects!$C$22&lt;=BD$4,BD$4&lt;=Projects!$C$22+Projects!$D$22-1),Projects!$B$22/Projects!$D$22,"")</f>
      </c>
      <c r="BE28" s="584">
        <f>IF(AND(Projects!$C$22&lt;=BE$4,BE$4&lt;=Projects!$C$22+Projects!$D$22-1),Projects!$B$22/Projects!$D$22,"")</f>
      </c>
      <c r="BF28" s="584">
        <f>IF(AND(Projects!$C$22&lt;=BF$4,BF$4&lt;=Projects!$C$22+Projects!$D$22-1),Projects!$B$22/Projects!$D$22,"")</f>
      </c>
      <c r="BG28" s="584">
        <f>IF(AND(Projects!$C$22&lt;=BG$4,BG$4&lt;=Projects!$C$22+Projects!$D$22-1),Projects!$B$22/Projects!$D$22,"")</f>
      </c>
      <c r="BH28" s="584">
        <f>IF(AND(Projects!$C$22&lt;=BH$4,BH$4&lt;=Projects!$C$22+Projects!$D$22-1),Projects!$B$22/Projects!$D$22,"")</f>
      </c>
      <c r="BI28" s="584">
        <f>IF(AND(Projects!$C$22&lt;=BI$4,BI$4&lt;=Projects!$C$22+Projects!$D$22-1),Projects!$B$22/Projects!$D$22,"")</f>
      </c>
      <c r="BJ28" s="584">
        <f>IF(AND(Projects!$C$22&lt;=BJ$4,BJ$4&lt;=Projects!$C$22+Projects!$D$22-1),Projects!$B$22/Projects!$D$22,"")</f>
      </c>
      <c r="BK28" s="584">
        <f>IF(AND(Projects!$C$22&lt;=BK$4,BK$4&lt;=Projects!$C$22+Projects!$D$22-1),Projects!$B$22/Projects!$D$22,"")</f>
      </c>
      <c r="BL28" s="584">
        <f>IF(AND(Projects!$C$22&lt;=BL$4,BL$4&lt;=Projects!$C$22+Projects!$D$22-1),Projects!$B$22/Projects!$D$22,"")</f>
      </c>
      <c r="BM28" s="584">
        <f>IF(AND(Projects!$C$22&lt;=BM$4,BM$4&lt;=Projects!$C$22+Projects!$D$22-1),Projects!$B$22/Projects!$D$22,"")</f>
      </c>
      <c r="BN28" s="584">
        <f>IF(AND(Projects!$C$22&lt;=BN$4,BN$4&lt;=Projects!$C$22+Projects!$D$22-1),Projects!$B$22/Projects!$D$22,"")</f>
      </c>
      <c r="BO28" s="584">
        <f>IF(AND(Projects!$C$22&lt;=BO$4,BO$4&lt;=Projects!$C$22+Projects!$D$22-1),Projects!$B$22/Projects!$D$22,"")</f>
      </c>
      <c r="BP28" s="584">
        <f>IF(AND(Projects!$C$22&lt;=BP$4,BP$4&lt;=Projects!$C$22+Projects!$D$22-1),Projects!$B$22/Projects!$D$22,"")</f>
      </c>
      <c r="BQ28" s="584">
        <f>IF(AND(Projects!$C$22&lt;=BQ$4,BQ$4&lt;=Projects!$C$22+Projects!$D$22-1),Projects!$B$22/Projects!$D$22,"")</f>
      </c>
      <c r="BR28" s="584">
        <f>IF(AND(Projects!$C$22&lt;=BR$4,BR$4&lt;=Projects!$C$22+Projects!$D$22-1),Projects!$B$22/Projects!$D$22,"")</f>
      </c>
      <c r="BS28" s="584">
        <f>IF(AND(Projects!$C$22&lt;=BS$4,BS$4&lt;=Projects!$C$22+Projects!$D$22-1),Projects!$B$22/Projects!$D$22,"")</f>
      </c>
      <c r="BT28" s="584">
        <f>IF(AND(Projects!$C$22&lt;=BT$4,BT$4&lt;=Projects!$C$22+Projects!$D$22-1),Projects!$B$22/Projects!$D$22,"")</f>
      </c>
      <c r="BU28" s="584">
        <f>IF(AND(Projects!$C$22&lt;=BU$4,BU$4&lt;=Projects!$C$22+Projects!$D$22-1),Projects!$B$22/Projects!$D$22,"")</f>
      </c>
      <c r="BV28" s="584">
        <f>IF(AND(Projects!$C$22&lt;=BV$4,BV$4&lt;=Projects!$C$22+Projects!$D$22-1),Projects!$B$22/Projects!$D$22,"")</f>
      </c>
      <c r="BW28" s="584">
        <f>IF(AND(Projects!$C$22&lt;=BW$4,BW$4&lt;=Projects!$C$22+Projects!$D$22-1),Projects!$B$22/Projects!$D$22,"")</f>
      </c>
      <c r="BX28" s="584">
        <f>IF(AND(Projects!$C$22&lt;=BX$4,BX$4&lt;=Projects!$C$22+Projects!$D$22-1),Projects!$B$22/Projects!$D$22,"")</f>
      </c>
      <c r="BY28" s="584">
        <f>IF(AND(Projects!$C$22&lt;=BY$4,BY$4&lt;=Projects!$C$22+Projects!$D$22-1),Projects!$B$22/Projects!$D$22,"")</f>
      </c>
      <c r="BZ28" s="584">
        <f>IF(AND(Projects!$C$22&lt;=BZ$4,BZ$4&lt;=Projects!$C$22+Projects!$D$22-1),Projects!$B$22/Projects!$D$22,"")</f>
      </c>
      <c r="CA28" s="584">
        <f>IF(AND(Projects!$C$22&lt;=CA$4,CA$4&lt;=Projects!$C$22+Projects!$D$22-1),Projects!$B$22/Projects!$D$22,"")</f>
      </c>
      <c r="CB28" s="584">
        <f>IF(AND(Projects!$C$22&lt;=CB$4,CB$4&lt;=Projects!$C$22+Projects!$D$22-1),Projects!$B$22/Projects!$D$22,"")</f>
      </c>
      <c r="CC28" s="584">
        <f>IF(AND(Projects!$C$22&lt;=CC$4,CC$4&lt;=Projects!$C$22+Projects!$D$22-1),Projects!$B$22/Projects!$D$22,"")</f>
      </c>
      <c r="CD28" s="584">
        <f>IF(AND(Projects!$C$22&lt;=CD$4,CD$4&lt;=Projects!$C$22+Projects!$D$22-1),Projects!$B$22/Projects!$D$22,"")</f>
      </c>
      <c r="CE28" s="584">
        <f>IF(AND(Projects!$C$22&lt;=CE$4,CE$4&lt;=Projects!$C$22+Projects!$D$22-1),Projects!$B$22/Projects!$D$22,"")</f>
      </c>
      <c r="CF28" s="584">
        <f>IF(AND(Projects!$C$22&lt;=CF$4,CF$4&lt;=Projects!$C$22+Projects!$D$22-1),Projects!$B$22/Projects!$D$22,"")</f>
      </c>
      <c r="CG28" s="584">
        <f>IF(AND(Projects!$C$22&lt;=CG$4,CG$4&lt;=Projects!$C$22+Projects!$D$22-1),Projects!$B$22/Projects!$D$22,"")</f>
      </c>
      <c r="CH28" s="584">
        <f>IF(AND(Projects!$C$22&lt;=CH$4,CH$4&lt;=Projects!$C$22+Projects!$D$22-1),Projects!$B$22/Projects!$D$22,"")</f>
      </c>
      <c r="CI28" s="584">
        <f>IF(AND(Projects!$C$22&lt;=CI$4,CI$4&lt;=Projects!$C$22+Projects!$D$22-1),Projects!$B$22/Projects!$D$22,"")</f>
      </c>
      <c r="CJ28" s="584">
        <f>IF(AND(Projects!$C$22&lt;=CJ$4,CJ$4&lt;=Projects!$C$22+Projects!$D$22-1),Projects!$B$22/Projects!$D$22,"")</f>
      </c>
      <c r="CK28" s="584">
        <f>IF(AND(Projects!$C$22&lt;=CK$4,CK$4&lt;=Projects!$C$22+Projects!$D$22-1),Projects!$B$22/Projects!$D$22,"")</f>
      </c>
      <c r="CL28" s="584">
        <f>IF(AND(Projects!$C$22&lt;=CL$4,CL$4&lt;=Projects!$C$22+Projects!$D$22-1),Projects!$B$22/Projects!$D$22,"")</f>
      </c>
      <c r="CM28" s="584">
        <f>IF(AND(Projects!$C$22&lt;=CM$4,CM$4&lt;=Projects!$C$22+Projects!$D$22-1),Projects!$B$22/Projects!$D$22,"")</f>
      </c>
      <c r="CN28" s="584">
        <f>IF(AND(Projects!$C$22&lt;=CN$4,CN$4&lt;=Projects!$C$22+Projects!$D$22-1),Projects!$B$22/Projects!$D$22,"")</f>
      </c>
      <c r="CO28" s="584">
        <f>IF(AND(Projects!$C$22&lt;=CO$4,CO$4&lt;=Projects!$C$22+Projects!$D$22-1),Projects!$B$22/Projects!$D$22,"")</f>
      </c>
      <c r="CP28" s="584">
        <f>IF(AND(Projects!$C$22&lt;=CP$4,CP$4&lt;=Projects!$C$22+Projects!$D$22-1),Projects!$B$22/Projects!$D$22,"")</f>
      </c>
      <c r="CQ28" s="584">
        <f>IF(AND(Projects!$C$22&lt;=CQ$4,CQ$4&lt;=Projects!$C$22+Projects!$D$22-1),Projects!$B$22/Projects!$D$22,"")</f>
      </c>
      <c r="CR28" s="584">
        <f>IF(AND(Projects!$C$22&lt;=CR$4,CR$4&lt;=Projects!$C$22+Projects!$D$22-1),Projects!$B$22/Projects!$D$22,"")</f>
      </c>
      <c r="CS28" s="584">
        <f>IF(AND(Projects!$C$22&lt;=CS$4,CS$4&lt;=Projects!$C$22+Projects!$D$22-1),Projects!$B$22/Projects!$D$22,"")</f>
      </c>
      <c r="CT28" s="584">
        <f>IF(AND(Projects!$C$22&lt;=CT$4,CT$4&lt;=Projects!$C$22+Projects!$D$22-1),Projects!$B$22/Projects!$D$22,"")</f>
      </c>
      <c r="CU28" s="584">
        <f>IF(AND(Projects!$C$22&lt;=CU$4,CU$4&lt;=Projects!$C$22+Projects!$D$22-1),Projects!$B$22/Projects!$D$22,"")</f>
      </c>
      <c r="CV28" s="584">
        <f>IF(AND(Projects!$C$22&lt;=CV$4,CV$4&lt;=Projects!$C$22+Projects!$D$22-1),Projects!$B$22/Projects!$D$22,"")</f>
      </c>
      <c r="CW28" s="584">
        <f>IF(AND(Projects!$C$22&lt;=CW$4,CW$4&lt;=Projects!$C$22+Projects!$D$22-1),Projects!$B$22/Projects!$D$22,"")</f>
      </c>
      <c r="CX28" s="584">
        <f>IF(AND(Projects!$C$22&lt;=CX$4,CX$4&lt;=Projects!$C$22+Projects!$D$22-1),Projects!$B$22/Projects!$D$22,"")</f>
      </c>
      <c r="CY28" s="584">
        <f>IF(AND(Projects!$C$22&lt;=CY$4,CY$4&lt;=Projects!$C$22+Projects!$D$22-1),Projects!$B$22/Projects!$D$22,"")</f>
      </c>
      <c r="CZ28" s="584">
        <f>IF(AND(Projects!$C$22&lt;=CZ$4,CZ$4&lt;=Projects!$C$22+Projects!$D$22-1),Projects!$B$22/Projects!$D$22,"")</f>
      </c>
      <c r="DA28" s="584">
        <f>IF(AND(Projects!$C$22&lt;=DA$4,DA$4&lt;=Projects!$C$22+Projects!$D$22-1),Projects!$B$22/Projects!$D$22,"")</f>
      </c>
      <c r="DB28" s="584">
        <f>IF(AND(Projects!$C$22&lt;=DB$4,DB$4&lt;=Projects!$C$22+Projects!$D$22-1),Projects!$B$22/Projects!$D$22,"")</f>
      </c>
    </row>
    <row r="29" ht="15" customFormat="1" customHeight="1" s="381">
      <c r="A29" s="513" t="inlineStr">
        <is>
          <t>BD-07</t>
        </is>
      </c>
      <c r="B29" s="581">
        <f>Projects!$B$23</f>
        <v>15000000</v>
      </c>
      <c r="C29" s="582">
        <f>EDATE(Model!$E$2,Projects!$C$23-1)</f>
        <v>46600</v>
      </c>
      <c r="D29" s="582">
        <f>EDATE(Model!$E$2,Projects!$C$23+Projects!$D$23-2)</f>
        <v>47150</v>
      </c>
      <c r="E29" s="583">
        <f>Projects!$D$23</f>
        <v>19</v>
      </c>
      <c r="F29" s="581">
        <f>Projects!$B$23/Projects!$D$23</f>
        <v>789473.684210526</v>
      </c>
      <c r="G29" s="584">
        <f>IF(AND(Projects!$C$23&lt;=G$4,G$4&lt;=Projects!$C$23+Projects!$D$23-1),Projects!$B$23/Projects!$D$23,"")</f>
      </c>
      <c r="H29" s="584">
        <f>IF(AND(Projects!$C$23&lt;=H$4,H$4&lt;=Projects!$C$23+Projects!$D$23-1),Projects!$B$23/Projects!$D$23,"")</f>
      </c>
      <c r="I29" s="584">
        <f>IF(AND(Projects!$C$23&lt;=I$4,I$4&lt;=Projects!$C$23+Projects!$D$23-1),Projects!$B$23/Projects!$D$23,"")</f>
      </c>
      <c r="J29" s="584">
        <f>IF(AND(Projects!$C$23&lt;=J$4,J$4&lt;=Projects!$C$23+Projects!$D$23-1),Projects!$B$23/Projects!$D$23,"")</f>
      </c>
      <c r="K29" s="584">
        <f>IF(AND(Projects!$C$23&lt;=K$4,K$4&lt;=Projects!$C$23+Projects!$D$23-1),Projects!$B$23/Projects!$D$23,"")</f>
      </c>
      <c r="L29" s="584">
        <f>IF(AND(Projects!$C$23&lt;=L$4,L$4&lt;=Projects!$C$23+Projects!$D$23-1),Projects!$B$23/Projects!$D$23,"")</f>
      </c>
      <c r="M29" s="584">
        <f>IF(AND(Projects!$C$23&lt;=M$4,M$4&lt;=Projects!$C$23+Projects!$D$23-1),Projects!$B$23/Projects!$D$23,"")</f>
      </c>
      <c r="N29" s="584">
        <f>IF(AND(Projects!$C$23&lt;=N$4,N$4&lt;=Projects!$C$23+Projects!$D$23-1),Projects!$B$23/Projects!$D$23,"")</f>
      </c>
      <c r="O29" s="584">
        <f>IF(AND(Projects!$C$23&lt;=O$4,O$4&lt;=Projects!$C$23+Projects!$D$23-1),Projects!$B$23/Projects!$D$23,"")</f>
      </c>
      <c r="P29" s="584">
        <f>IF(AND(Projects!$C$23&lt;=P$4,P$4&lt;=Projects!$C$23+Projects!$D$23-1),Projects!$B$23/Projects!$D$23,"")</f>
      </c>
      <c r="Q29" s="584">
        <f>IF(AND(Projects!$C$23&lt;=Q$4,Q$4&lt;=Projects!$C$23+Projects!$D$23-1),Projects!$B$23/Projects!$D$23,"")</f>
      </c>
      <c r="R29" s="584">
        <f>IF(AND(Projects!$C$23&lt;=R$4,R$4&lt;=Projects!$C$23+Projects!$D$23-1),Projects!$B$23/Projects!$D$23,"")</f>
      </c>
      <c r="S29" s="584">
        <f>IF(AND(Projects!$C$23&lt;=S$4,S$4&lt;=Projects!$C$23+Projects!$D$23-1),Projects!$B$23/Projects!$D$23,"")</f>
      </c>
      <c r="T29" s="584">
        <f>IF(AND(Projects!$C$23&lt;=T$4,T$4&lt;=Projects!$C$23+Projects!$D$23-1),Projects!$B$23/Projects!$D$23,"")</f>
      </c>
      <c r="U29" s="584">
        <f>IF(AND(Projects!$C$23&lt;=U$4,U$4&lt;=Projects!$C$23+Projects!$D$23-1),Projects!$B$23/Projects!$D$23,"")</f>
      </c>
      <c r="V29" s="584">
        <f>IF(AND(Projects!$C$23&lt;=V$4,V$4&lt;=Projects!$C$23+Projects!$D$23-1),Projects!$B$23/Projects!$D$23,"")</f>
      </c>
      <c r="W29" s="584">
        <f>IF(AND(Projects!$C$23&lt;=W$4,W$4&lt;=Projects!$C$23+Projects!$D$23-1),Projects!$B$23/Projects!$D$23,"")</f>
        <v>789473.684210526</v>
      </c>
      <c r="X29" s="584">
        <f>IF(AND(Projects!$C$23&lt;=X$4,X$4&lt;=Projects!$C$23+Projects!$D$23-1),Projects!$B$23/Projects!$D$23,"")</f>
        <v>789473.684210526</v>
      </c>
      <c r="Y29" s="584">
        <f>IF(AND(Projects!$C$23&lt;=Y$4,Y$4&lt;=Projects!$C$23+Projects!$D$23-1),Projects!$B$23/Projects!$D$23,"")</f>
        <v>789473.684210526</v>
      </c>
      <c r="Z29" s="584">
        <f>IF(AND(Projects!$C$23&lt;=Z$4,Z$4&lt;=Projects!$C$23+Projects!$D$23-1),Projects!$B$23/Projects!$D$23,"")</f>
        <v>789473.684210526</v>
      </c>
      <c r="AA29" s="584">
        <f>IF(AND(Projects!$C$23&lt;=AA$4,AA$4&lt;=Projects!$C$23+Projects!$D$23-1),Projects!$B$23/Projects!$D$23,"")</f>
        <v>789473.684210526</v>
      </c>
      <c r="AB29" s="584">
        <f>IF(AND(Projects!$C$23&lt;=AB$4,AB$4&lt;=Projects!$C$23+Projects!$D$23-1),Projects!$B$23/Projects!$D$23,"")</f>
        <v>789473.684210526</v>
      </c>
      <c r="AC29" s="584">
        <f>IF(AND(Projects!$C$23&lt;=AC$4,AC$4&lt;=Projects!$C$23+Projects!$D$23-1),Projects!$B$23/Projects!$D$23,"")</f>
        <v>789473.684210526</v>
      </c>
      <c r="AD29" s="584">
        <f>IF(AND(Projects!$C$23&lt;=AD$4,AD$4&lt;=Projects!$C$23+Projects!$D$23-1),Projects!$B$23/Projects!$D$23,"")</f>
        <v>789473.684210526</v>
      </c>
      <c r="AE29" s="584">
        <f>IF(AND(Projects!$C$23&lt;=AE$4,AE$4&lt;=Projects!$C$23+Projects!$D$23-1),Projects!$B$23/Projects!$D$23,"")</f>
        <v>789473.684210526</v>
      </c>
      <c r="AF29" s="584">
        <f>IF(AND(Projects!$C$23&lt;=AF$4,AF$4&lt;=Projects!$C$23+Projects!$D$23-1),Projects!$B$23/Projects!$D$23,"")</f>
        <v>789473.684210526</v>
      </c>
      <c r="AG29" s="584">
        <f>IF(AND(Projects!$C$23&lt;=AG$4,AG$4&lt;=Projects!$C$23+Projects!$D$23-1),Projects!$B$23/Projects!$D$23,"")</f>
        <v>789473.684210526</v>
      </c>
      <c r="AH29" s="584">
        <f>IF(AND(Projects!$C$23&lt;=AH$4,AH$4&lt;=Projects!$C$23+Projects!$D$23-1),Projects!$B$23/Projects!$D$23,"")</f>
        <v>789473.684210526</v>
      </c>
      <c r="AI29" s="584">
        <f>IF(AND(Projects!$C$23&lt;=AI$4,AI$4&lt;=Projects!$C$23+Projects!$D$23-1),Projects!$B$23/Projects!$D$23,"")</f>
        <v>789473.684210526</v>
      </c>
      <c r="AJ29" s="584">
        <f>IF(AND(Projects!$C$23&lt;=AJ$4,AJ$4&lt;=Projects!$C$23+Projects!$D$23-1),Projects!$B$23/Projects!$D$23,"")</f>
        <v>789473.684210526</v>
      </c>
      <c r="AK29" s="584">
        <f>IF(AND(Projects!$C$23&lt;=AK$4,AK$4&lt;=Projects!$C$23+Projects!$D$23-1),Projects!$B$23/Projects!$D$23,"")</f>
        <v>789473.684210526</v>
      </c>
      <c r="AL29" s="584">
        <f>IF(AND(Projects!$C$23&lt;=AL$4,AL$4&lt;=Projects!$C$23+Projects!$D$23-1),Projects!$B$23/Projects!$D$23,"")</f>
        <v>789473.684210526</v>
      </c>
      <c r="AM29" s="584">
        <f>IF(AND(Projects!$C$23&lt;=AM$4,AM$4&lt;=Projects!$C$23+Projects!$D$23-1),Projects!$B$23/Projects!$D$23,"")</f>
        <v>789473.684210526</v>
      </c>
      <c r="AN29" s="584">
        <f>IF(AND(Projects!$C$23&lt;=AN$4,AN$4&lt;=Projects!$C$23+Projects!$D$23-1),Projects!$B$23/Projects!$D$23,"")</f>
        <v>789473.684210526</v>
      </c>
      <c r="AO29" s="584">
        <f>IF(AND(Projects!$C$23&lt;=AO$4,AO$4&lt;=Projects!$C$23+Projects!$D$23-1),Projects!$B$23/Projects!$D$23,"")</f>
        <v>789473.684210526</v>
      </c>
      <c r="AP29" s="584">
        <f>IF(AND(Projects!$C$23&lt;=AP$4,AP$4&lt;=Projects!$C$23+Projects!$D$23-1),Projects!$B$23/Projects!$D$23,"")</f>
      </c>
      <c r="AQ29" s="584">
        <f>IF(AND(Projects!$C$23&lt;=AQ$4,AQ$4&lt;=Projects!$C$23+Projects!$D$23-1),Projects!$B$23/Projects!$D$23,"")</f>
      </c>
      <c r="AR29" s="584">
        <f>IF(AND(Projects!$C$23&lt;=AR$4,AR$4&lt;=Projects!$C$23+Projects!$D$23-1),Projects!$B$23/Projects!$D$23,"")</f>
      </c>
      <c r="AS29" s="584">
        <f>IF(AND(Projects!$C$23&lt;=AS$4,AS$4&lt;=Projects!$C$23+Projects!$D$23-1),Projects!$B$23/Projects!$D$23,"")</f>
      </c>
      <c r="AT29" s="584">
        <f>IF(AND(Projects!$C$23&lt;=AT$4,AT$4&lt;=Projects!$C$23+Projects!$D$23-1),Projects!$B$23/Projects!$D$23,"")</f>
      </c>
      <c r="AU29" s="584">
        <f>IF(AND(Projects!$C$23&lt;=AU$4,AU$4&lt;=Projects!$C$23+Projects!$D$23-1),Projects!$B$23/Projects!$D$23,"")</f>
      </c>
      <c r="AV29" s="584">
        <f>IF(AND(Projects!$C$23&lt;=AV$4,AV$4&lt;=Projects!$C$23+Projects!$D$23-1),Projects!$B$23/Projects!$D$23,"")</f>
      </c>
      <c r="AW29" s="584">
        <f>IF(AND(Projects!$C$23&lt;=AW$4,AW$4&lt;=Projects!$C$23+Projects!$D$23-1),Projects!$B$23/Projects!$D$23,"")</f>
      </c>
      <c r="AX29" s="584">
        <f>IF(AND(Projects!$C$23&lt;=AX$4,AX$4&lt;=Projects!$C$23+Projects!$D$23-1),Projects!$B$23/Projects!$D$23,"")</f>
      </c>
      <c r="AY29" s="584">
        <f>IF(AND(Projects!$C$23&lt;=AY$4,AY$4&lt;=Projects!$C$23+Projects!$D$23-1),Projects!$B$23/Projects!$D$23,"")</f>
      </c>
      <c r="AZ29" s="584">
        <f>IF(AND(Projects!$C$23&lt;=AZ$4,AZ$4&lt;=Projects!$C$23+Projects!$D$23-1),Projects!$B$23/Projects!$D$23,"")</f>
      </c>
      <c r="BA29" s="584">
        <f>IF(AND(Projects!$C$23&lt;=BA$4,BA$4&lt;=Projects!$C$23+Projects!$D$23-1),Projects!$B$23/Projects!$D$23,"")</f>
      </c>
      <c r="BB29" s="584">
        <f>IF(AND(Projects!$C$23&lt;=BB$4,BB$4&lt;=Projects!$C$23+Projects!$D$23-1),Projects!$B$23/Projects!$D$23,"")</f>
      </c>
      <c r="BC29" s="584">
        <f>IF(AND(Projects!$C$23&lt;=BC$4,BC$4&lt;=Projects!$C$23+Projects!$D$23-1),Projects!$B$23/Projects!$D$23,"")</f>
      </c>
      <c r="BD29" s="584">
        <f>IF(AND(Projects!$C$23&lt;=BD$4,BD$4&lt;=Projects!$C$23+Projects!$D$23-1),Projects!$B$23/Projects!$D$23,"")</f>
      </c>
      <c r="BE29" s="584">
        <f>IF(AND(Projects!$C$23&lt;=BE$4,BE$4&lt;=Projects!$C$23+Projects!$D$23-1),Projects!$B$23/Projects!$D$23,"")</f>
      </c>
      <c r="BF29" s="584">
        <f>IF(AND(Projects!$C$23&lt;=BF$4,BF$4&lt;=Projects!$C$23+Projects!$D$23-1),Projects!$B$23/Projects!$D$23,"")</f>
      </c>
      <c r="BG29" s="584">
        <f>IF(AND(Projects!$C$23&lt;=BG$4,BG$4&lt;=Projects!$C$23+Projects!$D$23-1),Projects!$B$23/Projects!$D$23,"")</f>
      </c>
      <c r="BH29" s="584">
        <f>IF(AND(Projects!$C$23&lt;=BH$4,BH$4&lt;=Projects!$C$23+Projects!$D$23-1),Projects!$B$23/Projects!$D$23,"")</f>
      </c>
      <c r="BI29" s="584">
        <f>IF(AND(Projects!$C$23&lt;=BI$4,BI$4&lt;=Projects!$C$23+Projects!$D$23-1),Projects!$B$23/Projects!$D$23,"")</f>
      </c>
      <c r="BJ29" s="584">
        <f>IF(AND(Projects!$C$23&lt;=BJ$4,BJ$4&lt;=Projects!$C$23+Projects!$D$23-1),Projects!$B$23/Projects!$D$23,"")</f>
      </c>
      <c r="BK29" s="584">
        <f>IF(AND(Projects!$C$23&lt;=BK$4,BK$4&lt;=Projects!$C$23+Projects!$D$23-1),Projects!$B$23/Projects!$D$23,"")</f>
      </c>
      <c r="BL29" s="584">
        <f>IF(AND(Projects!$C$23&lt;=BL$4,BL$4&lt;=Projects!$C$23+Projects!$D$23-1),Projects!$B$23/Projects!$D$23,"")</f>
      </c>
      <c r="BM29" s="584">
        <f>IF(AND(Projects!$C$23&lt;=BM$4,BM$4&lt;=Projects!$C$23+Projects!$D$23-1),Projects!$B$23/Projects!$D$23,"")</f>
      </c>
      <c r="BN29" s="584">
        <f>IF(AND(Projects!$C$23&lt;=BN$4,BN$4&lt;=Projects!$C$23+Projects!$D$23-1),Projects!$B$23/Projects!$D$23,"")</f>
      </c>
      <c r="BO29" s="584">
        <f>IF(AND(Projects!$C$23&lt;=BO$4,BO$4&lt;=Projects!$C$23+Projects!$D$23-1),Projects!$B$23/Projects!$D$23,"")</f>
      </c>
      <c r="BP29" s="584">
        <f>IF(AND(Projects!$C$23&lt;=BP$4,BP$4&lt;=Projects!$C$23+Projects!$D$23-1),Projects!$B$23/Projects!$D$23,"")</f>
      </c>
      <c r="BQ29" s="584">
        <f>IF(AND(Projects!$C$23&lt;=BQ$4,BQ$4&lt;=Projects!$C$23+Projects!$D$23-1),Projects!$B$23/Projects!$D$23,"")</f>
      </c>
      <c r="BR29" s="584">
        <f>IF(AND(Projects!$C$23&lt;=BR$4,BR$4&lt;=Projects!$C$23+Projects!$D$23-1),Projects!$B$23/Projects!$D$23,"")</f>
      </c>
      <c r="BS29" s="584">
        <f>IF(AND(Projects!$C$23&lt;=BS$4,BS$4&lt;=Projects!$C$23+Projects!$D$23-1),Projects!$B$23/Projects!$D$23,"")</f>
      </c>
      <c r="BT29" s="584">
        <f>IF(AND(Projects!$C$23&lt;=BT$4,BT$4&lt;=Projects!$C$23+Projects!$D$23-1),Projects!$B$23/Projects!$D$23,"")</f>
      </c>
      <c r="BU29" s="584">
        <f>IF(AND(Projects!$C$23&lt;=BU$4,BU$4&lt;=Projects!$C$23+Projects!$D$23-1),Projects!$B$23/Projects!$D$23,"")</f>
      </c>
      <c r="BV29" s="584">
        <f>IF(AND(Projects!$C$23&lt;=BV$4,BV$4&lt;=Projects!$C$23+Projects!$D$23-1),Projects!$B$23/Projects!$D$23,"")</f>
      </c>
      <c r="BW29" s="584">
        <f>IF(AND(Projects!$C$23&lt;=BW$4,BW$4&lt;=Projects!$C$23+Projects!$D$23-1),Projects!$B$23/Projects!$D$23,"")</f>
      </c>
      <c r="BX29" s="584">
        <f>IF(AND(Projects!$C$23&lt;=BX$4,BX$4&lt;=Projects!$C$23+Projects!$D$23-1),Projects!$B$23/Projects!$D$23,"")</f>
      </c>
      <c r="BY29" s="584">
        <f>IF(AND(Projects!$C$23&lt;=BY$4,BY$4&lt;=Projects!$C$23+Projects!$D$23-1),Projects!$B$23/Projects!$D$23,"")</f>
      </c>
      <c r="BZ29" s="584">
        <f>IF(AND(Projects!$C$23&lt;=BZ$4,BZ$4&lt;=Projects!$C$23+Projects!$D$23-1),Projects!$B$23/Projects!$D$23,"")</f>
      </c>
      <c r="CA29" s="584">
        <f>IF(AND(Projects!$C$23&lt;=CA$4,CA$4&lt;=Projects!$C$23+Projects!$D$23-1),Projects!$B$23/Projects!$D$23,"")</f>
      </c>
      <c r="CB29" s="584">
        <f>IF(AND(Projects!$C$23&lt;=CB$4,CB$4&lt;=Projects!$C$23+Projects!$D$23-1),Projects!$B$23/Projects!$D$23,"")</f>
      </c>
      <c r="CC29" s="584">
        <f>IF(AND(Projects!$C$23&lt;=CC$4,CC$4&lt;=Projects!$C$23+Projects!$D$23-1),Projects!$B$23/Projects!$D$23,"")</f>
      </c>
      <c r="CD29" s="584">
        <f>IF(AND(Projects!$C$23&lt;=CD$4,CD$4&lt;=Projects!$C$23+Projects!$D$23-1),Projects!$B$23/Projects!$D$23,"")</f>
      </c>
      <c r="CE29" s="584">
        <f>IF(AND(Projects!$C$23&lt;=CE$4,CE$4&lt;=Projects!$C$23+Projects!$D$23-1),Projects!$B$23/Projects!$D$23,"")</f>
      </c>
      <c r="CF29" s="584">
        <f>IF(AND(Projects!$C$23&lt;=CF$4,CF$4&lt;=Projects!$C$23+Projects!$D$23-1),Projects!$B$23/Projects!$D$23,"")</f>
      </c>
      <c r="CG29" s="584">
        <f>IF(AND(Projects!$C$23&lt;=CG$4,CG$4&lt;=Projects!$C$23+Projects!$D$23-1),Projects!$B$23/Projects!$D$23,"")</f>
      </c>
      <c r="CH29" s="584">
        <f>IF(AND(Projects!$C$23&lt;=CH$4,CH$4&lt;=Projects!$C$23+Projects!$D$23-1),Projects!$B$23/Projects!$D$23,"")</f>
      </c>
      <c r="CI29" s="584">
        <f>IF(AND(Projects!$C$23&lt;=CI$4,CI$4&lt;=Projects!$C$23+Projects!$D$23-1),Projects!$B$23/Projects!$D$23,"")</f>
      </c>
      <c r="CJ29" s="584">
        <f>IF(AND(Projects!$C$23&lt;=CJ$4,CJ$4&lt;=Projects!$C$23+Projects!$D$23-1),Projects!$B$23/Projects!$D$23,"")</f>
      </c>
      <c r="CK29" s="584">
        <f>IF(AND(Projects!$C$23&lt;=CK$4,CK$4&lt;=Projects!$C$23+Projects!$D$23-1),Projects!$B$23/Projects!$D$23,"")</f>
      </c>
      <c r="CL29" s="584">
        <f>IF(AND(Projects!$C$23&lt;=CL$4,CL$4&lt;=Projects!$C$23+Projects!$D$23-1),Projects!$B$23/Projects!$D$23,"")</f>
      </c>
      <c r="CM29" s="584">
        <f>IF(AND(Projects!$C$23&lt;=CM$4,CM$4&lt;=Projects!$C$23+Projects!$D$23-1),Projects!$B$23/Projects!$D$23,"")</f>
      </c>
      <c r="CN29" s="584">
        <f>IF(AND(Projects!$C$23&lt;=CN$4,CN$4&lt;=Projects!$C$23+Projects!$D$23-1),Projects!$B$23/Projects!$D$23,"")</f>
      </c>
      <c r="CO29" s="584">
        <f>IF(AND(Projects!$C$23&lt;=CO$4,CO$4&lt;=Projects!$C$23+Projects!$D$23-1),Projects!$B$23/Projects!$D$23,"")</f>
      </c>
      <c r="CP29" s="584">
        <f>IF(AND(Projects!$C$23&lt;=CP$4,CP$4&lt;=Projects!$C$23+Projects!$D$23-1),Projects!$B$23/Projects!$D$23,"")</f>
      </c>
      <c r="CQ29" s="584">
        <f>IF(AND(Projects!$C$23&lt;=CQ$4,CQ$4&lt;=Projects!$C$23+Projects!$D$23-1),Projects!$B$23/Projects!$D$23,"")</f>
      </c>
      <c r="CR29" s="584">
        <f>IF(AND(Projects!$C$23&lt;=CR$4,CR$4&lt;=Projects!$C$23+Projects!$D$23-1),Projects!$B$23/Projects!$D$23,"")</f>
      </c>
      <c r="CS29" s="584">
        <f>IF(AND(Projects!$C$23&lt;=CS$4,CS$4&lt;=Projects!$C$23+Projects!$D$23-1),Projects!$B$23/Projects!$D$23,"")</f>
      </c>
      <c r="CT29" s="584">
        <f>IF(AND(Projects!$C$23&lt;=CT$4,CT$4&lt;=Projects!$C$23+Projects!$D$23-1),Projects!$B$23/Projects!$D$23,"")</f>
      </c>
      <c r="CU29" s="584">
        <f>IF(AND(Projects!$C$23&lt;=CU$4,CU$4&lt;=Projects!$C$23+Projects!$D$23-1),Projects!$B$23/Projects!$D$23,"")</f>
      </c>
      <c r="CV29" s="584">
        <f>IF(AND(Projects!$C$23&lt;=CV$4,CV$4&lt;=Projects!$C$23+Projects!$D$23-1),Projects!$B$23/Projects!$D$23,"")</f>
      </c>
      <c r="CW29" s="584">
        <f>IF(AND(Projects!$C$23&lt;=CW$4,CW$4&lt;=Projects!$C$23+Projects!$D$23-1),Projects!$B$23/Projects!$D$23,"")</f>
      </c>
      <c r="CX29" s="584">
        <f>IF(AND(Projects!$C$23&lt;=CX$4,CX$4&lt;=Projects!$C$23+Projects!$D$23-1),Projects!$B$23/Projects!$D$23,"")</f>
      </c>
      <c r="CY29" s="584">
        <f>IF(AND(Projects!$C$23&lt;=CY$4,CY$4&lt;=Projects!$C$23+Projects!$D$23-1),Projects!$B$23/Projects!$D$23,"")</f>
      </c>
      <c r="CZ29" s="584">
        <f>IF(AND(Projects!$C$23&lt;=CZ$4,CZ$4&lt;=Projects!$C$23+Projects!$D$23-1),Projects!$B$23/Projects!$D$23,"")</f>
      </c>
      <c r="DA29" s="584">
        <f>IF(AND(Projects!$C$23&lt;=DA$4,DA$4&lt;=Projects!$C$23+Projects!$D$23-1),Projects!$B$23/Projects!$D$23,"")</f>
      </c>
      <c r="DB29" s="584">
        <f>IF(AND(Projects!$C$23&lt;=DB$4,DB$4&lt;=Projects!$C$23+Projects!$D$23-1),Projects!$B$23/Projects!$D$23,"")</f>
      </c>
    </row>
    <row r="30" ht="15" customFormat="1" customHeight="1" s="381">
      <c r="A30" s="513" t="inlineStr">
        <is>
          <t>BD-08</t>
        </is>
      </c>
      <c r="B30" s="581">
        <f>Projects!$B$24</f>
        <v>18000000</v>
      </c>
      <c r="C30" s="582">
        <f>EDATE(Model!$E$2,Projects!$C$24-1)</f>
        <v>46813</v>
      </c>
      <c r="D30" s="582">
        <f>EDATE(Model!$E$2,Projects!$C$24+Projects!$D$24-2)</f>
        <v>47362</v>
      </c>
      <c r="E30" s="583">
        <f>Projects!$D$24</f>
        <v>19</v>
      </c>
      <c r="F30" s="581">
        <f>Projects!$B$24/Projects!$D$24</f>
        <v>947368.421052632</v>
      </c>
      <c r="G30" s="584">
        <f>IF(AND(Projects!$C$24&lt;=G$4,G$4&lt;=Projects!$C$24+Projects!$D$24-1),Projects!$B$24/Projects!$D$24,"")</f>
      </c>
      <c r="H30" s="584">
        <f>IF(AND(Projects!$C$24&lt;=H$4,H$4&lt;=Projects!$C$24+Projects!$D$24-1),Projects!$B$24/Projects!$D$24,"")</f>
      </c>
      <c r="I30" s="584">
        <f>IF(AND(Projects!$C$24&lt;=I$4,I$4&lt;=Projects!$C$24+Projects!$D$24-1),Projects!$B$24/Projects!$D$24,"")</f>
      </c>
      <c r="J30" s="584">
        <f>IF(AND(Projects!$C$24&lt;=J$4,J$4&lt;=Projects!$C$24+Projects!$D$24-1),Projects!$B$24/Projects!$D$24,"")</f>
      </c>
      <c r="K30" s="584">
        <f>IF(AND(Projects!$C$24&lt;=K$4,K$4&lt;=Projects!$C$24+Projects!$D$24-1),Projects!$B$24/Projects!$D$24,"")</f>
      </c>
      <c r="L30" s="584">
        <f>IF(AND(Projects!$C$24&lt;=L$4,L$4&lt;=Projects!$C$24+Projects!$D$24-1),Projects!$B$24/Projects!$D$24,"")</f>
      </c>
      <c r="M30" s="584">
        <f>IF(AND(Projects!$C$24&lt;=M$4,M$4&lt;=Projects!$C$24+Projects!$D$24-1),Projects!$B$24/Projects!$D$24,"")</f>
      </c>
      <c r="N30" s="584">
        <f>IF(AND(Projects!$C$24&lt;=N$4,N$4&lt;=Projects!$C$24+Projects!$D$24-1),Projects!$B$24/Projects!$D$24,"")</f>
      </c>
      <c r="O30" s="584">
        <f>IF(AND(Projects!$C$24&lt;=O$4,O$4&lt;=Projects!$C$24+Projects!$D$24-1),Projects!$B$24/Projects!$D$24,"")</f>
      </c>
      <c r="P30" s="584">
        <f>IF(AND(Projects!$C$24&lt;=P$4,P$4&lt;=Projects!$C$24+Projects!$D$24-1),Projects!$B$24/Projects!$D$24,"")</f>
      </c>
      <c r="Q30" s="584">
        <f>IF(AND(Projects!$C$24&lt;=Q$4,Q$4&lt;=Projects!$C$24+Projects!$D$24-1),Projects!$B$24/Projects!$D$24,"")</f>
      </c>
      <c r="R30" s="584">
        <f>IF(AND(Projects!$C$24&lt;=R$4,R$4&lt;=Projects!$C$24+Projects!$D$24-1),Projects!$B$24/Projects!$D$24,"")</f>
      </c>
      <c r="S30" s="584">
        <f>IF(AND(Projects!$C$24&lt;=S$4,S$4&lt;=Projects!$C$24+Projects!$D$24-1),Projects!$B$24/Projects!$D$24,"")</f>
      </c>
      <c r="T30" s="584">
        <f>IF(AND(Projects!$C$24&lt;=T$4,T$4&lt;=Projects!$C$24+Projects!$D$24-1),Projects!$B$24/Projects!$D$24,"")</f>
      </c>
      <c r="U30" s="584">
        <f>IF(AND(Projects!$C$24&lt;=U$4,U$4&lt;=Projects!$C$24+Projects!$D$24-1),Projects!$B$24/Projects!$D$24,"")</f>
      </c>
      <c r="V30" s="584">
        <f>IF(AND(Projects!$C$24&lt;=V$4,V$4&lt;=Projects!$C$24+Projects!$D$24-1),Projects!$B$24/Projects!$D$24,"")</f>
      </c>
      <c r="W30" s="584">
        <f>IF(AND(Projects!$C$24&lt;=W$4,W$4&lt;=Projects!$C$24+Projects!$D$24-1),Projects!$B$24/Projects!$D$24,"")</f>
      </c>
      <c r="X30" s="584">
        <f>IF(AND(Projects!$C$24&lt;=X$4,X$4&lt;=Projects!$C$24+Projects!$D$24-1),Projects!$B$24/Projects!$D$24,"")</f>
      </c>
      <c r="Y30" s="584">
        <f>IF(AND(Projects!$C$24&lt;=Y$4,Y$4&lt;=Projects!$C$24+Projects!$D$24-1),Projects!$B$24/Projects!$D$24,"")</f>
      </c>
      <c r="Z30" s="584">
        <f>IF(AND(Projects!$C$24&lt;=Z$4,Z$4&lt;=Projects!$C$24+Projects!$D$24-1),Projects!$B$24/Projects!$D$24,"")</f>
      </c>
      <c r="AA30" s="584">
        <f>IF(AND(Projects!$C$24&lt;=AA$4,AA$4&lt;=Projects!$C$24+Projects!$D$24-1),Projects!$B$24/Projects!$D$24,"")</f>
      </c>
      <c r="AB30" s="584">
        <f>IF(AND(Projects!$C$24&lt;=AB$4,AB$4&lt;=Projects!$C$24+Projects!$D$24-1),Projects!$B$24/Projects!$D$24,"")</f>
      </c>
      <c r="AC30" s="584">
        <f>IF(AND(Projects!$C$24&lt;=AC$4,AC$4&lt;=Projects!$C$24+Projects!$D$24-1),Projects!$B$24/Projects!$D$24,"")</f>
      </c>
      <c r="AD30" s="584">
        <f>IF(AND(Projects!$C$24&lt;=AD$4,AD$4&lt;=Projects!$C$24+Projects!$D$24-1),Projects!$B$24/Projects!$D$24,"")</f>
        <v>947368.421052632</v>
      </c>
      <c r="AE30" s="584">
        <f>IF(AND(Projects!$C$24&lt;=AE$4,AE$4&lt;=Projects!$C$24+Projects!$D$24-1),Projects!$B$24/Projects!$D$24,"")</f>
        <v>947368.421052632</v>
      </c>
      <c r="AF30" s="584">
        <f>IF(AND(Projects!$C$24&lt;=AF$4,AF$4&lt;=Projects!$C$24+Projects!$D$24-1),Projects!$B$24/Projects!$D$24,"")</f>
        <v>947368.421052632</v>
      </c>
      <c r="AG30" s="584">
        <f>IF(AND(Projects!$C$24&lt;=AG$4,AG$4&lt;=Projects!$C$24+Projects!$D$24-1),Projects!$B$24/Projects!$D$24,"")</f>
        <v>947368.421052632</v>
      </c>
      <c r="AH30" s="584">
        <f>IF(AND(Projects!$C$24&lt;=AH$4,AH$4&lt;=Projects!$C$24+Projects!$D$24-1),Projects!$B$24/Projects!$D$24,"")</f>
        <v>947368.421052632</v>
      </c>
      <c r="AI30" s="584">
        <f>IF(AND(Projects!$C$24&lt;=AI$4,AI$4&lt;=Projects!$C$24+Projects!$D$24-1),Projects!$B$24/Projects!$D$24,"")</f>
        <v>947368.421052632</v>
      </c>
      <c r="AJ30" s="584">
        <f>IF(AND(Projects!$C$24&lt;=AJ$4,AJ$4&lt;=Projects!$C$24+Projects!$D$24-1),Projects!$B$24/Projects!$D$24,"")</f>
        <v>947368.421052632</v>
      </c>
      <c r="AK30" s="584">
        <f>IF(AND(Projects!$C$24&lt;=AK$4,AK$4&lt;=Projects!$C$24+Projects!$D$24-1),Projects!$B$24/Projects!$D$24,"")</f>
        <v>947368.421052632</v>
      </c>
      <c r="AL30" s="584">
        <f>IF(AND(Projects!$C$24&lt;=AL$4,AL$4&lt;=Projects!$C$24+Projects!$D$24-1),Projects!$B$24/Projects!$D$24,"")</f>
        <v>947368.421052632</v>
      </c>
      <c r="AM30" s="584">
        <f>IF(AND(Projects!$C$24&lt;=AM$4,AM$4&lt;=Projects!$C$24+Projects!$D$24-1),Projects!$B$24/Projects!$D$24,"")</f>
        <v>947368.421052632</v>
      </c>
      <c r="AN30" s="584">
        <f>IF(AND(Projects!$C$24&lt;=AN$4,AN$4&lt;=Projects!$C$24+Projects!$D$24-1),Projects!$B$24/Projects!$D$24,"")</f>
        <v>947368.421052632</v>
      </c>
      <c r="AO30" s="584">
        <f>IF(AND(Projects!$C$24&lt;=AO$4,AO$4&lt;=Projects!$C$24+Projects!$D$24-1),Projects!$B$24/Projects!$D$24,"")</f>
        <v>947368.421052632</v>
      </c>
      <c r="AP30" s="584">
        <f>IF(AND(Projects!$C$24&lt;=AP$4,AP$4&lt;=Projects!$C$24+Projects!$D$24-1),Projects!$B$24/Projects!$D$24,"")</f>
        <v>947368.421052632</v>
      </c>
      <c r="AQ30" s="584">
        <f>IF(AND(Projects!$C$24&lt;=AQ$4,AQ$4&lt;=Projects!$C$24+Projects!$D$24-1),Projects!$B$24/Projects!$D$24,"")</f>
        <v>947368.421052632</v>
      </c>
      <c r="AR30" s="584">
        <f>IF(AND(Projects!$C$24&lt;=AR$4,AR$4&lt;=Projects!$C$24+Projects!$D$24-1),Projects!$B$24/Projects!$D$24,"")</f>
        <v>947368.421052632</v>
      </c>
      <c r="AS30" s="584">
        <f>IF(AND(Projects!$C$24&lt;=AS$4,AS$4&lt;=Projects!$C$24+Projects!$D$24-1),Projects!$B$24/Projects!$D$24,"")</f>
        <v>947368.421052632</v>
      </c>
      <c r="AT30" s="584">
        <f>IF(AND(Projects!$C$24&lt;=AT$4,AT$4&lt;=Projects!$C$24+Projects!$D$24-1),Projects!$B$24/Projects!$D$24,"")</f>
        <v>947368.421052632</v>
      </c>
      <c r="AU30" s="584">
        <f>IF(AND(Projects!$C$24&lt;=AU$4,AU$4&lt;=Projects!$C$24+Projects!$D$24-1),Projects!$B$24/Projects!$D$24,"")</f>
        <v>947368.421052632</v>
      </c>
      <c r="AV30" s="584">
        <f>IF(AND(Projects!$C$24&lt;=AV$4,AV$4&lt;=Projects!$C$24+Projects!$D$24-1),Projects!$B$24/Projects!$D$24,"")</f>
        <v>947368.421052632</v>
      </c>
      <c r="AW30" s="584">
        <f>IF(AND(Projects!$C$24&lt;=AW$4,AW$4&lt;=Projects!$C$24+Projects!$D$24-1),Projects!$B$24/Projects!$D$24,"")</f>
      </c>
      <c r="AX30" s="584">
        <f>IF(AND(Projects!$C$24&lt;=AX$4,AX$4&lt;=Projects!$C$24+Projects!$D$24-1),Projects!$B$24/Projects!$D$24,"")</f>
      </c>
      <c r="AY30" s="584">
        <f>IF(AND(Projects!$C$24&lt;=AY$4,AY$4&lt;=Projects!$C$24+Projects!$D$24-1),Projects!$B$24/Projects!$D$24,"")</f>
      </c>
      <c r="AZ30" s="584">
        <f>IF(AND(Projects!$C$24&lt;=AZ$4,AZ$4&lt;=Projects!$C$24+Projects!$D$24-1),Projects!$B$24/Projects!$D$24,"")</f>
      </c>
      <c r="BA30" s="584">
        <f>IF(AND(Projects!$C$24&lt;=BA$4,BA$4&lt;=Projects!$C$24+Projects!$D$24-1),Projects!$B$24/Projects!$D$24,"")</f>
      </c>
      <c r="BB30" s="584">
        <f>IF(AND(Projects!$C$24&lt;=BB$4,BB$4&lt;=Projects!$C$24+Projects!$D$24-1),Projects!$B$24/Projects!$D$24,"")</f>
      </c>
      <c r="BC30" s="584">
        <f>IF(AND(Projects!$C$24&lt;=BC$4,BC$4&lt;=Projects!$C$24+Projects!$D$24-1),Projects!$B$24/Projects!$D$24,"")</f>
      </c>
      <c r="BD30" s="584">
        <f>IF(AND(Projects!$C$24&lt;=BD$4,BD$4&lt;=Projects!$C$24+Projects!$D$24-1),Projects!$B$24/Projects!$D$24,"")</f>
      </c>
      <c r="BE30" s="584">
        <f>IF(AND(Projects!$C$24&lt;=BE$4,BE$4&lt;=Projects!$C$24+Projects!$D$24-1),Projects!$B$24/Projects!$D$24,"")</f>
      </c>
      <c r="BF30" s="584">
        <f>IF(AND(Projects!$C$24&lt;=BF$4,BF$4&lt;=Projects!$C$24+Projects!$D$24-1),Projects!$B$24/Projects!$D$24,"")</f>
      </c>
      <c r="BG30" s="584">
        <f>IF(AND(Projects!$C$24&lt;=BG$4,BG$4&lt;=Projects!$C$24+Projects!$D$24-1),Projects!$B$24/Projects!$D$24,"")</f>
      </c>
      <c r="BH30" s="584">
        <f>IF(AND(Projects!$C$24&lt;=BH$4,BH$4&lt;=Projects!$C$24+Projects!$D$24-1),Projects!$B$24/Projects!$D$24,"")</f>
      </c>
      <c r="BI30" s="584">
        <f>IF(AND(Projects!$C$24&lt;=BI$4,BI$4&lt;=Projects!$C$24+Projects!$D$24-1),Projects!$B$24/Projects!$D$24,"")</f>
      </c>
      <c r="BJ30" s="584">
        <f>IF(AND(Projects!$C$24&lt;=BJ$4,BJ$4&lt;=Projects!$C$24+Projects!$D$24-1),Projects!$B$24/Projects!$D$24,"")</f>
      </c>
      <c r="BK30" s="584">
        <f>IF(AND(Projects!$C$24&lt;=BK$4,BK$4&lt;=Projects!$C$24+Projects!$D$24-1),Projects!$B$24/Projects!$D$24,"")</f>
      </c>
      <c r="BL30" s="584">
        <f>IF(AND(Projects!$C$24&lt;=BL$4,BL$4&lt;=Projects!$C$24+Projects!$D$24-1),Projects!$B$24/Projects!$D$24,"")</f>
      </c>
      <c r="BM30" s="584">
        <f>IF(AND(Projects!$C$24&lt;=BM$4,BM$4&lt;=Projects!$C$24+Projects!$D$24-1),Projects!$B$24/Projects!$D$24,"")</f>
      </c>
      <c r="BN30" s="584">
        <f>IF(AND(Projects!$C$24&lt;=BN$4,BN$4&lt;=Projects!$C$24+Projects!$D$24-1),Projects!$B$24/Projects!$D$24,"")</f>
      </c>
      <c r="BO30" s="584">
        <f>IF(AND(Projects!$C$24&lt;=BO$4,BO$4&lt;=Projects!$C$24+Projects!$D$24-1),Projects!$B$24/Projects!$D$24,"")</f>
      </c>
      <c r="BP30" s="584">
        <f>IF(AND(Projects!$C$24&lt;=BP$4,BP$4&lt;=Projects!$C$24+Projects!$D$24-1),Projects!$B$24/Projects!$D$24,"")</f>
      </c>
      <c r="BQ30" s="584">
        <f>IF(AND(Projects!$C$24&lt;=BQ$4,BQ$4&lt;=Projects!$C$24+Projects!$D$24-1),Projects!$B$24/Projects!$D$24,"")</f>
      </c>
      <c r="BR30" s="584">
        <f>IF(AND(Projects!$C$24&lt;=BR$4,BR$4&lt;=Projects!$C$24+Projects!$D$24-1),Projects!$B$24/Projects!$D$24,"")</f>
      </c>
      <c r="BS30" s="584">
        <f>IF(AND(Projects!$C$24&lt;=BS$4,BS$4&lt;=Projects!$C$24+Projects!$D$24-1),Projects!$B$24/Projects!$D$24,"")</f>
      </c>
      <c r="BT30" s="584">
        <f>IF(AND(Projects!$C$24&lt;=BT$4,BT$4&lt;=Projects!$C$24+Projects!$D$24-1),Projects!$B$24/Projects!$D$24,"")</f>
      </c>
      <c r="BU30" s="584">
        <f>IF(AND(Projects!$C$24&lt;=BU$4,BU$4&lt;=Projects!$C$24+Projects!$D$24-1),Projects!$B$24/Projects!$D$24,"")</f>
      </c>
      <c r="BV30" s="584">
        <f>IF(AND(Projects!$C$24&lt;=BV$4,BV$4&lt;=Projects!$C$24+Projects!$D$24-1),Projects!$B$24/Projects!$D$24,"")</f>
      </c>
      <c r="BW30" s="584">
        <f>IF(AND(Projects!$C$24&lt;=BW$4,BW$4&lt;=Projects!$C$24+Projects!$D$24-1),Projects!$B$24/Projects!$D$24,"")</f>
      </c>
      <c r="BX30" s="584">
        <f>IF(AND(Projects!$C$24&lt;=BX$4,BX$4&lt;=Projects!$C$24+Projects!$D$24-1),Projects!$B$24/Projects!$D$24,"")</f>
      </c>
      <c r="BY30" s="584">
        <f>IF(AND(Projects!$C$24&lt;=BY$4,BY$4&lt;=Projects!$C$24+Projects!$D$24-1),Projects!$B$24/Projects!$D$24,"")</f>
      </c>
      <c r="BZ30" s="584">
        <f>IF(AND(Projects!$C$24&lt;=BZ$4,BZ$4&lt;=Projects!$C$24+Projects!$D$24-1),Projects!$B$24/Projects!$D$24,"")</f>
      </c>
      <c r="CA30" s="584">
        <f>IF(AND(Projects!$C$24&lt;=CA$4,CA$4&lt;=Projects!$C$24+Projects!$D$24-1),Projects!$B$24/Projects!$D$24,"")</f>
      </c>
      <c r="CB30" s="584">
        <f>IF(AND(Projects!$C$24&lt;=CB$4,CB$4&lt;=Projects!$C$24+Projects!$D$24-1),Projects!$B$24/Projects!$D$24,"")</f>
      </c>
      <c r="CC30" s="584">
        <f>IF(AND(Projects!$C$24&lt;=CC$4,CC$4&lt;=Projects!$C$24+Projects!$D$24-1),Projects!$B$24/Projects!$D$24,"")</f>
      </c>
      <c r="CD30" s="584">
        <f>IF(AND(Projects!$C$24&lt;=CD$4,CD$4&lt;=Projects!$C$24+Projects!$D$24-1),Projects!$B$24/Projects!$D$24,"")</f>
      </c>
      <c r="CE30" s="584">
        <f>IF(AND(Projects!$C$24&lt;=CE$4,CE$4&lt;=Projects!$C$24+Projects!$D$24-1),Projects!$B$24/Projects!$D$24,"")</f>
      </c>
      <c r="CF30" s="584">
        <f>IF(AND(Projects!$C$24&lt;=CF$4,CF$4&lt;=Projects!$C$24+Projects!$D$24-1),Projects!$B$24/Projects!$D$24,"")</f>
      </c>
      <c r="CG30" s="584">
        <f>IF(AND(Projects!$C$24&lt;=CG$4,CG$4&lt;=Projects!$C$24+Projects!$D$24-1),Projects!$B$24/Projects!$D$24,"")</f>
      </c>
      <c r="CH30" s="584">
        <f>IF(AND(Projects!$C$24&lt;=CH$4,CH$4&lt;=Projects!$C$24+Projects!$D$24-1),Projects!$B$24/Projects!$D$24,"")</f>
      </c>
      <c r="CI30" s="584">
        <f>IF(AND(Projects!$C$24&lt;=CI$4,CI$4&lt;=Projects!$C$24+Projects!$D$24-1),Projects!$B$24/Projects!$D$24,"")</f>
      </c>
      <c r="CJ30" s="584">
        <f>IF(AND(Projects!$C$24&lt;=CJ$4,CJ$4&lt;=Projects!$C$24+Projects!$D$24-1),Projects!$B$24/Projects!$D$24,"")</f>
      </c>
      <c r="CK30" s="584">
        <f>IF(AND(Projects!$C$24&lt;=CK$4,CK$4&lt;=Projects!$C$24+Projects!$D$24-1),Projects!$B$24/Projects!$D$24,"")</f>
      </c>
      <c r="CL30" s="584">
        <f>IF(AND(Projects!$C$24&lt;=CL$4,CL$4&lt;=Projects!$C$24+Projects!$D$24-1),Projects!$B$24/Projects!$D$24,"")</f>
      </c>
      <c r="CM30" s="584">
        <f>IF(AND(Projects!$C$24&lt;=CM$4,CM$4&lt;=Projects!$C$24+Projects!$D$24-1),Projects!$B$24/Projects!$D$24,"")</f>
      </c>
      <c r="CN30" s="584">
        <f>IF(AND(Projects!$C$24&lt;=CN$4,CN$4&lt;=Projects!$C$24+Projects!$D$24-1),Projects!$B$24/Projects!$D$24,"")</f>
      </c>
      <c r="CO30" s="584">
        <f>IF(AND(Projects!$C$24&lt;=CO$4,CO$4&lt;=Projects!$C$24+Projects!$D$24-1),Projects!$B$24/Projects!$D$24,"")</f>
      </c>
      <c r="CP30" s="584">
        <f>IF(AND(Projects!$C$24&lt;=CP$4,CP$4&lt;=Projects!$C$24+Projects!$D$24-1),Projects!$B$24/Projects!$D$24,"")</f>
      </c>
      <c r="CQ30" s="584">
        <f>IF(AND(Projects!$C$24&lt;=CQ$4,CQ$4&lt;=Projects!$C$24+Projects!$D$24-1),Projects!$B$24/Projects!$D$24,"")</f>
      </c>
      <c r="CR30" s="584">
        <f>IF(AND(Projects!$C$24&lt;=CR$4,CR$4&lt;=Projects!$C$24+Projects!$D$24-1),Projects!$B$24/Projects!$D$24,"")</f>
      </c>
      <c r="CS30" s="584">
        <f>IF(AND(Projects!$C$24&lt;=CS$4,CS$4&lt;=Projects!$C$24+Projects!$D$24-1),Projects!$B$24/Projects!$D$24,"")</f>
      </c>
      <c r="CT30" s="584">
        <f>IF(AND(Projects!$C$24&lt;=CT$4,CT$4&lt;=Projects!$C$24+Projects!$D$24-1),Projects!$B$24/Projects!$D$24,"")</f>
      </c>
      <c r="CU30" s="584">
        <f>IF(AND(Projects!$C$24&lt;=CU$4,CU$4&lt;=Projects!$C$24+Projects!$D$24-1),Projects!$B$24/Projects!$D$24,"")</f>
      </c>
      <c r="CV30" s="584">
        <f>IF(AND(Projects!$C$24&lt;=CV$4,CV$4&lt;=Projects!$C$24+Projects!$D$24-1),Projects!$B$24/Projects!$D$24,"")</f>
      </c>
      <c r="CW30" s="584">
        <f>IF(AND(Projects!$C$24&lt;=CW$4,CW$4&lt;=Projects!$C$24+Projects!$D$24-1),Projects!$B$24/Projects!$D$24,"")</f>
      </c>
      <c r="CX30" s="584">
        <f>IF(AND(Projects!$C$24&lt;=CX$4,CX$4&lt;=Projects!$C$24+Projects!$D$24-1),Projects!$B$24/Projects!$D$24,"")</f>
      </c>
      <c r="CY30" s="584">
        <f>IF(AND(Projects!$C$24&lt;=CY$4,CY$4&lt;=Projects!$C$24+Projects!$D$24-1),Projects!$B$24/Projects!$D$24,"")</f>
      </c>
      <c r="CZ30" s="584">
        <f>IF(AND(Projects!$C$24&lt;=CZ$4,CZ$4&lt;=Projects!$C$24+Projects!$D$24-1),Projects!$B$24/Projects!$D$24,"")</f>
      </c>
      <c r="DA30" s="584">
        <f>IF(AND(Projects!$C$24&lt;=DA$4,DA$4&lt;=Projects!$C$24+Projects!$D$24-1),Projects!$B$24/Projects!$D$24,"")</f>
      </c>
      <c r="DB30" s="584">
        <f>IF(AND(Projects!$C$24&lt;=DB$4,DB$4&lt;=Projects!$C$24+Projects!$D$24-1),Projects!$B$24/Projects!$D$24,"")</f>
      </c>
    </row>
    <row r="31" ht="15" customFormat="1" customHeight="1" s="381">
      <c r="A31" s="513" t="inlineStr">
        <is>
          <t>BD-09</t>
        </is>
      </c>
      <c r="B31" s="581">
        <f>Projects!$B$25</f>
        <v>18000000</v>
      </c>
      <c r="C31" s="582">
        <f>EDATE(Model!$E$2,Projects!$C$25-1)</f>
        <v>46966</v>
      </c>
      <c r="D31" s="582">
        <f>EDATE(Model!$E$2,Projects!$C$25+Projects!$D$25-2)</f>
        <v>47515</v>
      </c>
      <c r="E31" s="583">
        <f>Projects!$D$25</f>
        <v>19</v>
      </c>
      <c r="F31" s="581">
        <f>Projects!$B$25/Projects!$D$25</f>
        <v>947368.421052632</v>
      </c>
      <c r="G31" s="584">
        <f>IF(AND(Projects!$C$25&lt;=G$4,G$4&lt;=Projects!$C$25+Projects!$D$25-1),Projects!$B$25/Projects!$D$25,"")</f>
      </c>
      <c r="H31" s="584">
        <f>IF(AND(Projects!$C$25&lt;=H$4,H$4&lt;=Projects!$C$25+Projects!$D$25-1),Projects!$B$25/Projects!$D$25,"")</f>
      </c>
      <c r="I31" s="584">
        <f>IF(AND(Projects!$C$25&lt;=I$4,I$4&lt;=Projects!$C$25+Projects!$D$25-1),Projects!$B$25/Projects!$D$25,"")</f>
      </c>
      <c r="J31" s="584">
        <f>IF(AND(Projects!$C$25&lt;=J$4,J$4&lt;=Projects!$C$25+Projects!$D$25-1),Projects!$B$25/Projects!$D$25,"")</f>
      </c>
      <c r="K31" s="584">
        <f>IF(AND(Projects!$C$25&lt;=K$4,K$4&lt;=Projects!$C$25+Projects!$D$25-1),Projects!$B$25/Projects!$D$25,"")</f>
      </c>
      <c r="L31" s="584">
        <f>IF(AND(Projects!$C$25&lt;=L$4,L$4&lt;=Projects!$C$25+Projects!$D$25-1),Projects!$B$25/Projects!$D$25,"")</f>
      </c>
      <c r="M31" s="584">
        <f>IF(AND(Projects!$C$25&lt;=M$4,M$4&lt;=Projects!$C$25+Projects!$D$25-1),Projects!$B$25/Projects!$D$25,"")</f>
      </c>
      <c r="N31" s="584">
        <f>IF(AND(Projects!$C$25&lt;=N$4,N$4&lt;=Projects!$C$25+Projects!$D$25-1),Projects!$B$25/Projects!$D$25,"")</f>
      </c>
      <c r="O31" s="584">
        <f>IF(AND(Projects!$C$25&lt;=O$4,O$4&lt;=Projects!$C$25+Projects!$D$25-1),Projects!$B$25/Projects!$D$25,"")</f>
      </c>
      <c r="P31" s="584">
        <f>IF(AND(Projects!$C$25&lt;=P$4,P$4&lt;=Projects!$C$25+Projects!$D$25-1),Projects!$B$25/Projects!$D$25,"")</f>
      </c>
      <c r="Q31" s="584">
        <f>IF(AND(Projects!$C$25&lt;=Q$4,Q$4&lt;=Projects!$C$25+Projects!$D$25-1),Projects!$B$25/Projects!$D$25,"")</f>
      </c>
      <c r="R31" s="584">
        <f>IF(AND(Projects!$C$25&lt;=R$4,R$4&lt;=Projects!$C$25+Projects!$D$25-1),Projects!$B$25/Projects!$D$25,"")</f>
      </c>
      <c r="S31" s="584">
        <f>IF(AND(Projects!$C$25&lt;=S$4,S$4&lt;=Projects!$C$25+Projects!$D$25-1),Projects!$B$25/Projects!$D$25,"")</f>
      </c>
      <c r="T31" s="584">
        <f>IF(AND(Projects!$C$25&lt;=T$4,T$4&lt;=Projects!$C$25+Projects!$D$25-1),Projects!$B$25/Projects!$D$25,"")</f>
      </c>
      <c r="U31" s="584">
        <f>IF(AND(Projects!$C$25&lt;=U$4,U$4&lt;=Projects!$C$25+Projects!$D$25-1),Projects!$B$25/Projects!$D$25,"")</f>
      </c>
      <c r="V31" s="584">
        <f>IF(AND(Projects!$C$25&lt;=V$4,V$4&lt;=Projects!$C$25+Projects!$D$25-1),Projects!$B$25/Projects!$D$25,"")</f>
      </c>
      <c r="W31" s="584">
        <f>IF(AND(Projects!$C$25&lt;=W$4,W$4&lt;=Projects!$C$25+Projects!$D$25-1),Projects!$B$25/Projects!$D$25,"")</f>
      </c>
      <c r="X31" s="584">
        <f>IF(AND(Projects!$C$25&lt;=X$4,X$4&lt;=Projects!$C$25+Projects!$D$25-1),Projects!$B$25/Projects!$D$25,"")</f>
      </c>
      <c r="Y31" s="584">
        <f>IF(AND(Projects!$C$25&lt;=Y$4,Y$4&lt;=Projects!$C$25+Projects!$D$25-1),Projects!$B$25/Projects!$D$25,"")</f>
      </c>
      <c r="Z31" s="584">
        <f>IF(AND(Projects!$C$25&lt;=Z$4,Z$4&lt;=Projects!$C$25+Projects!$D$25-1),Projects!$B$25/Projects!$D$25,"")</f>
      </c>
      <c r="AA31" s="584">
        <f>IF(AND(Projects!$C$25&lt;=AA$4,AA$4&lt;=Projects!$C$25+Projects!$D$25-1),Projects!$B$25/Projects!$D$25,"")</f>
      </c>
      <c r="AB31" s="584">
        <f>IF(AND(Projects!$C$25&lt;=AB$4,AB$4&lt;=Projects!$C$25+Projects!$D$25-1),Projects!$B$25/Projects!$D$25,"")</f>
      </c>
      <c r="AC31" s="584">
        <f>IF(AND(Projects!$C$25&lt;=AC$4,AC$4&lt;=Projects!$C$25+Projects!$D$25-1),Projects!$B$25/Projects!$D$25,"")</f>
      </c>
      <c r="AD31" s="584">
        <f>IF(AND(Projects!$C$25&lt;=AD$4,AD$4&lt;=Projects!$C$25+Projects!$D$25-1),Projects!$B$25/Projects!$D$25,"")</f>
      </c>
      <c r="AE31" s="584">
        <f>IF(AND(Projects!$C$25&lt;=AE$4,AE$4&lt;=Projects!$C$25+Projects!$D$25-1),Projects!$B$25/Projects!$D$25,"")</f>
      </c>
      <c r="AF31" s="584">
        <f>IF(AND(Projects!$C$25&lt;=AF$4,AF$4&lt;=Projects!$C$25+Projects!$D$25-1),Projects!$B$25/Projects!$D$25,"")</f>
      </c>
      <c r="AG31" s="584">
        <f>IF(AND(Projects!$C$25&lt;=AG$4,AG$4&lt;=Projects!$C$25+Projects!$D$25-1),Projects!$B$25/Projects!$D$25,"")</f>
      </c>
      <c r="AH31" s="584">
        <f>IF(AND(Projects!$C$25&lt;=AH$4,AH$4&lt;=Projects!$C$25+Projects!$D$25-1),Projects!$B$25/Projects!$D$25,"")</f>
      </c>
      <c r="AI31" s="584">
        <f>IF(AND(Projects!$C$25&lt;=AI$4,AI$4&lt;=Projects!$C$25+Projects!$D$25-1),Projects!$B$25/Projects!$D$25,"")</f>
        <v>947368.421052632</v>
      </c>
      <c r="AJ31" s="584">
        <f>IF(AND(Projects!$C$25&lt;=AJ$4,AJ$4&lt;=Projects!$C$25+Projects!$D$25-1),Projects!$B$25/Projects!$D$25,"")</f>
        <v>947368.421052632</v>
      </c>
      <c r="AK31" s="584">
        <f>IF(AND(Projects!$C$25&lt;=AK$4,AK$4&lt;=Projects!$C$25+Projects!$D$25-1),Projects!$B$25/Projects!$D$25,"")</f>
        <v>947368.421052632</v>
      </c>
      <c r="AL31" s="584">
        <f>IF(AND(Projects!$C$25&lt;=AL$4,AL$4&lt;=Projects!$C$25+Projects!$D$25-1),Projects!$B$25/Projects!$D$25,"")</f>
        <v>947368.421052632</v>
      </c>
      <c r="AM31" s="584">
        <f>IF(AND(Projects!$C$25&lt;=AM$4,AM$4&lt;=Projects!$C$25+Projects!$D$25-1),Projects!$B$25/Projects!$D$25,"")</f>
        <v>947368.421052632</v>
      </c>
      <c r="AN31" s="584">
        <f>IF(AND(Projects!$C$25&lt;=AN$4,AN$4&lt;=Projects!$C$25+Projects!$D$25-1),Projects!$B$25/Projects!$D$25,"")</f>
        <v>947368.421052632</v>
      </c>
      <c r="AO31" s="584">
        <f>IF(AND(Projects!$C$25&lt;=AO$4,AO$4&lt;=Projects!$C$25+Projects!$D$25-1),Projects!$B$25/Projects!$D$25,"")</f>
        <v>947368.421052632</v>
      </c>
      <c r="AP31" s="584">
        <f>IF(AND(Projects!$C$25&lt;=AP$4,AP$4&lt;=Projects!$C$25+Projects!$D$25-1),Projects!$B$25/Projects!$D$25,"")</f>
        <v>947368.421052632</v>
      </c>
      <c r="AQ31" s="584">
        <f>IF(AND(Projects!$C$25&lt;=AQ$4,AQ$4&lt;=Projects!$C$25+Projects!$D$25-1),Projects!$B$25/Projects!$D$25,"")</f>
        <v>947368.421052632</v>
      </c>
      <c r="AR31" s="584">
        <f>IF(AND(Projects!$C$25&lt;=AR$4,AR$4&lt;=Projects!$C$25+Projects!$D$25-1),Projects!$B$25/Projects!$D$25,"")</f>
        <v>947368.421052632</v>
      </c>
      <c r="AS31" s="584">
        <f>IF(AND(Projects!$C$25&lt;=AS$4,AS$4&lt;=Projects!$C$25+Projects!$D$25-1),Projects!$B$25/Projects!$D$25,"")</f>
        <v>947368.421052632</v>
      </c>
      <c r="AT31" s="584">
        <f>IF(AND(Projects!$C$25&lt;=AT$4,AT$4&lt;=Projects!$C$25+Projects!$D$25-1),Projects!$B$25/Projects!$D$25,"")</f>
        <v>947368.421052632</v>
      </c>
      <c r="AU31" s="584">
        <f>IF(AND(Projects!$C$25&lt;=AU$4,AU$4&lt;=Projects!$C$25+Projects!$D$25-1),Projects!$B$25/Projects!$D$25,"")</f>
        <v>947368.421052632</v>
      </c>
      <c r="AV31" s="584">
        <f>IF(AND(Projects!$C$25&lt;=AV$4,AV$4&lt;=Projects!$C$25+Projects!$D$25-1),Projects!$B$25/Projects!$D$25,"")</f>
        <v>947368.421052632</v>
      </c>
      <c r="AW31" s="584">
        <f>IF(AND(Projects!$C$25&lt;=AW$4,AW$4&lt;=Projects!$C$25+Projects!$D$25-1),Projects!$B$25/Projects!$D$25,"")</f>
        <v>947368.421052632</v>
      </c>
      <c r="AX31" s="584">
        <f>IF(AND(Projects!$C$25&lt;=AX$4,AX$4&lt;=Projects!$C$25+Projects!$D$25-1),Projects!$B$25/Projects!$D$25,"")</f>
        <v>947368.421052632</v>
      </c>
      <c r="AY31" s="584">
        <f>IF(AND(Projects!$C$25&lt;=AY$4,AY$4&lt;=Projects!$C$25+Projects!$D$25-1),Projects!$B$25/Projects!$D$25,"")</f>
        <v>947368.421052632</v>
      </c>
      <c r="AZ31" s="584">
        <f>IF(AND(Projects!$C$25&lt;=AZ$4,AZ$4&lt;=Projects!$C$25+Projects!$D$25-1),Projects!$B$25/Projects!$D$25,"")</f>
        <v>947368.421052632</v>
      </c>
      <c r="BA31" s="584">
        <f>IF(AND(Projects!$C$25&lt;=BA$4,BA$4&lt;=Projects!$C$25+Projects!$D$25-1),Projects!$B$25/Projects!$D$25,"")</f>
        <v>947368.421052632</v>
      </c>
      <c r="BB31" s="584">
        <f>IF(AND(Projects!$C$25&lt;=BB$4,BB$4&lt;=Projects!$C$25+Projects!$D$25-1),Projects!$B$25/Projects!$D$25,"")</f>
      </c>
      <c r="BC31" s="584">
        <f>IF(AND(Projects!$C$25&lt;=BC$4,BC$4&lt;=Projects!$C$25+Projects!$D$25-1),Projects!$B$25/Projects!$D$25,"")</f>
      </c>
      <c r="BD31" s="584">
        <f>IF(AND(Projects!$C$25&lt;=BD$4,BD$4&lt;=Projects!$C$25+Projects!$D$25-1),Projects!$B$25/Projects!$D$25,"")</f>
      </c>
      <c r="BE31" s="584">
        <f>IF(AND(Projects!$C$25&lt;=BE$4,BE$4&lt;=Projects!$C$25+Projects!$D$25-1),Projects!$B$25/Projects!$D$25,"")</f>
      </c>
      <c r="BF31" s="584">
        <f>IF(AND(Projects!$C$25&lt;=BF$4,BF$4&lt;=Projects!$C$25+Projects!$D$25-1),Projects!$B$25/Projects!$D$25,"")</f>
      </c>
      <c r="BG31" s="584">
        <f>IF(AND(Projects!$C$25&lt;=BG$4,BG$4&lt;=Projects!$C$25+Projects!$D$25-1),Projects!$B$25/Projects!$D$25,"")</f>
      </c>
      <c r="BH31" s="584">
        <f>IF(AND(Projects!$C$25&lt;=BH$4,BH$4&lt;=Projects!$C$25+Projects!$D$25-1),Projects!$B$25/Projects!$D$25,"")</f>
      </c>
      <c r="BI31" s="584">
        <f>IF(AND(Projects!$C$25&lt;=BI$4,BI$4&lt;=Projects!$C$25+Projects!$D$25-1),Projects!$B$25/Projects!$D$25,"")</f>
      </c>
      <c r="BJ31" s="584">
        <f>IF(AND(Projects!$C$25&lt;=BJ$4,BJ$4&lt;=Projects!$C$25+Projects!$D$25-1),Projects!$B$25/Projects!$D$25,"")</f>
      </c>
      <c r="BK31" s="584">
        <f>IF(AND(Projects!$C$25&lt;=BK$4,BK$4&lt;=Projects!$C$25+Projects!$D$25-1),Projects!$B$25/Projects!$D$25,"")</f>
      </c>
      <c r="BL31" s="584">
        <f>IF(AND(Projects!$C$25&lt;=BL$4,BL$4&lt;=Projects!$C$25+Projects!$D$25-1),Projects!$B$25/Projects!$D$25,"")</f>
      </c>
      <c r="BM31" s="584">
        <f>IF(AND(Projects!$C$25&lt;=BM$4,BM$4&lt;=Projects!$C$25+Projects!$D$25-1),Projects!$B$25/Projects!$D$25,"")</f>
      </c>
      <c r="BN31" s="584">
        <f>IF(AND(Projects!$C$25&lt;=BN$4,BN$4&lt;=Projects!$C$25+Projects!$D$25-1),Projects!$B$25/Projects!$D$25,"")</f>
      </c>
      <c r="BO31" s="584">
        <f>IF(AND(Projects!$C$25&lt;=BO$4,BO$4&lt;=Projects!$C$25+Projects!$D$25-1),Projects!$B$25/Projects!$D$25,"")</f>
      </c>
      <c r="BP31" s="584">
        <f>IF(AND(Projects!$C$25&lt;=BP$4,BP$4&lt;=Projects!$C$25+Projects!$D$25-1),Projects!$B$25/Projects!$D$25,"")</f>
      </c>
      <c r="BQ31" s="584">
        <f>IF(AND(Projects!$C$25&lt;=BQ$4,BQ$4&lt;=Projects!$C$25+Projects!$D$25-1),Projects!$B$25/Projects!$D$25,"")</f>
      </c>
      <c r="BR31" s="584">
        <f>IF(AND(Projects!$C$25&lt;=BR$4,BR$4&lt;=Projects!$C$25+Projects!$D$25-1),Projects!$B$25/Projects!$D$25,"")</f>
      </c>
      <c r="BS31" s="584">
        <f>IF(AND(Projects!$C$25&lt;=BS$4,BS$4&lt;=Projects!$C$25+Projects!$D$25-1),Projects!$B$25/Projects!$D$25,"")</f>
      </c>
      <c r="BT31" s="584">
        <f>IF(AND(Projects!$C$25&lt;=BT$4,BT$4&lt;=Projects!$C$25+Projects!$D$25-1),Projects!$B$25/Projects!$D$25,"")</f>
      </c>
      <c r="BU31" s="584">
        <f>IF(AND(Projects!$C$25&lt;=BU$4,BU$4&lt;=Projects!$C$25+Projects!$D$25-1),Projects!$B$25/Projects!$D$25,"")</f>
      </c>
      <c r="BV31" s="584">
        <f>IF(AND(Projects!$C$25&lt;=BV$4,BV$4&lt;=Projects!$C$25+Projects!$D$25-1),Projects!$B$25/Projects!$D$25,"")</f>
      </c>
      <c r="BW31" s="584">
        <f>IF(AND(Projects!$C$25&lt;=BW$4,BW$4&lt;=Projects!$C$25+Projects!$D$25-1),Projects!$B$25/Projects!$D$25,"")</f>
      </c>
      <c r="BX31" s="584">
        <f>IF(AND(Projects!$C$25&lt;=BX$4,BX$4&lt;=Projects!$C$25+Projects!$D$25-1),Projects!$B$25/Projects!$D$25,"")</f>
      </c>
      <c r="BY31" s="584">
        <f>IF(AND(Projects!$C$25&lt;=BY$4,BY$4&lt;=Projects!$C$25+Projects!$D$25-1),Projects!$B$25/Projects!$D$25,"")</f>
      </c>
      <c r="BZ31" s="584">
        <f>IF(AND(Projects!$C$25&lt;=BZ$4,BZ$4&lt;=Projects!$C$25+Projects!$D$25-1),Projects!$B$25/Projects!$D$25,"")</f>
      </c>
      <c r="CA31" s="584">
        <f>IF(AND(Projects!$C$25&lt;=CA$4,CA$4&lt;=Projects!$C$25+Projects!$D$25-1),Projects!$B$25/Projects!$D$25,"")</f>
      </c>
      <c r="CB31" s="584">
        <f>IF(AND(Projects!$C$25&lt;=CB$4,CB$4&lt;=Projects!$C$25+Projects!$D$25-1),Projects!$B$25/Projects!$D$25,"")</f>
      </c>
      <c r="CC31" s="584">
        <f>IF(AND(Projects!$C$25&lt;=CC$4,CC$4&lt;=Projects!$C$25+Projects!$D$25-1),Projects!$B$25/Projects!$D$25,"")</f>
      </c>
      <c r="CD31" s="584">
        <f>IF(AND(Projects!$C$25&lt;=CD$4,CD$4&lt;=Projects!$C$25+Projects!$D$25-1),Projects!$B$25/Projects!$D$25,"")</f>
      </c>
      <c r="CE31" s="584">
        <f>IF(AND(Projects!$C$25&lt;=CE$4,CE$4&lt;=Projects!$C$25+Projects!$D$25-1),Projects!$B$25/Projects!$D$25,"")</f>
      </c>
      <c r="CF31" s="584">
        <f>IF(AND(Projects!$C$25&lt;=CF$4,CF$4&lt;=Projects!$C$25+Projects!$D$25-1),Projects!$B$25/Projects!$D$25,"")</f>
      </c>
      <c r="CG31" s="584">
        <f>IF(AND(Projects!$C$25&lt;=CG$4,CG$4&lt;=Projects!$C$25+Projects!$D$25-1),Projects!$B$25/Projects!$D$25,"")</f>
      </c>
      <c r="CH31" s="584">
        <f>IF(AND(Projects!$C$25&lt;=CH$4,CH$4&lt;=Projects!$C$25+Projects!$D$25-1),Projects!$B$25/Projects!$D$25,"")</f>
      </c>
      <c r="CI31" s="584">
        <f>IF(AND(Projects!$C$25&lt;=CI$4,CI$4&lt;=Projects!$C$25+Projects!$D$25-1),Projects!$B$25/Projects!$D$25,"")</f>
      </c>
      <c r="CJ31" s="584">
        <f>IF(AND(Projects!$C$25&lt;=CJ$4,CJ$4&lt;=Projects!$C$25+Projects!$D$25-1),Projects!$B$25/Projects!$D$25,"")</f>
      </c>
      <c r="CK31" s="584">
        <f>IF(AND(Projects!$C$25&lt;=CK$4,CK$4&lt;=Projects!$C$25+Projects!$D$25-1),Projects!$B$25/Projects!$D$25,"")</f>
      </c>
      <c r="CL31" s="584">
        <f>IF(AND(Projects!$C$25&lt;=CL$4,CL$4&lt;=Projects!$C$25+Projects!$D$25-1),Projects!$B$25/Projects!$D$25,"")</f>
      </c>
      <c r="CM31" s="584">
        <f>IF(AND(Projects!$C$25&lt;=CM$4,CM$4&lt;=Projects!$C$25+Projects!$D$25-1),Projects!$B$25/Projects!$D$25,"")</f>
      </c>
      <c r="CN31" s="584">
        <f>IF(AND(Projects!$C$25&lt;=CN$4,CN$4&lt;=Projects!$C$25+Projects!$D$25-1),Projects!$B$25/Projects!$D$25,"")</f>
      </c>
      <c r="CO31" s="584">
        <f>IF(AND(Projects!$C$25&lt;=CO$4,CO$4&lt;=Projects!$C$25+Projects!$D$25-1),Projects!$B$25/Projects!$D$25,"")</f>
      </c>
      <c r="CP31" s="584">
        <f>IF(AND(Projects!$C$25&lt;=CP$4,CP$4&lt;=Projects!$C$25+Projects!$D$25-1),Projects!$B$25/Projects!$D$25,"")</f>
      </c>
      <c r="CQ31" s="584">
        <f>IF(AND(Projects!$C$25&lt;=CQ$4,CQ$4&lt;=Projects!$C$25+Projects!$D$25-1),Projects!$B$25/Projects!$D$25,"")</f>
      </c>
      <c r="CR31" s="584">
        <f>IF(AND(Projects!$C$25&lt;=CR$4,CR$4&lt;=Projects!$C$25+Projects!$D$25-1),Projects!$B$25/Projects!$D$25,"")</f>
      </c>
      <c r="CS31" s="584">
        <f>IF(AND(Projects!$C$25&lt;=CS$4,CS$4&lt;=Projects!$C$25+Projects!$D$25-1),Projects!$B$25/Projects!$D$25,"")</f>
      </c>
      <c r="CT31" s="584">
        <f>IF(AND(Projects!$C$25&lt;=CT$4,CT$4&lt;=Projects!$C$25+Projects!$D$25-1),Projects!$B$25/Projects!$D$25,"")</f>
      </c>
      <c r="CU31" s="584">
        <f>IF(AND(Projects!$C$25&lt;=CU$4,CU$4&lt;=Projects!$C$25+Projects!$D$25-1),Projects!$B$25/Projects!$D$25,"")</f>
      </c>
      <c r="CV31" s="584">
        <f>IF(AND(Projects!$C$25&lt;=CV$4,CV$4&lt;=Projects!$C$25+Projects!$D$25-1),Projects!$B$25/Projects!$D$25,"")</f>
      </c>
      <c r="CW31" s="584">
        <f>IF(AND(Projects!$C$25&lt;=CW$4,CW$4&lt;=Projects!$C$25+Projects!$D$25-1),Projects!$B$25/Projects!$D$25,"")</f>
      </c>
      <c r="CX31" s="584">
        <f>IF(AND(Projects!$C$25&lt;=CX$4,CX$4&lt;=Projects!$C$25+Projects!$D$25-1),Projects!$B$25/Projects!$D$25,"")</f>
      </c>
      <c r="CY31" s="584">
        <f>IF(AND(Projects!$C$25&lt;=CY$4,CY$4&lt;=Projects!$C$25+Projects!$D$25-1),Projects!$B$25/Projects!$D$25,"")</f>
      </c>
      <c r="CZ31" s="584">
        <f>IF(AND(Projects!$C$25&lt;=CZ$4,CZ$4&lt;=Projects!$C$25+Projects!$D$25-1),Projects!$B$25/Projects!$D$25,"")</f>
      </c>
      <c r="DA31" s="584">
        <f>IF(AND(Projects!$C$25&lt;=DA$4,DA$4&lt;=Projects!$C$25+Projects!$D$25-1),Projects!$B$25/Projects!$D$25,"")</f>
      </c>
      <c r="DB31" s="584">
        <f>IF(AND(Projects!$C$25&lt;=DB$4,DB$4&lt;=Projects!$C$25+Projects!$D$25-1),Projects!$B$25/Projects!$D$25,"")</f>
      </c>
    </row>
    <row r="32" ht="15" customFormat="1" customHeight="1" s="381">
      <c r="A32" s="513" t="inlineStr">
        <is>
          <t>BD-10</t>
        </is>
      </c>
      <c r="B32" s="581">
        <f>Projects!$B$26</f>
        <v>18000000</v>
      </c>
      <c r="C32" s="582">
        <f>EDATE(Model!$E$2,Projects!$C$26-1)</f>
        <v>46997</v>
      </c>
      <c r="D32" s="582">
        <f>EDATE(Model!$E$2,Projects!$C$26+Projects!$D$26-2)</f>
        <v>47543</v>
      </c>
      <c r="E32" s="583">
        <f>Projects!$D$26</f>
        <v>19</v>
      </c>
      <c r="F32" s="581">
        <f>Projects!$B$26/Projects!$D$26</f>
        <v>947368.421052632</v>
      </c>
      <c r="G32" s="584">
        <f>IF(AND(Projects!$C$26&lt;=G$4,G$4&lt;=Projects!$C$26+Projects!$D$26-1),Projects!$B$26/Projects!$D$26,"")</f>
      </c>
      <c r="H32" s="584">
        <f>IF(AND(Projects!$C$26&lt;=H$4,H$4&lt;=Projects!$C$26+Projects!$D$26-1),Projects!$B$26/Projects!$D$26,"")</f>
      </c>
      <c r="I32" s="584">
        <f>IF(AND(Projects!$C$26&lt;=I$4,I$4&lt;=Projects!$C$26+Projects!$D$26-1),Projects!$B$26/Projects!$D$26,"")</f>
      </c>
      <c r="J32" s="584">
        <f>IF(AND(Projects!$C$26&lt;=J$4,J$4&lt;=Projects!$C$26+Projects!$D$26-1),Projects!$B$26/Projects!$D$26,"")</f>
      </c>
      <c r="K32" s="584">
        <f>IF(AND(Projects!$C$26&lt;=K$4,K$4&lt;=Projects!$C$26+Projects!$D$26-1),Projects!$B$26/Projects!$D$26,"")</f>
      </c>
      <c r="L32" s="584">
        <f>IF(AND(Projects!$C$26&lt;=L$4,L$4&lt;=Projects!$C$26+Projects!$D$26-1),Projects!$B$26/Projects!$D$26,"")</f>
      </c>
      <c r="M32" s="584">
        <f>IF(AND(Projects!$C$26&lt;=M$4,M$4&lt;=Projects!$C$26+Projects!$D$26-1),Projects!$B$26/Projects!$D$26,"")</f>
      </c>
      <c r="N32" s="584">
        <f>IF(AND(Projects!$C$26&lt;=N$4,N$4&lt;=Projects!$C$26+Projects!$D$26-1),Projects!$B$26/Projects!$D$26,"")</f>
      </c>
      <c r="O32" s="584">
        <f>IF(AND(Projects!$C$26&lt;=O$4,O$4&lt;=Projects!$C$26+Projects!$D$26-1),Projects!$B$26/Projects!$D$26,"")</f>
      </c>
      <c r="P32" s="584">
        <f>IF(AND(Projects!$C$26&lt;=P$4,P$4&lt;=Projects!$C$26+Projects!$D$26-1),Projects!$B$26/Projects!$D$26,"")</f>
      </c>
      <c r="Q32" s="584">
        <f>IF(AND(Projects!$C$26&lt;=Q$4,Q$4&lt;=Projects!$C$26+Projects!$D$26-1),Projects!$B$26/Projects!$D$26,"")</f>
      </c>
      <c r="R32" s="584">
        <f>IF(AND(Projects!$C$26&lt;=R$4,R$4&lt;=Projects!$C$26+Projects!$D$26-1),Projects!$B$26/Projects!$D$26,"")</f>
      </c>
      <c r="S32" s="584">
        <f>IF(AND(Projects!$C$26&lt;=S$4,S$4&lt;=Projects!$C$26+Projects!$D$26-1),Projects!$B$26/Projects!$D$26,"")</f>
      </c>
      <c r="T32" s="584">
        <f>IF(AND(Projects!$C$26&lt;=T$4,T$4&lt;=Projects!$C$26+Projects!$D$26-1),Projects!$B$26/Projects!$D$26,"")</f>
      </c>
      <c r="U32" s="584">
        <f>IF(AND(Projects!$C$26&lt;=U$4,U$4&lt;=Projects!$C$26+Projects!$D$26-1),Projects!$B$26/Projects!$D$26,"")</f>
      </c>
      <c r="V32" s="584">
        <f>IF(AND(Projects!$C$26&lt;=V$4,V$4&lt;=Projects!$C$26+Projects!$D$26-1),Projects!$B$26/Projects!$D$26,"")</f>
      </c>
      <c r="W32" s="584">
        <f>IF(AND(Projects!$C$26&lt;=W$4,W$4&lt;=Projects!$C$26+Projects!$D$26-1),Projects!$B$26/Projects!$D$26,"")</f>
      </c>
      <c r="X32" s="584">
        <f>IF(AND(Projects!$C$26&lt;=X$4,X$4&lt;=Projects!$C$26+Projects!$D$26-1),Projects!$B$26/Projects!$D$26,"")</f>
      </c>
      <c r="Y32" s="584">
        <f>IF(AND(Projects!$C$26&lt;=Y$4,Y$4&lt;=Projects!$C$26+Projects!$D$26-1),Projects!$B$26/Projects!$D$26,"")</f>
      </c>
      <c r="Z32" s="584">
        <f>IF(AND(Projects!$C$26&lt;=Z$4,Z$4&lt;=Projects!$C$26+Projects!$D$26-1),Projects!$B$26/Projects!$D$26,"")</f>
      </c>
      <c r="AA32" s="584">
        <f>IF(AND(Projects!$C$26&lt;=AA$4,AA$4&lt;=Projects!$C$26+Projects!$D$26-1),Projects!$B$26/Projects!$D$26,"")</f>
      </c>
      <c r="AB32" s="584">
        <f>IF(AND(Projects!$C$26&lt;=AB$4,AB$4&lt;=Projects!$C$26+Projects!$D$26-1),Projects!$B$26/Projects!$D$26,"")</f>
      </c>
      <c r="AC32" s="584">
        <f>IF(AND(Projects!$C$26&lt;=AC$4,AC$4&lt;=Projects!$C$26+Projects!$D$26-1),Projects!$B$26/Projects!$D$26,"")</f>
      </c>
      <c r="AD32" s="584">
        <f>IF(AND(Projects!$C$26&lt;=AD$4,AD$4&lt;=Projects!$C$26+Projects!$D$26-1),Projects!$B$26/Projects!$D$26,"")</f>
      </c>
      <c r="AE32" s="584">
        <f>IF(AND(Projects!$C$26&lt;=AE$4,AE$4&lt;=Projects!$C$26+Projects!$D$26-1),Projects!$B$26/Projects!$D$26,"")</f>
      </c>
      <c r="AF32" s="584">
        <f>IF(AND(Projects!$C$26&lt;=AF$4,AF$4&lt;=Projects!$C$26+Projects!$D$26-1),Projects!$B$26/Projects!$D$26,"")</f>
      </c>
      <c r="AG32" s="584">
        <f>IF(AND(Projects!$C$26&lt;=AG$4,AG$4&lt;=Projects!$C$26+Projects!$D$26-1),Projects!$B$26/Projects!$D$26,"")</f>
      </c>
      <c r="AH32" s="584">
        <f>IF(AND(Projects!$C$26&lt;=AH$4,AH$4&lt;=Projects!$C$26+Projects!$D$26-1),Projects!$B$26/Projects!$D$26,"")</f>
      </c>
      <c r="AI32" s="584">
        <f>IF(AND(Projects!$C$26&lt;=AI$4,AI$4&lt;=Projects!$C$26+Projects!$D$26-1),Projects!$B$26/Projects!$D$26,"")</f>
      </c>
      <c r="AJ32" s="584">
        <f>IF(AND(Projects!$C$26&lt;=AJ$4,AJ$4&lt;=Projects!$C$26+Projects!$D$26-1),Projects!$B$26/Projects!$D$26,"")</f>
        <v>947368.421052632</v>
      </c>
      <c r="AK32" s="584">
        <f>IF(AND(Projects!$C$26&lt;=AK$4,AK$4&lt;=Projects!$C$26+Projects!$D$26-1),Projects!$B$26/Projects!$D$26,"")</f>
        <v>947368.421052632</v>
      </c>
      <c r="AL32" s="584">
        <f>IF(AND(Projects!$C$26&lt;=AL$4,AL$4&lt;=Projects!$C$26+Projects!$D$26-1),Projects!$B$26/Projects!$D$26,"")</f>
        <v>947368.421052632</v>
      </c>
      <c r="AM32" s="584">
        <f>IF(AND(Projects!$C$26&lt;=AM$4,AM$4&lt;=Projects!$C$26+Projects!$D$26-1),Projects!$B$26/Projects!$D$26,"")</f>
        <v>947368.421052632</v>
      </c>
      <c r="AN32" s="584">
        <f>IF(AND(Projects!$C$26&lt;=AN$4,AN$4&lt;=Projects!$C$26+Projects!$D$26-1),Projects!$B$26/Projects!$D$26,"")</f>
        <v>947368.421052632</v>
      </c>
      <c r="AO32" s="584">
        <f>IF(AND(Projects!$C$26&lt;=AO$4,AO$4&lt;=Projects!$C$26+Projects!$D$26-1),Projects!$B$26/Projects!$D$26,"")</f>
        <v>947368.421052632</v>
      </c>
      <c r="AP32" s="584">
        <f>IF(AND(Projects!$C$26&lt;=AP$4,AP$4&lt;=Projects!$C$26+Projects!$D$26-1),Projects!$B$26/Projects!$D$26,"")</f>
        <v>947368.421052632</v>
      </c>
      <c r="AQ32" s="584">
        <f>IF(AND(Projects!$C$26&lt;=AQ$4,AQ$4&lt;=Projects!$C$26+Projects!$D$26-1),Projects!$B$26/Projects!$D$26,"")</f>
        <v>947368.421052632</v>
      </c>
      <c r="AR32" s="584">
        <f>IF(AND(Projects!$C$26&lt;=AR$4,AR$4&lt;=Projects!$C$26+Projects!$D$26-1),Projects!$B$26/Projects!$D$26,"")</f>
        <v>947368.421052632</v>
      </c>
      <c r="AS32" s="584">
        <f>IF(AND(Projects!$C$26&lt;=AS$4,AS$4&lt;=Projects!$C$26+Projects!$D$26-1),Projects!$B$26/Projects!$D$26,"")</f>
        <v>947368.421052632</v>
      </c>
      <c r="AT32" s="584">
        <f>IF(AND(Projects!$C$26&lt;=AT$4,AT$4&lt;=Projects!$C$26+Projects!$D$26-1),Projects!$B$26/Projects!$D$26,"")</f>
        <v>947368.421052632</v>
      </c>
      <c r="AU32" s="584">
        <f>IF(AND(Projects!$C$26&lt;=AU$4,AU$4&lt;=Projects!$C$26+Projects!$D$26-1),Projects!$B$26/Projects!$D$26,"")</f>
        <v>947368.421052632</v>
      </c>
      <c r="AV32" s="584">
        <f>IF(AND(Projects!$C$26&lt;=AV$4,AV$4&lt;=Projects!$C$26+Projects!$D$26-1),Projects!$B$26/Projects!$D$26,"")</f>
        <v>947368.421052632</v>
      </c>
      <c r="AW32" s="584">
        <f>IF(AND(Projects!$C$26&lt;=AW$4,AW$4&lt;=Projects!$C$26+Projects!$D$26-1),Projects!$B$26/Projects!$D$26,"")</f>
        <v>947368.421052632</v>
      </c>
      <c r="AX32" s="584">
        <f>IF(AND(Projects!$C$26&lt;=AX$4,AX$4&lt;=Projects!$C$26+Projects!$D$26-1),Projects!$B$26/Projects!$D$26,"")</f>
        <v>947368.421052632</v>
      </c>
      <c r="AY32" s="584">
        <f>IF(AND(Projects!$C$26&lt;=AY$4,AY$4&lt;=Projects!$C$26+Projects!$D$26-1),Projects!$B$26/Projects!$D$26,"")</f>
        <v>947368.421052632</v>
      </c>
      <c r="AZ32" s="584">
        <f>IF(AND(Projects!$C$26&lt;=AZ$4,AZ$4&lt;=Projects!$C$26+Projects!$D$26-1),Projects!$B$26/Projects!$D$26,"")</f>
        <v>947368.421052632</v>
      </c>
      <c r="BA32" s="584">
        <f>IF(AND(Projects!$C$26&lt;=BA$4,BA$4&lt;=Projects!$C$26+Projects!$D$26-1),Projects!$B$26/Projects!$D$26,"")</f>
        <v>947368.421052632</v>
      </c>
      <c r="BB32" s="584">
        <f>IF(AND(Projects!$C$26&lt;=BB$4,BB$4&lt;=Projects!$C$26+Projects!$D$26-1),Projects!$B$26/Projects!$D$26,"")</f>
        <v>947368.421052632</v>
      </c>
      <c r="BC32" s="584">
        <f>IF(AND(Projects!$C$26&lt;=BC$4,BC$4&lt;=Projects!$C$26+Projects!$D$26-1),Projects!$B$26/Projects!$D$26,"")</f>
      </c>
      <c r="BD32" s="584">
        <f>IF(AND(Projects!$C$26&lt;=BD$4,BD$4&lt;=Projects!$C$26+Projects!$D$26-1),Projects!$B$26/Projects!$D$26,"")</f>
      </c>
      <c r="BE32" s="584">
        <f>IF(AND(Projects!$C$26&lt;=BE$4,BE$4&lt;=Projects!$C$26+Projects!$D$26-1),Projects!$B$26/Projects!$D$26,"")</f>
      </c>
      <c r="BF32" s="584">
        <f>IF(AND(Projects!$C$26&lt;=BF$4,BF$4&lt;=Projects!$C$26+Projects!$D$26-1),Projects!$B$26/Projects!$D$26,"")</f>
      </c>
      <c r="BG32" s="584">
        <f>IF(AND(Projects!$C$26&lt;=BG$4,BG$4&lt;=Projects!$C$26+Projects!$D$26-1),Projects!$B$26/Projects!$D$26,"")</f>
      </c>
      <c r="BH32" s="584">
        <f>IF(AND(Projects!$C$26&lt;=BH$4,BH$4&lt;=Projects!$C$26+Projects!$D$26-1),Projects!$B$26/Projects!$D$26,"")</f>
      </c>
      <c r="BI32" s="584">
        <f>IF(AND(Projects!$C$26&lt;=BI$4,BI$4&lt;=Projects!$C$26+Projects!$D$26-1),Projects!$B$26/Projects!$D$26,"")</f>
      </c>
      <c r="BJ32" s="584">
        <f>IF(AND(Projects!$C$26&lt;=BJ$4,BJ$4&lt;=Projects!$C$26+Projects!$D$26-1),Projects!$B$26/Projects!$D$26,"")</f>
      </c>
      <c r="BK32" s="584">
        <f>IF(AND(Projects!$C$26&lt;=BK$4,BK$4&lt;=Projects!$C$26+Projects!$D$26-1),Projects!$B$26/Projects!$D$26,"")</f>
      </c>
      <c r="BL32" s="584">
        <f>IF(AND(Projects!$C$26&lt;=BL$4,BL$4&lt;=Projects!$C$26+Projects!$D$26-1),Projects!$B$26/Projects!$D$26,"")</f>
      </c>
      <c r="BM32" s="584">
        <f>IF(AND(Projects!$C$26&lt;=BM$4,BM$4&lt;=Projects!$C$26+Projects!$D$26-1),Projects!$B$26/Projects!$D$26,"")</f>
      </c>
      <c r="BN32" s="584">
        <f>IF(AND(Projects!$C$26&lt;=BN$4,BN$4&lt;=Projects!$C$26+Projects!$D$26-1),Projects!$B$26/Projects!$D$26,"")</f>
      </c>
      <c r="BO32" s="584">
        <f>IF(AND(Projects!$C$26&lt;=BO$4,BO$4&lt;=Projects!$C$26+Projects!$D$26-1),Projects!$B$26/Projects!$D$26,"")</f>
      </c>
      <c r="BP32" s="584">
        <f>IF(AND(Projects!$C$26&lt;=BP$4,BP$4&lt;=Projects!$C$26+Projects!$D$26-1),Projects!$B$26/Projects!$D$26,"")</f>
      </c>
      <c r="BQ32" s="584">
        <f>IF(AND(Projects!$C$26&lt;=BQ$4,BQ$4&lt;=Projects!$C$26+Projects!$D$26-1),Projects!$B$26/Projects!$D$26,"")</f>
      </c>
      <c r="BR32" s="584">
        <f>IF(AND(Projects!$C$26&lt;=BR$4,BR$4&lt;=Projects!$C$26+Projects!$D$26-1),Projects!$B$26/Projects!$D$26,"")</f>
      </c>
      <c r="BS32" s="584">
        <f>IF(AND(Projects!$C$26&lt;=BS$4,BS$4&lt;=Projects!$C$26+Projects!$D$26-1),Projects!$B$26/Projects!$D$26,"")</f>
      </c>
      <c r="BT32" s="584">
        <f>IF(AND(Projects!$C$26&lt;=BT$4,BT$4&lt;=Projects!$C$26+Projects!$D$26-1),Projects!$B$26/Projects!$D$26,"")</f>
      </c>
      <c r="BU32" s="584">
        <f>IF(AND(Projects!$C$26&lt;=BU$4,BU$4&lt;=Projects!$C$26+Projects!$D$26-1),Projects!$B$26/Projects!$D$26,"")</f>
      </c>
      <c r="BV32" s="584">
        <f>IF(AND(Projects!$C$26&lt;=BV$4,BV$4&lt;=Projects!$C$26+Projects!$D$26-1),Projects!$B$26/Projects!$D$26,"")</f>
      </c>
      <c r="BW32" s="584">
        <f>IF(AND(Projects!$C$26&lt;=BW$4,BW$4&lt;=Projects!$C$26+Projects!$D$26-1),Projects!$B$26/Projects!$D$26,"")</f>
      </c>
      <c r="BX32" s="584">
        <f>IF(AND(Projects!$C$26&lt;=BX$4,BX$4&lt;=Projects!$C$26+Projects!$D$26-1),Projects!$B$26/Projects!$D$26,"")</f>
      </c>
      <c r="BY32" s="584">
        <f>IF(AND(Projects!$C$26&lt;=BY$4,BY$4&lt;=Projects!$C$26+Projects!$D$26-1),Projects!$B$26/Projects!$D$26,"")</f>
      </c>
      <c r="BZ32" s="584">
        <f>IF(AND(Projects!$C$26&lt;=BZ$4,BZ$4&lt;=Projects!$C$26+Projects!$D$26-1),Projects!$B$26/Projects!$D$26,"")</f>
      </c>
      <c r="CA32" s="584">
        <f>IF(AND(Projects!$C$26&lt;=CA$4,CA$4&lt;=Projects!$C$26+Projects!$D$26-1),Projects!$B$26/Projects!$D$26,"")</f>
      </c>
      <c r="CB32" s="584">
        <f>IF(AND(Projects!$C$26&lt;=CB$4,CB$4&lt;=Projects!$C$26+Projects!$D$26-1),Projects!$B$26/Projects!$D$26,"")</f>
      </c>
      <c r="CC32" s="584">
        <f>IF(AND(Projects!$C$26&lt;=CC$4,CC$4&lt;=Projects!$C$26+Projects!$D$26-1),Projects!$B$26/Projects!$D$26,"")</f>
      </c>
      <c r="CD32" s="584">
        <f>IF(AND(Projects!$C$26&lt;=CD$4,CD$4&lt;=Projects!$C$26+Projects!$D$26-1),Projects!$B$26/Projects!$D$26,"")</f>
      </c>
      <c r="CE32" s="584">
        <f>IF(AND(Projects!$C$26&lt;=CE$4,CE$4&lt;=Projects!$C$26+Projects!$D$26-1),Projects!$B$26/Projects!$D$26,"")</f>
      </c>
      <c r="CF32" s="584">
        <f>IF(AND(Projects!$C$26&lt;=CF$4,CF$4&lt;=Projects!$C$26+Projects!$D$26-1),Projects!$B$26/Projects!$D$26,"")</f>
      </c>
      <c r="CG32" s="584">
        <f>IF(AND(Projects!$C$26&lt;=CG$4,CG$4&lt;=Projects!$C$26+Projects!$D$26-1),Projects!$B$26/Projects!$D$26,"")</f>
      </c>
      <c r="CH32" s="584">
        <f>IF(AND(Projects!$C$26&lt;=CH$4,CH$4&lt;=Projects!$C$26+Projects!$D$26-1),Projects!$B$26/Projects!$D$26,"")</f>
      </c>
      <c r="CI32" s="584">
        <f>IF(AND(Projects!$C$26&lt;=CI$4,CI$4&lt;=Projects!$C$26+Projects!$D$26-1),Projects!$B$26/Projects!$D$26,"")</f>
      </c>
      <c r="CJ32" s="584">
        <f>IF(AND(Projects!$C$26&lt;=CJ$4,CJ$4&lt;=Projects!$C$26+Projects!$D$26-1),Projects!$B$26/Projects!$D$26,"")</f>
      </c>
      <c r="CK32" s="584">
        <f>IF(AND(Projects!$C$26&lt;=CK$4,CK$4&lt;=Projects!$C$26+Projects!$D$26-1),Projects!$B$26/Projects!$D$26,"")</f>
      </c>
      <c r="CL32" s="584">
        <f>IF(AND(Projects!$C$26&lt;=CL$4,CL$4&lt;=Projects!$C$26+Projects!$D$26-1),Projects!$B$26/Projects!$D$26,"")</f>
      </c>
      <c r="CM32" s="584">
        <f>IF(AND(Projects!$C$26&lt;=CM$4,CM$4&lt;=Projects!$C$26+Projects!$D$26-1),Projects!$B$26/Projects!$D$26,"")</f>
      </c>
      <c r="CN32" s="584">
        <f>IF(AND(Projects!$C$26&lt;=CN$4,CN$4&lt;=Projects!$C$26+Projects!$D$26-1),Projects!$B$26/Projects!$D$26,"")</f>
      </c>
      <c r="CO32" s="584">
        <f>IF(AND(Projects!$C$26&lt;=CO$4,CO$4&lt;=Projects!$C$26+Projects!$D$26-1),Projects!$B$26/Projects!$D$26,"")</f>
      </c>
      <c r="CP32" s="584">
        <f>IF(AND(Projects!$C$26&lt;=CP$4,CP$4&lt;=Projects!$C$26+Projects!$D$26-1),Projects!$B$26/Projects!$D$26,"")</f>
      </c>
      <c r="CQ32" s="584">
        <f>IF(AND(Projects!$C$26&lt;=CQ$4,CQ$4&lt;=Projects!$C$26+Projects!$D$26-1),Projects!$B$26/Projects!$D$26,"")</f>
      </c>
      <c r="CR32" s="584">
        <f>IF(AND(Projects!$C$26&lt;=CR$4,CR$4&lt;=Projects!$C$26+Projects!$D$26-1),Projects!$B$26/Projects!$D$26,"")</f>
      </c>
      <c r="CS32" s="584">
        <f>IF(AND(Projects!$C$26&lt;=CS$4,CS$4&lt;=Projects!$C$26+Projects!$D$26-1),Projects!$B$26/Projects!$D$26,"")</f>
      </c>
      <c r="CT32" s="584">
        <f>IF(AND(Projects!$C$26&lt;=CT$4,CT$4&lt;=Projects!$C$26+Projects!$D$26-1),Projects!$B$26/Projects!$D$26,"")</f>
      </c>
      <c r="CU32" s="584">
        <f>IF(AND(Projects!$C$26&lt;=CU$4,CU$4&lt;=Projects!$C$26+Projects!$D$26-1),Projects!$B$26/Projects!$D$26,"")</f>
      </c>
      <c r="CV32" s="584">
        <f>IF(AND(Projects!$C$26&lt;=CV$4,CV$4&lt;=Projects!$C$26+Projects!$D$26-1),Projects!$B$26/Projects!$D$26,"")</f>
      </c>
      <c r="CW32" s="584">
        <f>IF(AND(Projects!$C$26&lt;=CW$4,CW$4&lt;=Projects!$C$26+Projects!$D$26-1),Projects!$B$26/Projects!$D$26,"")</f>
      </c>
      <c r="CX32" s="584">
        <f>IF(AND(Projects!$C$26&lt;=CX$4,CX$4&lt;=Projects!$C$26+Projects!$D$26-1),Projects!$B$26/Projects!$D$26,"")</f>
      </c>
      <c r="CY32" s="584">
        <f>IF(AND(Projects!$C$26&lt;=CY$4,CY$4&lt;=Projects!$C$26+Projects!$D$26-1),Projects!$B$26/Projects!$D$26,"")</f>
      </c>
      <c r="CZ32" s="584">
        <f>IF(AND(Projects!$C$26&lt;=CZ$4,CZ$4&lt;=Projects!$C$26+Projects!$D$26-1),Projects!$B$26/Projects!$D$26,"")</f>
      </c>
      <c r="DA32" s="584">
        <f>IF(AND(Projects!$C$26&lt;=DA$4,DA$4&lt;=Projects!$C$26+Projects!$D$26-1),Projects!$B$26/Projects!$D$26,"")</f>
      </c>
      <c r="DB32" s="584">
        <f>IF(AND(Projects!$C$26&lt;=DB$4,DB$4&lt;=Projects!$C$26+Projects!$D$26-1),Projects!$B$26/Projects!$D$26,"")</f>
      </c>
    </row>
    <row r="33" ht="15" customFormat="1" customHeight="1" s="381">
      <c r="A33" s="513" t="inlineStr">
        <is>
          <t>BD-11</t>
        </is>
      </c>
      <c r="B33" s="581">
        <f>Projects!$B$27</f>
        <v>15000000</v>
      </c>
      <c r="C33" s="582">
        <f>EDATE(Model!$E$2,Projects!$C$27-1)</f>
        <v>47027</v>
      </c>
      <c r="D33" s="582">
        <f>EDATE(Model!$E$2,Projects!$C$27+Projects!$D$27-2)</f>
        <v>47574</v>
      </c>
      <c r="E33" s="583">
        <f>Projects!$D$27</f>
        <v>19</v>
      </c>
      <c r="F33" s="581">
        <f>Projects!$B$27/Projects!$D$27</f>
        <v>789473.684210526</v>
      </c>
      <c r="G33" s="584">
        <f>IF(AND(Projects!$C$27&lt;=G$4,G$4&lt;=Projects!$C$27+Projects!$D$27-1),Projects!$B$27/Projects!$D$27,"")</f>
      </c>
      <c r="H33" s="584">
        <f>IF(AND(Projects!$C$27&lt;=H$4,H$4&lt;=Projects!$C$27+Projects!$D$27-1),Projects!$B$27/Projects!$D$27,"")</f>
      </c>
      <c r="I33" s="584">
        <f>IF(AND(Projects!$C$27&lt;=I$4,I$4&lt;=Projects!$C$27+Projects!$D$27-1),Projects!$B$27/Projects!$D$27,"")</f>
      </c>
      <c r="J33" s="584">
        <f>IF(AND(Projects!$C$27&lt;=J$4,J$4&lt;=Projects!$C$27+Projects!$D$27-1),Projects!$B$27/Projects!$D$27,"")</f>
      </c>
      <c r="K33" s="584">
        <f>IF(AND(Projects!$C$27&lt;=K$4,K$4&lt;=Projects!$C$27+Projects!$D$27-1),Projects!$B$27/Projects!$D$27,"")</f>
      </c>
      <c r="L33" s="584">
        <f>IF(AND(Projects!$C$27&lt;=L$4,L$4&lt;=Projects!$C$27+Projects!$D$27-1),Projects!$B$27/Projects!$D$27,"")</f>
      </c>
      <c r="M33" s="584">
        <f>IF(AND(Projects!$C$27&lt;=M$4,M$4&lt;=Projects!$C$27+Projects!$D$27-1),Projects!$B$27/Projects!$D$27,"")</f>
      </c>
      <c r="N33" s="584">
        <f>IF(AND(Projects!$C$27&lt;=N$4,N$4&lt;=Projects!$C$27+Projects!$D$27-1),Projects!$B$27/Projects!$D$27,"")</f>
      </c>
      <c r="O33" s="584">
        <f>IF(AND(Projects!$C$27&lt;=O$4,O$4&lt;=Projects!$C$27+Projects!$D$27-1),Projects!$B$27/Projects!$D$27,"")</f>
      </c>
      <c r="P33" s="584">
        <f>IF(AND(Projects!$C$27&lt;=P$4,P$4&lt;=Projects!$C$27+Projects!$D$27-1),Projects!$B$27/Projects!$D$27,"")</f>
      </c>
      <c r="Q33" s="584">
        <f>IF(AND(Projects!$C$27&lt;=Q$4,Q$4&lt;=Projects!$C$27+Projects!$D$27-1),Projects!$B$27/Projects!$D$27,"")</f>
      </c>
      <c r="R33" s="584">
        <f>IF(AND(Projects!$C$27&lt;=R$4,R$4&lt;=Projects!$C$27+Projects!$D$27-1),Projects!$B$27/Projects!$D$27,"")</f>
      </c>
      <c r="S33" s="584">
        <f>IF(AND(Projects!$C$27&lt;=S$4,S$4&lt;=Projects!$C$27+Projects!$D$27-1),Projects!$B$27/Projects!$D$27,"")</f>
      </c>
      <c r="T33" s="584">
        <f>IF(AND(Projects!$C$27&lt;=T$4,T$4&lt;=Projects!$C$27+Projects!$D$27-1),Projects!$B$27/Projects!$D$27,"")</f>
      </c>
      <c r="U33" s="584">
        <f>IF(AND(Projects!$C$27&lt;=U$4,U$4&lt;=Projects!$C$27+Projects!$D$27-1),Projects!$B$27/Projects!$D$27,"")</f>
      </c>
      <c r="V33" s="584">
        <f>IF(AND(Projects!$C$27&lt;=V$4,V$4&lt;=Projects!$C$27+Projects!$D$27-1),Projects!$B$27/Projects!$D$27,"")</f>
      </c>
      <c r="W33" s="584">
        <f>IF(AND(Projects!$C$27&lt;=W$4,W$4&lt;=Projects!$C$27+Projects!$D$27-1),Projects!$B$27/Projects!$D$27,"")</f>
      </c>
      <c r="X33" s="584">
        <f>IF(AND(Projects!$C$27&lt;=X$4,X$4&lt;=Projects!$C$27+Projects!$D$27-1),Projects!$B$27/Projects!$D$27,"")</f>
      </c>
      <c r="Y33" s="584">
        <f>IF(AND(Projects!$C$27&lt;=Y$4,Y$4&lt;=Projects!$C$27+Projects!$D$27-1),Projects!$B$27/Projects!$D$27,"")</f>
      </c>
      <c r="Z33" s="584">
        <f>IF(AND(Projects!$C$27&lt;=Z$4,Z$4&lt;=Projects!$C$27+Projects!$D$27-1),Projects!$B$27/Projects!$D$27,"")</f>
      </c>
      <c r="AA33" s="584">
        <f>IF(AND(Projects!$C$27&lt;=AA$4,AA$4&lt;=Projects!$C$27+Projects!$D$27-1),Projects!$B$27/Projects!$D$27,"")</f>
      </c>
      <c r="AB33" s="584">
        <f>IF(AND(Projects!$C$27&lt;=AB$4,AB$4&lt;=Projects!$C$27+Projects!$D$27-1),Projects!$B$27/Projects!$D$27,"")</f>
      </c>
      <c r="AC33" s="584">
        <f>IF(AND(Projects!$C$27&lt;=AC$4,AC$4&lt;=Projects!$C$27+Projects!$D$27-1),Projects!$B$27/Projects!$D$27,"")</f>
      </c>
      <c r="AD33" s="584">
        <f>IF(AND(Projects!$C$27&lt;=AD$4,AD$4&lt;=Projects!$C$27+Projects!$D$27-1),Projects!$B$27/Projects!$D$27,"")</f>
      </c>
      <c r="AE33" s="584">
        <f>IF(AND(Projects!$C$27&lt;=AE$4,AE$4&lt;=Projects!$C$27+Projects!$D$27-1),Projects!$B$27/Projects!$D$27,"")</f>
      </c>
      <c r="AF33" s="584">
        <f>IF(AND(Projects!$C$27&lt;=AF$4,AF$4&lt;=Projects!$C$27+Projects!$D$27-1),Projects!$B$27/Projects!$D$27,"")</f>
      </c>
      <c r="AG33" s="584">
        <f>IF(AND(Projects!$C$27&lt;=AG$4,AG$4&lt;=Projects!$C$27+Projects!$D$27-1),Projects!$B$27/Projects!$D$27,"")</f>
      </c>
      <c r="AH33" s="584">
        <f>IF(AND(Projects!$C$27&lt;=AH$4,AH$4&lt;=Projects!$C$27+Projects!$D$27-1),Projects!$B$27/Projects!$D$27,"")</f>
      </c>
      <c r="AI33" s="584">
        <f>IF(AND(Projects!$C$27&lt;=AI$4,AI$4&lt;=Projects!$C$27+Projects!$D$27-1),Projects!$B$27/Projects!$D$27,"")</f>
      </c>
      <c r="AJ33" s="584">
        <f>IF(AND(Projects!$C$27&lt;=AJ$4,AJ$4&lt;=Projects!$C$27+Projects!$D$27-1),Projects!$B$27/Projects!$D$27,"")</f>
      </c>
      <c r="AK33" s="584">
        <f>IF(AND(Projects!$C$27&lt;=AK$4,AK$4&lt;=Projects!$C$27+Projects!$D$27-1),Projects!$B$27/Projects!$D$27,"")</f>
        <v>789473.684210526</v>
      </c>
      <c r="AL33" s="584">
        <f>IF(AND(Projects!$C$27&lt;=AL$4,AL$4&lt;=Projects!$C$27+Projects!$D$27-1),Projects!$B$27/Projects!$D$27,"")</f>
        <v>789473.684210526</v>
      </c>
      <c r="AM33" s="584">
        <f>IF(AND(Projects!$C$27&lt;=AM$4,AM$4&lt;=Projects!$C$27+Projects!$D$27-1),Projects!$B$27/Projects!$D$27,"")</f>
        <v>789473.684210526</v>
      </c>
      <c r="AN33" s="584">
        <f>IF(AND(Projects!$C$27&lt;=AN$4,AN$4&lt;=Projects!$C$27+Projects!$D$27-1),Projects!$B$27/Projects!$D$27,"")</f>
        <v>789473.684210526</v>
      </c>
      <c r="AO33" s="584">
        <f>IF(AND(Projects!$C$27&lt;=AO$4,AO$4&lt;=Projects!$C$27+Projects!$D$27-1),Projects!$B$27/Projects!$D$27,"")</f>
        <v>789473.684210526</v>
      </c>
      <c r="AP33" s="584">
        <f>IF(AND(Projects!$C$27&lt;=AP$4,AP$4&lt;=Projects!$C$27+Projects!$D$27-1),Projects!$B$27/Projects!$D$27,"")</f>
        <v>789473.684210526</v>
      </c>
      <c r="AQ33" s="584">
        <f>IF(AND(Projects!$C$27&lt;=AQ$4,AQ$4&lt;=Projects!$C$27+Projects!$D$27-1),Projects!$B$27/Projects!$D$27,"")</f>
        <v>789473.684210526</v>
      </c>
      <c r="AR33" s="584">
        <f>IF(AND(Projects!$C$27&lt;=AR$4,AR$4&lt;=Projects!$C$27+Projects!$D$27-1),Projects!$B$27/Projects!$D$27,"")</f>
        <v>789473.684210526</v>
      </c>
      <c r="AS33" s="584">
        <f>IF(AND(Projects!$C$27&lt;=AS$4,AS$4&lt;=Projects!$C$27+Projects!$D$27-1),Projects!$B$27/Projects!$D$27,"")</f>
        <v>789473.684210526</v>
      </c>
      <c r="AT33" s="584">
        <f>IF(AND(Projects!$C$27&lt;=AT$4,AT$4&lt;=Projects!$C$27+Projects!$D$27-1),Projects!$B$27/Projects!$D$27,"")</f>
        <v>789473.684210526</v>
      </c>
      <c r="AU33" s="584">
        <f>IF(AND(Projects!$C$27&lt;=AU$4,AU$4&lt;=Projects!$C$27+Projects!$D$27-1),Projects!$B$27/Projects!$D$27,"")</f>
        <v>789473.684210526</v>
      </c>
      <c r="AV33" s="584">
        <f>IF(AND(Projects!$C$27&lt;=AV$4,AV$4&lt;=Projects!$C$27+Projects!$D$27-1),Projects!$B$27/Projects!$D$27,"")</f>
        <v>789473.684210526</v>
      </c>
      <c r="AW33" s="584">
        <f>IF(AND(Projects!$C$27&lt;=AW$4,AW$4&lt;=Projects!$C$27+Projects!$D$27-1),Projects!$B$27/Projects!$D$27,"")</f>
        <v>789473.684210526</v>
      </c>
      <c r="AX33" s="584">
        <f>IF(AND(Projects!$C$27&lt;=AX$4,AX$4&lt;=Projects!$C$27+Projects!$D$27-1),Projects!$B$27/Projects!$D$27,"")</f>
        <v>789473.684210526</v>
      </c>
      <c r="AY33" s="584">
        <f>IF(AND(Projects!$C$27&lt;=AY$4,AY$4&lt;=Projects!$C$27+Projects!$D$27-1),Projects!$B$27/Projects!$D$27,"")</f>
        <v>789473.684210526</v>
      </c>
      <c r="AZ33" s="584">
        <f>IF(AND(Projects!$C$27&lt;=AZ$4,AZ$4&lt;=Projects!$C$27+Projects!$D$27-1),Projects!$B$27/Projects!$D$27,"")</f>
        <v>789473.684210526</v>
      </c>
      <c r="BA33" s="584">
        <f>IF(AND(Projects!$C$27&lt;=BA$4,BA$4&lt;=Projects!$C$27+Projects!$D$27-1),Projects!$B$27/Projects!$D$27,"")</f>
        <v>789473.684210526</v>
      </c>
      <c r="BB33" s="584">
        <f>IF(AND(Projects!$C$27&lt;=BB$4,BB$4&lt;=Projects!$C$27+Projects!$D$27-1),Projects!$B$27/Projects!$D$27,"")</f>
        <v>789473.684210526</v>
      </c>
      <c r="BC33" s="584">
        <f>IF(AND(Projects!$C$27&lt;=BC$4,BC$4&lt;=Projects!$C$27+Projects!$D$27-1),Projects!$B$27/Projects!$D$27,"")</f>
        <v>789473.684210526</v>
      </c>
      <c r="BD33" s="584">
        <f>IF(AND(Projects!$C$27&lt;=BD$4,BD$4&lt;=Projects!$C$27+Projects!$D$27-1),Projects!$B$27/Projects!$D$27,"")</f>
      </c>
      <c r="BE33" s="584">
        <f>IF(AND(Projects!$C$27&lt;=BE$4,BE$4&lt;=Projects!$C$27+Projects!$D$27-1),Projects!$B$27/Projects!$D$27,"")</f>
      </c>
      <c r="BF33" s="584">
        <f>IF(AND(Projects!$C$27&lt;=BF$4,BF$4&lt;=Projects!$C$27+Projects!$D$27-1),Projects!$B$27/Projects!$D$27,"")</f>
      </c>
      <c r="BG33" s="584">
        <f>IF(AND(Projects!$C$27&lt;=BG$4,BG$4&lt;=Projects!$C$27+Projects!$D$27-1),Projects!$B$27/Projects!$D$27,"")</f>
      </c>
      <c r="BH33" s="584">
        <f>IF(AND(Projects!$C$27&lt;=BH$4,BH$4&lt;=Projects!$C$27+Projects!$D$27-1),Projects!$B$27/Projects!$D$27,"")</f>
      </c>
      <c r="BI33" s="584">
        <f>IF(AND(Projects!$C$27&lt;=BI$4,BI$4&lt;=Projects!$C$27+Projects!$D$27-1),Projects!$B$27/Projects!$D$27,"")</f>
      </c>
      <c r="BJ33" s="584">
        <f>IF(AND(Projects!$C$27&lt;=BJ$4,BJ$4&lt;=Projects!$C$27+Projects!$D$27-1),Projects!$B$27/Projects!$D$27,"")</f>
      </c>
      <c r="BK33" s="584">
        <f>IF(AND(Projects!$C$27&lt;=BK$4,BK$4&lt;=Projects!$C$27+Projects!$D$27-1),Projects!$B$27/Projects!$D$27,"")</f>
      </c>
      <c r="BL33" s="584">
        <f>IF(AND(Projects!$C$27&lt;=BL$4,BL$4&lt;=Projects!$C$27+Projects!$D$27-1),Projects!$B$27/Projects!$D$27,"")</f>
      </c>
      <c r="BM33" s="584">
        <f>IF(AND(Projects!$C$27&lt;=BM$4,BM$4&lt;=Projects!$C$27+Projects!$D$27-1),Projects!$B$27/Projects!$D$27,"")</f>
      </c>
      <c r="BN33" s="584">
        <f>IF(AND(Projects!$C$27&lt;=BN$4,BN$4&lt;=Projects!$C$27+Projects!$D$27-1),Projects!$B$27/Projects!$D$27,"")</f>
      </c>
      <c r="BO33" s="584">
        <f>IF(AND(Projects!$C$27&lt;=BO$4,BO$4&lt;=Projects!$C$27+Projects!$D$27-1),Projects!$B$27/Projects!$D$27,"")</f>
      </c>
      <c r="BP33" s="584">
        <f>IF(AND(Projects!$C$27&lt;=BP$4,BP$4&lt;=Projects!$C$27+Projects!$D$27-1),Projects!$B$27/Projects!$D$27,"")</f>
      </c>
      <c r="BQ33" s="584">
        <f>IF(AND(Projects!$C$27&lt;=BQ$4,BQ$4&lt;=Projects!$C$27+Projects!$D$27-1),Projects!$B$27/Projects!$D$27,"")</f>
      </c>
      <c r="BR33" s="584">
        <f>IF(AND(Projects!$C$27&lt;=BR$4,BR$4&lt;=Projects!$C$27+Projects!$D$27-1),Projects!$B$27/Projects!$D$27,"")</f>
      </c>
      <c r="BS33" s="584">
        <f>IF(AND(Projects!$C$27&lt;=BS$4,BS$4&lt;=Projects!$C$27+Projects!$D$27-1),Projects!$B$27/Projects!$D$27,"")</f>
      </c>
      <c r="BT33" s="584">
        <f>IF(AND(Projects!$C$27&lt;=BT$4,BT$4&lt;=Projects!$C$27+Projects!$D$27-1),Projects!$B$27/Projects!$D$27,"")</f>
      </c>
      <c r="BU33" s="584">
        <f>IF(AND(Projects!$C$27&lt;=BU$4,BU$4&lt;=Projects!$C$27+Projects!$D$27-1),Projects!$B$27/Projects!$D$27,"")</f>
      </c>
      <c r="BV33" s="584">
        <f>IF(AND(Projects!$C$27&lt;=BV$4,BV$4&lt;=Projects!$C$27+Projects!$D$27-1),Projects!$B$27/Projects!$D$27,"")</f>
      </c>
      <c r="BW33" s="584">
        <f>IF(AND(Projects!$C$27&lt;=BW$4,BW$4&lt;=Projects!$C$27+Projects!$D$27-1),Projects!$B$27/Projects!$D$27,"")</f>
      </c>
      <c r="BX33" s="584">
        <f>IF(AND(Projects!$C$27&lt;=BX$4,BX$4&lt;=Projects!$C$27+Projects!$D$27-1),Projects!$B$27/Projects!$D$27,"")</f>
      </c>
      <c r="BY33" s="584">
        <f>IF(AND(Projects!$C$27&lt;=BY$4,BY$4&lt;=Projects!$C$27+Projects!$D$27-1),Projects!$B$27/Projects!$D$27,"")</f>
      </c>
      <c r="BZ33" s="584">
        <f>IF(AND(Projects!$C$27&lt;=BZ$4,BZ$4&lt;=Projects!$C$27+Projects!$D$27-1),Projects!$B$27/Projects!$D$27,"")</f>
      </c>
      <c r="CA33" s="584">
        <f>IF(AND(Projects!$C$27&lt;=CA$4,CA$4&lt;=Projects!$C$27+Projects!$D$27-1),Projects!$B$27/Projects!$D$27,"")</f>
      </c>
      <c r="CB33" s="584">
        <f>IF(AND(Projects!$C$27&lt;=CB$4,CB$4&lt;=Projects!$C$27+Projects!$D$27-1),Projects!$B$27/Projects!$D$27,"")</f>
      </c>
      <c r="CC33" s="584">
        <f>IF(AND(Projects!$C$27&lt;=CC$4,CC$4&lt;=Projects!$C$27+Projects!$D$27-1),Projects!$B$27/Projects!$D$27,"")</f>
      </c>
      <c r="CD33" s="584">
        <f>IF(AND(Projects!$C$27&lt;=CD$4,CD$4&lt;=Projects!$C$27+Projects!$D$27-1),Projects!$B$27/Projects!$D$27,"")</f>
      </c>
      <c r="CE33" s="584">
        <f>IF(AND(Projects!$C$27&lt;=CE$4,CE$4&lt;=Projects!$C$27+Projects!$D$27-1),Projects!$B$27/Projects!$D$27,"")</f>
      </c>
      <c r="CF33" s="584">
        <f>IF(AND(Projects!$C$27&lt;=CF$4,CF$4&lt;=Projects!$C$27+Projects!$D$27-1),Projects!$B$27/Projects!$D$27,"")</f>
      </c>
      <c r="CG33" s="584">
        <f>IF(AND(Projects!$C$27&lt;=CG$4,CG$4&lt;=Projects!$C$27+Projects!$D$27-1),Projects!$B$27/Projects!$D$27,"")</f>
      </c>
      <c r="CH33" s="584">
        <f>IF(AND(Projects!$C$27&lt;=CH$4,CH$4&lt;=Projects!$C$27+Projects!$D$27-1),Projects!$B$27/Projects!$D$27,"")</f>
      </c>
      <c r="CI33" s="584">
        <f>IF(AND(Projects!$C$27&lt;=CI$4,CI$4&lt;=Projects!$C$27+Projects!$D$27-1),Projects!$B$27/Projects!$D$27,"")</f>
      </c>
      <c r="CJ33" s="584">
        <f>IF(AND(Projects!$C$27&lt;=CJ$4,CJ$4&lt;=Projects!$C$27+Projects!$D$27-1),Projects!$B$27/Projects!$D$27,"")</f>
      </c>
      <c r="CK33" s="584">
        <f>IF(AND(Projects!$C$27&lt;=CK$4,CK$4&lt;=Projects!$C$27+Projects!$D$27-1),Projects!$B$27/Projects!$D$27,"")</f>
      </c>
      <c r="CL33" s="584">
        <f>IF(AND(Projects!$C$27&lt;=CL$4,CL$4&lt;=Projects!$C$27+Projects!$D$27-1),Projects!$B$27/Projects!$D$27,"")</f>
      </c>
      <c r="CM33" s="584">
        <f>IF(AND(Projects!$C$27&lt;=CM$4,CM$4&lt;=Projects!$C$27+Projects!$D$27-1),Projects!$B$27/Projects!$D$27,"")</f>
      </c>
      <c r="CN33" s="584">
        <f>IF(AND(Projects!$C$27&lt;=CN$4,CN$4&lt;=Projects!$C$27+Projects!$D$27-1),Projects!$B$27/Projects!$D$27,"")</f>
      </c>
      <c r="CO33" s="584">
        <f>IF(AND(Projects!$C$27&lt;=CO$4,CO$4&lt;=Projects!$C$27+Projects!$D$27-1),Projects!$B$27/Projects!$D$27,"")</f>
      </c>
      <c r="CP33" s="584">
        <f>IF(AND(Projects!$C$27&lt;=CP$4,CP$4&lt;=Projects!$C$27+Projects!$D$27-1),Projects!$B$27/Projects!$D$27,"")</f>
      </c>
      <c r="CQ33" s="584">
        <f>IF(AND(Projects!$C$27&lt;=CQ$4,CQ$4&lt;=Projects!$C$27+Projects!$D$27-1),Projects!$B$27/Projects!$D$27,"")</f>
      </c>
      <c r="CR33" s="584">
        <f>IF(AND(Projects!$C$27&lt;=CR$4,CR$4&lt;=Projects!$C$27+Projects!$D$27-1),Projects!$B$27/Projects!$D$27,"")</f>
      </c>
      <c r="CS33" s="584">
        <f>IF(AND(Projects!$C$27&lt;=CS$4,CS$4&lt;=Projects!$C$27+Projects!$D$27-1),Projects!$B$27/Projects!$D$27,"")</f>
      </c>
      <c r="CT33" s="584">
        <f>IF(AND(Projects!$C$27&lt;=CT$4,CT$4&lt;=Projects!$C$27+Projects!$D$27-1),Projects!$B$27/Projects!$D$27,"")</f>
      </c>
      <c r="CU33" s="584">
        <f>IF(AND(Projects!$C$27&lt;=CU$4,CU$4&lt;=Projects!$C$27+Projects!$D$27-1),Projects!$B$27/Projects!$D$27,"")</f>
      </c>
      <c r="CV33" s="584">
        <f>IF(AND(Projects!$C$27&lt;=CV$4,CV$4&lt;=Projects!$C$27+Projects!$D$27-1),Projects!$B$27/Projects!$D$27,"")</f>
      </c>
      <c r="CW33" s="584">
        <f>IF(AND(Projects!$C$27&lt;=CW$4,CW$4&lt;=Projects!$C$27+Projects!$D$27-1),Projects!$B$27/Projects!$D$27,"")</f>
      </c>
      <c r="CX33" s="584">
        <f>IF(AND(Projects!$C$27&lt;=CX$4,CX$4&lt;=Projects!$C$27+Projects!$D$27-1),Projects!$B$27/Projects!$D$27,"")</f>
      </c>
      <c r="CY33" s="584">
        <f>IF(AND(Projects!$C$27&lt;=CY$4,CY$4&lt;=Projects!$C$27+Projects!$D$27-1),Projects!$B$27/Projects!$D$27,"")</f>
      </c>
      <c r="CZ33" s="584">
        <f>IF(AND(Projects!$C$27&lt;=CZ$4,CZ$4&lt;=Projects!$C$27+Projects!$D$27-1),Projects!$B$27/Projects!$D$27,"")</f>
      </c>
      <c r="DA33" s="584">
        <f>IF(AND(Projects!$C$27&lt;=DA$4,DA$4&lt;=Projects!$C$27+Projects!$D$27-1),Projects!$B$27/Projects!$D$27,"")</f>
      </c>
      <c r="DB33" s="584">
        <f>IF(AND(Projects!$C$27&lt;=DB$4,DB$4&lt;=Projects!$C$27+Projects!$D$27-1),Projects!$B$27/Projects!$D$27,"")</f>
      </c>
    </row>
    <row r="34" ht="15" customFormat="1" customHeight="1" s="381">
      <c r="A34" s="513" t="inlineStr">
        <is>
          <t>BD-12</t>
        </is>
      </c>
      <c r="B34" s="581">
        <f>Projects!$B$28</f>
        <v>15000000</v>
      </c>
      <c r="C34" s="582">
        <f>EDATE(Model!$E$2,Projects!$C$28-1)</f>
        <v>47058</v>
      </c>
      <c r="D34" s="582">
        <f>EDATE(Model!$E$2,Projects!$C$28+Projects!$D$28-2)</f>
        <v>47604</v>
      </c>
      <c r="E34" s="583">
        <f>Projects!$D$28</f>
        <v>19</v>
      </c>
      <c r="F34" s="581">
        <f>Projects!$B$28/Projects!$D$28</f>
        <v>789473.684210526</v>
      </c>
      <c r="G34" s="584">
        <f>IF(AND(Projects!$C$28&lt;=G$4,G$4&lt;=Projects!$C$28+Projects!$D$28-1),Projects!$B$28/Projects!$D$28,"")</f>
      </c>
      <c r="H34" s="584">
        <f>IF(AND(Projects!$C$28&lt;=H$4,H$4&lt;=Projects!$C$28+Projects!$D$28-1),Projects!$B$28/Projects!$D$28,"")</f>
      </c>
      <c r="I34" s="584">
        <f>IF(AND(Projects!$C$28&lt;=I$4,I$4&lt;=Projects!$C$28+Projects!$D$28-1),Projects!$B$28/Projects!$D$28,"")</f>
      </c>
      <c r="J34" s="584">
        <f>IF(AND(Projects!$C$28&lt;=J$4,J$4&lt;=Projects!$C$28+Projects!$D$28-1),Projects!$B$28/Projects!$D$28,"")</f>
      </c>
      <c r="K34" s="584">
        <f>IF(AND(Projects!$C$28&lt;=K$4,K$4&lt;=Projects!$C$28+Projects!$D$28-1),Projects!$B$28/Projects!$D$28,"")</f>
      </c>
      <c r="L34" s="584">
        <f>IF(AND(Projects!$C$28&lt;=L$4,L$4&lt;=Projects!$C$28+Projects!$D$28-1),Projects!$B$28/Projects!$D$28,"")</f>
      </c>
      <c r="M34" s="584">
        <f>IF(AND(Projects!$C$28&lt;=M$4,M$4&lt;=Projects!$C$28+Projects!$D$28-1),Projects!$B$28/Projects!$D$28,"")</f>
      </c>
      <c r="N34" s="584">
        <f>IF(AND(Projects!$C$28&lt;=N$4,N$4&lt;=Projects!$C$28+Projects!$D$28-1),Projects!$B$28/Projects!$D$28,"")</f>
      </c>
      <c r="O34" s="584">
        <f>IF(AND(Projects!$C$28&lt;=O$4,O$4&lt;=Projects!$C$28+Projects!$D$28-1),Projects!$B$28/Projects!$D$28,"")</f>
      </c>
      <c r="P34" s="584">
        <f>IF(AND(Projects!$C$28&lt;=P$4,P$4&lt;=Projects!$C$28+Projects!$D$28-1),Projects!$B$28/Projects!$D$28,"")</f>
      </c>
      <c r="Q34" s="584">
        <f>IF(AND(Projects!$C$28&lt;=Q$4,Q$4&lt;=Projects!$C$28+Projects!$D$28-1),Projects!$B$28/Projects!$D$28,"")</f>
      </c>
      <c r="R34" s="584">
        <f>IF(AND(Projects!$C$28&lt;=R$4,R$4&lt;=Projects!$C$28+Projects!$D$28-1),Projects!$B$28/Projects!$D$28,"")</f>
      </c>
      <c r="S34" s="584">
        <f>IF(AND(Projects!$C$28&lt;=S$4,S$4&lt;=Projects!$C$28+Projects!$D$28-1),Projects!$B$28/Projects!$D$28,"")</f>
      </c>
      <c r="T34" s="584">
        <f>IF(AND(Projects!$C$28&lt;=T$4,T$4&lt;=Projects!$C$28+Projects!$D$28-1),Projects!$B$28/Projects!$D$28,"")</f>
      </c>
      <c r="U34" s="584">
        <f>IF(AND(Projects!$C$28&lt;=U$4,U$4&lt;=Projects!$C$28+Projects!$D$28-1),Projects!$B$28/Projects!$D$28,"")</f>
      </c>
      <c r="V34" s="584">
        <f>IF(AND(Projects!$C$28&lt;=V$4,V$4&lt;=Projects!$C$28+Projects!$D$28-1),Projects!$B$28/Projects!$D$28,"")</f>
      </c>
      <c r="W34" s="584">
        <f>IF(AND(Projects!$C$28&lt;=W$4,W$4&lt;=Projects!$C$28+Projects!$D$28-1),Projects!$B$28/Projects!$D$28,"")</f>
      </c>
      <c r="X34" s="584">
        <f>IF(AND(Projects!$C$28&lt;=X$4,X$4&lt;=Projects!$C$28+Projects!$D$28-1),Projects!$B$28/Projects!$D$28,"")</f>
      </c>
      <c r="Y34" s="584">
        <f>IF(AND(Projects!$C$28&lt;=Y$4,Y$4&lt;=Projects!$C$28+Projects!$D$28-1),Projects!$B$28/Projects!$D$28,"")</f>
      </c>
      <c r="Z34" s="584">
        <f>IF(AND(Projects!$C$28&lt;=Z$4,Z$4&lt;=Projects!$C$28+Projects!$D$28-1),Projects!$B$28/Projects!$D$28,"")</f>
      </c>
      <c r="AA34" s="584">
        <f>IF(AND(Projects!$C$28&lt;=AA$4,AA$4&lt;=Projects!$C$28+Projects!$D$28-1),Projects!$B$28/Projects!$D$28,"")</f>
      </c>
      <c r="AB34" s="584">
        <f>IF(AND(Projects!$C$28&lt;=AB$4,AB$4&lt;=Projects!$C$28+Projects!$D$28-1),Projects!$B$28/Projects!$D$28,"")</f>
      </c>
      <c r="AC34" s="584">
        <f>IF(AND(Projects!$C$28&lt;=AC$4,AC$4&lt;=Projects!$C$28+Projects!$D$28-1),Projects!$B$28/Projects!$D$28,"")</f>
      </c>
      <c r="AD34" s="584">
        <f>IF(AND(Projects!$C$28&lt;=AD$4,AD$4&lt;=Projects!$C$28+Projects!$D$28-1),Projects!$B$28/Projects!$D$28,"")</f>
      </c>
      <c r="AE34" s="584">
        <f>IF(AND(Projects!$C$28&lt;=AE$4,AE$4&lt;=Projects!$C$28+Projects!$D$28-1),Projects!$B$28/Projects!$D$28,"")</f>
      </c>
      <c r="AF34" s="584">
        <f>IF(AND(Projects!$C$28&lt;=AF$4,AF$4&lt;=Projects!$C$28+Projects!$D$28-1),Projects!$B$28/Projects!$D$28,"")</f>
      </c>
      <c r="AG34" s="584">
        <f>IF(AND(Projects!$C$28&lt;=AG$4,AG$4&lt;=Projects!$C$28+Projects!$D$28-1),Projects!$B$28/Projects!$D$28,"")</f>
      </c>
      <c r="AH34" s="584">
        <f>IF(AND(Projects!$C$28&lt;=AH$4,AH$4&lt;=Projects!$C$28+Projects!$D$28-1),Projects!$B$28/Projects!$D$28,"")</f>
      </c>
      <c r="AI34" s="584">
        <f>IF(AND(Projects!$C$28&lt;=AI$4,AI$4&lt;=Projects!$C$28+Projects!$D$28-1),Projects!$B$28/Projects!$D$28,"")</f>
      </c>
      <c r="AJ34" s="584">
        <f>IF(AND(Projects!$C$28&lt;=AJ$4,AJ$4&lt;=Projects!$C$28+Projects!$D$28-1),Projects!$B$28/Projects!$D$28,"")</f>
      </c>
      <c r="AK34" s="584">
        <f>IF(AND(Projects!$C$28&lt;=AK$4,AK$4&lt;=Projects!$C$28+Projects!$D$28-1),Projects!$B$28/Projects!$D$28,"")</f>
      </c>
      <c r="AL34" s="584">
        <f>IF(AND(Projects!$C$28&lt;=AL$4,AL$4&lt;=Projects!$C$28+Projects!$D$28-1),Projects!$B$28/Projects!$D$28,"")</f>
        <v>789473.684210526</v>
      </c>
      <c r="AM34" s="584">
        <f>IF(AND(Projects!$C$28&lt;=AM$4,AM$4&lt;=Projects!$C$28+Projects!$D$28-1),Projects!$B$28/Projects!$D$28,"")</f>
        <v>789473.684210526</v>
      </c>
      <c r="AN34" s="584">
        <f>IF(AND(Projects!$C$28&lt;=AN$4,AN$4&lt;=Projects!$C$28+Projects!$D$28-1),Projects!$B$28/Projects!$D$28,"")</f>
        <v>789473.684210526</v>
      </c>
      <c r="AO34" s="584">
        <f>IF(AND(Projects!$C$28&lt;=AO$4,AO$4&lt;=Projects!$C$28+Projects!$D$28-1),Projects!$B$28/Projects!$D$28,"")</f>
        <v>789473.684210526</v>
      </c>
      <c r="AP34" s="584">
        <f>IF(AND(Projects!$C$28&lt;=AP$4,AP$4&lt;=Projects!$C$28+Projects!$D$28-1),Projects!$B$28/Projects!$D$28,"")</f>
        <v>789473.684210526</v>
      </c>
      <c r="AQ34" s="584">
        <f>IF(AND(Projects!$C$28&lt;=AQ$4,AQ$4&lt;=Projects!$C$28+Projects!$D$28-1),Projects!$B$28/Projects!$D$28,"")</f>
        <v>789473.684210526</v>
      </c>
      <c r="AR34" s="584">
        <f>IF(AND(Projects!$C$28&lt;=AR$4,AR$4&lt;=Projects!$C$28+Projects!$D$28-1),Projects!$B$28/Projects!$D$28,"")</f>
        <v>789473.684210526</v>
      </c>
      <c r="AS34" s="584">
        <f>IF(AND(Projects!$C$28&lt;=AS$4,AS$4&lt;=Projects!$C$28+Projects!$D$28-1),Projects!$B$28/Projects!$D$28,"")</f>
        <v>789473.684210526</v>
      </c>
      <c r="AT34" s="584">
        <f>IF(AND(Projects!$C$28&lt;=AT$4,AT$4&lt;=Projects!$C$28+Projects!$D$28-1),Projects!$B$28/Projects!$D$28,"")</f>
        <v>789473.684210526</v>
      </c>
      <c r="AU34" s="584">
        <f>IF(AND(Projects!$C$28&lt;=AU$4,AU$4&lt;=Projects!$C$28+Projects!$D$28-1),Projects!$B$28/Projects!$D$28,"")</f>
        <v>789473.684210526</v>
      </c>
      <c r="AV34" s="584">
        <f>IF(AND(Projects!$C$28&lt;=AV$4,AV$4&lt;=Projects!$C$28+Projects!$D$28-1),Projects!$B$28/Projects!$D$28,"")</f>
        <v>789473.684210526</v>
      </c>
      <c r="AW34" s="584">
        <f>IF(AND(Projects!$C$28&lt;=AW$4,AW$4&lt;=Projects!$C$28+Projects!$D$28-1),Projects!$B$28/Projects!$D$28,"")</f>
        <v>789473.684210526</v>
      </c>
      <c r="AX34" s="584">
        <f>IF(AND(Projects!$C$28&lt;=AX$4,AX$4&lt;=Projects!$C$28+Projects!$D$28-1),Projects!$B$28/Projects!$D$28,"")</f>
        <v>789473.684210526</v>
      </c>
      <c r="AY34" s="584">
        <f>IF(AND(Projects!$C$28&lt;=AY$4,AY$4&lt;=Projects!$C$28+Projects!$D$28-1),Projects!$B$28/Projects!$D$28,"")</f>
        <v>789473.684210526</v>
      </c>
      <c r="AZ34" s="584">
        <f>IF(AND(Projects!$C$28&lt;=AZ$4,AZ$4&lt;=Projects!$C$28+Projects!$D$28-1),Projects!$B$28/Projects!$D$28,"")</f>
        <v>789473.684210526</v>
      </c>
      <c r="BA34" s="584">
        <f>IF(AND(Projects!$C$28&lt;=BA$4,BA$4&lt;=Projects!$C$28+Projects!$D$28-1),Projects!$B$28/Projects!$D$28,"")</f>
        <v>789473.684210526</v>
      </c>
      <c r="BB34" s="584">
        <f>IF(AND(Projects!$C$28&lt;=BB$4,BB$4&lt;=Projects!$C$28+Projects!$D$28-1),Projects!$B$28/Projects!$D$28,"")</f>
        <v>789473.684210526</v>
      </c>
      <c r="BC34" s="584">
        <f>IF(AND(Projects!$C$28&lt;=BC$4,BC$4&lt;=Projects!$C$28+Projects!$D$28-1),Projects!$B$28/Projects!$D$28,"")</f>
        <v>789473.684210526</v>
      </c>
      <c r="BD34" s="584">
        <f>IF(AND(Projects!$C$28&lt;=BD$4,BD$4&lt;=Projects!$C$28+Projects!$D$28-1),Projects!$B$28/Projects!$D$28,"")</f>
        <v>789473.684210526</v>
      </c>
      <c r="BE34" s="584">
        <f>IF(AND(Projects!$C$28&lt;=BE$4,BE$4&lt;=Projects!$C$28+Projects!$D$28-1),Projects!$B$28/Projects!$D$28,"")</f>
      </c>
      <c r="BF34" s="584">
        <f>IF(AND(Projects!$C$28&lt;=BF$4,BF$4&lt;=Projects!$C$28+Projects!$D$28-1),Projects!$B$28/Projects!$D$28,"")</f>
      </c>
      <c r="BG34" s="584">
        <f>IF(AND(Projects!$C$28&lt;=BG$4,BG$4&lt;=Projects!$C$28+Projects!$D$28-1),Projects!$B$28/Projects!$D$28,"")</f>
      </c>
      <c r="BH34" s="584">
        <f>IF(AND(Projects!$C$28&lt;=BH$4,BH$4&lt;=Projects!$C$28+Projects!$D$28-1),Projects!$B$28/Projects!$D$28,"")</f>
      </c>
      <c r="BI34" s="584">
        <f>IF(AND(Projects!$C$28&lt;=BI$4,BI$4&lt;=Projects!$C$28+Projects!$D$28-1),Projects!$B$28/Projects!$D$28,"")</f>
      </c>
      <c r="BJ34" s="584">
        <f>IF(AND(Projects!$C$28&lt;=BJ$4,BJ$4&lt;=Projects!$C$28+Projects!$D$28-1),Projects!$B$28/Projects!$D$28,"")</f>
      </c>
      <c r="BK34" s="584">
        <f>IF(AND(Projects!$C$28&lt;=BK$4,BK$4&lt;=Projects!$C$28+Projects!$D$28-1),Projects!$B$28/Projects!$D$28,"")</f>
      </c>
      <c r="BL34" s="584">
        <f>IF(AND(Projects!$C$28&lt;=BL$4,BL$4&lt;=Projects!$C$28+Projects!$D$28-1),Projects!$B$28/Projects!$D$28,"")</f>
      </c>
      <c r="BM34" s="584">
        <f>IF(AND(Projects!$C$28&lt;=BM$4,BM$4&lt;=Projects!$C$28+Projects!$D$28-1),Projects!$B$28/Projects!$D$28,"")</f>
      </c>
      <c r="BN34" s="584">
        <f>IF(AND(Projects!$C$28&lt;=BN$4,BN$4&lt;=Projects!$C$28+Projects!$D$28-1),Projects!$B$28/Projects!$D$28,"")</f>
      </c>
      <c r="BO34" s="584">
        <f>IF(AND(Projects!$C$28&lt;=BO$4,BO$4&lt;=Projects!$C$28+Projects!$D$28-1),Projects!$B$28/Projects!$D$28,"")</f>
      </c>
      <c r="BP34" s="584">
        <f>IF(AND(Projects!$C$28&lt;=BP$4,BP$4&lt;=Projects!$C$28+Projects!$D$28-1),Projects!$B$28/Projects!$D$28,"")</f>
      </c>
      <c r="BQ34" s="584">
        <f>IF(AND(Projects!$C$28&lt;=BQ$4,BQ$4&lt;=Projects!$C$28+Projects!$D$28-1),Projects!$B$28/Projects!$D$28,"")</f>
      </c>
      <c r="BR34" s="584">
        <f>IF(AND(Projects!$C$28&lt;=BR$4,BR$4&lt;=Projects!$C$28+Projects!$D$28-1),Projects!$B$28/Projects!$D$28,"")</f>
      </c>
      <c r="BS34" s="584">
        <f>IF(AND(Projects!$C$28&lt;=BS$4,BS$4&lt;=Projects!$C$28+Projects!$D$28-1),Projects!$B$28/Projects!$D$28,"")</f>
      </c>
      <c r="BT34" s="584">
        <f>IF(AND(Projects!$C$28&lt;=BT$4,BT$4&lt;=Projects!$C$28+Projects!$D$28-1),Projects!$B$28/Projects!$D$28,"")</f>
      </c>
      <c r="BU34" s="584">
        <f>IF(AND(Projects!$C$28&lt;=BU$4,BU$4&lt;=Projects!$C$28+Projects!$D$28-1),Projects!$B$28/Projects!$D$28,"")</f>
      </c>
      <c r="BV34" s="584">
        <f>IF(AND(Projects!$C$28&lt;=BV$4,BV$4&lt;=Projects!$C$28+Projects!$D$28-1),Projects!$B$28/Projects!$D$28,"")</f>
      </c>
      <c r="BW34" s="584">
        <f>IF(AND(Projects!$C$28&lt;=BW$4,BW$4&lt;=Projects!$C$28+Projects!$D$28-1),Projects!$B$28/Projects!$D$28,"")</f>
      </c>
      <c r="BX34" s="584">
        <f>IF(AND(Projects!$C$28&lt;=BX$4,BX$4&lt;=Projects!$C$28+Projects!$D$28-1),Projects!$B$28/Projects!$D$28,"")</f>
      </c>
      <c r="BY34" s="584">
        <f>IF(AND(Projects!$C$28&lt;=BY$4,BY$4&lt;=Projects!$C$28+Projects!$D$28-1),Projects!$B$28/Projects!$D$28,"")</f>
      </c>
      <c r="BZ34" s="584">
        <f>IF(AND(Projects!$C$28&lt;=BZ$4,BZ$4&lt;=Projects!$C$28+Projects!$D$28-1),Projects!$B$28/Projects!$D$28,"")</f>
      </c>
      <c r="CA34" s="584">
        <f>IF(AND(Projects!$C$28&lt;=CA$4,CA$4&lt;=Projects!$C$28+Projects!$D$28-1),Projects!$B$28/Projects!$D$28,"")</f>
      </c>
      <c r="CB34" s="584">
        <f>IF(AND(Projects!$C$28&lt;=CB$4,CB$4&lt;=Projects!$C$28+Projects!$D$28-1),Projects!$B$28/Projects!$D$28,"")</f>
      </c>
      <c r="CC34" s="584">
        <f>IF(AND(Projects!$C$28&lt;=CC$4,CC$4&lt;=Projects!$C$28+Projects!$D$28-1),Projects!$B$28/Projects!$D$28,"")</f>
      </c>
      <c r="CD34" s="584">
        <f>IF(AND(Projects!$C$28&lt;=CD$4,CD$4&lt;=Projects!$C$28+Projects!$D$28-1),Projects!$B$28/Projects!$D$28,"")</f>
      </c>
      <c r="CE34" s="584">
        <f>IF(AND(Projects!$C$28&lt;=CE$4,CE$4&lt;=Projects!$C$28+Projects!$D$28-1),Projects!$B$28/Projects!$D$28,"")</f>
      </c>
      <c r="CF34" s="584">
        <f>IF(AND(Projects!$C$28&lt;=CF$4,CF$4&lt;=Projects!$C$28+Projects!$D$28-1),Projects!$B$28/Projects!$D$28,"")</f>
      </c>
      <c r="CG34" s="584">
        <f>IF(AND(Projects!$C$28&lt;=CG$4,CG$4&lt;=Projects!$C$28+Projects!$D$28-1),Projects!$B$28/Projects!$D$28,"")</f>
      </c>
      <c r="CH34" s="584">
        <f>IF(AND(Projects!$C$28&lt;=CH$4,CH$4&lt;=Projects!$C$28+Projects!$D$28-1),Projects!$B$28/Projects!$D$28,"")</f>
      </c>
      <c r="CI34" s="584">
        <f>IF(AND(Projects!$C$28&lt;=CI$4,CI$4&lt;=Projects!$C$28+Projects!$D$28-1),Projects!$B$28/Projects!$D$28,"")</f>
      </c>
      <c r="CJ34" s="584">
        <f>IF(AND(Projects!$C$28&lt;=CJ$4,CJ$4&lt;=Projects!$C$28+Projects!$D$28-1),Projects!$B$28/Projects!$D$28,"")</f>
      </c>
      <c r="CK34" s="584">
        <f>IF(AND(Projects!$C$28&lt;=CK$4,CK$4&lt;=Projects!$C$28+Projects!$D$28-1),Projects!$B$28/Projects!$D$28,"")</f>
      </c>
      <c r="CL34" s="584">
        <f>IF(AND(Projects!$C$28&lt;=CL$4,CL$4&lt;=Projects!$C$28+Projects!$D$28-1),Projects!$B$28/Projects!$D$28,"")</f>
      </c>
      <c r="CM34" s="584">
        <f>IF(AND(Projects!$C$28&lt;=CM$4,CM$4&lt;=Projects!$C$28+Projects!$D$28-1),Projects!$B$28/Projects!$D$28,"")</f>
      </c>
      <c r="CN34" s="584">
        <f>IF(AND(Projects!$C$28&lt;=CN$4,CN$4&lt;=Projects!$C$28+Projects!$D$28-1),Projects!$B$28/Projects!$D$28,"")</f>
      </c>
      <c r="CO34" s="584">
        <f>IF(AND(Projects!$C$28&lt;=CO$4,CO$4&lt;=Projects!$C$28+Projects!$D$28-1),Projects!$B$28/Projects!$D$28,"")</f>
      </c>
      <c r="CP34" s="584">
        <f>IF(AND(Projects!$C$28&lt;=CP$4,CP$4&lt;=Projects!$C$28+Projects!$D$28-1),Projects!$B$28/Projects!$D$28,"")</f>
      </c>
      <c r="CQ34" s="584">
        <f>IF(AND(Projects!$C$28&lt;=CQ$4,CQ$4&lt;=Projects!$C$28+Projects!$D$28-1),Projects!$B$28/Projects!$D$28,"")</f>
      </c>
      <c r="CR34" s="584">
        <f>IF(AND(Projects!$C$28&lt;=CR$4,CR$4&lt;=Projects!$C$28+Projects!$D$28-1),Projects!$B$28/Projects!$D$28,"")</f>
      </c>
      <c r="CS34" s="584">
        <f>IF(AND(Projects!$C$28&lt;=CS$4,CS$4&lt;=Projects!$C$28+Projects!$D$28-1),Projects!$B$28/Projects!$D$28,"")</f>
      </c>
      <c r="CT34" s="584">
        <f>IF(AND(Projects!$C$28&lt;=CT$4,CT$4&lt;=Projects!$C$28+Projects!$D$28-1),Projects!$B$28/Projects!$D$28,"")</f>
      </c>
      <c r="CU34" s="584">
        <f>IF(AND(Projects!$C$28&lt;=CU$4,CU$4&lt;=Projects!$C$28+Projects!$D$28-1),Projects!$B$28/Projects!$D$28,"")</f>
      </c>
      <c r="CV34" s="584">
        <f>IF(AND(Projects!$C$28&lt;=CV$4,CV$4&lt;=Projects!$C$28+Projects!$D$28-1),Projects!$B$28/Projects!$D$28,"")</f>
      </c>
      <c r="CW34" s="584">
        <f>IF(AND(Projects!$C$28&lt;=CW$4,CW$4&lt;=Projects!$C$28+Projects!$D$28-1),Projects!$B$28/Projects!$D$28,"")</f>
      </c>
      <c r="CX34" s="584">
        <f>IF(AND(Projects!$C$28&lt;=CX$4,CX$4&lt;=Projects!$C$28+Projects!$D$28-1),Projects!$B$28/Projects!$D$28,"")</f>
      </c>
      <c r="CY34" s="584">
        <f>IF(AND(Projects!$C$28&lt;=CY$4,CY$4&lt;=Projects!$C$28+Projects!$D$28-1),Projects!$B$28/Projects!$D$28,"")</f>
      </c>
      <c r="CZ34" s="584">
        <f>IF(AND(Projects!$C$28&lt;=CZ$4,CZ$4&lt;=Projects!$C$28+Projects!$D$28-1),Projects!$B$28/Projects!$D$28,"")</f>
      </c>
      <c r="DA34" s="584">
        <f>IF(AND(Projects!$C$28&lt;=DA$4,DA$4&lt;=Projects!$C$28+Projects!$D$28-1),Projects!$B$28/Projects!$D$28,"")</f>
      </c>
      <c r="DB34" s="584">
        <f>IF(AND(Projects!$C$28&lt;=DB$4,DB$4&lt;=Projects!$C$28+Projects!$D$28-1),Projects!$B$28/Projects!$D$28,"")</f>
      </c>
    </row>
    <row r="35" ht="15" customFormat="1" customHeight="1" s="381">
      <c r="A35" s="513" t="inlineStr">
        <is>
          <t>BD-13</t>
        </is>
      </c>
      <c r="B35" s="581">
        <f>Projects!$B$29</f>
        <v>15000000</v>
      </c>
      <c r="C35" s="582">
        <f>EDATE(Model!$E$2,Projects!$C$29-1)</f>
        <v>47088</v>
      </c>
      <c r="D35" s="582">
        <f>EDATE(Model!$E$2,Projects!$C$29+Projects!$D$29-2)</f>
        <v>47635</v>
      </c>
      <c r="E35" s="583">
        <f>Projects!$D$29</f>
        <v>19</v>
      </c>
      <c r="F35" s="581">
        <f>Projects!$B$29/Projects!$D$29</f>
        <v>789473.684210526</v>
      </c>
      <c r="G35" s="584">
        <f>IF(AND(Projects!$C$29&lt;=G$4,G$4&lt;=Projects!$C$29+Projects!$D$29-1),Projects!$B$29/Projects!$D$29,"")</f>
      </c>
      <c r="H35" s="584">
        <f>IF(AND(Projects!$C$29&lt;=H$4,H$4&lt;=Projects!$C$29+Projects!$D$29-1),Projects!$B$29/Projects!$D$29,"")</f>
      </c>
      <c r="I35" s="584">
        <f>IF(AND(Projects!$C$29&lt;=I$4,I$4&lt;=Projects!$C$29+Projects!$D$29-1),Projects!$B$29/Projects!$D$29,"")</f>
      </c>
      <c r="J35" s="584">
        <f>IF(AND(Projects!$C$29&lt;=J$4,J$4&lt;=Projects!$C$29+Projects!$D$29-1),Projects!$B$29/Projects!$D$29,"")</f>
      </c>
      <c r="K35" s="584">
        <f>IF(AND(Projects!$C$29&lt;=K$4,K$4&lt;=Projects!$C$29+Projects!$D$29-1),Projects!$B$29/Projects!$D$29,"")</f>
      </c>
      <c r="L35" s="584">
        <f>IF(AND(Projects!$C$29&lt;=L$4,L$4&lt;=Projects!$C$29+Projects!$D$29-1),Projects!$B$29/Projects!$D$29,"")</f>
      </c>
      <c r="M35" s="584">
        <f>IF(AND(Projects!$C$29&lt;=M$4,M$4&lt;=Projects!$C$29+Projects!$D$29-1),Projects!$B$29/Projects!$D$29,"")</f>
      </c>
      <c r="N35" s="584">
        <f>IF(AND(Projects!$C$29&lt;=N$4,N$4&lt;=Projects!$C$29+Projects!$D$29-1),Projects!$B$29/Projects!$D$29,"")</f>
      </c>
      <c r="O35" s="584">
        <f>IF(AND(Projects!$C$29&lt;=O$4,O$4&lt;=Projects!$C$29+Projects!$D$29-1),Projects!$B$29/Projects!$D$29,"")</f>
      </c>
      <c r="P35" s="584">
        <f>IF(AND(Projects!$C$29&lt;=P$4,P$4&lt;=Projects!$C$29+Projects!$D$29-1),Projects!$B$29/Projects!$D$29,"")</f>
      </c>
      <c r="Q35" s="584">
        <f>IF(AND(Projects!$C$29&lt;=Q$4,Q$4&lt;=Projects!$C$29+Projects!$D$29-1),Projects!$B$29/Projects!$D$29,"")</f>
      </c>
      <c r="R35" s="584">
        <f>IF(AND(Projects!$C$29&lt;=R$4,R$4&lt;=Projects!$C$29+Projects!$D$29-1),Projects!$B$29/Projects!$D$29,"")</f>
      </c>
      <c r="S35" s="584">
        <f>IF(AND(Projects!$C$29&lt;=S$4,S$4&lt;=Projects!$C$29+Projects!$D$29-1),Projects!$B$29/Projects!$D$29,"")</f>
      </c>
      <c r="T35" s="584">
        <f>IF(AND(Projects!$C$29&lt;=T$4,T$4&lt;=Projects!$C$29+Projects!$D$29-1),Projects!$B$29/Projects!$D$29,"")</f>
      </c>
      <c r="U35" s="584">
        <f>IF(AND(Projects!$C$29&lt;=U$4,U$4&lt;=Projects!$C$29+Projects!$D$29-1),Projects!$B$29/Projects!$D$29,"")</f>
      </c>
      <c r="V35" s="584">
        <f>IF(AND(Projects!$C$29&lt;=V$4,V$4&lt;=Projects!$C$29+Projects!$D$29-1),Projects!$B$29/Projects!$D$29,"")</f>
      </c>
      <c r="W35" s="584">
        <f>IF(AND(Projects!$C$29&lt;=W$4,W$4&lt;=Projects!$C$29+Projects!$D$29-1),Projects!$B$29/Projects!$D$29,"")</f>
      </c>
      <c r="X35" s="584">
        <f>IF(AND(Projects!$C$29&lt;=X$4,X$4&lt;=Projects!$C$29+Projects!$D$29-1),Projects!$B$29/Projects!$D$29,"")</f>
      </c>
      <c r="Y35" s="584">
        <f>IF(AND(Projects!$C$29&lt;=Y$4,Y$4&lt;=Projects!$C$29+Projects!$D$29-1),Projects!$B$29/Projects!$D$29,"")</f>
      </c>
      <c r="Z35" s="584">
        <f>IF(AND(Projects!$C$29&lt;=Z$4,Z$4&lt;=Projects!$C$29+Projects!$D$29-1),Projects!$B$29/Projects!$D$29,"")</f>
      </c>
      <c r="AA35" s="584">
        <f>IF(AND(Projects!$C$29&lt;=AA$4,AA$4&lt;=Projects!$C$29+Projects!$D$29-1),Projects!$B$29/Projects!$D$29,"")</f>
      </c>
      <c r="AB35" s="584">
        <f>IF(AND(Projects!$C$29&lt;=AB$4,AB$4&lt;=Projects!$C$29+Projects!$D$29-1),Projects!$B$29/Projects!$D$29,"")</f>
      </c>
      <c r="AC35" s="584">
        <f>IF(AND(Projects!$C$29&lt;=AC$4,AC$4&lt;=Projects!$C$29+Projects!$D$29-1),Projects!$B$29/Projects!$D$29,"")</f>
      </c>
      <c r="AD35" s="584">
        <f>IF(AND(Projects!$C$29&lt;=AD$4,AD$4&lt;=Projects!$C$29+Projects!$D$29-1),Projects!$B$29/Projects!$D$29,"")</f>
      </c>
      <c r="AE35" s="584">
        <f>IF(AND(Projects!$C$29&lt;=AE$4,AE$4&lt;=Projects!$C$29+Projects!$D$29-1),Projects!$B$29/Projects!$D$29,"")</f>
      </c>
      <c r="AF35" s="584">
        <f>IF(AND(Projects!$C$29&lt;=AF$4,AF$4&lt;=Projects!$C$29+Projects!$D$29-1),Projects!$B$29/Projects!$D$29,"")</f>
      </c>
      <c r="AG35" s="584">
        <f>IF(AND(Projects!$C$29&lt;=AG$4,AG$4&lt;=Projects!$C$29+Projects!$D$29-1),Projects!$B$29/Projects!$D$29,"")</f>
      </c>
      <c r="AH35" s="584">
        <f>IF(AND(Projects!$C$29&lt;=AH$4,AH$4&lt;=Projects!$C$29+Projects!$D$29-1),Projects!$B$29/Projects!$D$29,"")</f>
      </c>
      <c r="AI35" s="584">
        <f>IF(AND(Projects!$C$29&lt;=AI$4,AI$4&lt;=Projects!$C$29+Projects!$D$29-1),Projects!$B$29/Projects!$D$29,"")</f>
      </c>
      <c r="AJ35" s="584">
        <f>IF(AND(Projects!$C$29&lt;=AJ$4,AJ$4&lt;=Projects!$C$29+Projects!$D$29-1),Projects!$B$29/Projects!$D$29,"")</f>
      </c>
      <c r="AK35" s="584">
        <f>IF(AND(Projects!$C$29&lt;=AK$4,AK$4&lt;=Projects!$C$29+Projects!$D$29-1),Projects!$B$29/Projects!$D$29,"")</f>
      </c>
      <c r="AL35" s="584">
        <f>IF(AND(Projects!$C$29&lt;=AL$4,AL$4&lt;=Projects!$C$29+Projects!$D$29-1),Projects!$B$29/Projects!$D$29,"")</f>
      </c>
      <c r="AM35" s="584">
        <f>IF(AND(Projects!$C$29&lt;=AM$4,AM$4&lt;=Projects!$C$29+Projects!$D$29-1),Projects!$B$29/Projects!$D$29,"")</f>
        <v>789473.684210526</v>
      </c>
      <c r="AN35" s="584">
        <f>IF(AND(Projects!$C$29&lt;=AN$4,AN$4&lt;=Projects!$C$29+Projects!$D$29-1),Projects!$B$29/Projects!$D$29,"")</f>
        <v>789473.684210526</v>
      </c>
      <c r="AO35" s="584">
        <f>IF(AND(Projects!$C$29&lt;=AO$4,AO$4&lt;=Projects!$C$29+Projects!$D$29-1),Projects!$B$29/Projects!$D$29,"")</f>
        <v>789473.684210526</v>
      </c>
      <c r="AP35" s="584">
        <f>IF(AND(Projects!$C$29&lt;=AP$4,AP$4&lt;=Projects!$C$29+Projects!$D$29-1),Projects!$B$29/Projects!$D$29,"")</f>
        <v>789473.684210526</v>
      </c>
      <c r="AQ35" s="584">
        <f>IF(AND(Projects!$C$29&lt;=AQ$4,AQ$4&lt;=Projects!$C$29+Projects!$D$29-1),Projects!$B$29/Projects!$D$29,"")</f>
        <v>789473.684210526</v>
      </c>
      <c r="AR35" s="584">
        <f>IF(AND(Projects!$C$29&lt;=AR$4,AR$4&lt;=Projects!$C$29+Projects!$D$29-1),Projects!$B$29/Projects!$D$29,"")</f>
        <v>789473.684210526</v>
      </c>
      <c r="AS35" s="584">
        <f>IF(AND(Projects!$C$29&lt;=AS$4,AS$4&lt;=Projects!$C$29+Projects!$D$29-1),Projects!$B$29/Projects!$D$29,"")</f>
        <v>789473.684210526</v>
      </c>
      <c r="AT35" s="584">
        <f>IF(AND(Projects!$C$29&lt;=AT$4,AT$4&lt;=Projects!$C$29+Projects!$D$29-1),Projects!$B$29/Projects!$D$29,"")</f>
        <v>789473.684210526</v>
      </c>
      <c r="AU35" s="584">
        <f>IF(AND(Projects!$C$29&lt;=AU$4,AU$4&lt;=Projects!$C$29+Projects!$D$29-1),Projects!$B$29/Projects!$D$29,"")</f>
        <v>789473.684210526</v>
      </c>
      <c r="AV35" s="584">
        <f>IF(AND(Projects!$C$29&lt;=AV$4,AV$4&lt;=Projects!$C$29+Projects!$D$29-1),Projects!$B$29/Projects!$D$29,"")</f>
        <v>789473.684210526</v>
      </c>
      <c r="AW35" s="584">
        <f>IF(AND(Projects!$C$29&lt;=AW$4,AW$4&lt;=Projects!$C$29+Projects!$D$29-1),Projects!$B$29/Projects!$D$29,"")</f>
        <v>789473.684210526</v>
      </c>
      <c r="AX35" s="584">
        <f>IF(AND(Projects!$C$29&lt;=AX$4,AX$4&lt;=Projects!$C$29+Projects!$D$29-1),Projects!$B$29/Projects!$D$29,"")</f>
        <v>789473.684210526</v>
      </c>
      <c r="AY35" s="584">
        <f>IF(AND(Projects!$C$29&lt;=AY$4,AY$4&lt;=Projects!$C$29+Projects!$D$29-1),Projects!$B$29/Projects!$D$29,"")</f>
        <v>789473.684210526</v>
      </c>
      <c r="AZ35" s="584">
        <f>IF(AND(Projects!$C$29&lt;=AZ$4,AZ$4&lt;=Projects!$C$29+Projects!$D$29-1),Projects!$B$29/Projects!$D$29,"")</f>
        <v>789473.684210526</v>
      </c>
      <c r="BA35" s="584">
        <f>IF(AND(Projects!$C$29&lt;=BA$4,BA$4&lt;=Projects!$C$29+Projects!$D$29-1),Projects!$B$29/Projects!$D$29,"")</f>
        <v>789473.684210526</v>
      </c>
      <c r="BB35" s="584">
        <f>IF(AND(Projects!$C$29&lt;=BB$4,BB$4&lt;=Projects!$C$29+Projects!$D$29-1),Projects!$B$29/Projects!$D$29,"")</f>
        <v>789473.684210526</v>
      </c>
      <c r="BC35" s="584">
        <f>IF(AND(Projects!$C$29&lt;=BC$4,BC$4&lt;=Projects!$C$29+Projects!$D$29-1),Projects!$B$29/Projects!$D$29,"")</f>
        <v>789473.684210526</v>
      </c>
      <c r="BD35" s="584">
        <f>IF(AND(Projects!$C$29&lt;=BD$4,BD$4&lt;=Projects!$C$29+Projects!$D$29-1),Projects!$B$29/Projects!$D$29,"")</f>
        <v>789473.684210526</v>
      </c>
      <c r="BE35" s="584">
        <f>IF(AND(Projects!$C$29&lt;=BE$4,BE$4&lt;=Projects!$C$29+Projects!$D$29-1),Projects!$B$29/Projects!$D$29,"")</f>
        <v>789473.684210526</v>
      </c>
      <c r="BF35" s="584">
        <f>IF(AND(Projects!$C$29&lt;=BF$4,BF$4&lt;=Projects!$C$29+Projects!$D$29-1),Projects!$B$29/Projects!$D$29,"")</f>
      </c>
      <c r="BG35" s="584">
        <f>IF(AND(Projects!$C$29&lt;=BG$4,BG$4&lt;=Projects!$C$29+Projects!$D$29-1),Projects!$B$29/Projects!$D$29,"")</f>
      </c>
      <c r="BH35" s="584">
        <f>IF(AND(Projects!$C$29&lt;=BH$4,BH$4&lt;=Projects!$C$29+Projects!$D$29-1),Projects!$B$29/Projects!$D$29,"")</f>
      </c>
      <c r="BI35" s="584">
        <f>IF(AND(Projects!$C$29&lt;=BI$4,BI$4&lt;=Projects!$C$29+Projects!$D$29-1),Projects!$B$29/Projects!$D$29,"")</f>
      </c>
      <c r="BJ35" s="584">
        <f>IF(AND(Projects!$C$29&lt;=BJ$4,BJ$4&lt;=Projects!$C$29+Projects!$D$29-1),Projects!$B$29/Projects!$D$29,"")</f>
      </c>
      <c r="BK35" s="584">
        <f>IF(AND(Projects!$C$29&lt;=BK$4,BK$4&lt;=Projects!$C$29+Projects!$D$29-1),Projects!$B$29/Projects!$D$29,"")</f>
      </c>
      <c r="BL35" s="584">
        <f>IF(AND(Projects!$C$29&lt;=BL$4,BL$4&lt;=Projects!$C$29+Projects!$D$29-1),Projects!$B$29/Projects!$D$29,"")</f>
      </c>
      <c r="BM35" s="584">
        <f>IF(AND(Projects!$C$29&lt;=BM$4,BM$4&lt;=Projects!$C$29+Projects!$D$29-1),Projects!$B$29/Projects!$D$29,"")</f>
      </c>
      <c r="BN35" s="584">
        <f>IF(AND(Projects!$C$29&lt;=BN$4,BN$4&lt;=Projects!$C$29+Projects!$D$29-1),Projects!$B$29/Projects!$D$29,"")</f>
      </c>
      <c r="BO35" s="584">
        <f>IF(AND(Projects!$C$29&lt;=BO$4,BO$4&lt;=Projects!$C$29+Projects!$D$29-1),Projects!$B$29/Projects!$D$29,"")</f>
      </c>
      <c r="BP35" s="584">
        <f>IF(AND(Projects!$C$29&lt;=BP$4,BP$4&lt;=Projects!$C$29+Projects!$D$29-1),Projects!$B$29/Projects!$D$29,"")</f>
      </c>
      <c r="BQ35" s="584">
        <f>IF(AND(Projects!$C$29&lt;=BQ$4,BQ$4&lt;=Projects!$C$29+Projects!$D$29-1),Projects!$B$29/Projects!$D$29,"")</f>
      </c>
      <c r="BR35" s="584">
        <f>IF(AND(Projects!$C$29&lt;=BR$4,BR$4&lt;=Projects!$C$29+Projects!$D$29-1),Projects!$B$29/Projects!$D$29,"")</f>
      </c>
      <c r="BS35" s="584">
        <f>IF(AND(Projects!$C$29&lt;=BS$4,BS$4&lt;=Projects!$C$29+Projects!$D$29-1),Projects!$B$29/Projects!$D$29,"")</f>
      </c>
      <c r="BT35" s="584">
        <f>IF(AND(Projects!$C$29&lt;=BT$4,BT$4&lt;=Projects!$C$29+Projects!$D$29-1),Projects!$B$29/Projects!$D$29,"")</f>
      </c>
      <c r="BU35" s="584">
        <f>IF(AND(Projects!$C$29&lt;=BU$4,BU$4&lt;=Projects!$C$29+Projects!$D$29-1),Projects!$B$29/Projects!$D$29,"")</f>
      </c>
      <c r="BV35" s="584">
        <f>IF(AND(Projects!$C$29&lt;=BV$4,BV$4&lt;=Projects!$C$29+Projects!$D$29-1),Projects!$B$29/Projects!$D$29,"")</f>
      </c>
      <c r="BW35" s="584">
        <f>IF(AND(Projects!$C$29&lt;=BW$4,BW$4&lt;=Projects!$C$29+Projects!$D$29-1),Projects!$B$29/Projects!$D$29,"")</f>
      </c>
      <c r="BX35" s="584">
        <f>IF(AND(Projects!$C$29&lt;=BX$4,BX$4&lt;=Projects!$C$29+Projects!$D$29-1),Projects!$B$29/Projects!$D$29,"")</f>
      </c>
      <c r="BY35" s="584">
        <f>IF(AND(Projects!$C$29&lt;=BY$4,BY$4&lt;=Projects!$C$29+Projects!$D$29-1),Projects!$B$29/Projects!$D$29,"")</f>
      </c>
      <c r="BZ35" s="584">
        <f>IF(AND(Projects!$C$29&lt;=BZ$4,BZ$4&lt;=Projects!$C$29+Projects!$D$29-1),Projects!$B$29/Projects!$D$29,"")</f>
      </c>
      <c r="CA35" s="584">
        <f>IF(AND(Projects!$C$29&lt;=CA$4,CA$4&lt;=Projects!$C$29+Projects!$D$29-1),Projects!$B$29/Projects!$D$29,"")</f>
      </c>
      <c r="CB35" s="584">
        <f>IF(AND(Projects!$C$29&lt;=CB$4,CB$4&lt;=Projects!$C$29+Projects!$D$29-1),Projects!$B$29/Projects!$D$29,"")</f>
      </c>
      <c r="CC35" s="584">
        <f>IF(AND(Projects!$C$29&lt;=CC$4,CC$4&lt;=Projects!$C$29+Projects!$D$29-1),Projects!$B$29/Projects!$D$29,"")</f>
      </c>
      <c r="CD35" s="584">
        <f>IF(AND(Projects!$C$29&lt;=CD$4,CD$4&lt;=Projects!$C$29+Projects!$D$29-1),Projects!$B$29/Projects!$D$29,"")</f>
      </c>
      <c r="CE35" s="584">
        <f>IF(AND(Projects!$C$29&lt;=CE$4,CE$4&lt;=Projects!$C$29+Projects!$D$29-1),Projects!$B$29/Projects!$D$29,"")</f>
      </c>
      <c r="CF35" s="584">
        <f>IF(AND(Projects!$C$29&lt;=CF$4,CF$4&lt;=Projects!$C$29+Projects!$D$29-1),Projects!$B$29/Projects!$D$29,"")</f>
      </c>
      <c r="CG35" s="584">
        <f>IF(AND(Projects!$C$29&lt;=CG$4,CG$4&lt;=Projects!$C$29+Projects!$D$29-1),Projects!$B$29/Projects!$D$29,"")</f>
      </c>
      <c r="CH35" s="584">
        <f>IF(AND(Projects!$C$29&lt;=CH$4,CH$4&lt;=Projects!$C$29+Projects!$D$29-1),Projects!$B$29/Projects!$D$29,"")</f>
      </c>
      <c r="CI35" s="584">
        <f>IF(AND(Projects!$C$29&lt;=CI$4,CI$4&lt;=Projects!$C$29+Projects!$D$29-1),Projects!$B$29/Projects!$D$29,"")</f>
      </c>
      <c r="CJ35" s="584">
        <f>IF(AND(Projects!$C$29&lt;=CJ$4,CJ$4&lt;=Projects!$C$29+Projects!$D$29-1),Projects!$B$29/Projects!$D$29,"")</f>
      </c>
      <c r="CK35" s="584">
        <f>IF(AND(Projects!$C$29&lt;=CK$4,CK$4&lt;=Projects!$C$29+Projects!$D$29-1),Projects!$B$29/Projects!$D$29,"")</f>
      </c>
      <c r="CL35" s="584">
        <f>IF(AND(Projects!$C$29&lt;=CL$4,CL$4&lt;=Projects!$C$29+Projects!$D$29-1),Projects!$B$29/Projects!$D$29,"")</f>
      </c>
      <c r="CM35" s="584">
        <f>IF(AND(Projects!$C$29&lt;=CM$4,CM$4&lt;=Projects!$C$29+Projects!$D$29-1),Projects!$B$29/Projects!$D$29,"")</f>
      </c>
      <c r="CN35" s="584">
        <f>IF(AND(Projects!$C$29&lt;=CN$4,CN$4&lt;=Projects!$C$29+Projects!$D$29-1),Projects!$B$29/Projects!$D$29,"")</f>
      </c>
      <c r="CO35" s="584">
        <f>IF(AND(Projects!$C$29&lt;=CO$4,CO$4&lt;=Projects!$C$29+Projects!$D$29-1),Projects!$B$29/Projects!$D$29,"")</f>
      </c>
      <c r="CP35" s="584">
        <f>IF(AND(Projects!$C$29&lt;=CP$4,CP$4&lt;=Projects!$C$29+Projects!$D$29-1),Projects!$B$29/Projects!$D$29,"")</f>
      </c>
      <c r="CQ35" s="584">
        <f>IF(AND(Projects!$C$29&lt;=CQ$4,CQ$4&lt;=Projects!$C$29+Projects!$D$29-1),Projects!$B$29/Projects!$D$29,"")</f>
      </c>
      <c r="CR35" s="584">
        <f>IF(AND(Projects!$C$29&lt;=CR$4,CR$4&lt;=Projects!$C$29+Projects!$D$29-1),Projects!$B$29/Projects!$D$29,"")</f>
      </c>
      <c r="CS35" s="584">
        <f>IF(AND(Projects!$C$29&lt;=CS$4,CS$4&lt;=Projects!$C$29+Projects!$D$29-1),Projects!$B$29/Projects!$D$29,"")</f>
      </c>
      <c r="CT35" s="584">
        <f>IF(AND(Projects!$C$29&lt;=CT$4,CT$4&lt;=Projects!$C$29+Projects!$D$29-1),Projects!$B$29/Projects!$D$29,"")</f>
      </c>
      <c r="CU35" s="584">
        <f>IF(AND(Projects!$C$29&lt;=CU$4,CU$4&lt;=Projects!$C$29+Projects!$D$29-1),Projects!$B$29/Projects!$D$29,"")</f>
      </c>
      <c r="CV35" s="584">
        <f>IF(AND(Projects!$C$29&lt;=CV$4,CV$4&lt;=Projects!$C$29+Projects!$D$29-1),Projects!$B$29/Projects!$D$29,"")</f>
      </c>
      <c r="CW35" s="584">
        <f>IF(AND(Projects!$C$29&lt;=CW$4,CW$4&lt;=Projects!$C$29+Projects!$D$29-1),Projects!$B$29/Projects!$D$29,"")</f>
      </c>
      <c r="CX35" s="584">
        <f>IF(AND(Projects!$C$29&lt;=CX$4,CX$4&lt;=Projects!$C$29+Projects!$D$29-1),Projects!$B$29/Projects!$D$29,"")</f>
      </c>
      <c r="CY35" s="584">
        <f>IF(AND(Projects!$C$29&lt;=CY$4,CY$4&lt;=Projects!$C$29+Projects!$D$29-1),Projects!$B$29/Projects!$D$29,"")</f>
      </c>
      <c r="CZ35" s="584">
        <f>IF(AND(Projects!$C$29&lt;=CZ$4,CZ$4&lt;=Projects!$C$29+Projects!$D$29-1),Projects!$B$29/Projects!$D$29,"")</f>
      </c>
      <c r="DA35" s="584">
        <f>IF(AND(Projects!$C$29&lt;=DA$4,DA$4&lt;=Projects!$C$29+Projects!$D$29-1),Projects!$B$29/Projects!$D$29,"")</f>
      </c>
      <c r="DB35" s="584">
        <f>IF(AND(Projects!$C$29&lt;=DB$4,DB$4&lt;=Projects!$C$29+Projects!$D$29-1),Projects!$B$29/Projects!$D$29,"")</f>
      </c>
    </row>
    <row r="36" ht="15" customFormat="1" customHeight="1" s="381">
      <c r="A36" s="513" t="inlineStr">
        <is>
          <t>BD-14</t>
        </is>
      </c>
      <c r="B36" s="581">
        <f>Projects!$B$30</f>
        <v>15000000</v>
      </c>
      <c r="C36" s="582">
        <f>EDATE(Model!$E$2,Projects!$C$30-1)</f>
        <v>47119</v>
      </c>
      <c r="D36" s="582">
        <f>EDATE(Model!$E$2,Projects!$C$30+Projects!$D$30-2)</f>
        <v>47665</v>
      </c>
      <c r="E36" s="583">
        <f>Projects!$D$30</f>
        <v>19</v>
      </c>
      <c r="F36" s="581">
        <f>Projects!$B$30/Projects!$D$30</f>
        <v>789473.684210526</v>
      </c>
      <c r="G36" s="584">
        <f>IF(AND(Projects!$C$30&lt;=G$4,G$4&lt;=Projects!$C$30+Projects!$D$30-1),Projects!$B$30/Projects!$D$30,"")</f>
      </c>
      <c r="H36" s="584">
        <f>IF(AND(Projects!$C$30&lt;=H$4,H$4&lt;=Projects!$C$30+Projects!$D$30-1),Projects!$B$30/Projects!$D$30,"")</f>
      </c>
      <c r="I36" s="584">
        <f>IF(AND(Projects!$C$30&lt;=I$4,I$4&lt;=Projects!$C$30+Projects!$D$30-1),Projects!$B$30/Projects!$D$30,"")</f>
      </c>
      <c r="J36" s="584">
        <f>IF(AND(Projects!$C$30&lt;=J$4,J$4&lt;=Projects!$C$30+Projects!$D$30-1),Projects!$B$30/Projects!$D$30,"")</f>
      </c>
      <c r="K36" s="584">
        <f>IF(AND(Projects!$C$30&lt;=K$4,K$4&lt;=Projects!$C$30+Projects!$D$30-1),Projects!$B$30/Projects!$D$30,"")</f>
      </c>
      <c r="L36" s="584">
        <f>IF(AND(Projects!$C$30&lt;=L$4,L$4&lt;=Projects!$C$30+Projects!$D$30-1),Projects!$B$30/Projects!$D$30,"")</f>
      </c>
      <c r="M36" s="584">
        <f>IF(AND(Projects!$C$30&lt;=M$4,M$4&lt;=Projects!$C$30+Projects!$D$30-1),Projects!$B$30/Projects!$D$30,"")</f>
      </c>
      <c r="N36" s="584">
        <f>IF(AND(Projects!$C$30&lt;=N$4,N$4&lt;=Projects!$C$30+Projects!$D$30-1),Projects!$B$30/Projects!$D$30,"")</f>
      </c>
      <c r="O36" s="584">
        <f>IF(AND(Projects!$C$30&lt;=O$4,O$4&lt;=Projects!$C$30+Projects!$D$30-1),Projects!$B$30/Projects!$D$30,"")</f>
      </c>
      <c r="P36" s="584">
        <f>IF(AND(Projects!$C$30&lt;=P$4,P$4&lt;=Projects!$C$30+Projects!$D$30-1),Projects!$B$30/Projects!$D$30,"")</f>
      </c>
      <c r="Q36" s="584">
        <f>IF(AND(Projects!$C$30&lt;=Q$4,Q$4&lt;=Projects!$C$30+Projects!$D$30-1),Projects!$B$30/Projects!$D$30,"")</f>
      </c>
      <c r="R36" s="584">
        <f>IF(AND(Projects!$C$30&lt;=R$4,R$4&lt;=Projects!$C$30+Projects!$D$30-1),Projects!$B$30/Projects!$D$30,"")</f>
      </c>
      <c r="S36" s="584">
        <f>IF(AND(Projects!$C$30&lt;=S$4,S$4&lt;=Projects!$C$30+Projects!$D$30-1),Projects!$B$30/Projects!$D$30,"")</f>
      </c>
      <c r="T36" s="584">
        <f>IF(AND(Projects!$C$30&lt;=T$4,T$4&lt;=Projects!$C$30+Projects!$D$30-1),Projects!$B$30/Projects!$D$30,"")</f>
      </c>
      <c r="U36" s="584">
        <f>IF(AND(Projects!$C$30&lt;=U$4,U$4&lt;=Projects!$C$30+Projects!$D$30-1),Projects!$B$30/Projects!$D$30,"")</f>
      </c>
      <c r="V36" s="584">
        <f>IF(AND(Projects!$C$30&lt;=V$4,V$4&lt;=Projects!$C$30+Projects!$D$30-1),Projects!$B$30/Projects!$D$30,"")</f>
      </c>
      <c r="W36" s="584">
        <f>IF(AND(Projects!$C$30&lt;=W$4,W$4&lt;=Projects!$C$30+Projects!$D$30-1),Projects!$B$30/Projects!$D$30,"")</f>
      </c>
      <c r="X36" s="584">
        <f>IF(AND(Projects!$C$30&lt;=X$4,X$4&lt;=Projects!$C$30+Projects!$D$30-1),Projects!$B$30/Projects!$D$30,"")</f>
      </c>
      <c r="Y36" s="584">
        <f>IF(AND(Projects!$C$30&lt;=Y$4,Y$4&lt;=Projects!$C$30+Projects!$D$30-1),Projects!$B$30/Projects!$D$30,"")</f>
      </c>
      <c r="Z36" s="584">
        <f>IF(AND(Projects!$C$30&lt;=Z$4,Z$4&lt;=Projects!$C$30+Projects!$D$30-1),Projects!$B$30/Projects!$D$30,"")</f>
      </c>
      <c r="AA36" s="584">
        <f>IF(AND(Projects!$C$30&lt;=AA$4,AA$4&lt;=Projects!$C$30+Projects!$D$30-1),Projects!$B$30/Projects!$D$30,"")</f>
      </c>
      <c r="AB36" s="584">
        <f>IF(AND(Projects!$C$30&lt;=AB$4,AB$4&lt;=Projects!$C$30+Projects!$D$30-1),Projects!$B$30/Projects!$D$30,"")</f>
      </c>
      <c r="AC36" s="584">
        <f>IF(AND(Projects!$C$30&lt;=AC$4,AC$4&lt;=Projects!$C$30+Projects!$D$30-1),Projects!$B$30/Projects!$D$30,"")</f>
      </c>
      <c r="AD36" s="584">
        <f>IF(AND(Projects!$C$30&lt;=AD$4,AD$4&lt;=Projects!$C$30+Projects!$D$30-1),Projects!$B$30/Projects!$D$30,"")</f>
      </c>
      <c r="AE36" s="584">
        <f>IF(AND(Projects!$C$30&lt;=AE$4,AE$4&lt;=Projects!$C$30+Projects!$D$30-1),Projects!$B$30/Projects!$D$30,"")</f>
      </c>
      <c r="AF36" s="584">
        <f>IF(AND(Projects!$C$30&lt;=AF$4,AF$4&lt;=Projects!$C$30+Projects!$D$30-1),Projects!$B$30/Projects!$D$30,"")</f>
      </c>
      <c r="AG36" s="584">
        <f>IF(AND(Projects!$C$30&lt;=AG$4,AG$4&lt;=Projects!$C$30+Projects!$D$30-1),Projects!$B$30/Projects!$D$30,"")</f>
      </c>
      <c r="AH36" s="584">
        <f>IF(AND(Projects!$C$30&lt;=AH$4,AH$4&lt;=Projects!$C$30+Projects!$D$30-1),Projects!$B$30/Projects!$D$30,"")</f>
      </c>
      <c r="AI36" s="584">
        <f>IF(AND(Projects!$C$30&lt;=AI$4,AI$4&lt;=Projects!$C$30+Projects!$D$30-1),Projects!$B$30/Projects!$D$30,"")</f>
      </c>
      <c r="AJ36" s="584">
        <f>IF(AND(Projects!$C$30&lt;=AJ$4,AJ$4&lt;=Projects!$C$30+Projects!$D$30-1),Projects!$B$30/Projects!$D$30,"")</f>
      </c>
      <c r="AK36" s="584">
        <f>IF(AND(Projects!$C$30&lt;=AK$4,AK$4&lt;=Projects!$C$30+Projects!$D$30-1),Projects!$B$30/Projects!$D$30,"")</f>
      </c>
      <c r="AL36" s="584">
        <f>IF(AND(Projects!$C$30&lt;=AL$4,AL$4&lt;=Projects!$C$30+Projects!$D$30-1),Projects!$B$30/Projects!$D$30,"")</f>
      </c>
      <c r="AM36" s="584">
        <f>IF(AND(Projects!$C$30&lt;=AM$4,AM$4&lt;=Projects!$C$30+Projects!$D$30-1),Projects!$B$30/Projects!$D$30,"")</f>
      </c>
      <c r="AN36" s="584">
        <f>IF(AND(Projects!$C$30&lt;=AN$4,AN$4&lt;=Projects!$C$30+Projects!$D$30-1),Projects!$B$30/Projects!$D$30,"")</f>
        <v>789473.684210526</v>
      </c>
      <c r="AO36" s="584">
        <f>IF(AND(Projects!$C$30&lt;=AO$4,AO$4&lt;=Projects!$C$30+Projects!$D$30-1),Projects!$B$30/Projects!$D$30,"")</f>
        <v>789473.684210526</v>
      </c>
      <c r="AP36" s="584">
        <f>IF(AND(Projects!$C$30&lt;=AP$4,AP$4&lt;=Projects!$C$30+Projects!$D$30-1),Projects!$B$30/Projects!$D$30,"")</f>
        <v>789473.684210526</v>
      </c>
      <c r="AQ36" s="584">
        <f>IF(AND(Projects!$C$30&lt;=AQ$4,AQ$4&lt;=Projects!$C$30+Projects!$D$30-1),Projects!$B$30/Projects!$D$30,"")</f>
        <v>789473.684210526</v>
      </c>
      <c r="AR36" s="584">
        <f>IF(AND(Projects!$C$30&lt;=AR$4,AR$4&lt;=Projects!$C$30+Projects!$D$30-1),Projects!$B$30/Projects!$D$30,"")</f>
        <v>789473.684210526</v>
      </c>
      <c r="AS36" s="584">
        <f>IF(AND(Projects!$C$30&lt;=AS$4,AS$4&lt;=Projects!$C$30+Projects!$D$30-1),Projects!$B$30/Projects!$D$30,"")</f>
        <v>789473.684210526</v>
      </c>
      <c r="AT36" s="584">
        <f>IF(AND(Projects!$C$30&lt;=AT$4,AT$4&lt;=Projects!$C$30+Projects!$D$30-1),Projects!$B$30/Projects!$D$30,"")</f>
        <v>789473.684210526</v>
      </c>
      <c r="AU36" s="584">
        <f>IF(AND(Projects!$C$30&lt;=AU$4,AU$4&lt;=Projects!$C$30+Projects!$D$30-1),Projects!$B$30/Projects!$D$30,"")</f>
        <v>789473.684210526</v>
      </c>
      <c r="AV36" s="584">
        <f>IF(AND(Projects!$C$30&lt;=AV$4,AV$4&lt;=Projects!$C$30+Projects!$D$30-1),Projects!$B$30/Projects!$D$30,"")</f>
        <v>789473.684210526</v>
      </c>
      <c r="AW36" s="584">
        <f>IF(AND(Projects!$C$30&lt;=AW$4,AW$4&lt;=Projects!$C$30+Projects!$D$30-1),Projects!$B$30/Projects!$D$30,"")</f>
        <v>789473.684210526</v>
      </c>
      <c r="AX36" s="584">
        <f>IF(AND(Projects!$C$30&lt;=AX$4,AX$4&lt;=Projects!$C$30+Projects!$D$30-1),Projects!$B$30/Projects!$D$30,"")</f>
        <v>789473.684210526</v>
      </c>
      <c r="AY36" s="584">
        <f>IF(AND(Projects!$C$30&lt;=AY$4,AY$4&lt;=Projects!$C$30+Projects!$D$30-1),Projects!$B$30/Projects!$D$30,"")</f>
        <v>789473.684210526</v>
      </c>
      <c r="AZ36" s="584">
        <f>IF(AND(Projects!$C$30&lt;=AZ$4,AZ$4&lt;=Projects!$C$30+Projects!$D$30-1),Projects!$B$30/Projects!$D$30,"")</f>
        <v>789473.684210526</v>
      </c>
      <c r="BA36" s="584">
        <f>IF(AND(Projects!$C$30&lt;=BA$4,BA$4&lt;=Projects!$C$30+Projects!$D$30-1),Projects!$B$30/Projects!$D$30,"")</f>
        <v>789473.684210526</v>
      </c>
      <c r="BB36" s="584">
        <f>IF(AND(Projects!$C$30&lt;=BB$4,BB$4&lt;=Projects!$C$30+Projects!$D$30-1),Projects!$B$30/Projects!$D$30,"")</f>
        <v>789473.684210526</v>
      </c>
      <c r="BC36" s="584">
        <f>IF(AND(Projects!$C$30&lt;=BC$4,BC$4&lt;=Projects!$C$30+Projects!$D$30-1),Projects!$B$30/Projects!$D$30,"")</f>
        <v>789473.684210526</v>
      </c>
      <c r="BD36" s="584">
        <f>IF(AND(Projects!$C$30&lt;=BD$4,BD$4&lt;=Projects!$C$30+Projects!$D$30-1),Projects!$B$30/Projects!$D$30,"")</f>
        <v>789473.684210526</v>
      </c>
      <c r="BE36" s="584">
        <f>IF(AND(Projects!$C$30&lt;=BE$4,BE$4&lt;=Projects!$C$30+Projects!$D$30-1),Projects!$B$30/Projects!$D$30,"")</f>
        <v>789473.684210526</v>
      </c>
      <c r="BF36" s="584">
        <f>IF(AND(Projects!$C$30&lt;=BF$4,BF$4&lt;=Projects!$C$30+Projects!$D$30-1),Projects!$B$30/Projects!$D$30,"")</f>
        <v>789473.684210526</v>
      </c>
      <c r="BG36" s="584">
        <f>IF(AND(Projects!$C$30&lt;=BG$4,BG$4&lt;=Projects!$C$30+Projects!$D$30-1),Projects!$B$30/Projects!$D$30,"")</f>
      </c>
      <c r="BH36" s="584">
        <f>IF(AND(Projects!$C$30&lt;=BH$4,BH$4&lt;=Projects!$C$30+Projects!$D$30-1),Projects!$B$30/Projects!$D$30,"")</f>
      </c>
      <c r="BI36" s="584">
        <f>IF(AND(Projects!$C$30&lt;=BI$4,BI$4&lt;=Projects!$C$30+Projects!$D$30-1),Projects!$B$30/Projects!$D$30,"")</f>
      </c>
      <c r="BJ36" s="584">
        <f>IF(AND(Projects!$C$30&lt;=BJ$4,BJ$4&lt;=Projects!$C$30+Projects!$D$30-1),Projects!$B$30/Projects!$D$30,"")</f>
      </c>
      <c r="BK36" s="584">
        <f>IF(AND(Projects!$C$30&lt;=BK$4,BK$4&lt;=Projects!$C$30+Projects!$D$30-1),Projects!$B$30/Projects!$D$30,"")</f>
      </c>
      <c r="BL36" s="584">
        <f>IF(AND(Projects!$C$30&lt;=BL$4,BL$4&lt;=Projects!$C$30+Projects!$D$30-1),Projects!$B$30/Projects!$D$30,"")</f>
      </c>
      <c r="BM36" s="584">
        <f>IF(AND(Projects!$C$30&lt;=BM$4,BM$4&lt;=Projects!$C$30+Projects!$D$30-1),Projects!$B$30/Projects!$D$30,"")</f>
      </c>
      <c r="BN36" s="584">
        <f>IF(AND(Projects!$C$30&lt;=BN$4,BN$4&lt;=Projects!$C$30+Projects!$D$30-1),Projects!$B$30/Projects!$D$30,"")</f>
      </c>
      <c r="BO36" s="584">
        <f>IF(AND(Projects!$C$30&lt;=BO$4,BO$4&lt;=Projects!$C$30+Projects!$D$30-1),Projects!$B$30/Projects!$D$30,"")</f>
      </c>
      <c r="BP36" s="584">
        <f>IF(AND(Projects!$C$30&lt;=BP$4,BP$4&lt;=Projects!$C$30+Projects!$D$30-1),Projects!$B$30/Projects!$D$30,"")</f>
      </c>
      <c r="BQ36" s="584">
        <f>IF(AND(Projects!$C$30&lt;=BQ$4,BQ$4&lt;=Projects!$C$30+Projects!$D$30-1),Projects!$B$30/Projects!$D$30,"")</f>
      </c>
      <c r="BR36" s="584">
        <f>IF(AND(Projects!$C$30&lt;=BR$4,BR$4&lt;=Projects!$C$30+Projects!$D$30-1),Projects!$B$30/Projects!$D$30,"")</f>
      </c>
      <c r="BS36" s="584">
        <f>IF(AND(Projects!$C$30&lt;=BS$4,BS$4&lt;=Projects!$C$30+Projects!$D$30-1),Projects!$B$30/Projects!$D$30,"")</f>
      </c>
      <c r="BT36" s="584">
        <f>IF(AND(Projects!$C$30&lt;=BT$4,BT$4&lt;=Projects!$C$30+Projects!$D$30-1),Projects!$B$30/Projects!$D$30,"")</f>
      </c>
      <c r="BU36" s="584">
        <f>IF(AND(Projects!$C$30&lt;=BU$4,BU$4&lt;=Projects!$C$30+Projects!$D$30-1),Projects!$B$30/Projects!$D$30,"")</f>
      </c>
      <c r="BV36" s="584">
        <f>IF(AND(Projects!$C$30&lt;=BV$4,BV$4&lt;=Projects!$C$30+Projects!$D$30-1),Projects!$B$30/Projects!$D$30,"")</f>
      </c>
      <c r="BW36" s="584">
        <f>IF(AND(Projects!$C$30&lt;=BW$4,BW$4&lt;=Projects!$C$30+Projects!$D$30-1),Projects!$B$30/Projects!$D$30,"")</f>
      </c>
      <c r="BX36" s="584">
        <f>IF(AND(Projects!$C$30&lt;=BX$4,BX$4&lt;=Projects!$C$30+Projects!$D$30-1),Projects!$B$30/Projects!$D$30,"")</f>
      </c>
      <c r="BY36" s="584">
        <f>IF(AND(Projects!$C$30&lt;=BY$4,BY$4&lt;=Projects!$C$30+Projects!$D$30-1),Projects!$B$30/Projects!$D$30,"")</f>
      </c>
      <c r="BZ36" s="584">
        <f>IF(AND(Projects!$C$30&lt;=BZ$4,BZ$4&lt;=Projects!$C$30+Projects!$D$30-1),Projects!$B$30/Projects!$D$30,"")</f>
      </c>
      <c r="CA36" s="584">
        <f>IF(AND(Projects!$C$30&lt;=CA$4,CA$4&lt;=Projects!$C$30+Projects!$D$30-1),Projects!$B$30/Projects!$D$30,"")</f>
      </c>
      <c r="CB36" s="584">
        <f>IF(AND(Projects!$C$30&lt;=CB$4,CB$4&lt;=Projects!$C$30+Projects!$D$30-1),Projects!$B$30/Projects!$D$30,"")</f>
      </c>
      <c r="CC36" s="584">
        <f>IF(AND(Projects!$C$30&lt;=CC$4,CC$4&lt;=Projects!$C$30+Projects!$D$30-1),Projects!$B$30/Projects!$D$30,"")</f>
      </c>
      <c r="CD36" s="584">
        <f>IF(AND(Projects!$C$30&lt;=CD$4,CD$4&lt;=Projects!$C$30+Projects!$D$30-1),Projects!$B$30/Projects!$D$30,"")</f>
      </c>
      <c r="CE36" s="584">
        <f>IF(AND(Projects!$C$30&lt;=CE$4,CE$4&lt;=Projects!$C$30+Projects!$D$30-1),Projects!$B$30/Projects!$D$30,"")</f>
      </c>
      <c r="CF36" s="584">
        <f>IF(AND(Projects!$C$30&lt;=CF$4,CF$4&lt;=Projects!$C$30+Projects!$D$30-1),Projects!$B$30/Projects!$D$30,"")</f>
      </c>
      <c r="CG36" s="584">
        <f>IF(AND(Projects!$C$30&lt;=CG$4,CG$4&lt;=Projects!$C$30+Projects!$D$30-1),Projects!$B$30/Projects!$D$30,"")</f>
      </c>
      <c r="CH36" s="584">
        <f>IF(AND(Projects!$C$30&lt;=CH$4,CH$4&lt;=Projects!$C$30+Projects!$D$30-1),Projects!$B$30/Projects!$D$30,"")</f>
      </c>
      <c r="CI36" s="584">
        <f>IF(AND(Projects!$C$30&lt;=CI$4,CI$4&lt;=Projects!$C$30+Projects!$D$30-1),Projects!$B$30/Projects!$D$30,"")</f>
      </c>
      <c r="CJ36" s="584">
        <f>IF(AND(Projects!$C$30&lt;=CJ$4,CJ$4&lt;=Projects!$C$30+Projects!$D$30-1),Projects!$B$30/Projects!$D$30,"")</f>
      </c>
      <c r="CK36" s="584">
        <f>IF(AND(Projects!$C$30&lt;=CK$4,CK$4&lt;=Projects!$C$30+Projects!$D$30-1),Projects!$B$30/Projects!$D$30,"")</f>
      </c>
      <c r="CL36" s="584">
        <f>IF(AND(Projects!$C$30&lt;=CL$4,CL$4&lt;=Projects!$C$30+Projects!$D$30-1),Projects!$B$30/Projects!$D$30,"")</f>
      </c>
      <c r="CM36" s="584">
        <f>IF(AND(Projects!$C$30&lt;=CM$4,CM$4&lt;=Projects!$C$30+Projects!$D$30-1),Projects!$B$30/Projects!$D$30,"")</f>
      </c>
      <c r="CN36" s="584">
        <f>IF(AND(Projects!$C$30&lt;=CN$4,CN$4&lt;=Projects!$C$30+Projects!$D$30-1),Projects!$B$30/Projects!$D$30,"")</f>
      </c>
      <c r="CO36" s="584">
        <f>IF(AND(Projects!$C$30&lt;=CO$4,CO$4&lt;=Projects!$C$30+Projects!$D$30-1),Projects!$B$30/Projects!$D$30,"")</f>
      </c>
      <c r="CP36" s="584">
        <f>IF(AND(Projects!$C$30&lt;=CP$4,CP$4&lt;=Projects!$C$30+Projects!$D$30-1),Projects!$B$30/Projects!$D$30,"")</f>
      </c>
      <c r="CQ36" s="584">
        <f>IF(AND(Projects!$C$30&lt;=CQ$4,CQ$4&lt;=Projects!$C$30+Projects!$D$30-1),Projects!$B$30/Projects!$D$30,"")</f>
      </c>
      <c r="CR36" s="584">
        <f>IF(AND(Projects!$C$30&lt;=CR$4,CR$4&lt;=Projects!$C$30+Projects!$D$30-1),Projects!$B$30/Projects!$D$30,"")</f>
      </c>
      <c r="CS36" s="584">
        <f>IF(AND(Projects!$C$30&lt;=CS$4,CS$4&lt;=Projects!$C$30+Projects!$D$30-1),Projects!$B$30/Projects!$D$30,"")</f>
      </c>
      <c r="CT36" s="584">
        <f>IF(AND(Projects!$C$30&lt;=CT$4,CT$4&lt;=Projects!$C$30+Projects!$D$30-1),Projects!$B$30/Projects!$D$30,"")</f>
      </c>
      <c r="CU36" s="584">
        <f>IF(AND(Projects!$C$30&lt;=CU$4,CU$4&lt;=Projects!$C$30+Projects!$D$30-1),Projects!$B$30/Projects!$D$30,"")</f>
      </c>
      <c r="CV36" s="584">
        <f>IF(AND(Projects!$C$30&lt;=CV$4,CV$4&lt;=Projects!$C$30+Projects!$D$30-1),Projects!$B$30/Projects!$D$30,"")</f>
      </c>
      <c r="CW36" s="584">
        <f>IF(AND(Projects!$C$30&lt;=CW$4,CW$4&lt;=Projects!$C$30+Projects!$D$30-1),Projects!$B$30/Projects!$D$30,"")</f>
      </c>
      <c r="CX36" s="584">
        <f>IF(AND(Projects!$C$30&lt;=CX$4,CX$4&lt;=Projects!$C$30+Projects!$D$30-1),Projects!$B$30/Projects!$D$30,"")</f>
      </c>
      <c r="CY36" s="584">
        <f>IF(AND(Projects!$C$30&lt;=CY$4,CY$4&lt;=Projects!$C$30+Projects!$D$30-1),Projects!$B$30/Projects!$D$30,"")</f>
      </c>
      <c r="CZ36" s="584">
        <f>IF(AND(Projects!$C$30&lt;=CZ$4,CZ$4&lt;=Projects!$C$30+Projects!$D$30-1),Projects!$B$30/Projects!$D$30,"")</f>
      </c>
      <c r="DA36" s="584">
        <f>IF(AND(Projects!$C$30&lt;=DA$4,DA$4&lt;=Projects!$C$30+Projects!$D$30-1),Projects!$B$30/Projects!$D$30,"")</f>
      </c>
      <c r="DB36" s="584">
        <f>IF(AND(Projects!$C$30&lt;=DB$4,DB$4&lt;=Projects!$C$30+Projects!$D$30-1),Projects!$B$30/Projects!$D$30,"")</f>
      </c>
    </row>
    <row r="37" ht="15" customFormat="1" customHeight="1" s="381">
      <c r="A37" s="513" t="inlineStr">
        <is>
          <t>BD-15</t>
        </is>
      </c>
      <c r="B37" s="581">
        <f>Projects!$B$31</f>
        <v>18000000</v>
      </c>
      <c r="C37" s="582">
        <f>EDATE(Model!$E$2,Projects!$C$31-1)</f>
        <v>47150</v>
      </c>
      <c r="D37" s="582">
        <f>EDATE(Model!$E$2,Projects!$C$31+Projects!$D$31-2)</f>
        <v>47696</v>
      </c>
      <c r="E37" s="583">
        <f>Projects!$D$31</f>
        <v>19</v>
      </c>
      <c r="F37" s="581">
        <f>Projects!$B$31/Projects!$D$31</f>
        <v>947368.421052632</v>
      </c>
      <c r="G37" s="584">
        <f>IF(AND(Projects!$C$31&lt;=G$4,G$4&lt;=Projects!$C$31+Projects!$D$31-1),Projects!$B$31/Projects!$D$31,"")</f>
      </c>
      <c r="H37" s="584">
        <f>IF(AND(Projects!$C$31&lt;=H$4,H$4&lt;=Projects!$C$31+Projects!$D$31-1),Projects!$B$31/Projects!$D$31,"")</f>
      </c>
      <c r="I37" s="584">
        <f>IF(AND(Projects!$C$31&lt;=I$4,I$4&lt;=Projects!$C$31+Projects!$D$31-1),Projects!$B$31/Projects!$D$31,"")</f>
      </c>
      <c r="J37" s="584">
        <f>IF(AND(Projects!$C$31&lt;=J$4,J$4&lt;=Projects!$C$31+Projects!$D$31-1),Projects!$B$31/Projects!$D$31,"")</f>
      </c>
      <c r="K37" s="584">
        <f>IF(AND(Projects!$C$31&lt;=K$4,K$4&lt;=Projects!$C$31+Projects!$D$31-1),Projects!$B$31/Projects!$D$31,"")</f>
      </c>
      <c r="L37" s="584">
        <f>IF(AND(Projects!$C$31&lt;=L$4,L$4&lt;=Projects!$C$31+Projects!$D$31-1),Projects!$B$31/Projects!$D$31,"")</f>
      </c>
      <c r="M37" s="584">
        <f>IF(AND(Projects!$C$31&lt;=M$4,M$4&lt;=Projects!$C$31+Projects!$D$31-1),Projects!$B$31/Projects!$D$31,"")</f>
      </c>
      <c r="N37" s="584">
        <f>IF(AND(Projects!$C$31&lt;=N$4,N$4&lt;=Projects!$C$31+Projects!$D$31-1),Projects!$B$31/Projects!$D$31,"")</f>
      </c>
      <c r="O37" s="584">
        <f>IF(AND(Projects!$C$31&lt;=O$4,O$4&lt;=Projects!$C$31+Projects!$D$31-1),Projects!$B$31/Projects!$D$31,"")</f>
      </c>
      <c r="P37" s="584">
        <f>IF(AND(Projects!$C$31&lt;=P$4,P$4&lt;=Projects!$C$31+Projects!$D$31-1),Projects!$B$31/Projects!$D$31,"")</f>
      </c>
      <c r="Q37" s="584">
        <f>IF(AND(Projects!$C$31&lt;=Q$4,Q$4&lt;=Projects!$C$31+Projects!$D$31-1),Projects!$B$31/Projects!$D$31,"")</f>
      </c>
      <c r="R37" s="584">
        <f>IF(AND(Projects!$C$31&lt;=R$4,R$4&lt;=Projects!$C$31+Projects!$D$31-1),Projects!$B$31/Projects!$D$31,"")</f>
      </c>
      <c r="S37" s="584">
        <f>IF(AND(Projects!$C$31&lt;=S$4,S$4&lt;=Projects!$C$31+Projects!$D$31-1),Projects!$B$31/Projects!$D$31,"")</f>
      </c>
      <c r="T37" s="584">
        <f>IF(AND(Projects!$C$31&lt;=T$4,T$4&lt;=Projects!$C$31+Projects!$D$31-1),Projects!$B$31/Projects!$D$31,"")</f>
      </c>
      <c r="U37" s="584">
        <f>IF(AND(Projects!$C$31&lt;=U$4,U$4&lt;=Projects!$C$31+Projects!$D$31-1),Projects!$B$31/Projects!$D$31,"")</f>
      </c>
      <c r="V37" s="584">
        <f>IF(AND(Projects!$C$31&lt;=V$4,V$4&lt;=Projects!$C$31+Projects!$D$31-1),Projects!$B$31/Projects!$D$31,"")</f>
      </c>
      <c r="W37" s="584">
        <f>IF(AND(Projects!$C$31&lt;=W$4,W$4&lt;=Projects!$C$31+Projects!$D$31-1),Projects!$B$31/Projects!$D$31,"")</f>
      </c>
      <c r="X37" s="584">
        <f>IF(AND(Projects!$C$31&lt;=X$4,X$4&lt;=Projects!$C$31+Projects!$D$31-1),Projects!$B$31/Projects!$D$31,"")</f>
      </c>
      <c r="Y37" s="584">
        <f>IF(AND(Projects!$C$31&lt;=Y$4,Y$4&lt;=Projects!$C$31+Projects!$D$31-1),Projects!$B$31/Projects!$D$31,"")</f>
      </c>
      <c r="Z37" s="584">
        <f>IF(AND(Projects!$C$31&lt;=Z$4,Z$4&lt;=Projects!$C$31+Projects!$D$31-1),Projects!$B$31/Projects!$D$31,"")</f>
      </c>
      <c r="AA37" s="584">
        <f>IF(AND(Projects!$C$31&lt;=AA$4,AA$4&lt;=Projects!$C$31+Projects!$D$31-1),Projects!$B$31/Projects!$D$31,"")</f>
      </c>
      <c r="AB37" s="584">
        <f>IF(AND(Projects!$C$31&lt;=AB$4,AB$4&lt;=Projects!$C$31+Projects!$D$31-1),Projects!$B$31/Projects!$D$31,"")</f>
      </c>
      <c r="AC37" s="584">
        <f>IF(AND(Projects!$C$31&lt;=AC$4,AC$4&lt;=Projects!$C$31+Projects!$D$31-1),Projects!$B$31/Projects!$D$31,"")</f>
      </c>
      <c r="AD37" s="584">
        <f>IF(AND(Projects!$C$31&lt;=AD$4,AD$4&lt;=Projects!$C$31+Projects!$D$31-1),Projects!$B$31/Projects!$D$31,"")</f>
      </c>
      <c r="AE37" s="584">
        <f>IF(AND(Projects!$C$31&lt;=AE$4,AE$4&lt;=Projects!$C$31+Projects!$D$31-1),Projects!$B$31/Projects!$D$31,"")</f>
      </c>
      <c r="AF37" s="584">
        <f>IF(AND(Projects!$C$31&lt;=AF$4,AF$4&lt;=Projects!$C$31+Projects!$D$31-1),Projects!$B$31/Projects!$D$31,"")</f>
      </c>
      <c r="AG37" s="584">
        <f>IF(AND(Projects!$C$31&lt;=AG$4,AG$4&lt;=Projects!$C$31+Projects!$D$31-1),Projects!$B$31/Projects!$D$31,"")</f>
      </c>
      <c r="AH37" s="584">
        <f>IF(AND(Projects!$C$31&lt;=AH$4,AH$4&lt;=Projects!$C$31+Projects!$D$31-1),Projects!$B$31/Projects!$D$31,"")</f>
      </c>
      <c r="AI37" s="584">
        <f>IF(AND(Projects!$C$31&lt;=AI$4,AI$4&lt;=Projects!$C$31+Projects!$D$31-1),Projects!$B$31/Projects!$D$31,"")</f>
      </c>
      <c r="AJ37" s="584">
        <f>IF(AND(Projects!$C$31&lt;=AJ$4,AJ$4&lt;=Projects!$C$31+Projects!$D$31-1),Projects!$B$31/Projects!$D$31,"")</f>
      </c>
      <c r="AK37" s="584">
        <f>IF(AND(Projects!$C$31&lt;=AK$4,AK$4&lt;=Projects!$C$31+Projects!$D$31-1),Projects!$B$31/Projects!$D$31,"")</f>
      </c>
      <c r="AL37" s="584">
        <f>IF(AND(Projects!$C$31&lt;=AL$4,AL$4&lt;=Projects!$C$31+Projects!$D$31-1),Projects!$B$31/Projects!$D$31,"")</f>
      </c>
      <c r="AM37" s="584">
        <f>IF(AND(Projects!$C$31&lt;=AM$4,AM$4&lt;=Projects!$C$31+Projects!$D$31-1),Projects!$B$31/Projects!$D$31,"")</f>
      </c>
      <c r="AN37" s="584">
        <f>IF(AND(Projects!$C$31&lt;=AN$4,AN$4&lt;=Projects!$C$31+Projects!$D$31-1),Projects!$B$31/Projects!$D$31,"")</f>
      </c>
      <c r="AO37" s="584">
        <f>IF(AND(Projects!$C$31&lt;=AO$4,AO$4&lt;=Projects!$C$31+Projects!$D$31-1),Projects!$B$31/Projects!$D$31,"")</f>
        <v>947368.421052632</v>
      </c>
      <c r="AP37" s="584">
        <f>IF(AND(Projects!$C$31&lt;=AP$4,AP$4&lt;=Projects!$C$31+Projects!$D$31-1),Projects!$B$31/Projects!$D$31,"")</f>
        <v>947368.421052632</v>
      </c>
      <c r="AQ37" s="584">
        <f>IF(AND(Projects!$C$31&lt;=AQ$4,AQ$4&lt;=Projects!$C$31+Projects!$D$31-1),Projects!$B$31/Projects!$D$31,"")</f>
        <v>947368.421052632</v>
      </c>
      <c r="AR37" s="584">
        <f>IF(AND(Projects!$C$31&lt;=AR$4,AR$4&lt;=Projects!$C$31+Projects!$D$31-1),Projects!$B$31/Projects!$D$31,"")</f>
        <v>947368.421052632</v>
      </c>
      <c r="AS37" s="584">
        <f>IF(AND(Projects!$C$31&lt;=AS$4,AS$4&lt;=Projects!$C$31+Projects!$D$31-1),Projects!$B$31/Projects!$D$31,"")</f>
        <v>947368.421052632</v>
      </c>
      <c r="AT37" s="584">
        <f>IF(AND(Projects!$C$31&lt;=AT$4,AT$4&lt;=Projects!$C$31+Projects!$D$31-1),Projects!$B$31/Projects!$D$31,"")</f>
        <v>947368.421052632</v>
      </c>
      <c r="AU37" s="584">
        <f>IF(AND(Projects!$C$31&lt;=AU$4,AU$4&lt;=Projects!$C$31+Projects!$D$31-1),Projects!$B$31/Projects!$D$31,"")</f>
        <v>947368.421052632</v>
      </c>
      <c r="AV37" s="584">
        <f>IF(AND(Projects!$C$31&lt;=AV$4,AV$4&lt;=Projects!$C$31+Projects!$D$31-1),Projects!$B$31/Projects!$D$31,"")</f>
        <v>947368.421052632</v>
      </c>
      <c r="AW37" s="584">
        <f>IF(AND(Projects!$C$31&lt;=AW$4,AW$4&lt;=Projects!$C$31+Projects!$D$31-1),Projects!$B$31/Projects!$D$31,"")</f>
        <v>947368.421052632</v>
      </c>
      <c r="AX37" s="584">
        <f>IF(AND(Projects!$C$31&lt;=AX$4,AX$4&lt;=Projects!$C$31+Projects!$D$31-1),Projects!$B$31/Projects!$D$31,"")</f>
        <v>947368.421052632</v>
      </c>
      <c r="AY37" s="584">
        <f>IF(AND(Projects!$C$31&lt;=AY$4,AY$4&lt;=Projects!$C$31+Projects!$D$31-1),Projects!$B$31/Projects!$D$31,"")</f>
        <v>947368.421052632</v>
      </c>
      <c r="AZ37" s="584">
        <f>IF(AND(Projects!$C$31&lt;=AZ$4,AZ$4&lt;=Projects!$C$31+Projects!$D$31-1),Projects!$B$31/Projects!$D$31,"")</f>
        <v>947368.421052632</v>
      </c>
      <c r="BA37" s="584">
        <f>IF(AND(Projects!$C$31&lt;=BA$4,BA$4&lt;=Projects!$C$31+Projects!$D$31-1),Projects!$B$31/Projects!$D$31,"")</f>
        <v>947368.421052632</v>
      </c>
      <c r="BB37" s="584">
        <f>IF(AND(Projects!$C$31&lt;=BB$4,BB$4&lt;=Projects!$C$31+Projects!$D$31-1),Projects!$B$31/Projects!$D$31,"")</f>
        <v>947368.421052632</v>
      </c>
      <c r="BC37" s="584">
        <f>IF(AND(Projects!$C$31&lt;=BC$4,BC$4&lt;=Projects!$C$31+Projects!$D$31-1),Projects!$B$31/Projects!$D$31,"")</f>
        <v>947368.421052632</v>
      </c>
      <c r="BD37" s="584">
        <f>IF(AND(Projects!$C$31&lt;=BD$4,BD$4&lt;=Projects!$C$31+Projects!$D$31-1),Projects!$B$31/Projects!$D$31,"")</f>
        <v>947368.421052632</v>
      </c>
      <c r="BE37" s="584">
        <f>IF(AND(Projects!$C$31&lt;=BE$4,BE$4&lt;=Projects!$C$31+Projects!$D$31-1),Projects!$B$31/Projects!$D$31,"")</f>
        <v>947368.421052632</v>
      </c>
      <c r="BF37" s="584">
        <f>IF(AND(Projects!$C$31&lt;=BF$4,BF$4&lt;=Projects!$C$31+Projects!$D$31-1),Projects!$B$31/Projects!$D$31,"")</f>
        <v>947368.421052632</v>
      </c>
      <c r="BG37" s="584">
        <f>IF(AND(Projects!$C$31&lt;=BG$4,BG$4&lt;=Projects!$C$31+Projects!$D$31-1),Projects!$B$31/Projects!$D$31,"")</f>
        <v>947368.421052632</v>
      </c>
      <c r="BH37" s="584">
        <f>IF(AND(Projects!$C$31&lt;=BH$4,BH$4&lt;=Projects!$C$31+Projects!$D$31-1),Projects!$B$31/Projects!$D$31,"")</f>
      </c>
      <c r="BI37" s="584">
        <f>IF(AND(Projects!$C$31&lt;=BI$4,BI$4&lt;=Projects!$C$31+Projects!$D$31-1),Projects!$B$31/Projects!$D$31,"")</f>
      </c>
      <c r="BJ37" s="584">
        <f>IF(AND(Projects!$C$31&lt;=BJ$4,BJ$4&lt;=Projects!$C$31+Projects!$D$31-1),Projects!$B$31/Projects!$D$31,"")</f>
      </c>
      <c r="BK37" s="584">
        <f>IF(AND(Projects!$C$31&lt;=BK$4,BK$4&lt;=Projects!$C$31+Projects!$D$31-1),Projects!$B$31/Projects!$D$31,"")</f>
      </c>
      <c r="BL37" s="584">
        <f>IF(AND(Projects!$C$31&lt;=BL$4,BL$4&lt;=Projects!$C$31+Projects!$D$31-1),Projects!$B$31/Projects!$D$31,"")</f>
      </c>
      <c r="BM37" s="584">
        <f>IF(AND(Projects!$C$31&lt;=BM$4,BM$4&lt;=Projects!$C$31+Projects!$D$31-1),Projects!$B$31/Projects!$D$31,"")</f>
      </c>
      <c r="BN37" s="584">
        <f>IF(AND(Projects!$C$31&lt;=BN$4,BN$4&lt;=Projects!$C$31+Projects!$D$31-1),Projects!$B$31/Projects!$D$31,"")</f>
      </c>
      <c r="BO37" s="584">
        <f>IF(AND(Projects!$C$31&lt;=BO$4,BO$4&lt;=Projects!$C$31+Projects!$D$31-1),Projects!$B$31/Projects!$D$31,"")</f>
      </c>
      <c r="BP37" s="584">
        <f>IF(AND(Projects!$C$31&lt;=BP$4,BP$4&lt;=Projects!$C$31+Projects!$D$31-1),Projects!$B$31/Projects!$D$31,"")</f>
      </c>
      <c r="BQ37" s="584">
        <f>IF(AND(Projects!$C$31&lt;=BQ$4,BQ$4&lt;=Projects!$C$31+Projects!$D$31-1),Projects!$B$31/Projects!$D$31,"")</f>
      </c>
      <c r="BR37" s="584">
        <f>IF(AND(Projects!$C$31&lt;=BR$4,BR$4&lt;=Projects!$C$31+Projects!$D$31-1),Projects!$B$31/Projects!$D$31,"")</f>
      </c>
      <c r="BS37" s="584">
        <f>IF(AND(Projects!$C$31&lt;=BS$4,BS$4&lt;=Projects!$C$31+Projects!$D$31-1),Projects!$B$31/Projects!$D$31,"")</f>
      </c>
      <c r="BT37" s="584">
        <f>IF(AND(Projects!$C$31&lt;=BT$4,BT$4&lt;=Projects!$C$31+Projects!$D$31-1),Projects!$B$31/Projects!$D$31,"")</f>
      </c>
      <c r="BU37" s="584">
        <f>IF(AND(Projects!$C$31&lt;=BU$4,BU$4&lt;=Projects!$C$31+Projects!$D$31-1),Projects!$B$31/Projects!$D$31,"")</f>
      </c>
      <c r="BV37" s="584">
        <f>IF(AND(Projects!$C$31&lt;=BV$4,BV$4&lt;=Projects!$C$31+Projects!$D$31-1),Projects!$B$31/Projects!$D$31,"")</f>
      </c>
      <c r="BW37" s="584">
        <f>IF(AND(Projects!$C$31&lt;=BW$4,BW$4&lt;=Projects!$C$31+Projects!$D$31-1),Projects!$B$31/Projects!$D$31,"")</f>
      </c>
      <c r="BX37" s="584">
        <f>IF(AND(Projects!$C$31&lt;=BX$4,BX$4&lt;=Projects!$C$31+Projects!$D$31-1),Projects!$B$31/Projects!$D$31,"")</f>
      </c>
      <c r="BY37" s="584">
        <f>IF(AND(Projects!$C$31&lt;=BY$4,BY$4&lt;=Projects!$C$31+Projects!$D$31-1),Projects!$B$31/Projects!$D$31,"")</f>
      </c>
      <c r="BZ37" s="584">
        <f>IF(AND(Projects!$C$31&lt;=BZ$4,BZ$4&lt;=Projects!$C$31+Projects!$D$31-1),Projects!$B$31/Projects!$D$31,"")</f>
      </c>
      <c r="CA37" s="584">
        <f>IF(AND(Projects!$C$31&lt;=CA$4,CA$4&lt;=Projects!$C$31+Projects!$D$31-1),Projects!$B$31/Projects!$D$31,"")</f>
      </c>
      <c r="CB37" s="584">
        <f>IF(AND(Projects!$C$31&lt;=CB$4,CB$4&lt;=Projects!$C$31+Projects!$D$31-1),Projects!$B$31/Projects!$D$31,"")</f>
      </c>
      <c r="CC37" s="584">
        <f>IF(AND(Projects!$C$31&lt;=CC$4,CC$4&lt;=Projects!$C$31+Projects!$D$31-1),Projects!$B$31/Projects!$D$31,"")</f>
      </c>
      <c r="CD37" s="584">
        <f>IF(AND(Projects!$C$31&lt;=CD$4,CD$4&lt;=Projects!$C$31+Projects!$D$31-1),Projects!$B$31/Projects!$D$31,"")</f>
      </c>
      <c r="CE37" s="584">
        <f>IF(AND(Projects!$C$31&lt;=CE$4,CE$4&lt;=Projects!$C$31+Projects!$D$31-1),Projects!$B$31/Projects!$D$31,"")</f>
      </c>
      <c r="CF37" s="584">
        <f>IF(AND(Projects!$C$31&lt;=CF$4,CF$4&lt;=Projects!$C$31+Projects!$D$31-1),Projects!$B$31/Projects!$D$31,"")</f>
      </c>
      <c r="CG37" s="584">
        <f>IF(AND(Projects!$C$31&lt;=CG$4,CG$4&lt;=Projects!$C$31+Projects!$D$31-1),Projects!$B$31/Projects!$D$31,"")</f>
      </c>
      <c r="CH37" s="584">
        <f>IF(AND(Projects!$C$31&lt;=CH$4,CH$4&lt;=Projects!$C$31+Projects!$D$31-1),Projects!$B$31/Projects!$D$31,"")</f>
      </c>
      <c r="CI37" s="584">
        <f>IF(AND(Projects!$C$31&lt;=CI$4,CI$4&lt;=Projects!$C$31+Projects!$D$31-1),Projects!$B$31/Projects!$D$31,"")</f>
      </c>
      <c r="CJ37" s="584">
        <f>IF(AND(Projects!$C$31&lt;=CJ$4,CJ$4&lt;=Projects!$C$31+Projects!$D$31-1),Projects!$B$31/Projects!$D$31,"")</f>
      </c>
      <c r="CK37" s="584">
        <f>IF(AND(Projects!$C$31&lt;=CK$4,CK$4&lt;=Projects!$C$31+Projects!$D$31-1),Projects!$B$31/Projects!$D$31,"")</f>
      </c>
      <c r="CL37" s="584">
        <f>IF(AND(Projects!$C$31&lt;=CL$4,CL$4&lt;=Projects!$C$31+Projects!$D$31-1),Projects!$B$31/Projects!$D$31,"")</f>
      </c>
      <c r="CM37" s="584">
        <f>IF(AND(Projects!$C$31&lt;=CM$4,CM$4&lt;=Projects!$C$31+Projects!$D$31-1),Projects!$B$31/Projects!$D$31,"")</f>
      </c>
      <c r="CN37" s="584">
        <f>IF(AND(Projects!$C$31&lt;=CN$4,CN$4&lt;=Projects!$C$31+Projects!$D$31-1),Projects!$B$31/Projects!$D$31,"")</f>
      </c>
      <c r="CO37" s="584">
        <f>IF(AND(Projects!$C$31&lt;=CO$4,CO$4&lt;=Projects!$C$31+Projects!$D$31-1),Projects!$B$31/Projects!$D$31,"")</f>
      </c>
      <c r="CP37" s="584">
        <f>IF(AND(Projects!$C$31&lt;=CP$4,CP$4&lt;=Projects!$C$31+Projects!$D$31-1),Projects!$B$31/Projects!$D$31,"")</f>
      </c>
      <c r="CQ37" s="584">
        <f>IF(AND(Projects!$C$31&lt;=CQ$4,CQ$4&lt;=Projects!$C$31+Projects!$D$31-1),Projects!$B$31/Projects!$D$31,"")</f>
      </c>
      <c r="CR37" s="584">
        <f>IF(AND(Projects!$C$31&lt;=CR$4,CR$4&lt;=Projects!$C$31+Projects!$D$31-1),Projects!$B$31/Projects!$D$31,"")</f>
      </c>
      <c r="CS37" s="584">
        <f>IF(AND(Projects!$C$31&lt;=CS$4,CS$4&lt;=Projects!$C$31+Projects!$D$31-1),Projects!$B$31/Projects!$D$31,"")</f>
      </c>
      <c r="CT37" s="584">
        <f>IF(AND(Projects!$C$31&lt;=CT$4,CT$4&lt;=Projects!$C$31+Projects!$D$31-1),Projects!$B$31/Projects!$D$31,"")</f>
      </c>
      <c r="CU37" s="584">
        <f>IF(AND(Projects!$C$31&lt;=CU$4,CU$4&lt;=Projects!$C$31+Projects!$D$31-1),Projects!$B$31/Projects!$D$31,"")</f>
      </c>
      <c r="CV37" s="584">
        <f>IF(AND(Projects!$C$31&lt;=CV$4,CV$4&lt;=Projects!$C$31+Projects!$D$31-1),Projects!$B$31/Projects!$D$31,"")</f>
      </c>
      <c r="CW37" s="584">
        <f>IF(AND(Projects!$C$31&lt;=CW$4,CW$4&lt;=Projects!$C$31+Projects!$D$31-1),Projects!$B$31/Projects!$D$31,"")</f>
      </c>
      <c r="CX37" s="584">
        <f>IF(AND(Projects!$C$31&lt;=CX$4,CX$4&lt;=Projects!$C$31+Projects!$D$31-1),Projects!$B$31/Projects!$D$31,"")</f>
      </c>
      <c r="CY37" s="584">
        <f>IF(AND(Projects!$C$31&lt;=CY$4,CY$4&lt;=Projects!$C$31+Projects!$D$31-1),Projects!$B$31/Projects!$D$31,"")</f>
      </c>
      <c r="CZ37" s="584">
        <f>IF(AND(Projects!$C$31&lt;=CZ$4,CZ$4&lt;=Projects!$C$31+Projects!$D$31-1),Projects!$B$31/Projects!$D$31,"")</f>
      </c>
      <c r="DA37" s="584">
        <f>IF(AND(Projects!$C$31&lt;=DA$4,DA$4&lt;=Projects!$C$31+Projects!$D$31-1),Projects!$B$31/Projects!$D$31,"")</f>
      </c>
      <c r="DB37" s="584">
        <f>IF(AND(Projects!$C$31&lt;=DB$4,DB$4&lt;=Projects!$C$31+Projects!$D$31-1),Projects!$B$31/Projects!$D$31,"")</f>
      </c>
    </row>
    <row r="38" ht="15" customFormat="1" customHeight="1" s="381">
      <c r="A38" s="513" t="inlineStr">
        <is>
          <t>BD-16</t>
        </is>
      </c>
      <c r="B38" s="581">
        <f>Projects!$B$32</f>
        <v>15000000</v>
      </c>
      <c r="C38" s="582">
        <f>EDATE(Model!$E$2,Projects!$C$32-1)</f>
        <v>47178</v>
      </c>
      <c r="D38" s="582">
        <f>EDATE(Model!$E$2,Projects!$C$32+Projects!$D$32-2)</f>
        <v>47727</v>
      </c>
      <c r="E38" s="583">
        <f>Projects!$D$32</f>
        <v>19</v>
      </c>
      <c r="F38" s="581">
        <f>Projects!$B$32/Projects!$D$32</f>
        <v>789473.684210526</v>
      </c>
      <c r="G38" s="584">
        <f>IF(AND(Projects!$C$32&lt;=G$4,G$4&lt;=Projects!$C$32+Projects!$D$32-1),Projects!$B$32/Projects!$D$32,"")</f>
      </c>
      <c r="H38" s="584">
        <f>IF(AND(Projects!$C$32&lt;=H$4,H$4&lt;=Projects!$C$32+Projects!$D$32-1),Projects!$B$32/Projects!$D$32,"")</f>
      </c>
      <c r="I38" s="584">
        <f>IF(AND(Projects!$C$32&lt;=I$4,I$4&lt;=Projects!$C$32+Projects!$D$32-1),Projects!$B$32/Projects!$D$32,"")</f>
      </c>
      <c r="J38" s="584">
        <f>IF(AND(Projects!$C$32&lt;=J$4,J$4&lt;=Projects!$C$32+Projects!$D$32-1),Projects!$B$32/Projects!$D$32,"")</f>
      </c>
      <c r="K38" s="584">
        <f>IF(AND(Projects!$C$32&lt;=K$4,K$4&lt;=Projects!$C$32+Projects!$D$32-1),Projects!$B$32/Projects!$D$32,"")</f>
      </c>
      <c r="L38" s="584">
        <f>IF(AND(Projects!$C$32&lt;=L$4,L$4&lt;=Projects!$C$32+Projects!$D$32-1),Projects!$B$32/Projects!$D$32,"")</f>
      </c>
      <c r="M38" s="584">
        <f>IF(AND(Projects!$C$32&lt;=M$4,M$4&lt;=Projects!$C$32+Projects!$D$32-1),Projects!$B$32/Projects!$D$32,"")</f>
      </c>
      <c r="N38" s="584">
        <f>IF(AND(Projects!$C$32&lt;=N$4,N$4&lt;=Projects!$C$32+Projects!$D$32-1),Projects!$B$32/Projects!$D$32,"")</f>
      </c>
      <c r="O38" s="584">
        <f>IF(AND(Projects!$C$32&lt;=O$4,O$4&lt;=Projects!$C$32+Projects!$D$32-1),Projects!$B$32/Projects!$D$32,"")</f>
      </c>
      <c r="P38" s="584">
        <f>IF(AND(Projects!$C$32&lt;=P$4,P$4&lt;=Projects!$C$32+Projects!$D$32-1),Projects!$B$32/Projects!$D$32,"")</f>
      </c>
      <c r="Q38" s="584">
        <f>IF(AND(Projects!$C$32&lt;=Q$4,Q$4&lt;=Projects!$C$32+Projects!$D$32-1),Projects!$B$32/Projects!$D$32,"")</f>
      </c>
      <c r="R38" s="584">
        <f>IF(AND(Projects!$C$32&lt;=R$4,R$4&lt;=Projects!$C$32+Projects!$D$32-1),Projects!$B$32/Projects!$D$32,"")</f>
      </c>
      <c r="S38" s="584">
        <f>IF(AND(Projects!$C$32&lt;=S$4,S$4&lt;=Projects!$C$32+Projects!$D$32-1),Projects!$B$32/Projects!$D$32,"")</f>
      </c>
      <c r="T38" s="584">
        <f>IF(AND(Projects!$C$32&lt;=T$4,T$4&lt;=Projects!$C$32+Projects!$D$32-1),Projects!$B$32/Projects!$D$32,"")</f>
      </c>
      <c r="U38" s="584">
        <f>IF(AND(Projects!$C$32&lt;=U$4,U$4&lt;=Projects!$C$32+Projects!$D$32-1),Projects!$B$32/Projects!$D$32,"")</f>
      </c>
      <c r="V38" s="584">
        <f>IF(AND(Projects!$C$32&lt;=V$4,V$4&lt;=Projects!$C$32+Projects!$D$32-1),Projects!$B$32/Projects!$D$32,"")</f>
      </c>
      <c r="W38" s="584">
        <f>IF(AND(Projects!$C$32&lt;=W$4,W$4&lt;=Projects!$C$32+Projects!$D$32-1),Projects!$B$32/Projects!$D$32,"")</f>
      </c>
      <c r="X38" s="584">
        <f>IF(AND(Projects!$C$32&lt;=X$4,X$4&lt;=Projects!$C$32+Projects!$D$32-1),Projects!$B$32/Projects!$D$32,"")</f>
      </c>
      <c r="Y38" s="584">
        <f>IF(AND(Projects!$C$32&lt;=Y$4,Y$4&lt;=Projects!$C$32+Projects!$D$32-1),Projects!$B$32/Projects!$D$32,"")</f>
      </c>
      <c r="Z38" s="584">
        <f>IF(AND(Projects!$C$32&lt;=Z$4,Z$4&lt;=Projects!$C$32+Projects!$D$32-1),Projects!$B$32/Projects!$D$32,"")</f>
      </c>
      <c r="AA38" s="584">
        <f>IF(AND(Projects!$C$32&lt;=AA$4,AA$4&lt;=Projects!$C$32+Projects!$D$32-1),Projects!$B$32/Projects!$D$32,"")</f>
      </c>
      <c r="AB38" s="584">
        <f>IF(AND(Projects!$C$32&lt;=AB$4,AB$4&lt;=Projects!$C$32+Projects!$D$32-1),Projects!$B$32/Projects!$D$32,"")</f>
      </c>
      <c r="AC38" s="584">
        <f>IF(AND(Projects!$C$32&lt;=AC$4,AC$4&lt;=Projects!$C$32+Projects!$D$32-1),Projects!$B$32/Projects!$D$32,"")</f>
      </c>
      <c r="AD38" s="584">
        <f>IF(AND(Projects!$C$32&lt;=AD$4,AD$4&lt;=Projects!$C$32+Projects!$D$32-1),Projects!$B$32/Projects!$D$32,"")</f>
      </c>
      <c r="AE38" s="584">
        <f>IF(AND(Projects!$C$32&lt;=AE$4,AE$4&lt;=Projects!$C$32+Projects!$D$32-1),Projects!$B$32/Projects!$D$32,"")</f>
      </c>
      <c r="AF38" s="584">
        <f>IF(AND(Projects!$C$32&lt;=AF$4,AF$4&lt;=Projects!$C$32+Projects!$D$32-1),Projects!$B$32/Projects!$D$32,"")</f>
      </c>
      <c r="AG38" s="584">
        <f>IF(AND(Projects!$C$32&lt;=AG$4,AG$4&lt;=Projects!$C$32+Projects!$D$32-1),Projects!$B$32/Projects!$D$32,"")</f>
      </c>
      <c r="AH38" s="584">
        <f>IF(AND(Projects!$C$32&lt;=AH$4,AH$4&lt;=Projects!$C$32+Projects!$D$32-1),Projects!$B$32/Projects!$D$32,"")</f>
      </c>
      <c r="AI38" s="584">
        <f>IF(AND(Projects!$C$32&lt;=AI$4,AI$4&lt;=Projects!$C$32+Projects!$D$32-1),Projects!$B$32/Projects!$D$32,"")</f>
      </c>
      <c r="AJ38" s="584">
        <f>IF(AND(Projects!$C$32&lt;=AJ$4,AJ$4&lt;=Projects!$C$32+Projects!$D$32-1),Projects!$B$32/Projects!$D$32,"")</f>
      </c>
      <c r="AK38" s="584">
        <f>IF(AND(Projects!$C$32&lt;=AK$4,AK$4&lt;=Projects!$C$32+Projects!$D$32-1),Projects!$B$32/Projects!$D$32,"")</f>
      </c>
      <c r="AL38" s="584">
        <f>IF(AND(Projects!$C$32&lt;=AL$4,AL$4&lt;=Projects!$C$32+Projects!$D$32-1),Projects!$B$32/Projects!$D$32,"")</f>
      </c>
      <c r="AM38" s="584">
        <f>IF(AND(Projects!$C$32&lt;=AM$4,AM$4&lt;=Projects!$C$32+Projects!$D$32-1),Projects!$B$32/Projects!$D$32,"")</f>
      </c>
      <c r="AN38" s="584">
        <f>IF(AND(Projects!$C$32&lt;=AN$4,AN$4&lt;=Projects!$C$32+Projects!$D$32-1),Projects!$B$32/Projects!$D$32,"")</f>
      </c>
      <c r="AO38" s="584">
        <f>IF(AND(Projects!$C$32&lt;=AO$4,AO$4&lt;=Projects!$C$32+Projects!$D$32-1),Projects!$B$32/Projects!$D$32,"")</f>
      </c>
      <c r="AP38" s="584">
        <f>IF(AND(Projects!$C$32&lt;=AP$4,AP$4&lt;=Projects!$C$32+Projects!$D$32-1),Projects!$B$32/Projects!$D$32,"")</f>
        <v>789473.684210526</v>
      </c>
      <c r="AQ38" s="584">
        <f>IF(AND(Projects!$C$32&lt;=AQ$4,AQ$4&lt;=Projects!$C$32+Projects!$D$32-1),Projects!$B$32/Projects!$D$32,"")</f>
        <v>789473.684210526</v>
      </c>
      <c r="AR38" s="584">
        <f>IF(AND(Projects!$C$32&lt;=AR$4,AR$4&lt;=Projects!$C$32+Projects!$D$32-1),Projects!$B$32/Projects!$D$32,"")</f>
        <v>789473.684210526</v>
      </c>
      <c r="AS38" s="584">
        <f>IF(AND(Projects!$C$32&lt;=AS$4,AS$4&lt;=Projects!$C$32+Projects!$D$32-1),Projects!$B$32/Projects!$D$32,"")</f>
        <v>789473.684210526</v>
      </c>
      <c r="AT38" s="584">
        <f>IF(AND(Projects!$C$32&lt;=AT$4,AT$4&lt;=Projects!$C$32+Projects!$D$32-1),Projects!$B$32/Projects!$D$32,"")</f>
        <v>789473.684210526</v>
      </c>
      <c r="AU38" s="584">
        <f>IF(AND(Projects!$C$32&lt;=AU$4,AU$4&lt;=Projects!$C$32+Projects!$D$32-1),Projects!$B$32/Projects!$D$32,"")</f>
        <v>789473.684210526</v>
      </c>
      <c r="AV38" s="584">
        <f>IF(AND(Projects!$C$32&lt;=AV$4,AV$4&lt;=Projects!$C$32+Projects!$D$32-1),Projects!$B$32/Projects!$D$32,"")</f>
        <v>789473.684210526</v>
      </c>
      <c r="AW38" s="584">
        <f>IF(AND(Projects!$C$32&lt;=AW$4,AW$4&lt;=Projects!$C$32+Projects!$D$32-1),Projects!$B$32/Projects!$D$32,"")</f>
        <v>789473.684210526</v>
      </c>
      <c r="AX38" s="584">
        <f>IF(AND(Projects!$C$32&lt;=AX$4,AX$4&lt;=Projects!$C$32+Projects!$D$32-1),Projects!$B$32/Projects!$D$32,"")</f>
        <v>789473.684210526</v>
      </c>
      <c r="AY38" s="584">
        <f>IF(AND(Projects!$C$32&lt;=AY$4,AY$4&lt;=Projects!$C$32+Projects!$D$32-1),Projects!$B$32/Projects!$D$32,"")</f>
        <v>789473.684210526</v>
      </c>
      <c r="AZ38" s="584">
        <f>IF(AND(Projects!$C$32&lt;=AZ$4,AZ$4&lt;=Projects!$C$32+Projects!$D$32-1),Projects!$B$32/Projects!$D$32,"")</f>
        <v>789473.684210526</v>
      </c>
      <c r="BA38" s="584">
        <f>IF(AND(Projects!$C$32&lt;=BA$4,BA$4&lt;=Projects!$C$32+Projects!$D$32-1),Projects!$B$32/Projects!$D$32,"")</f>
        <v>789473.684210526</v>
      </c>
      <c r="BB38" s="584">
        <f>IF(AND(Projects!$C$32&lt;=BB$4,BB$4&lt;=Projects!$C$32+Projects!$D$32-1),Projects!$B$32/Projects!$D$32,"")</f>
        <v>789473.684210526</v>
      </c>
      <c r="BC38" s="584">
        <f>IF(AND(Projects!$C$32&lt;=BC$4,BC$4&lt;=Projects!$C$32+Projects!$D$32-1),Projects!$B$32/Projects!$D$32,"")</f>
        <v>789473.684210526</v>
      </c>
      <c r="BD38" s="584">
        <f>IF(AND(Projects!$C$32&lt;=BD$4,BD$4&lt;=Projects!$C$32+Projects!$D$32-1),Projects!$B$32/Projects!$D$32,"")</f>
        <v>789473.684210526</v>
      </c>
      <c r="BE38" s="584">
        <f>IF(AND(Projects!$C$32&lt;=BE$4,BE$4&lt;=Projects!$C$32+Projects!$D$32-1),Projects!$B$32/Projects!$D$32,"")</f>
        <v>789473.684210526</v>
      </c>
      <c r="BF38" s="584">
        <f>IF(AND(Projects!$C$32&lt;=BF$4,BF$4&lt;=Projects!$C$32+Projects!$D$32-1),Projects!$B$32/Projects!$D$32,"")</f>
        <v>789473.684210526</v>
      </c>
      <c r="BG38" s="584">
        <f>IF(AND(Projects!$C$32&lt;=BG$4,BG$4&lt;=Projects!$C$32+Projects!$D$32-1),Projects!$B$32/Projects!$D$32,"")</f>
        <v>789473.684210526</v>
      </c>
      <c r="BH38" s="584">
        <f>IF(AND(Projects!$C$32&lt;=BH$4,BH$4&lt;=Projects!$C$32+Projects!$D$32-1),Projects!$B$32/Projects!$D$32,"")</f>
        <v>789473.684210526</v>
      </c>
      <c r="BI38" s="584">
        <f>IF(AND(Projects!$C$32&lt;=BI$4,BI$4&lt;=Projects!$C$32+Projects!$D$32-1),Projects!$B$32/Projects!$D$32,"")</f>
      </c>
      <c r="BJ38" s="584">
        <f>IF(AND(Projects!$C$32&lt;=BJ$4,BJ$4&lt;=Projects!$C$32+Projects!$D$32-1),Projects!$B$32/Projects!$D$32,"")</f>
      </c>
      <c r="BK38" s="584">
        <f>IF(AND(Projects!$C$32&lt;=BK$4,BK$4&lt;=Projects!$C$32+Projects!$D$32-1),Projects!$B$32/Projects!$D$32,"")</f>
      </c>
      <c r="BL38" s="584">
        <f>IF(AND(Projects!$C$32&lt;=BL$4,BL$4&lt;=Projects!$C$32+Projects!$D$32-1),Projects!$B$32/Projects!$D$32,"")</f>
      </c>
      <c r="BM38" s="584">
        <f>IF(AND(Projects!$C$32&lt;=BM$4,BM$4&lt;=Projects!$C$32+Projects!$D$32-1),Projects!$B$32/Projects!$D$32,"")</f>
      </c>
      <c r="BN38" s="584">
        <f>IF(AND(Projects!$C$32&lt;=BN$4,BN$4&lt;=Projects!$C$32+Projects!$D$32-1),Projects!$B$32/Projects!$D$32,"")</f>
      </c>
      <c r="BO38" s="584">
        <f>IF(AND(Projects!$C$32&lt;=BO$4,BO$4&lt;=Projects!$C$32+Projects!$D$32-1),Projects!$B$32/Projects!$D$32,"")</f>
      </c>
      <c r="BP38" s="584">
        <f>IF(AND(Projects!$C$32&lt;=BP$4,BP$4&lt;=Projects!$C$32+Projects!$D$32-1),Projects!$B$32/Projects!$D$32,"")</f>
      </c>
      <c r="BQ38" s="584">
        <f>IF(AND(Projects!$C$32&lt;=BQ$4,BQ$4&lt;=Projects!$C$32+Projects!$D$32-1),Projects!$B$32/Projects!$D$32,"")</f>
      </c>
      <c r="BR38" s="584">
        <f>IF(AND(Projects!$C$32&lt;=BR$4,BR$4&lt;=Projects!$C$32+Projects!$D$32-1),Projects!$B$32/Projects!$D$32,"")</f>
      </c>
      <c r="BS38" s="584">
        <f>IF(AND(Projects!$C$32&lt;=BS$4,BS$4&lt;=Projects!$C$32+Projects!$D$32-1),Projects!$B$32/Projects!$D$32,"")</f>
      </c>
      <c r="BT38" s="584">
        <f>IF(AND(Projects!$C$32&lt;=BT$4,BT$4&lt;=Projects!$C$32+Projects!$D$32-1),Projects!$B$32/Projects!$D$32,"")</f>
      </c>
      <c r="BU38" s="584">
        <f>IF(AND(Projects!$C$32&lt;=BU$4,BU$4&lt;=Projects!$C$32+Projects!$D$32-1),Projects!$B$32/Projects!$D$32,"")</f>
      </c>
      <c r="BV38" s="584">
        <f>IF(AND(Projects!$C$32&lt;=BV$4,BV$4&lt;=Projects!$C$32+Projects!$D$32-1),Projects!$B$32/Projects!$D$32,"")</f>
      </c>
      <c r="BW38" s="584">
        <f>IF(AND(Projects!$C$32&lt;=BW$4,BW$4&lt;=Projects!$C$32+Projects!$D$32-1),Projects!$B$32/Projects!$D$32,"")</f>
      </c>
      <c r="BX38" s="584">
        <f>IF(AND(Projects!$C$32&lt;=BX$4,BX$4&lt;=Projects!$C$32+Projects!$D$32-1),Projects!$B$32/Projects!$D$32,"")</f>
      </c>
      <c r="BY38" s="584">
        <f>IF(AND(Projects!$C$32&lt;=BY$4,BY$4&lt;=Projects!$C$32+Projects!$D$32-1),Projects!$B$32/Projects!$D$32,"")</f>
      </c>
      <c r="BZ38" s="584">
        <f>IF(AND(Projects!$C$32&lt;=BZ$4,BZ$4&lt;=Projects!$C$32+Projects!$D$32-1),Projects!$B$32/Projects!$D$32,"")</f>
      </c>
      <c r="CA38" s="584">
        <f>IF(AND(Projects!$C$32&lt;=CA$4,CA$4&lt;=Projects!$C$32+Projects!$D$32-1),Projects!$B$32/Projects!$D$32,"")</f>
      </c>
      <c r="CB38" s="584">
        <f>IF(AND(Projects!$C$32&lt;=CB$4,CB$4&lt;=Projects!$C$32+Projects!$D$32-1),Projects!$B$32/Projects!$D$32,"")</f>
      </c>
      <c r="CC38" s="584">
        <f>IF(AND(Projects!$C$32&lt;=CC$4,CC$4&lt;=Projects!$C$32+Projects!$D$32-1),Projects!$B$32/Projects!$D$32,"")</f>
      </c>
      <c r="CD38" s="584">
        <f>IF(AND(Projects!$C$32&lt;=CD$4,CD$4&lt;=Projects!$C$32+Projects!$D$32-1),Projects!$B$32/Projects!$D$32,"")</f>
      </c>
      <c r="CE38" s="584">
        <f>IF(AND(Projects!$C$32&lt;=CE$4,CE$4&lt;=Projects!$C$32+Projects!$D$32-1),Projects!$B$32/Projects!$D$32,"")</f>
      </c>
      <c r="CF38" s="584">
        <f>IF(AND(Projects!$C$32&lt;=CF$4,CF$4&lt;=Projects!$C$32+Projects!$D$32-1),Projects!$B$32/Projects!$D$32,"")</f>
      </c>
      <c r="CG38" s="584">
        <f>IF(AND(Projects!$C$32&lt;=CG$4,CG$4&lt;=Projects!$C$32+Projects!$D$32-1),Projects!$B$32/Projects!$D$32,"")</f>
      </c>
      <c r="CH38" s="584">
        <f>IF(AND(Projects!$C$32&lt;=CH$4,CH$4&lt;=Projects!$C$32+Projects!$D$32-1),Projects!$B$32/Projects!$D$32,"")</f>
      </c>
      <c r="CI38" s="584">
        <f>IF(AND(Projects!$C$32&lt;=CI$4,CI$4&lt;=Projects!$C$32+Projects!$D$32-1),Projects!$B$32/Projects!$D$32,"")</f>
      </c>
      <c r="CJ38" s="584">
        <f>IF(AND(Projects!$C$32&lt;=CJ$4,CJ$4&lt;=Projects!$C$32+Projects!$D$32-1),Projects!$B$32/Projects!$D$32,"")</f>
      </c>
      <c r="CK38" s="584">
        <f>IF(AND(Projects!$C$32&lt;=CK$4,CK$4&lt;=Projects!$C$32+Projects!$D$32-1),Projects!$B$32/Projects!$D$32,"")</f>
      </c>
      <c r="CL38" s="584">
        <f>IF(AND(Projects!$C$32&lt;=CL$4,CL$4&lt;=Projects!$C$32+Projects!$D$32-1),Projects!$B$32/Projects!$D$32,"")</f>
      </c>
      <c r="CM38" s="584">
        <f>IF(AND(Projects!$C$32&lt;=CM$4,CM$4&lt;=Projects!$C$32+Projects!$D$32-1),Projects!$B$32/Projects!$D$32,"")</f>
      </c>
      <c r="CN38" s="584">
        <f>IF(AND(Projects!$C$32&lt;=CN$4,CN$4&lt;=Projects!$C$32+Projects!$D$32-1),Projects!$B$32/Projects!$D$32,"")</f>
      </c>
      <c r="CO38" s="584">
        <f>IF(AND(Projects!$C$32&lt;=CO$4,CO$4&lt;=Projects!$C$32+Projects!$D$32-1),Projects!$B$32/Projects!$D$32,"")</f>
      </c>
      <c r="CP38" s="584">
        <f>IF(AND(Projects!$C$32&lt;=CP$4,CP$4&lt;=Projects!$C$32+Projects!$D$32-1),Projects!$B$32/Projects!$D$32,"")</f>
      </c>
      <c r="CQ38" s="584">
        <f>IF(AND(Projects!$C$32&lt;=CQ$4,CQ$4&lt;=Projects!$C$32+Projects!$D$32-1),Projects!$B$32/Projects!$D$32,"")</f>
      </c>
      <c r="CR38" s="584">
        <f>IF(AND(Projects!$C$32&lt;=CR$4,CR$4&lt;=Projects!$C$32+Projects!$D$32-1),Projects!$B$32/Projects!$D$32,"")</f>
      </c>
      <c r="CS38" s="584">
        <f>IF(AND(Projects!$C$32&lt;=CS$4,CS$4&lt;=Projects!$C$32+Projects!$D$32-1),Projects!$B$32/Projects!$D$32,"")</f>
      </c>
      <c r="CT38" s="584">
        <f>IF(AND(Projects!$C$32&lt;=CT$4,CT$4&lt;=Projects!$C$32+Projects!$D$32-1),Projects!$B$32/Projects!$D$32,"")</f>
      </c>
      <c r="CU38" s="584">
        <f>IF(AND(Projects!$C$32&lt;=CU$4,CU$4&lt;=Projects!$C$32+Projects!$D$32-1),Projects!$B$32/Projects!$D$32,"")</f>
      </c>
      <c r="CV38" s="584">
        <f>IF(AND(Projects!$C$32&lt;=CV$4,CV$4&lt;=Projects!$C$32+Projects!$D$32-1),Projects!$B$32/Projects!$D$32,"")</f>
      </c>
      <c r="CW38" s="584">
        <f>IF(AND(Projects!$C$32&lt;=CW$4,CW$4&lt;=Projects!$C$32+Projects!$D$32-1),Projects!$B$32/Projects!$D$32,"")</f>
      </c>
      <c r="CX38" s="584">
        <f>IF(AND(Projects!$C$32&lt;=CX$4,CX$4&lt;=Projects!$C$32+Projects!$D$32-1),Projects!$B$32/Projects!$D$32,"")</f>
      </c>
      <c r="CY38" s="584">
        <f>IF(AND(Projects!$C$32&lt;=CY$4,CY$4&lt;=Projects!$C$32+Projects!$D$32-1),Projects!$B$32/Projects!$D$32,"")</f>
      </c>
      <c r="CZ38" s="584">
        <f>IF(AND(Projects!$C$32&lt;=CZ$4,CZ$4&lt;=Projects!$C$32+Projects!$D$32-1),Projects!$B$32/Projects!$D$32,"")</f>
      </c>
      <c r="DA38" s="584">
        <f>IF(AND(Projects!$C$32&lt;=DA$4,DA$4&lt;=Projects!$C$32+Projects!$D$32-1),Projects!$B$32/Projects!$D$32,"")</f>
      </c>
      <c r="DB38" s="584">
        <f>IF(AND(Projects!$C$32&lt;=DB$4,DB$4&lt;=Projects!$C$32+Projects!$D$32-1),Projects!$B$32/Projects!$D$32,"")</f>
      </c>
    </row>
    <row r="39" ht="15" customFormat="1" customHeight="1" s="381">
      <c r="A39" s="513" t="inlineStr">
        <is>
          <t>BD-17</t>
        </is>
      </c>
      <c r="B39" s="581">
        <f>Projects!$B$33</f>
        <v>15000000</v>
      </c>
      <c r="C39" s="582">
        <f>EDATE(Model!$E$2,Projects!$C$33-1)</f>
        <v>47209</v>
      </c>
      <c r="D39" s="582">
        <f>EDATE(Model!$E$2,Projects!$C$33+Projects!$D$33-2)</f>
        <v>47757</v>
      </c>
      <c r="E39" s="583">
        <f>Projects!$D$33</f>
        <v>19</v>
      </c>
      <c r="F39" s="581">
        <f>Projects!$B$33/Projects!$D$33</f>
        <v>789473.684210526</v>
      </c>
      <c r="G39" s="584">
        <f>IF(AND(Projects!$C$33&lt;=G$4,G$4&lt;=Projects!$C$33+Projects!$D$33-1),Projects!$B$33/Projects!$D$33,"")</f>
      </c>
      <c r="H39" s="584">
        <f>IF(AND(Projects!$C$33&lt;=H$4,H$4&lt;=Projects!$C$33+Projects!$D$33-1),Projects!$B$33/Projects!$D$33,"")</f>
      </c>
      <c r="I39" s="584">
        <f>IF(AND(Projects!$C$33&lt;=I$4,I$4&lt;=Projects!$C$33+Projects!$D$33-1),Projects!$B$33/Projects!$D$33,"")</f>
      </c>
      <c r="J39" s="584">
        <f>IF(AND(Projects!$C$33&lt;=J$4,J$4&lt;=Projects!$C$33+Projects!$D$33-1),Projects!$B$33/Projects!$D$33,"")</f>
      </c>
      <c r="K39" s="584">
        <f>IF(AND(Projects!$C$33&lt;=K$4,K$4&lt;=Projects!$C$33+Projects!$D$33-1),Projects!$B$33/Projects!$D$33,"")</f>
      </c>
      <c r="L39" s="584">
        <f>IF(AND(Projects!$C$33&lt;=L$4,L$4&lt;=Projects!$C$33+Projects!$D$33-1),Projects!$B$33/Projects!$D$33,"")</f>
      </c>
      <c r="M39" s="584">
        <f>IF(AND(Projects!$C$33&lt;=M$4,M$4&lt;=Projects!$C$33+Projects!$D$33-1),Projects!$B$33/Projects!$D$33,"")</f>
      </c>
      <c r="N39" s="584">
        <f>IF(AND(Projects!$C$33&lt;=N$4,N$4&lt;=Projects!$C$33+Projects!$D$33-1),Projects!$B$33/Projects!$D$33,"")</f>
      </c>
      <c r="O39" s="584">
        <f>IF(AND(Projects!$C$33&lt;=O$4,O$4&lt;=Projects!$C$33+Projects!$D$33-1),Projects!$B$33/Projects!$D$33,"")</f>
      </c>
      <c r="P39" s="584">
        <f>IF(AND(Projects!$C$33&lt;=P$4,P$4&lt;=Projects!$C$33+Projects!$D$33-1),Projects!$B$33/Projects!$D$33,"")</f>
      </c>
      <c r="Q39" s="584">
        <f>IF(AND(Projects!$C$33&lt;=Q$4,Q$4&lt;=Projects!$C$33+Projects!$D$33-1),Projects!$B$33/Projects!$D$33,"")</f>
      </c>
      <c r="R39" s="584">
        <f>IF(AND(Projects!$C$33&lt;=R$4,R$4&lt;=Projects!$C$33+Projects!$D$33-1),Projects!$B$33/Projects!$D$33,"")</f>
      </c>
      <c r="S39" s="584">
        <f>IF(AND(Projects!$C$33&lt;=S$4,S$4&lt;=Projects!$C$33+Projects!$D$33-1),Projects!$B$33/Projects!$D$33,"")</f>
      </c>
      <c r="T39" s="584">
        <f>IF(AND(Projects!$C$33&lt;=T$4,T$4&lt;=Projects!$C$33+Projects!$D$33-1),Projects!$B$33/Projects!$D$33,"")</f>
      </c>
      <c r="U39" s="584">
        <f>IF(AND(Projects!$C$33&lt;=U$4,U$4&lt;=Projects!$C$33+Projects!$D$33-1),Projects!$B$33/Projects!$D$33,"")</f>
      </c>
      <c r="V39" s="584">
        <f>IF(AND(Projects!$C$33&lt;=V$4,V$4&lt;=Projects!$C$33+Projects!$D$33-1),Projects!$B$33/Projects!$D$33,"")</f>
      </c>
      <c r="W39" s="584">
        <f>IF(AND(Projects!$C$33&lt;=W$4,W$4&lt;=Projects!$C$33+Projects!$D$33-1),Projects!$B$33/Projects!$D$33,"")</f>
      </c>
      <c r="X39" s="584">
        <f>IF(AND(Projects!$C$33&lt;=X$4,X$4&lt;=Projects!$C$33+Projects!$D$33-1),Projects!$B$33/Projects!$D$33,"")</f>
      </c>
      <c r="Y39" s="584">
        <f>IF(AND(Projects!$C$33&lt;=Y$4,Y$4&lt;=Projects!$C$33+Projects!$D$33-1),Projects!$B$33/Projects!$D$33,"")</f>
      </c>
      <c r="Z39" s="584">
        <f>IF(AND(Projects!$C$33&lt;=Z$4,Z$4&lt;=Projects!$C$33+Projects!$D$33-1),Projects!$B$33/Projects!$D$33,"")</f>
      </c>
      <c r="AA39" s="584">
        <f>IF(AND(Projects!$C$33&lt;=AA$4,AA$4&lt;=Projects!$C$33+Projects!$D$33-1),Projects!$B$33/Projects!$D$33,"")</f>
      </c>
      <c r="AB39" s="584">
        <f>IF(AND(Projects!$C$33&lt;=AB$4,AB$4&lt;=Projects!$C$33+Projects!$D$33-1),Projects!$B$33/Projects!$D$33,"")</f>
      </c>
      <c r="AC39" s="584">
        <f>IF(AND(Projects!$C$33&lt;=AC$4,AC$4&lt;=Projects!$C$33+Projects!$D$33-1),Projects!$B$33/Projects!$D$33,"")</f>
      </c>
      <c r="AD39" s="584">
        <f>IF(AND(Projects!$C$33&lt;=AD$4,AD$4&lt;=Projects!$C$33+Projects!$D$33-1),Projects!$B$33/Projects!$D$33,"")</f>
      </c>
      <c r="AE39" s="584">
        <f>IF(AND(Projects!$C$33&lt;=AE$4,AE$4&lt;=Projects!$C$33+Projects!$D$33-1),Projects!$B$33/Projects!$D$33,"")</f>
      </c>
      <c r="AF39" s="584">
        <f>IF(AND(Projects!$C$33&lt;=AF$4,AF$4&lt;=Projects!$C$33+Projects!$D$33-1),Projects!$B$33/Projects!$D$33,"")</f>
      </c>
      <c r="AG39" s="584">
        <f>IF(AND(Projects!$C$33&lt;=AG$4,AG$4&lt;=Projects!$C$33+Projects!$D$33-1),Projects!$B$33/Projects!$D$33,"")</f>
      </c>
      <c r="AH39" s="584">
        <f>IF(AND(Projects!$C$33&lt;=AH$4,AH$4&lt;=Projects!$C$33+Projects!$D$33-1),Projects!$B$33/Projects!$D$33,"")</f>
      </c>
      <c r="AI39" s="584">
        <f>IF(AND(Projects!$C$33&lt;=AI$4,AI$4&lt;=Projects!$C$33+Projects!$D$33-1),Projects!$B$33/Projects!$D$33,"")</f>
      </c>
      <c r="AJ39" s="584">
        <f>IF(AND(Projects!$C$33&lt;=AJ$4,AJ$4&lt;=Projects!$C$33+Projects!$D$33-1),Projects!$B$33/Projects!$D$33,"")</f>
      </c>
      <c r="AK39" s="584">
        <f>IF(AND(Projects!$C$33&lt;=AK$4,AK$4&lt;=Projects!$C$33+Projects!$D$33-1),Projects!$B$33/Projects!$D$33,"")</f>
      </c>
      <c r="AL39" s="584">
        <f>IF(AND(Projects!$C$33&lt;=AL$4,AL$4&lt;=Projects!$C$33+Projects!$D$33-1),Projects!$B$33/Projects!$D$33,"")</f>
      </c>
      <c r="AM39" s="584">
        <f>IF(AND(Projects!$C$33&lt;=AM$4,AM$4&lt;=Projects!$C$33+Projects!$D$33-1),Projects!$B$33/Projects!$D$33,"")</f>
      </c>
      <c r="AN39" s="584">
        <f>IF(AND(Projects!$C$33&lt;=AN$4,AN$4&lt;=Projects!$C$33+Projects!$D$33-1),Projects!$B$33/Projects!$D$33,"")</f>
      </c>
      <c r="AO39" s="584">
        <f>IF(AND(Projects!$C$33&lt;=AO$4,AO$4&lt;=Projects!$C$33+Projects!$D$33-1),Projects!$B$33/Projects!$D$33,"")</f>
      </c>
      <c r="AP39" s="584">
        <f>IF(AND(Projects!$C$33&lt;=AP$4,AP$4&lt;=Projects!$C$33+Projects!$D$33-1),Projects!$B$33/Projects!$D$33,"")</f>
      </c>
      <c r="AQ39" s="584">
        <f>IF(AND(Projects!$C$33&lt;=AQ$4,AQ$4&lt;=Projects!$C$33+Projects!$D$33-1),Projects!$B$33/Projects!$D$33,"")</f>
        <v>789473.684210526</v>
      </c>
      <c r="AR39" s="584">
        <f>IF(AND(Projects!$C$33&lt;=AR$4,AR$4&lt;=Projects!$C$33+Projects!$D$33-1),Projects!$B$33/Projects!$D$33,"")</f>
        <v>789473.684210526</v>
      </c>
      <c r="AS39" s="584">
        <f>IF(AND(Projects!$C$33&lt;=AS$4,AS$4&lt;=Projects!$C$33+Projects!$D$33-1),Projects!$B$33/Projects!$D$33,"")</f>
        <v>789473.684210526</v>
      </c>
      <c r="AT39" s="584">
        <f>IF(AND(Projects!$C$33&lt;=AT$4,AT$4&lt;=Projects!$C$33+Projects!$D$33-1),Projects!$B$33/Projects!$D$33,"")</f>
        <v>789473.684210526</v>
      </c>
      <c r="AU39" s="584">
        <f>IF(AND(Projects!$C$33&lt;=AU$4,AU$4&lt;=Projects!$C$33+Projects!$D$33-1),Projects!$B$33/Projects!$D$33,"")</f>
        <v>789473.684210526</v>
      </c>
      <c r="AV39" s="584">
        <f>IF(AND(Projects!$C$33&lt;=AV$4,AV$4&lt;=Projects!$C$33+Projects!$D$33-1),Projects!$B$33/Projects!$D$33,"")</f>
        <v>789473.684210526</v>
      </c>
      <c r="AW39" s="584">
        <f>IF(AND(Projects!$C$33&lt;=AW$4,AW$4&lt;=Projects!$C$33+Projects!$D$33-1),Projects!$B$33/Projects!$D$33,"")</f>
        <v>789473.684210526</v>
      </c>
      <c r="AX39" s="584">
        <f>IF(AND(Projects!$C$33&lt;=AX$4,AX$4&lt;=Projects!$C$33+Projects!$D$33-1),Projects!$B$33/Projects!$D$33,"")</f>
        <v>789473.684210526</v>
      </c>
      <c r="AY39" s="584">
        <f>IF(AND(Projects!$C$33&lt;=AY$4,AY$4&lt;=Projects!$C$33+Projects!$D$33-1),Projects!$B$33/Projects!$D$33,"")</f>
        <v>789473.684210526</v>
      </c>
      <c r="AZ39" s="584">
        <f>IF(AND(Projects!$C$33&lt;=AZ$4,AZ$4&lt;=Projects!$C$33+Projects!$D$33-1),Projects!$B$33/Projects!$D$33,"")</f>
        <v>789473.684210526</v>
      </c>
      <c r="BA39" s="584">
        <f>IF(AND(Projects!$C$33&lt;=BA$4,BA$4&lt;=Projects!$C$33+Projects!$D$33-1),Projects!$B$33/Projects!$D$33,"")</f>
        <v>789473.684210526</v>
      </c>
      <c r="BB39" s="584">
        <f>IF(AND(Projects!$C$33&lt;=BB$4,BB$4&lt;=Projects!$C$33+Projects!$D$33-1),Projects!$B$33/Projects!$D$33,"")</f>
        <v>789473.684210526</v>
      </c>
      <c r="BC39" s="584">
        <f>IF(AND(Projects!$C$33&lt;=BC$4,BC$4&lt;=Projects!$C$33+Projects!$D$33-1),Projects!$B$33/Projects!$D$33,"")</f>
        <v>789473.684210526</v>
      </c>
      <c r="BD39" s="584">
        <f>IF(AND(Projects!$C$33&lt;=BD$4,BD$4&lt;=Projects!$C$33+Projects!$D$33-1),Projects!$B$33/Projects!$D$33,"")</f>
        <v>789473.684210526</v>
      </c>
      <c r="BE39" s="584">
        <f>IF(AND(Projects!$C$33&lt;=BE$4,BE$4&lt;=Projects!$C$33+Projects!$D$33-1),Projects!$B$33/Projects!$D$33,"")</f>
        <v>789473.684210526</v>
      </c>
      <c r="BF39" s="584">
        <f>IF(AND(Projects!$C$33&lt;=BF$4,BF$4&lt;=Projects!$C$33+Projects!$D$33-1),Projects!$B$33/Projects!$D$33,"")</f>
        <v>789473.684210526</v>
      </c>
      <c r="BG39" s="584">
        <f>IF(AND(Projects!$C$33&lt;=BG$4,BG$4&lt;=Projects!$C$33+Projects!$D$33-1),Projects!$B$33/Projects!$D$33,"")</f>
        <v>789473.684210526</v>
      </c>
      <c r="BH39" s="584">
        <f>IF(AND(Projects!$C$33&lt;=BH$4,BH$4&lt;=Projects!$C$33+Projects!$D$33-1),Projects!$B$33/Projects!$D$33,"")</f>
        <v>789473.684210526</v>
      </c>
      <c r="BI39" s="584">
        <f>IF(AND(Projects!$C$33&lt;=BI$4,BI$4&lt;=Projects!$C$33+Projects!$D$33-1),Projects!$B$33/Projects!$D$33,"")</f>
        <v>789473.684210526</v>
      </c>
      <c r="BJ39" s="584">
        <f>IF(AND(Projects!$C$33&lt;=BJ$4,BJ$4&lt;=Projects!$C$33+Projects!$D$33-1),Projects!$B$33/Projects!$D$33,"")</f>
      </c>
      <c r="BK39" s="584">
        <f>IF(AND(Projects!$C$33&lt;=BK$4,BK$4&lt;=Projects!$C$33+Projects!$D$33-1),Projects!$B$33/Projects!$D$33,"")</f>
      </c>
      <c r="BL39" s="584">
        <f>IF(AND(Projects!$C$33&lt;=BL$4,BL$4&lt;=Projects!$C$33+Projects!$D$33-1),Projects!$B$33/Projects!$D$33,"")</f>
      </c>
      <c r="BM39" s="584">
        <f>IF(AND(Projects!$C$33&lt;=BM$4,BM$4&lt;=Projects!$C$33+Projects!$D$33-1),Projects!$B$33/Projects!$D$33,"")</f>
      </c>
      <c r="BN39" s="584">
        <f>IF(AND(Projects!$C$33&lt;=BN$4,BN$4&lt;=Projects!$C$33+Projects!$D$33-1),Projects!$B$33/Projects!$D$33,"")</f>
      </c>
      <c r="BO39" s="584">
        <f>IF(AND(Projects!$C$33&lt;=BO$4,BO$4&lt;=Projects!$C$33+Projects!$D$33-1),Projects!$B$33/Projects!$D$33,"")</f>
      </c>
      <c r="BP39" s="584">
        <f>IF(AND(Projects!$C$33&lt;=BP$4,BP$4&lt;=Projects!$C$33+Projects!$D$33-1),Projects!$B$33/Projects!$D$33,"")</f>
      </c>
      <c r="BQ39" s="584">
        <f>IF(AND(Projects!$C$33&lt;=BQ$4,BQ$4&lt;=Projects!$C$33+Projects!$D$33-1),Projects!$B$33/Projects!$D$33,"")</f>
      </c>
      <c r="BR39" s="584">
        <f>IF(AND(Projects!$C$33&lt;=BR$4,BR$4&lt;=Projects!$C$33+Projects!$D$33-1),Projects!$B$33/Projects!$D$33,"")</f>
      </c>
      <c r="BS39" s="584">
        <f>IF(AND(Projects!$C$33&lt;=BS$4,BS$4&lt;=Projects!$C$33+Projects!$D$33-1),Projects!$B$33/Projects!$D$33,"")</f>
      </c>
      <c r="BT39" s="584">
        <f>IF(AND(Projects!$C$33&lt;=BT$4,BT$4&lt;=Projects!$C$33+Projects!$D$33-1),Projects!$B$33/Projects!$D$33,"")</f>
      </c>
      <c r="BU39" s="584">
        <f>IF(AND(Projects!$C$33&lt;=BU$4,BU$4&lt;=Projects!$C$33+Projects!$D$33-1),Projects!$B$33/Projects!$D$33,"")</f>
      </c>
      <c r="BV39" s="584">
        <f>IF(AND(Projects!$C$33&lt;=BV$4,BV$4&lt;=Projects!$C$33+Projects!$D$33-1),Projects!$B$33/Projects!$D$33,"")</f>
      </c>
      <c r="BW39" s="584">
        <f>IF(AND(Projects!$C$33&lt;=BW$4,BW$4&lt;=Projects!$C$33+Projects!$D$33-1),Projects!$B$33/Projects!$D$33,"")</f>
      </c>
      <c r="BX39" s="584">
        <f>IF(AND(Projects!$C$33&lt;=BX$4,BX$4&lt;=Projects!$C$33+Projects!$D$33-1),Projects!$B$33/Projects!$D$33,"")</f>
      </c>
      <c r="BY39" s="584">
        <f>IF(AND(Projects!$C$33&lt;=BY$4,BY$4&lt;=Projects!$C$33+Projects!$D$33-1),Projects!$B$33/Projects!$D$33,"")</f>
      </c>
      <c r="BZ39" s="584">
        <f>IF(AND(Projects!$C$33&lt;=BZ$4,BZ$4&lt;=Projects!$C$33+Projects!$D$33-1),Projects!$B$33/Projects!$D$33,"")</f>
      </c>
      <c r="CA39" s="584">
        <f>IF(AND(Projects!$C$33&lt;=CA$4,CA$4&lt;=Projects!$C$33+Projects!$D$33-1),Projects!$B$33/Projects!$D$33,"")</f>
      </c>
      <c r="CB39" s="584">
        <f>IF(AND(Projects!$C$33&lt;=CB$4,CB$4&lt;=Projects!$C$33+Projects!$D$33-1),Projects!$B$33/Projects!$D$33,"")</f>
      </c>
      <c r="CC39" s="584">
        <f>IF(AND(Projects!$C$33&lt;=CC$4,CC$4&lt;=Projects!$C$33+Projects!$D$33-1),Projects!$B$33/Projects!$D$33,"")</f>
      </c>
      <c r="CD39" s="584">
        <f>IF(AND(Projects!$C$33&lt;=CD$4,CD$4&lt;=Projects!$C$33+Projects!$D$33-1),Projects!$B$33/Projects!$D$33,"")</f>
      </c>
      <c r="CE39" s="584">
        <f>IF(AND(Projects!$C$33&lt;=CE$4,CE$4&lt;=Projects!$C$33+Projects!$D$33-1),Projects!$B$33/Projects!$D$33,"")</f>
      </c>
      <c r="CF39" s="584">
        <f>IF(AND(Projects!$C$33&lt;=CF$4,CF$4&lt;=Projects!$C$33+Projects!$D$33-1),Projects!$B$33/Projects!$D$33,"")</f>
      </c>
      <c r="CG39" s="584">
        <f>IF(AND(Projects!$C$33&lt;=CG$4,CG$4&lt;=Projects!$C$33+Projects!$D$33-1),Projects!$B$33/Projects!$D$33,"")</f>
      </c>
      <c r="CH39" s="584">
        <f>IF(AND(Projects!$C$33&lt;=CH$4,CH$4&lt;=Projects!$C$33+Projects!$D$33-1),Projects!$B$33/Projects!$D$33,"")</f>
      </c>
      <c r="CI39" s="584">
        <f>IF(AND(Projects!$C$33&lt;=CI$4,CI$4&lt;=Projects!$C$33+Projects!$D$33-1),Projects!$B$33/Projects!$D$33,"")</f>
      </c>
      <c r="CJ39" s="584">
        <f>IF(AND(Projects!$C$33&lt;=CJ$4,CJ$4&lt;=Projects!$C$33+Projects!$D$33-1),Projects!$B$33/Projects!$D$33,"")</f>
      </c>
      <c r="CK39" s="584">
        <f>IF(AND(Projects!$C$33&lt;=CK$4,CK$4&lt;=Projects!$C$33+Projects!$D$33-1),Projects!$B$33/Projects!$D$33,"")</f>
      </c>
      <c r="CL39" s="584">
        <f>IF(AND(Projects!$C$33&lt;=CL$4,CL$4&lt;=Projects!$C$33+Projects!$D$33-1),Projects!$B$33/Projects!$D$33,"")</f>
      </c>
      <c r="CM39" s="584">
        <f>IF(AND(Projects!$C$33&lt;=CM$4,CM$4&lt;=Projects!$C$33+Projects!$D$33-1),Projects!$B$33/Projects!$D$33,"")</f>
      </c>
      <c r="CN39" s="584">
        <f>IF(AND(Projects!$C$33&lt;=CN$4,CN$4&lt;=Projects!$C$33+Projects!$D$33-1),Projects!$B$33/Projects!$D$33,"")</f>
      </c>
      <c r="CO39" s="584">
        <f>IF(AND(Projects!$C$33&lt;=CO$4,CO$4&lt;=Projects!$C$33+Projects!$D$33-1),Projects!$B$33/Projects!$D$33,"")</f>
      </c>
      <c r="CP39" s="584">
        <f>IF(AND(Projects!$C$33&lt;=CP$4,CP$4&lt;=Projects!$C$33+Projects!$D$33-1),Projects!$B$33/Projects!$D$33,"")</f>
      </c>
      <c r="CQ39" s="584">
        <f>IF(AND(Projects!$C$33&lt;=CQ$4,CQ$4&lt;=Projects!$C$33+Projects!$D$33-1),Projects!$B$33/Projects!$D$33,"")</f>
      </c>
      <c r="CR39" s="584">
        <f>IF(AND(Projects!$C$33&lt;=CR$4,CR$4&lt;=Projects!$C$33+Projects!$D$33-1),Projects!$B$33/Projects!$D$33,"")</f>
      </c>
      <c r="CS39" s="584">
        <f>IF(AND(Projects!$C$33&lt;=CS$4,CS$4&lt;=Projects!$C$33+Projects!$D$33-1),Projects!$B$33/Projects!$D$33,"")</f>
      </c>
      <c r="CT39" s="584">
        <f>IF(AND(Projects!$C$33&lt;=CT$4,CT$4&lt;=Projects!$C$33+Projects!$D$33-1),Projects!$B$33/Projects!$D$33,"")</f>
      </c>
      <c r="CU39" s="584">
        <f>IF(AND(Projects!$C$33&lt;=CU$4,CU$4&lt;=Projects!$C$33+Projects!$D$33-1),Projects!$B$33/Projects!$D$33,"")</f>
      </c>
      <c r="CV39" s="584">
        <f>IF(AND(Projects!$C$33&lt;=CV$4,CV$4&lt;=Projects!$C$33+Projects!$D$33-1),Projects!$B$33/Projects!$D$33,"")</f>
      </c>
      <c r="CW39" s="584">
        <f>IF(AND(Projects!$C$33&lt;=CW$4,CW$4&lt;=Projects!$C$33+Projects!$D$33-1),Projects!$B$33/Projects!$D$33,"")</f>
      </c>
      <c r="CX39" s="584">
        <f>IF(AND(Projects!$C$33&lt;=CX$4,CX$4&lt;=Projects!$C$33+Projects!$D$33-1),Projects!$B$33/Projects!$D$33,"")</f>
      </c>
      <c r="CY39" s="584">
        <f>IF(AND(Projects!$C$33&lt;=CY$4,CY$4&lt;=Projects!$C$33+Projects!$D$33-1),Projects!$B$33/Projects!$D$33,"")</f>
      </c>
      <c r="CZ39" s="584">
        <f>IF(AND(Projects!$C$33&lt;=CZ$4,CZ$4&lt;=Projects!$C$33+Projects!$D$33-1),Projects!$B$33/Projects!$D$33,"")</f>
      </c>
      <c r="DA39" s="584">
        <f>IF(AND(Projects!$C$33&lt;=DA$4,DA$4&lt;=Projects!$C$33+Projects!$D$33-1),Projects!$B$33/Projects!$D$33,"")</f>
      </c>
      <c r="DB39" s="584">
        <f>IF(AND(Projects!$C$33&lt;=DB$4,DB$4&lt;=Projects!$C$33+Projects!$D$33-1),Projects!$B$33/Projects!$D$33,"")</f>
      </c>
    </row>
    <row r="40" ht="15" customFormat="1" customHeight="1" s="381">
      <c r="A40" s="513" t="inlineStr">
        <is>
          <t>BD-18</t>
        </is>
      </c>
      <c r="B40" s="581">
        <f>Projects!$B$34</f>
        <v>18000000</v>
      </c>
      <c r="C40" s="582">
        <f>EDATE(Model!$E$2,Projects!$C$34-1)</f>
        <v>47239</v>
      </c>
      <c r="D40" s="582">
        <f>EDATE(Model!$E$2,Projects!$C$34+Projects!$D$34-2)</f>
        <v>47788</v>
      </c>
      <c r="E40" s="583">
        <f>Projects!$D$34</f>
        <v>19</v>
      </c>
      <c r="F40" s="581">
        <f>Projects!$B$34/Projects!$D$34</f>
        <v>947368.421052632</v>
      </c>
      <c r="G40" s="584">
        <f>IF(AND(Projects!$C$34&lt;=G$4,G$4&lt;=Projects!$C$34+Projects!$D$34-1),Projects!$B$34/Projects!$D$34,"")</f>
      </c>
      <c r="H40" s="584">
        <f>IF(AND(Projects!$C$34&lt;=H$4,H$4&lt;=Projects!$C$34+Projects!$D$34-1),Projects!$B$34/Projects!$D$34,"")</f>
      </c>
      <c r="I40" s="584">
        <f>IF(AND(Projects!$C$34&lt;=I$4,I$4&lt;=Projects!$C$34+Projects!$D$34-1),Projects!$B$34/Projects!$D$34,"")</f>
      </c>
      <c r="J40" s="584">
        <f>IF(AND(Projects!$C$34&lt;=J$4,J$4&lt;=Projects!$C$34+Projects!$D$34-1),Projects!$B$34/Projects!$D$34,"")</f>
      </c>
      <c r="K40" s="584">
        <f>IF(AND(Projects!$C$34&lt;=K$4,K$4&lt;=Projects!$C$34+Projects!$D$34-1),Projects!$B$34/Projects!$D$34,"")</f>
      </c>
      <c r="L40" s="584">
        <f>IF(AND(Projects!$C$34&lt;=L$4,L$4&lt;=Projects!$C$34+Projects!$D$34-1),Projects!$B$34/Projects!$D$34,"")</f>
      </c>
      <c r="M40" s="584">
        <f>IF(AND(Projects!$C$34&lt;=M$4,M$4&lt;=Projects!$C$34+Projects!$D$34-1),Projects!$B$34/Projects!$D$34,"")</f>
      </c>
      <c r="N40" s="584">
        <f>IF(AND(Projects!$C$34&lt;=N$4,N$4&lt;=Projects!$C$34+Projects!$D$34-1),Projects!$B$34/Projects!$D$34,"")</f>
      </c>
      <c r="O40" s="584">
        <f>IF(AND(Projects!$C$34&lt;=O$4,O$4&lt;=Projects!$C$34+Projects!$D$34-1),Projects!$B$34/Projects!$D$34,"")</f>
      </c>
      <c r="P40" s="584">
        <f>IF(AND(Projects!$C$34&lt;=P$4,P$4&lt;=Projects!$C$34+Projects!$D$34-1),Projects!$B$34/Projects!$D$34,"")</f>
      </c>
      <c r="Q40" s="584">
        <f>IF(AND(Projects!$C$34&lt;=Q$4,Q$4&lt;=Projects!$C$34+Projects!$D$34-1),Projects!$B$34/Projects!$D$34,"")</f>
      </c>
      <c r="R40" s="584">
        <f>IF(AND(Projects!$C$34&lt;=R$4,R$4&lt;=Projects!$C$34+Projects!$D$34-1),Projects!$B$34/Projects!$D$34,"")</f>
      </c>
      <c r="S40" s="584">
        <f>IF(AND(Projects!$C$34&lt;=S$4,S$4&lt;=Projects!$C$34+Projects!$D$34-1),Projects!$B$34/Projects!$D$34,"")</f>
      </c>
      <c r="T40" s="584">
        <f>IF(AND(Projects!$C$34&lt;=T$4,T$4&lt;=Projects!$C$34+Projects!$D$34-1),Projects!$B$34/Projects!$D$34,"")</f>
      </c>
      <c r="U40" s="584">
        <f>IF(AND(Projects!$C$34&lt;=U$4,U$4&lt;=Projects!$C$34+Projects!$D$34-1),Projects!$B$34/Projects!$D$34,"")</f>
      </c>
      <c r="V40" s="584">
        <f>IF(AND(Projects!$C$34&lt;=V$4,V$4&lt;=Projects!$C$34+Projects!$D$34-1),Projects!$B$34/Projects!$D$34,"")</f>
      </c>
      <c r="W40" s="584">
        <f>IF(AND(Projects!$C$34&lt;=W$4,W$4&lt;=Projects!$C$34+Projects!$D$34-1),Projects!$B$34/Projects!$D$34,"")</f>
      </c>
      <c r="X40" s="584">
        <f>IF(AND(Projects!$C$34&lt;=X$4,X$4&lt;=Projects!$C$34+Projects!$D$34-1),Projects!$B$34/Projects!$D$34,"")</f>
      </c>
      <c r="Y40" s="584">
        <f>IF(AND(Projects!$C$34&lt;=Y$4,Y$4&lt;=Projects!$C$34+Projects!$D$34-1),Projects!$B$34/Projects!$D$34,"")</f>
      </c>
      <c r="Z40" s="584">
        <f>IF(AND(Projects!$C$34&lt;=Z$4,Z$4&lt;=Projects!$C$34+Projects!$D$34-1),Projects!$B$34/Projects!$D$34,"")</f>
      </c>
      <c r="AA40" s="584">
        <f>IF(AND(Projects!$C$34&lt;=AA$4,AA$4&lt;=Projects!$C$34+Projects!$D$34-1),Projects!$B$34/Projects!$D$34,"")</f>
      </c>
      <c r="AB40" s="584">
        <f>IF(AND(Projects!$C$34&lt;=AB$4,AB$4&lt;=Projects!$C$34+Projects!$D$34-1),Projects!$B$34/Projects!$D$34,"")</f>
      </c>
      <c r="AC40" s="584">
        <f>IF(AND(Projects!$C$34&lt;=AC$4,AC$4&lt;=Projects!$C$34+Projects!$D$34-1),Projects!$B$34/Projects!$D$34,"")</f>
      </c>
      <c r="AD40" s="584">
        <f>IF(AND(Projects!$C$34&lt;=AD$4,AD$4&lt;=Projects!$C$34+Projects!$D$34-1),Projects!$B$34/Projects!$D$34,"")</f>
      </c>
      <c r="AE40" s="584">
        <f>IF(AND(Projects!$C$34&lt;=AE$4,AE$4&lt;=Projects!$C$34+Projects!$D$34-1),Projects!$B$34/Projects!$D$34,"")</f>
      </c>
      <c r="AF40" s="584">
        <f>IF(AND(Projects!$C$34&lt;=AF$4,AF$4&lt;=Projects!$C$34+Projects!$D$34-1),Projects!$B$34/Projects!$D$34,"")</f>
      </c>
      <c r="AG40" s="584">
        <f>IF(AND(Projects!$C$34&lt;=AG$4,AG$4&lt;=Projects!$C$34+Projects!$D$34-1),Projects!$B$34/Projects!$D$34,"")</f>
      </c>
      <c r="AH40" s="584">
        <f>IF(AND(Projects!$C$34&lt;=AH$4,AH$4&lt;=Projects!$C$34+Projects!$D$34-1),Projects!$B$34/Projects!$D$34,"")</f>
      </c>
      <c r="AI40" s="584">
        <f>IF(AND(Projects!$C$34&lt;=AI$4,AI$4&lt;=Projects!$C$34+Projects!$D$34-1),Projects!$B$34/Projects!$D$34,"")</f>
      </c>
      <c r="AJ40" s="584">
        <f>IF(AND(Projects!$C$34&lt;=AJ$4,AJ$4&lt;=Projects!$C$34+Projects!$D$34-1),Projects!$B$34/Projects!$D$34,"")</f>
      </c>
      <c r="AK40" s="584">
        <f>IF(AND(Projects!$C$34&lt;=AK$4,AK$4&lt;=Projects!$C$34+Projects!$D$34-1),Projects!$B$34/Projects!$D$34,"")</f>
      </c>
      <c r="AL40" s="584">
        <f>IF(AND(Projects!$C$34&lt;=AL$4,AL$4&lt;=Projects!$C$34+Projects!$D$34-1),Projects!$B$34/Projects!$D$34,"")</f>
      </c>
      <c r="AM40" s="584">
        <f>IF(AND(Projects!$C$34&lt;=AM$4,AM$4&lt;=Projects!$C$34+Projects!$D$34-1),Projects!$B$34/Projects!$D$34,"")</f>
      </c>
      <c r="AN40" s="584">
        <f>IF(AND(Projects!$C$34&lt;=AN$4,AN$4&lt;=Projects!$C$34+Projects!$D$34-1),Projects!$B$34/Projects!$D$34,"")</f>
      </c>
      <c r="AO40" s="584">
        <f>IF(AND(Projects!$C$34&lt;=AO$4,AO$4&lt;=Projects!$C$34+Projects!$D$34-1),Projects!$B$34/Projects!$D$34,"")</f>
      </c>
      <c r="AP40" s="584">
        <f>IF(AND(Projects!$C$34&lt;=AP$4,AP$4&lt;=Projects!$C$34+Projects!$D$34-1),Projects!$B$34/Projects!$D$34,"")</f>
      </c>
      <c r="AQ40" s="584">
        <f>IF(AND(Projects!$C$34&lt;=AQ$4,AQ$4&lt;=Projects!$C$34+Projects!$D$34-1),Projects!$B$34/Projects!$D$34,"")</f>
      </c>
      <c r="AR40" s="584">
        <f>IF(AND(Projects!$C$34&lt;=AR$4,AR$4&lt;=Projects!$C$34+Projects!$D$34-1),Projects!$B$34/Projects!$D$34,"")</f>
        <v>947368.421052632</v>
      </c>
      <c r="AS40" s="584">
        <f>IF(AND(Projects!$C$34&lt;=AS$4,AS$4&lt;=Projects!$C$34+Projects!$D$34-1),Projects!$B$34/Projects!$D$34,"")</f>
        <v>947368.421052632</v>
      </c>
      <c r="AT40" s="584">
        <f>IF(AND(Projects!$C$34&lt;=AT$4,AT$4&lt;=Projects!$C$34+Projects!$D$34-1),Projects!$B$34/Projects!$D$34,"")</f>
        <v>947368.421052632</v>
      </c>
      <c r="AU40" s="584">
        <f>IF(AND(Projects!$C$34&lt;=AU$4,AU$4&lt;=Projects!$C$34+Projects!$D$34-1),Projects!$B$34/Projects!$D$34,"")</f>
        <v>947368.421052632</v>
      </c>
      <c r="AV40" s="584">
        <f>IF(AND(Projects!$C$34&lt;=AV$4,AV$4&lt;=Projects!$C$34+Projects!$D$34-1),Projects!$B$34/Projects!$D$34,"")</f>
        <v>947368.421052632</v>
      </c>
      <c r="AW40" s="584">
        <f>IF(AND(Projects!$C$34&lt;=AW$4,AW$4&lt;=Projects!$C$34+Projects!$D$34-1),Projects!$B$34/Projects!$D$34,"")</f>
        <v>947368.421052632</v>
      </c>
      <c r="AX40" s="584">
        <f>IF(AND(Projects!$C$34&lt;=AX$4,AX$4&lt;=Projects!$C$34+Projects!$D$34-1),Projects!$B$34/Projects!$D$34,"")</f>
        <v>947368.421052632</v>
      </c>
      <c r="AY40" s="584">
        <f>IF(AND(Projects!$C$34&lt;=AY$4,AY$4&lt;=Projects!$C$34+Projects!$D$34-1),Projects!$B$34/Projects!$D$34,"")</f>
        <v>947368.421052632</v>
      </c>
      <c r="AZ40" s="584">
        <f>IF(AND(Projects!$C$34&lt;=AZ$4,AZ$4&lt;=Projects!$C$34+Projects!$D$34-1),Projects!$B$34/Projects!$D$34,"")</f>
        <v>947368.421052632</v>
      </c>
      <c r="BA40" s="584">
        <f>IF(AND(Projects!$C$34&lt;=BA$4,BA$4&lt;=Projects!$C$34+Projects!$D$34-1),Projects!$B$34/Projects!$D$34,"")</f>
        <v>947368.421052632</v>
      </c>
      <c r="BB40" s="584">
        <f>IF(AND(Projects!$C$34&lt;=BB$4,BB$4&lt;=Projects!$C$34+Projects!$D$34-1),Projects!$B$34/Projects!$D$34,"")</f>
        <v>947368.421052632</v>
      </c>
      <c r="BC40" s="584">
        <f>IF(AND(Projects!$C$34&lt;=BC$4,BC$4&lt;=Projects!$C$34+Projects!$D$34-1),Projects!$B$34/Projects!$D$34,"")</f>
        <v>947368.421052632</v>
      </c>
      <c r="BD40" s="584">
        <f>IF(AND(Projects!$C$34&lt;=BD$4,BD$4&lt;=Projects!$C$34+Projects!$D$34-1),Projects!$B$34/Projects!$D$34,"")</f>
        <v>947368.421052632</v>
      </c>
      <c r="BE40" s="584">
        <f>IF(AND(Projects!$C$34&lt;=BE$4,BE$4&lt;=Projects!$C$34+Projects!$D$34-1),Projects!$B$34/Projects!$D$34,"")</f>
        <v>947368.421052632</v>
      </c>
      <c r="BF40" s="584">
        <f>IF(AND(Projects!$C$34&lt;=BF$4,BF$4&lt;=Projects!$C$34+Projects!$D$34-1),Projects!$B$34/Projects!$D$34,"")</f>
        <v>947368.421052632</v>
      </c>
      <c r="BG40" s="584">
        <f>IF(AND(Projects!$C$34&lt;=BG$4,BG$4&lt;=Projects!$C$34+Projects!$D$34-1),Projects!$B$34/Projects!$D$34,"")</f>
        <v>947368.421052632</v>
      </c>
      <c r="BH40" s="584">
        <f>IF(AND(Projects!$C$34&lt;=BH$4,BH$4&lt;=Projects!$C$34+Projects!$D$34-1),Projects!$B$34/Projects!$D$34,"")</f>
        <v>947368.421052632</v>
      </c>
      <c r="BI40" s="584">
        <f>IF(AND(Projects!$C$34&lt;=BI$4,BI$4&lt;=Projects!$C$34+Projects!$D$34-1),Projects!$B$34/Projects!$D$34,"")</f>
        <v>947368.421052632</v>
      </c>
      <c r="BJ40" s="584">
        <f>IF(AND(Projects!$C$34&lt;=BJ$4,BJ$4&lt;=Projects!$C$34+Projects!$D$34-1),Projects!$B$34/Projects!$D$34,"")</f>
        <v>947368.421052632</v>
      </c>
      <c r="BK40" s="584">
        <f>IF(AND(Projects!$C$34&lt;=BK$4,BK$4&lt;=Projects!$C$34+Projects!$D$34-1),Projects!$B$34/Projects!$D$34,"")</f>
      </c>
      <c r="BL40" s="584">
        <f>IF(AND(Projects!$C$34&lt;=BL$4,BL$4&lt;=Projects!$C$34+Projects!$D$34-1),Projects!$B$34/Projects!$D$34,"")</f>
      </c>
      <c r="BM40" s="584">
        <f>IF(AND(Projects!$C$34&lt;=BM$4,BM$4&lt;=Projects!$C$34+Projects!$D$34-1),Projects!$B$34/Projects!$D$34,"")</f>
      </c>
      <c r="BN40" s="584">
        <f>IF(AND(Projects!$C$34&lt;=BN$4,BN$4&lt;=Projects!$C$34+Projects!$D$34-1),Projects!$B$34/Projects!$D$34,"")</f>
      </c>
      <c r="BO40" s="584">
        <f>IF(AND(Projects!$C$34&lt;=BO$4,BO$4&lt;=Projects!$C$34+Projects!$D$34-1),Projects!$B$34/Projects!$D$34,"")</f>
      </c>
      <c r="BP40" s="584">
        <f>IF(AND(Projects!$C$34&lt;=BP$4,BP$4&lt;=Projects!$C$34+Projects!$D$34-1),Projects!$B$34/Projects!$D$34,"")</f>
      </c>
      <c r="BQ40" s="584">
        <f>IF(AND(Projects!$C$34&lt;=BQ$4,BQ$4&lt;=Projects!$C$34+Projects!$D$34-1),Projects!$B$34/Projects!$D$34,"")</f>
      </c>
      <c r="BR40" s="584">
        <f>IF(AND(Projects!$C$34&lt;=BR$4,BR$4&lt;=Projects!$C$34+Projects!$D$34-1),Projects!$B$34/Projects!$D$34,"")</f>
      </c>
      <c r="BS40" s="584">
        <f>IF(AND(Projects!$C$34&lt;=BS$4,BS$4&lt;=Projects!$C$34+Projects!$D$34-1),Projects!$B$34/Projects!$D$34,"")</f>
      </c>
      <c r="BT40" s="584">
        <f>IF(AND(Projects!$C$34&lt;=BT$4,BT$4&lt;=Projects!$C$34+Projects!$D$34-1),Projects!$B$34/Projects!$D$34,"")</f>
      </c>
      <c r="BU40" s="584">
        <f>IF(AND(Projects!$C$34&lt;=BU$4,BU$4&lt;=Projects!$C$34+Projects!$D$34-1),Projects!$B$34/Projects!$D$34,"")</f>
      </c>
      <c r="BV40" s="584">
        <f>IF(AND(Projects!$C$34&lt;=BV$4,BV$4&lt;=Projects!$C$34+Projects!$D$34-1),Projects!$B$34/Projects!$D$34,"")</f>
      </c>
      <c r="BW40" s="584">
        <f>IF(AND(Projects!$C$34&lt;=BW$4,BW$4&lt;=Projects!$C$34+Projects!$D$34-1),Projects!$B$34/Projects!$D$34,"")</f>
      </c>
      <c r="BX40" s="584">
        <f>IF(AND(Projects!$C$34&lt;=BX$4,BX$4&lt;=Projects!$C$34+Projects!$D$34-1),Projects!$B$34/Projects!$D$34,"")</f>
      </c>
      <c r="BY40" s="584">
        <f>IF(AND(Projects!$C$34&lt;=BY$4,BY$4&lt;=Projects!$C$34+Projects!$D$34-1),Projects!$B$34/Projects!$D$34,"")</f>
      </c>
      <c r="BZ40" s="584">
        <f>IF(AND(Projects!$C$34&lt;=BZ$4,BZ$4&lt;=Projects!$C$34+Projects!$D$34-1),Projects!$B$34/Projects!$D$34,"")</f>
      </c>
      <c r="CA40" s="584">
        <f>IF(AND(Projects!$C$34&lt;=CA$4,CA$4&lt;=Projects!$C$34+Projects!$D$34-1),Projects!$B$34/Projects!$D$34,"")</f>
      </c>
      <c r="CB40" s="584">
        <f>IF(AND(Projects!$C$34&lt;=CB$4,CB$4&lt;=Projects!$C$34+Projects!$D$34-1),Projects!$B$34/Projects!$D$34,"")</f>
      </c>
      <c r="CC40" s="584">
        <f>IF(AND(Projects!$C$34&lt;=CC$4,CC$4&lt;=Projects!$C$34+Projects!$D$34-1),Projects!$B$34/Projects!$D$34,"")</f>
      </c>
      <c r="CD40" s="584">
        <f>IF(AND(Projects!$C$34&lt;=CD$4,CD$4&lt;=Projects!$C$34+Projects!$D$34-1),Projects!$B$34/Projects!$D$34,"")</f>
      </c>
      <c r="CE40" s="584">
        <f>IF(AND(Projects!$C$34&lt;=CE$4,CE$4&lt;=Projects!$C$34+Projects!$D$34-1),Projects!$B$34/Projects!$D$34,"")</f>
      </c>
      <c r="CF40" s="584">
        <f>IF(AND(Projects!$C$34&lt;=CF$4,CF$4&lt;=Projects!$C$34+Projects!$D$34-1),Projects!$B$34/Projects!$D$34,"")</f>
      </c>
      <c r="CG40" s="584">
        <f>IF(AND(Projects!$C$34&lt;=CG$4,CG$4&lt;=Projects!$C$34+Projects!$D$34-1),Projects!$B$34/Projects!$D$34,"")</f>
      </c>
      <c r="CH40" s="584">
        <f>IF(AND(Projects!$C$34&lt;=CH$4,CH$4&lt;=Projects!$C$34+Projects!$D$34-1),Projects!$B$34/Projects!$D$34,"")</f>
      </c>
      <c r="CI40" s="584">
        <f>IF(AND(Projects!$C$34&lt;=CI$4,CI$4&lt;=Projects!$C$34+Projects!$D$34-1),Projects!$B$34/Projects!$D$34,"")</f>
      </c>
      <c r="CJ40" s="584">
        <f>IF(AND(Projects!$C$34&lt;=CJ$4,CJ$4&lt;=Projects!$C$34+Projects!$D$34-1),Projects!$B$34/Projects!$D$34,"")</f>
      </c>
      <c r="CK40" s="584">
        <f>IF(AND(Projects!$C$34&lt;=CK$4,CK$4&lt;=Projects!$C$34+Projects!$D$34-1),Projects!$B$34/Projects!$D$34,"")</f>
      </c>
      <c r="CL40" s="584">
        <f>IF(AND(Projects!$C$34&lt;=CL$4,CL$4&lt;=Projects!$C$34+Projects!$D$34-1),Projects!$B$34/Projects!$D$34,"")</f>
      </c>
      <c r="CM40" s="584">
        <f>IF(AND(Projects!$C$34&lt;=CM$4,CM$4&lt;=Projects!$C$34+Projects!$D$34-1),Projects!$B$34/Projects!$D$34,"")</f>
      </c>
      <c r="CN40" s="584">
        <f>IF(AND(Projects!$C$34&lt;=CN$4,CN$4&lt;=Projects!$C$34+Projects!$D$34-1),Projects!$B$34/Projects!$D$34,"")</f>
      </c>
      <c r="CO40" s="584">
        <f>IF(AND(Projects!$C$34&lt;=CO$4,CO$4&lt;=Projects!$C$34+Projects!$D$34-1),Projects!$B$34/Projects!$D$34,"")</f>
      </c>
      <c r="CP40" s="584">
        <f>IF(AND(Projects!$C$34&lt;=CP$4,CP$4&lt;=Projects!$C$34+Projects!$D$34-1),Projects!$B$34/Projects!$D$34,"")</f>
      </c>
      <c r="CQ40" s="584">
        <f>IF(AND(Projects!$C$34&lt;=CQ$4,CQ$4&lt;=Projects!$C$34+Projects!$D$34-1),Projects!$B$34/Projects!$D$34,"")</f>
      </c>
      <c r="CR40" s="584">
        <f>IF(AND(Projects!$C$34&lt;=CR$4,CR$4&lt;=Projects!$C$34+Projects!$D$34-1),Projects!$B$34/Projects!$D$34,"")</f>
      </c>
      <c r="CS40" s="584">
        <f>IF(AND(Projects!$C$34&lt;=CS$4,CS$4&lt;=Projects!$C$34+Projects!$D$34-1),Projects!$B$34/Projects!$D$34,"")</f>
      </c>
      <c r="CT40" s="584">
        <f>IF(AND(Projects!$C$34&lt;=CT$4,CT$4&lt;=Projects!$C$34+Projects!$D$34-1),Projects!$B$34/Projects!$D$34,"")</f>
      </c>
      <c r="CU40" s="584">
        <f>IF(AND(Projects!$C$34&lt;=CU$4,CU$4&lt;=Projects!$C$34+Projects!$D$34-1),Projects!$B$34/Projects!$D$34,"")</f>
      </c>
      <c r="CV40" s="584">
        <f>IF(AND(Projects!$C$34&lt;=CV$4,CV$4&lt;=Projects!$C$34+Projects!$D$34-1),Projects!$B$34/Projects!$D$34,"")</f>
      </c>
      <c r="CW40" s="584">
        <f>IF(AND(Projects!$C$34&lt;=CW$4,CW$4&lt;=Projects!$C$34+Projects!$D$34-1),Projects!$B$34/Projects!$D$34,"")</f>
      </c>
      <c r="CX40" s="584">
        <f>IF(AND(Projects!$C$34&lt;=CX$4,CX$4&lt;=Projects!$C$34+Projects!$D$34-1),Projects!$B$34/Projects!$D$34,"")</f>
      </c>
      <c r="CY40" s="584">
        <f>IF(AND(Projects!$C$34&lt;=CY$4,CY$4&lt;=Projects!$C$34+Projects!$D$34-1),Projects!$B$34/Projects!$D$34,"")</f>
      </c>
      <c r="CZ40" s="584">
        <f>IF(AND(Projects!$C$34&lt;=CZ$4,CZ$4&lt;=Projects!$C$34+Projects!$D$34-1),Projects!$B$34/Projects!$D$34,"")</f>
      </c>
      <c r="DA40" s="584">
        <f>IF(AND(Projects!$C$34&lt;=DA$4,DA$4&lt;=Projects!$C$34+Projects!$D$34-1),Projects!$B$34/Projects!$D$34,"")</f>
      </c>
      <c r="DB40" s="584">
        <f>IF(AND(Projects!$C$34&lt;=DB$4,DB$4&lt;=Projects!$C$34+Projects!$D$34-1),Projects!$B$34/Projects!$D$34,"")</f>
      </c>
    </row>
    <row r="41" ht="15" customFormat="1" customHeight="1" s="381">
      <c r="A41" s="513" t="inlineStr">
        <is>
          <t>BD-19</t>
        </is>
      </c>
      <c r="B41" s="581">
        <f>Projects!$B$35</f>
        <v>15000000</v>
      </c>
      <c r="C41" s="582">
        <f>EDATE(Model!$E$2,Projects!$C$35-1)</f>
        <v>47270</v>
      </c>
      <c r="D41" s="582">
        <f>EDATE(Model!$E$2,Projects!$C$35+Projects!$D$35-2)</f>
        <v>47818</v>
      </c>
      <c r="E41" s="583">
        <f>Projects!$D$35</f>
        <v>19</v>
      </c>
      <c r="F41" s="581">
        <f>Projects!$B$35/Projects!$D$35</f>
        <v>789473.684210526</v>
      </c>
      <c r="G41" s="584">
        <f>IF(AND(Projects!$C$35&lt;=G$4,G$4&lt;=Projects!$C$35+Projects!$D$35-1),Projects!$B$35/Projects!$D$35,"")</f>
      </c>
      <c r="H41" s="584">
        <f>IF(AND(Projects!$C$35&lt;=H$4,H$4&lt;=Projects!$C$35+Projects!$D$35-1),Projects!$B$35/Projects!$D$35,"")</f>
      </c>
      <c r="I41" s="584">
        <f>IF(AND(Projects!$C$35&lt;=I$4,I$4&lt;=Projects!$C$35+Projects!$D$35-1),Projects!$B$35/Projects!$D$35,"")</f>
      </c>
      <c r="J41" s="584">
        <f>IF(AND(Projects!$C$35&lt;=J$4,J$4&lt;=Projects!$C$35+Projects!$D$35-1),Projects!$B$35/Projects!$D$35,"")</f>
      </c>
      <c r="K41" s="584">
        <f>IF(AND(Projects!$C$35&lt;=K$4,K$4&lt;=Projects!$C$35+Projects!$D$35-1),Projects!$B$35/Projects!$D$35,"")</f>
      </c>
      <c r="L41" s="584">
        <f>IF(AND(Projects!$C$35&lt;=L$4,L$4&lt;=Projects!$C$35+Projects!$D$35-1),Projects!$B$35/Projects!$D$35,"")</f>
      </c>
      <c r="M41" s="584">
        <f>IF(AND(Projects!$C$35&lt;=M$4,M$4&lt;=Projects!$C$35+Projects!$D$35-1),Projects!$B$35/Projects!$D$35,"")</f>
      </c>
      <c r="N41" s="584">
        <f>IF(AND(Projects!$C$35&lt;=N$4,N$4&lt;=Projects!$C$35+Projects!$D$35-1),Projects!$B$35/Projects!$D$35,"")</f>
      </c>
      <c r="O41" s="584">
        <f>IF(AND(Projects!$C$35&lt;=O$4,O$4&lt;=Projects!$C$35+Projects!$D$35-1),Projects!$B$35/Projects!$D$35,"")</f>
      </c>
      <c r="P41" s="584">
        <f>IF(AND(Projects!$C$35&lt;=P$4,P$4&lt;=Projects!$C$35+Projects!$D$35-1),Projects!$B$35/Projects!$D$35,"")</f>
      </c>
      <c r="Q41" s="584">
        <f>IF(AND(Projects!$C$35&lt;=Q$4,Q$4&lt;=Projects!$C$35+Projects!$D$35-1),Projects!$B$35/Projects!$D$35,"")</f>
      </c>
      <c r="R41" s="584">
        <f>IF(AND(Projects!$C$35&lt;=R$4,R$4&lt;=Projects!$C$35+Projects!$D$35-1),Projects!$B$35/Projects!$D$35,"")</f>
      </c>
      <c r="S41" s="584">
        <f>IF(AND(Projects!$C$35&lt;=S$4,S$4&lt;=Projects!$C$35+Projects!$D$35-1),Projects!$B$35/Projects!$D$35,"")</f>
      </c>
      <c r="T41" s="584">
        <f>IF(AND(Projects!$C$35&lt;=T$4,T$4&lt;=Projects!$C$35+Projects!$D$35-1),Projects!$B$35/Projects!$D$35,"")</f>
      </c>
      <c r="U41" s="584">
        <f>IF(AND(Projects!$C$35&lt;=U$4,U$4&lt;=Projects!$C$35+Projects!$D$35-1),Projects!$B$35/Projects!$D$35,"")</f>
      </c>
      <c r="V41" s="584">
        <f>IF(AND(Projects!$C$35&lt;=V$4,V$4&lt;=Projects!$C$35+Projects!$D$35-1),Projects!$B$35/Projects!$D$35,"")</f>
      </c>
      <c r="W41" s="584">
        <f>IF(AND(Projects!$C$35&lt;=W$4,W$4&lt;=Projects!$C$35+Projects!$D$35-1),Projects!$B$35/Projects!$D$35,"")</f>
      </c>
      <c r="X41" s="584">
        <f>IF(AND(Projects!$C$35&lt;=X$4,X$4&lt;=Projects!$C$35+Projects!$D$35-1),Projects!$B$35/Projects!$D$35,"")</f>
      </c>
      <c r="Y41" s="584">
        <f>IF(AND(Projects!$C$35&lt;=Y$4,Y$4&lt;=Projects!$C$35+Projects!$D$35-1),Projects!$B$35/Projects!$D$35,"")</f>
      </c>
      <c r="Z41" s="584">
        <f>IF(AND(Projects!$C$35&lt;=Z$4,Z$4&lt;=Projects!$C$35+Projects!$D$35-1),Projects!$B$35/Projects!$D$35,"")</f>
      </c>
      <c r="AA41" s="584">
        <f>IF(AND(Projects!$C$35&lt;=AA$4,AA$4&lt;=Projects!$C$35+Projects!$D$35-1),Projects!$B$35/Projects!$D$35,"")</f>
      </c>
      <c r="AB41" s="584">
        <f>IF(AND(Projects!$C$35&lt;=AB$4,AB$4&lt;=Projects!$C$35+Projects!$D$35-1),Projects!$B$35/Projects!$D$35,"")</f>
      </c>
      <c r="AC41" s="584">
        <f>IF(AND(Projects!$C$35&lt;=AC$4,AC$4&lt;=Projects!$C$35+Projects!$D$35-1),Projects!$B$35/Projects!$D$35,"")</f>
      </c>
      <c r="AD41" s="584">
        <f>IF(AND(Projects!$C$35&lt;=AD$4,AD$4&lt;=Projects!$C$35+Projects!$D$35-1),Projects!$B$35/Projects!$D$35,"")</f>
      </c>
      <c r="AE41" s="584">
        <f>IF(AND(Projects!$C$35&lt;=AE$4,AE$4&lt;=Projects!$C$35+Projects!$D$35-1),Projects!$B$35/Projects!$D$35,"")</f>
      </c>
      <c r="AF41" s="584">
        <f>IF(AND(Projects!$C$35&lt;=AF$4,AF$4&lt;=Projects!$C$35+Projects!$D$35-1),Projects!$B$35/Projects!$D$35,"")</f>
      </c>
      <c r="AG41" s="584">
        <f>IF(AND(Projects!$C$35&lt;=AG$4,AG$4&lt;=Projects!$C$35+Projects!$D$35-1),Projects!$B$35/Projects!$D$35,"")</f>
      </c>
      <c r="AH41" s="584">
        <f>IF(AND(Projects!$C$35&lt;=AH$4,AH$4&lt;=Projects!$C$35+Projects!$D$35-1),Projects!$B$35/Projects!$D$35,"")</f>
      </c>
      <c r="AI41" s="584">
        <f>IF(AND(Projects!$C$35&lt;=AI$4,AI$4&lt;=Projects!$C$35+Projects!$D$35-1),Projects!$B$35/Projects!$D$35,"")</f>
      </c>
      <c r="AJ41" s="584">
        <f>IF(AND(Projects!$C$35&lt;=AJ$4,AJ$4&lt;=Projects!$C$35+Projects!$D$35-1),Projects!$B$35/Projects!$D$35,"")</f>
      </c>
      <c r="AK41" s="584">
        <f>IF(AND(Projects!$C$35&lt;=AK$4,AK$4&lt;=Projects!$C$35+Projects!$D$35-1),Projects!$B$35/Projects!$D$35,"")</f>
      </c>
      <c r="AL41" s="584">
        <f>IF(AND(Projects!$C$35&lt;=AL$4,AL$4&lt;=Projects!$C$35+Projects!$D$35-1),Projects!$B$35/Projects!$D$35,"")</f>
      </c>
      <c r="AM41" s="584">
        <f>IF(AND(Projects!$C$35&lt;=AM$4,AM$4&lt;=Projects!$C$35+Projects!$D$35-1),Projects!$B$35/Projects!$D$35,"")</f>
      </c>
      <c r="AN41" s="584">
        <f>IF(AND(Projects!$C$35&lt;=AN$4,AN$4&lt;=Projects!$C$35+Projects!$D$35-1),Projects!$B$35/Projects!$D$35,"")</f>
      </c>
      <c r="AO41" s="584">
        <f>IF(AND(Projects!$C$35&lt;=AO$4,AO$4&lt;=Projects!$C$35+Projects!$D$35-1),Projects!$B$35/Projects!$D$35,"")</f>
      </c>
      <c r="AP41" s="584">
        <f>IF(AND(Projects!$C$35&lt;=AP$4,AP$4&lt;=Projects!$C$35+Projects!$D$35-1),Projects!$B$35/Projects!$D$35,"")</f>
      </c>
      <c r="AQ41" s="584">
        <f>IF(AND(Projects!$C$35&lt;=AQ$4,AQ$4&lt;=Projects!$C$35+Projects!$D$35-1),Projects!$B$35/Projects!$D$35,"")</f>
      </c>
      <c r="AR41" s="584">
        <f>IF(AND(Projects!$C$35&lt;=AR$4,AR$4&lt;=Projects!$C$35+Projects!$D$35-1),Projects!$B$35/Projects!$D$35,"")</f>
      </c>
      <c r="AS41" s="584">
        <f>IF(AND(Projects!$C$35&lt;=AS$4,AS$4&lt;=Projects!$C$35+Projects!$D$35-1),Projects!$B$35/Projects!$D$35,"")</f>
        <v>789473.684210526</v>
      </c>
      <c r="AT41" s="584">
        <f>IF(AND(Projects!$C$35&lt;=AT$4,AT$4&lt;=Projects!$C$35+Projects!$D$35-1),Projects!$B$35/Projects!$D$35,"")</f>
        <v>789473.684210526</v>
      </c>
      <c r="AU41" s="584">
        <f>IF(AND(Projects!$C$35&lt;=AU$4,AU$4&lt;=Projects!$C$35+Projects!$D$35-1),Projects!$B$35/Projects!$D$35,"")</f>
        <v>789473.684210526</v>
      </c>
      <c r="AV41" s="584">
        <f>IF(AND(Projects!$C$35&lt;=AV$4,AV$4&lt;=Projects!$C$35+Projects!$D$35-1),Projects!$B$35/Projects!$D$35,"")</f>
        <v>789473.684210526</v>
      </c>
      <c r="AW41" s="584">
        <f>IF(AND(Projects!$C$35&lt;=AW$4,AW$4&lt;=Projects!$C$35+Projects!$D$35-1),Projects!$B$35/Projects!$D$35,"")</f>
        <v>789473.684210526</v>
      </c>
      <c r="AX41" s="584">
        <f>IF(AND(Projects!$C$35&lt;=AX$4,AX$4&lt;=Projects!$C$35+Projects!$D$35-1),Projects!$B$35/Projects!$D$35,"")</f>
        <v>789473.684210526</v>
      </c>
      <c r="AY41" s="584">
        <f>IF(AND(Projects!$C$35&lt;=AY$4,AY$4&lt;=Projects!$C$35+Projects!$D$35-1),Projects!$B$35/Projects!$D$35,"")</f>
        <v>789473.684210526</v>
      </c>
      <c r="AZ41" s="584">
        <f>IF(AND(Projects!$C$35&lt;=AZ$4,AZ$4&lt;=Projects!$C$35+Projects!$D$35-1),Projects!$B$35/Projects!$D$35,"")</f>
        <v>789473.684210526</v>
      </c>
      <c r="BA41" s="584">
        <f>IF(AND(Projects!$C$35&lt;=BA$4,BA$4&lt;=Projects!$C$35+Projects!$D$35-1),Projects!$B$35/Projects!$D$35,"")</f>
        <v>789473.684210526</v>
      </c>
      <c r="BB41" s="584">
        <f>IF(AND(Projects!$C$35&lt;=BB$4,BB$4&lt;=Projects!$C$35+Projects!$D$35-1),Projects!$B$35/Projects!$D$35,"")</f>
        <v>789473.684210526</v>
      </c>
      <c r="BC41" s="584">
        <f>IF(AND(Projects!$C$35&lt;=BC$4,BC$4&lt;=Projects!$C$35+Projects!$D$35-1),Projects!$B$35/Projects!$D$35,"")</f>
        <v>789473.684210526</v>
      </c>
      <c r="BD41" s="584">
        <f>IF(AND(Projects!$C$35&lt;=BD$4,BD$4&lt;=Projects!$C$35+Projects!$D$35-1),Projects!$B$35/Projects!$D$35,"")</f>
        <v>789473.684210526</v>
      </c>
      <c r="BE41" s="584">
        <f>IF(AND(Projects!$C$35&lt;=BE$4,BE$4&lt;=Projects!$C$35+Projects!$D$35-1),Projects!$B$35/Projects!$D$35,"")</f>
        <v>789473.684210526</v>
      </c>
      <c r="BF41" s="584">
        <f>IF(AND(Projects!$C$35&lt;=BF$4,BF$4&lt;=Projects!$C$35+Projects!$D$35-1),Projects!$B$35/Projects!$D$35,"")</f>
        <v>789473.684210526</v>
      </c>
      <c r="BG41" s="584">
        <f>IF(AND(Projects!$C$35&lt;=BG$4,BG$4&lt;=Projects!$C$35+Projects!$D$35-1),Projects!$B$35/Projects!$D$35,"")</f>
        <v>789473.684210526</v>
      </c>
      <c r="BH41" s="584">
        <f>IF(AND(Projects!$C$35&lt;=BH$4,BH$4&lt;=Projects!$C$35+Projects!$D$35-1),Projects!$B$35/Projects!$D$35,"")</f>
        <v>789473.684210526</v>
      </c>
      <c r="BI41" s="584">
        <f>IF(AND(Projects!$C$35&lt;=BI$4,BI$4&lt;=Projects!$C$35+Projects!$D$35-1),Projects!$B$35/Projects!$D$35,"")</f>
        <v>789473.684210526</v>
      </c>
      <c r="BJ41" s="584">
        <f>IF(AND(Projects!$C$35&lt;=BJ$4,BJ$4&lt;=Projects!$C$35+Projects!$D$35-1),Projects!$B$35/Projects!$D$35,"")</f>
        <v>789473.684210526</v>
      </c>
      <c r="BK41" s="584">
        <f>IF(AND(Projects!$C$35&lt;=BK$4,BK$4&lt;=Projects!$C$35+Projects!$D$35-1),Projects!$B$35/Projects!$D$35,"")</f>
        <v>789473.684210526</v>
      </c>
      <c r="BL41" s="584">
        <f>IF(AND(Projects!$C$35&lt;=BL$4,BL$4&lt;=Projects!$C$35+Projects!$D$35-1),Projects!$B$35/Projects!$D$35,"")</f>
      </c>
      <c r="BM41" s="584">
        <f>IF(AND(Projects!$C$35&lt;=BM$4,BM$4&lt;=Projects!$C$35+Projects!$D$35-1),Projects!$B$35/Projects!$D$35,"")</f>
      </c>
      <c r="BN41" s="584">
        <f>IF(AND(Projects!$C$35&lt;=BN$4,BN$4&lt;=Projects!$C$35+Projects!$D$35-1),Projects!$B$35/Projects!$D$35,"")</f>
      </c>
      <c r="BO41" s="584">
        <f>IF(AND(Projects!$C$35&lt;=BO$4,BO$4&lt;=Projects!$C$35+Projects!$D$35-1),Projects!$B$35/Projects!$D$35,"")</f>
      </c>
      <c r="BP41" s="584">
        <f>IF(AND(Projects!$C$35&lt;=BP$4,BP$4&lt;=Projects!$C$35+Projects!$D$35-1),Projects!$B$35/Projects!$D$35,"")</f>
      </c>
      <c r="BQ41" s="584">
        <f>IF(AND(Projects!$C$35&lt;=BQ$4,BQ$4&lt;=Projects!$C$35+Projects!$D$35-1),Projects!$B$35/Projects!$D$35,"")</f>
      </c>
      <c r="BR41" s="584">
        <f>IF(AND(Projects!$C$35&lt;=BR$4,BR$4&lt;=Projects!$C$35+Projects!$D$35-1),Projects!$B$35/Projects!$D$35,"")</f>
      </c>
      <c r="BS41" s="584">
        <f>IF(AND(Projects!$C$35&lt;=BS$4,BS$4&lt;=Projects!$C$35+Projects!$D$35-1),Projects!$B$35/Projects!$D$35,"")</f>
      </c>
      <c r="BT41" s="584">
        <f>IF(AND(Projects!$C$35&lt;=BT$4,BT$4&lt;=Projects!$C$35+Projects!$D$35-1),Projects!$B$35/Projects!$D$35,"")</f>
      </c>
      <c r="BU41" s="584">
        <f>IF(AND(Projects!$C$35&lt;=BU$4,BU$4&lt;=Projects!$C$35+Projects!$D$35-1),Projects!$B$35/Projects!$D$35,"")</f>
      </c>
      <c r="BV41" s="584">
        <f>IF(AND(Projects!$C$35&lt;=BV$4,BV$4&lt;=Projects!$C$35+Projects!$D$35-1),Projects!$B$35/Projects!$D$35,"")</f>
      </c>
      <c r="BW41" s="584">
        <f>IF(AND(Projects!$C$35&lt;=BW$4,BW$4&lt;=Projects!$C$35+Projects!$D$35-1),Projects!$B$35/Projects!$D$35,"")</f>
      </c>
      <c r="BX41" s="584">
        <f>IF(AND(Projects!$C$35&lt;=BX$4,BX$4&lt;=Projects!$C$35+Projects!$D$35-1),Projects!$B$35/Projects!$D$35,"")</f>
      </c>
      <c r="BY41" s="584">
        <f>IF(AND(Projects!$C$35&lt;=BY$4,BY$4&lt;=Projects!$C$35+Projects!$D$35-1),Projects!$B$35/Projects!$D$35,"")</f>
      </c>
      <c r="BZ41" s="584">
        <f>IF(AND(Projects!$C$35&lt;=BZ$4,BZ$4&lt;=Projects!$C$35+Projects!$D$35-1),Projects!$B$35/Projects!$D$35,"")</f>
      </c>
      <c r="CA41" s="584">
        <f>IF(AND(Projects!$C$35&lt;=CA$4,CA$4&lt;=Projects!$C$35+Projects!$D$35-1),Projects!$B$35/Projects!$D$35,"")</f>
      </c>
      <c r="CB41" s="584">
        <f>IF(AND(Projects!$C$35&lt;=CB$4,CB$4&lt;=Projects!$C$35+Projects!$D$35-1),Projects!$B$35/Projects!$D$35,"")</f>
      </c>
      <c r="CC41" s="584">
        <f>IF(AND(Projects!$C$35&lt;=CC$4,CC$4&lt;=Projects!$C$35+Projects!$D$35-1),Projects!$B$35/Projects!$D$35,"")</f>
      </c>
      <c r="CD41" s="584">
        <f>IF(AND(Projects!$C$35&lt;=CD$4,CD$4&lt;=Projects!$C$35+Projects!$D$35-1),Projects!$B$35/Projects!$D$35,"")</f>
      </c>
      <c r="CE41" s="584">
        <f>IF(AND(Projects!$C$35&lt;=CE$4,CE$4&lt;=Projects!$C$35+Projects!$D$35-1),Projects!$B$35/Projects!$D$35,"")</f>
      </c>
      <c r="CF41" s="584">
        <f>IF(AND(Projects!$C$35&lt;=CF$4,CF$4&lt;=Projects!$C$35+Projects!$D$35-1),Projects!$B$35/Projects!$D$35,"")</f>
      </c>
      <c r="CG41" s="584">
        <f>IF(AND(Projects!$C$35&lt;=CG$4,CG$4&lt;=Projects!$C$35+Projects!$D$35-1),Projects!$B$35/Projects!$D$35,"")</f>
      </c>
      <c r="CH41" s="584">
        <f>IF(AND(Projects!$C$35&lt;=CH$4,CH$4&lt;=Projects!$C$35+Projects!$D$35-1),Projects!$B$35/Projects!$D$35,"")</f>
      </c>
      <c r="CI41" s="584">
        <f>IF(AND(Projects!$C$35&lt;=CI$4,CI$4&lt;=Projects!$C$35+Projects!$D$35-1),Projects!$B$35/Projects!$D$35,"")</f>
      </c>
      <c r="CJ41" s="584">
        <f>IF(AND(Projects!$C$35&lt;=CJ$4,CJ$4&lt;=Projects!$C$35+Projects!$D$35-1),Projects!$B$35/Projects!$D$35,"")</f>
      </c>
      <c r="CK41" s="584">
        <f>IF(AND(Projects!$C$35&lt;=CK$4,CK$4&lt;=Projects!$C$35+Projects!$D$35-1),Projects!$B$35/Projects!$D$35,"")</f>
      </c>
      <c r="CL41" s="584">
        <f>IF(AND(Projects!$C$35&lt;=CL$4,CL$4&lt;=Projects!$C$35+Projects!$D$35-1),Projects!$B$35/Projects!$D$35,"")</f>
      </c>
      <c r="CM41" s="584">
        <f>IF(AND(Projects!$C$35&lt;=CM$4,CM$4&lt;=Projects!$C$35+Projects!$D$35-1),Projects!$B$35/Projects!$D$35,"")</f>
      </c>
      <c r="CN41" s="584">
        <f>IF(AND(Projects!$C$35&lt;=CN$4,CN$4&lt;=Projects!$C$35+Projects!$D$35-1),Projects!$B$35/Projects!$D$35,"")</f>
      </c>
      <c r="CO41" s="584">
        <f>IF(AND(Projects!$C$35&lt;=CO$4,CO$4&lt;=Projects!$C$35+Projects!$D$35-1),Projects!$B$35/Projects!$D$35,"")</f>
      </c>
      <c r="CP41" s="584">
        <f>IF(AND(Projects!$C$35&lt;=CP$4,CP$4&lt;=Projects!$C$35+Projects!$D$35-1),Projects!$B$35/Projects!$D$35,"")</f>
      </c>
      <c r="CQ41" s="584">
        <f>IF(AND(Projects!$C$35&lt;=CQ$4,CQ$4&lt;=Projects!$C$35+Projects!$D$35-1),Projects!$B$35/Projects!$D$35,"")</f>
      </c>
      <c r="CR41" s="584">
        <f>IF(AND(Projects!$C$35&lt;=CR$4,CR$4&lt;=Projects!$C$35+Projects!$D$35-1),Projects!$B$35/Projects!$D$35,"")</f>
      </c>
      <c r="CS41" s="584">
        <f>IF(AND(Projects!$C$35&lt;=CS$4,CS$4&lt;=Projects!$C$35+Projects!$D$35-1),Projects!$B$35/Projects!$D$35,"")</f>
      </c>
      <c r="CT41" s="584">
        <f>IF(AND(Projects!$C$35&lt;=CT$4,CT$4&lt;=Projects!$C$35+Projects!$D$35-1),Projects!$B$35/Projects!$D$35,"")</f>
      </c>
      <c r="CU41" s="584">
        <f>IF(AND(Projects!$C$35&lt;=CU$4,CU$4&lt;=Projects!$C$35+Projects!$D$35-1),Projects!$B$35/Projects!$D$35,"")</f>
      </c>
      <c r="CV41" s="584">
        <f>IF(AND(Projects!$C$35&lt;=CV$4,CV$4&lt;=Projects!$C$35+Projects!$D$35-1),Projects!$B$35/Projects!$D$35,"")</f>
      </c>
      <c r="CW41" s="584">
        <f>IF(AND(Projects!$C$35&lt;=CW$4,CW$4&lt;=Projects!$C$35+Projects!$D$35-1),Projects!$B$35/Projects!$D$35,"")</f>
      </c>
      <c r="CX41" s="584">
        <f>IF(AND(Projects!$C$35&lt;=CX$4,CX$4&lt;=Projects!$C$35+Projects!$D$35-1),Projects!$B$35/Projects!$D$35,"")</f>
      </c>
      <c r="CY41" s="584">
        <f>IF(AND(Projects!$C$35&lt;=CY$4,CY$4&lt;=Projects!$C$35+Projects!$D$35-1),Projects!$B$35/Projects!$D$35,"")</f>
      </c>
      <c r="CZ41" s="584">
        <f>IF(AND(Projects!$C$35&lt;=CZ$4,CZ$4&lt;=Projects!$C$35+Projects!$D$35-1),Projects!$B$35/Projects!$D$35,"")</f>
      </c>
      <c r="DA41" s="584">
        <f>IF(AND(Projects!$C$35&lt;=DA$4,DA$4&lt;=Projects!$C$35+Projects!$D$35-1),Projects!$B$35/Projects!$D$35,"")</f>
      </c>
      <c r="DB41" s="584">
        <f>IF(AND(Projects!$C$35&lt;=DB$4,DB$4&lt;=Projects!$C$35+Projects!$D$35-1),Projects!$B$35/Projects!$D$35,"")</f>
      </c>
    </row>
    <row r="42" ht="15" customFormat="1" customHeight="1" s="381">
      <c r="A42" s="513" t="inlineStr">
        <is>
          <t>BD-20</t>
        </is>
      </c>
      <c r="B42" s="581">
        <f>Projects!$B$36</f>
        <v>18000000</v>
      </c>
      <c r="C42" s="582">
        <f>EDATE(Model!$E$2,Projects!$C$36-1)</f>
        <v>47392</v>
      </c>
      <c r="D42" s="582">
        <f>EDATE(Model!$E$2,Projects!$C$36+Projects!$D$36-2)</f>
        <v>47939</v>
      </c>
      <c r="E42" s="583">
        <f>Projects!$D$36</f>
        <v>19</v>
      </c>
      <c r="F42" s="581">
        <f>Projects!$B$36/Projects!$D$36</f>
        <v>947368.421052632</v>
      </c>
      <c r="G42" s="584">
        <f>IF(AND(Projects!$C$36&lt;=G$4,G$4&lt;=Projects!$C$36+Projects!$D$36-1),Projects!$B$36/Projects!$D$36,"")</f>
      </c>
      <c r="H42" s="584">
        <f>IF(AND(Projects!$C$36&lt;=H$4,H$4&lt;=Projects!$C$36+Projects!$D$36-1),Projects!$B$36/Projects!$D$36,"")</f>
      </c>
      <c r="I42" s="584">
        <f>IF(AND(Projects!$C$36&lt;=I$4,I$4&lt;=Projects!$C$36+Projects!$D$36-1),Projects!$B$36/Projects!$D$36,"")</f>
      </c>
      <c r="J42" s="584">
        <f>IF(AND(Projects!$C$36&lt;=J$4,J$4&lt;=Projects!$C$36+Projects!$D$36-1),Projects!$B$36/Projects!$D$36,"")</f>
      </c>
      <c r="K42" s="584">
        <f>IF(AND(Projects!$C$36&lt;=K$4,K$4&lt;=Projects!$C$36+Projects!$D$36-1),Projects!$B$36/Projects!$D$36,"")</f>
      </c>
      <c r="L42" s="584">
        <f>IF(AND(Projects!$C$36&lt;=L$4,L$4&lt;=Projects!$C$36+Projects!$D$36-1),Projects!$B$36/Projects!$D$36,"")</f>
      </c>
      <c r="M42" s="584">
        <f>IF(AND(Projects!$C$36&lt;=M$4,M$4&lt;=Projects!$C$36+Projects!$D$36-1),Projects!$B$36/Projects!$D$36,"")</f>
      </c>
      <c r="N42" s="584">
        <f>IF(AND(Projects!$C$36&lt;=N$4,N$4&lt;=Projects!$C$36+Projects!$D$36-1),Projects!$B$36/Projects!$D$36,"")</f>
      </c>
      <c r="O42" s="584">
        <f>IF(AND(Projects!$C$36&lt;=O$4,O$4&lt;=Projects!$C$36+Projects!$D$36-1),Projects!$B$36/Projects!$D$36,"")</f>
      </c>
      <c r="P42" s="584">
        <f>IF(AND(Projects!$C$36&lt;=P$4,P$4&lt;=Projects!$C$36+Projects!$D$36-1),Projects!$B$36/Projects!$D$36,"")</f>
      </c>
      <c r="Q42" s="584">
        <f>IF(AND(Projects!$C$36&lt;=Q$4,Q$4&lt;=Projects!$C$36+Projects!$D$36-1),Projects!$B$36/Projects!$D$36,"")</f>
      </c>
      <c r="R42" s="584">
        <f>IF(AND(Projects!$C$36&lt;=R$4,R$4&lt;=Projects!$C$36+Projects!$D$36-1),Projects!$B$36/Projects!$D$36,"")</f>
      </c>
      <c r="S42" s="584">
        <f>IF(AND(Projects!$C$36&lt;=S$4,S$4&lt;=Projects!$C$36+Projects!$D$36-1),Projects!$B$36/Projects!$D$36,"")</f>
      </c>
      <c r="T42" s="584">
        <f>IF(AND(Projects!$C$36&lt;=T$4,T$4&lt;=Projects!$C$36+Projects!$D$36-1),Projects!$B$36/Projects!$D$36,"")</f>
      </c>
      <c r="U42" s="584">
        <f>IF(AND(Projects!$C$36&lt;=U$4,U$4&lt;=Projects!$C$36+Projects!$D$36-1),Projects!$B$36/Projects!$D$36,"")</f>
      </c>
      <c r="V42" s="584">
        <f>IF(AND(Projects!$C$36&lt;=V$4,V$4&lt;=Projects!$C$36+Projects!$D$36-1),Projects!$B$36/Projects!$D$36,"")</f>
      </c>
      <c r="W42" s="584">
        <f>IF(AND(Projects!$C$36&lt;=W$4,W$4&lt;=Projects!$C$36+Projects!$D$36-1),Projects!$B$36/Projects!$D$36,"")</f>
      </c>
      <c r="X42" s="584">
        <f>IF(AND(Projects!$C$36&lt;=X$4,X$4&lt;=Projects!$C$36+Projects!$D$36-1),Projects!$B$36/Projects!$D$36,"")</f>
      </c>
      <c r="Y42" s="584">
        <f>IF(AND(Projects!$C$36&lt;=Y$4,Y$4&lt;=Projects!$C$36+Projects!$D$36-1),Projects!$B$36/Projects!$D$36,"")</f>
      </c>
      <c r="Z42" s="584">
        <f>IF(AND(Projects!$C$36&lt;=Z$4,Z$4&lt;=Projects!$C$36+Projects!$D$36-1),Projects!$B$36/Projects!$D$36,"")</f>
      </c>
      <c r="AA42" s="584">
        <f>IF(AND(Projects!$C$36&lt;=AA$4,AA$4&lt;=Projects!$C$36+Projects!$D$36-1),Projects!$B$36/Projects!$D$36,"")</f>
      </c>
      <c r="AB42" s="584">
        <f>IF(AND(Projects!$C$36&lt;=AB$4,AB$4&lt;=Projects!$C$36+Projects!$D$36-1),Projects!$B$36/Projects!$D$36,"")</f>
      </c>
      <c r="AC42" s="584">
        <f>IF(AND(Projects!$C$36&lt;=AC$4,AC$4&lt;=Projects!$C$36+Projects!$D$36-1),Projects!$B$36/Projects!$D$36,"")</f>
      </c>
      <c r="AD42" s="584">
        <f>IF(AND(Projects!$C$36&lt;=AD$4,AD$4&lt;=Projects!$C$36+Projects!$D$36-1),Projects!$B$36/Projects!$D$36,"")</f>
      </c>
      <c r="AE42" s="584">
        <f>IF(AND(Projects!$C$36&lt;=AE$4,AE$4&lt;=Projects!$C$36+Projects!$D$36-1),Projects!$B$36/Projects!$D$36,"")</f>
      </c>
      <c r="AF42" s="584">
        <f>IF(AND(Projects!$C$36&lt;=AF$4,AF$4&lt;=Projects!$C$36+Projects!$D$36-1),Projects!$B$36/Projects!$D$36,"")</f>
      </c>
      <c r="AG42" s="584">
        <f>IF(AND(Projects!$C$36&lt;=AG$4,AG$4&lt;=Projects!$C$36+Projects!$D$36-1),Projects!$B$36/Projects!$D$36,"")</f>
      </c>
      <c r="AH42" s="584">
        <f>IF(AND(Projects!$C$36&lt;=AH$4,AH$4&lt;=Projects!$C$36+Projects!$D$36-1),Projects!$B$36/Projects!$D$36,"")</f>
      </c>
      <c r="AI42" s="584">
        <f>IF(AND(Projects!$C$36&lt;=AI$4,AI$4&lt;=Projects!$C$36+Projects!$D$36-1),Projects!$B$36/Projects!$D$36,"")</f>
      </c>
      <c r="AJ42" s="584">
        <f>IF(AND(Projects!$C$36&lt;=AJ$4,AJ$4&lt;=Projects!$C$36+Projects!$D$36-1),Projects!$B$36/Projects!$D$36,"")</f>
      </c>
      <c r="AK42" s="584">
        <f>IF(AND(Projects!$C$36&lt;=AK$4,AK$4&lt;=Projects!$C$36+Projects!$D$36-1),Projects!$B$36/Projects!$D$36,"")</f>
      </c>
      <c r="AL42" s="584">
        <f>IF(AND(Projects!$C$36&lt;=AL$4,AL$4&lt;=Projects!$C$36+Projects!$D$36-1),Projects!$B$36/Projects!$D$36,"")</f>
      </c>
      <c r="AM42" s="584">
        <f>IF(AND(Projects!$C$36&lt;=AM$4,AM$4&lt;=Projects!$C$36+Projects!$D$36-1),Projects!$B$36/Projects!$D$36,"")</f>
      </c>
      <c r="AN42" s="584">
        <f>IF(AND(Projects!$C$36&lt;=AN$4,AN$4&lt;=Projects!$C$36+Projects!$D$36-1),Projects!$B$36/Projects!$D$36,"")</f>
      </c>
      <c r="AO42" s="584">
        <f>IF(AND(Projects!$C$36&lt;=AO$4,AO$4&lt;=Projects!$C$36+Projects!$D$36-1),Projects!$B$36/Projects!$D$36,"")</f>
      </c>
      <c r="AP42" s="584">
        <f>IF(AND(Projects!$C$36&lt;=AP$4,AP$4&lt;=Projects!$C$36+Projects!$D$36-1),Projects!$B$36/Projects!$D$36,"")</f>
      </c>
      <c r="AQ42" s="584">
        <f>IF(AND(Projects!$C$36&lt;=AQ$4,AQ$4&lt;=Projects!$C$36+Projects!$D$36-1),Projects!$B$36/Projects!$D$36,"")</f>
      </c>
      <c r="AR42" s="584">
        <f>IF(AND(Projects!$C$36&lt;=AR$4,AR$4&lt;=Projects!$C$36+Projects!$D$36-1),Projects!$B$36/Projects!$D$36,"")</f>
      </c>
      <c r="AS42" s="584">
        <f>IF(AND(Projects!$C$36&lt;=AS$4,AS$4&lt;=Projects!$C$36+Projects!$D$36-1),Projects!$B$36/Projects!$D$36,"")</f>
      </c>
      <c r="AT42" s="584">
        <f>IF(AND(Projects!$C$36&lt;=AT$4,AT$4&lt;=Projects!$C$36+Projects!$D$36-1),Projects!$B$36/Projects!$D$36,"")</f>
      </c>
      <c r="AU42" s="584">
        <f>IF(AND(Projects!$C$36&lt;=AU$4,AU$4&lt;=Projects!$C$36+Projects!$D$36-1),Projects!$B$36/Projects!$D$36,"")</f>
      </c>
      <c r="AV42" s="584">
        <f>IF(AND(Projects!$C$36&lt;=AV$4,AV$4&lt;=Projects!$C$36+Projects!$D$36-1),Projects!$B$36/Projects!$D$36,"")</f>
      </c>
      <c r="AW42" s="584">
        <f>IF(AND(Projects!$C$36&lt;=AW$4,AW$4&lt;=Projects!$C$36+Projects!$D$36-1),Projects!$B$36/Projects!$D$36,"")</f>
        <v>947368.421052632</v>
      </c>
      <c r="AX42" s="584">
        <f>IF(AND(Projects!$C$36&lt;=AX$4,AX$4&lt;=Projects!$C$36+Projects!$D$36-1),Projects!$B$36/Projects!$D$36,"")</f>
        <v>947368.421052632</v>
      </c>
      <c r="AY42" s="584">
        <f>IF(AND(Projects!$C$36&lt;=AY$4,AY$4&lt;=Projects!$C$36+Projects!$D$36-1),Projects!$B$36/Projects!$D$36,"")</f>
        <v>947368.421052632</v>
      </c>
      <c r="AZ42" s="584">
        <f>IF(AND(Projects!$C$36&lt;=AZ$4,AZ$4&lt;=Projects!$C$36+Projects!$D$36-1),Projects!$B$36/Projects!$D$36,"")</f>
        <v>947368.421052632</v>
      </c>
      <c r="BA42" s="584">
        <f>IF(AND(Projects!$C$36&lt;=BA$4,BA$4&lt;=Projects!$C$36+Projects!$D$36-1),Projects!$B$36/Projects!$D$36,"")</f>
        <v>947368.421052632</v>
      </c>
      <c r="BB42" s="584">
        <f>IF(AND(Projects!$C$36&lt;=BB$4,BB$4&lt;=Projects!$C$36+Projects!$D$36-1),Projects!$B$36/Projects!$D$36,"")</f>
        <v>947368.421052632</v>
      </c>
      <c r="BC42" s="584">
        <f>IF(AND(Projects!$C$36&lt;=BC$4,BC$4&lt;=Projects!$C$36+Projects!$D$36-1),Projects!$B$36/Projects!$D$36,"")</f>
        <v>947368.421052632</v>
      </c>
      <c r="BD42" s="584">
        <f>IF(AND(Projects!$C$36&lt;=BD$4,BD$4&lt;=Projects!$C$36+Projects!$D$36-1),Projects!$B$36/Projects!$D$36,"")</f>
        <v>947368.421052632</v>
      </c>
      <c r="BE42" s="584">
        <f>IF(AND(Projects!$C$36&lt;=BE$4,BE$4&lt;=Projects!$C$36+Projects!$D$36-1),Projects!$B$36/Projects!$D$36,"")</f>
        <v>947368.421052632</v>
      </c>
      <c r="BF42" s="584">
        <f>IF(AND(Projects!$C$36&lt;=BF$4,BF$4&lt;=Projects!$C$36+Projects!$D$36-1),Projects!$B$36/Projects!$D$36,"")</f>
        <v>947368.421052632</v>
      </c>
      <c r="BG42" s="584">
        <f>IF(AND(Projects!$C$36&lt;=BG$4,BG$4&lt;=Projects!$C$36+Projects!$D$36-1),Projects!$B$36/Projects!$D$36,"")</f>
        <v>947368.421052632</v>
      </c>
      <c r="BH42" s="584">
        <f>IF(AND(Projects!$C$36&lt;=BH$4,BH$4&lt;=Projects!$C$36+Projects!$D$36-1),Projects!$B$36/Projects!$D$36,"")</f>
        <v>947368.421052632</v>
      </c>
      <c r="BI42" s="584">
        <f>IF(AND(Projects!$C$36&lt;=BI$4,BI$4&lt;=Projects!$C$36+Projects!$D$36-1),Projects!$B$36/Projects!$D$36,"")</f>
        <v>947368.421052632</v>
      </c>
      <c r="BJ42" s="584">
        <f>IF(AND(Projects!$C$36&lt;=BJ$4,BJ$4&lt;=Projects!$C$36+Projects!$D$36-1),Projects!$B$36/Projects!$D$36,"")</f>
        <v>947368.421052632</v>
      </c>
      <c r="BK42" s="584">
        <f>IF(AND(Projects!$C$36&lt;=BK$4,BK$4&lt;=Projects!$C$36+Projects!$D$36-1),Projects!$B$36/Projects!$D$36,"")</f>
        <v>947368.421052632</v>
      </c>
      <c r="BL42" s="584">
        <f>IF(AND(Projects!$C$36&lt;=BL$4,BL$4&lt;=Projects!$C$36+Projects!$D$36-1),Projects!$B$36/Projects!$D$36,"")</f>
        <v>947368.421052632</v>
      </c>
      <c r="BM42" s="584">
        <f>IF(AND(Projects!$C$36&lt;=BM$4,BM$4&lt;=Projects!$C$36+Projects!$D$36-1),Projects!$B$36/Projects!$D$36,"")</f>
        <v>947368.421052632</v>
      </c>
      <c r="BN42" s="584">
        <f>IF(AND(Projects!$C$36&lt;=BN$4,BN$4&lt;=Projects!$C$36+Projects!$D$36-1),Projects!$B$36/Projects!$D$36,"")</f>
        <v>947368.421052632</v>
      </c>
      <c r="BO42" s="584">
        <f>IF(AND(Projects!$C$36&lt;=BO$4,BO$4&lt;=Projects!$C$36+Projects!$D$36-1),Projects!$B$36/Projects!$D$36,"")</f>
        <v>947368.421052632</v>
      </c>
      <c r="BP42" s="584">
        <f>IF(AND(Projects!$C$36&lt;=BP$4,BP$4&lt;=Projects!$C$36+Projects!$D$36-1),Projects!$B$36/Projects!$D$36,"")</f>
      </c>
      <c r="BQ42" s="584">
        <f>IF(AND(Projects!$C$36&lt;=BQ$4,BQ$4&lt;=Projects!$C$36+Projects!$D$36-1),Projects!$B$36/Projects!$D$36,"")</f>
      </c>
      <c r="BR42" s="584">
        <f>IF(AND(Projects!$C$36&lt;=BR$4,BR$4&lt;=Projects!$C$36+Projects!$D$36-1),Projects!$B$36/Projects!$D$36,"")</f>
      </c>
      <c r="BS42" s="584">
        <f>IF(AND(Projects!$C$36&lt;=BS$4,BS$4&lt;=Projects!$C$36+Projects!$D$36-1),Projects!$B$36/Projects!$D$36,"")</f>
      </c>
      <c r="BT42" s="584">
        <f>IF(AND(Projects!$C$36&lt;=BT$4,BT$4&lt;=Projects!$C$36+Projects!$D$36-1),Projects!$B$36/Projects!$D$36,"")</f>
      </c>
      <c r="BU42" s="584">
        <f>IF(AND(Projects!$C$36&lt;=BU$4,BU$4&lt;=Projects!$C$36+Projects!$D$36-1),Projects!$B$36/Projects!$D$36,"")</f>
      </c>
      <c r="BV42" s="584">
        <f>IF(AND(Projects!$C$36&lt;=BV$4,BV$4&lt;=Projects!$C$36+Projects!$D$36-1),Projects!$B$36/Projects!$D$36,"")</f>
      </c>
      <c r="BW42" s="584">
        <f>IF(AND(Projects!$C$36&lt;=BW$4,BW$4&lt;=Projects!$C$36+Projects!$D$36-1),Projects!$B$36/Projects!$D$36,"")</f>
      </c>
      <c r="BX42" s="584">
        <f>IF(AND(Projects!$C$36&lt;=BX$4,BX$4&lt;=Projects!$C$36+Projects!$D$36-1),Projects!$B$36/Projects!$D$36,"")</f>
      </c>
      <c r="BY42" s="584">
        <f>IF(AND(Projects!$C$36&lt;=BY$4,BY$4&lt;=Projects!$C$36+Projects!$D$36-1),Projects!$B$36/Projects!$D$36,"")</f>
      </c>
      <c r="BZ42" s="584">
        <f>IF(AND(Projects!$C$36&lt;=BZ$4,BZ$4&lt;=Projects!$C$36+Projects!$D$36-1),Projects!$B$36/Projects!$D$36,"")</f>
      </c>
      <c r="CA42" s="584">
        <f>IF(AND(Projects!$C$36&lt;=CA$4,CA$4&lt;=Projects!$C$36+Projects!$D$36-1),Projects!$B$36/Projects!$D$36,"")</f>
      </c>
      <c r="CB42" s="584">
        <f>IF(AND(Projects!$C$36&lt;=CB$4,CB$4&lt;=Projects!$C$36+Projects!$D$36-1),Projects!$B$36/Projects!$D$36,"")</f>
      </c>
      <c r="CC42" s="584">
        <f>IF(AND(Projects!$C$36&lt;=CC$4,CC$4&lt;=Projects!$C$36+Projects!$D$36-1),Projects!$B$36/Projects!$D$36,"")</f>
      </c>
      <c r="CD42" s="584">
        <f>IF(AND(Projects!$C$36&lt;=CD$4,CD$4&lt;=Projects!$C$36+Projects!$D$36-1),Projects!$B$36/Projects!$D$36,"")</f>
      </c>
      <c r="CE42" s="584">
        <f>IF(AND(Projects!$C$36&lt;=CE$4,CE$4&lt;=Projects!$C$36+Projects!$D$36-1),Projects!$B$36/Projects!$D$36,"")</f>
      </c>
      <c r="CF42" s="584">
        <f>IF(AND(Projects!$C$36&lt;=CF$4,CF$4&lt;=Projects!$C$36+Projects!$D$36-1),Projects!$B$36/Projects!$D$36,"")</f>
      </c>
      <c r="CG42" s="584">
        <f>IF(AND(Projects!$C$36&lt;=CG$4,CG$4&lt;=Projects!$C$36+Projects!$D$36-1),Projects!$B$36/Projects!$D$36,"")</f>
      </c>
      <c r="CH42" s="584">
        <f>IF(AND(Projects!$C$36&lt;=CH$4,CH$4&lt;=Projects!$C$36+Projects!$D$36-1),Projects!$B$36/Projects!$D$36,"")</f>
      </c>
      <c r="CI42" s="584">
        <f>IF(AND(Projects!$C$36&lt;=CI$4,CI$4&lt;=Projects!$C$36+Projects!$D$36-1),Projects!$B$36/Projects!$D$36,"")</f>
      </c>
      <c r="CJ42" s="584">
        <f>IF(AND(Projects!$C$36&lt;=CJ$4,CJ$4&lt;=Projects!$C$36+Projects!$D$36-1),Projects!$B$36/Projects!$D$36,"")</f>
      </c>
      <c r="CK42" s="584">
        <f>IF(AND(Projects!$C$36&lt;=CK$4,CK$4&lt;=Projects!$C$36+Projects!$D$36-1),Projects!$B$36/Projects!$D$36,"")</f>
      </c>
      <c r="CL42" s="584">
        <f>IF(AND(Projects!$C$36&lt;=CL$4,CL$4&lt;=Projects!$C$36+Projects!$D$36-1),Projects!$B$36/Projects!$D$36,"")</f>
      </c>
      <c r="CM42" s="584">
        <f>IF(AND(Projects!$C$36&lt;=CM$4,CM$4&lt;=Projects!$C$36+Projects!$D$36-1),Projects!$B$36/Projects!$D$36,"")</f>
      </c>
      <c r="CN42" s="584">
        <f>IF(AND(Projects!$C$36&lt;=CN$4,CN$4&lt;=Projects!$C$36+Projects!$D$36-1),Projects!$B$36/Projects!$D$36,"")</f>
      </c>
      <c r="CO42" s="584">
        <f>IF(AND(Projects!$C$36&lt;=CO$4,CO$4&lt;=Projects!$C$36+Projects!$D$36-1),Projects!$B$36/Projects!$D$36,"")</f>
      </c>
      <c r="CP42" s="584">
        <f>IF(AND(Projects!$C$36&lt;=CP$4,CP$4&lt;=Projects!$C$36+Projects!$D$36-1),Projects!$B$36/Projects!$D$36,"")</f>
      </c>
      <c r="CQ42" s="584">
        <f>IF(AND(Projects!$C$36&lt;=CQ$4,CQ$4&lt;=Projects!$C$36+Projects!$D$36-1),Projects!$B$36/Projects!$D$36,"")</f>
      </c>
      <c r="CR42" s="584">
        <f>IF(AND(Projects!$C$36&lt;=CR$4,CR$4&lt;=Projects!$C$36+Projects!$D$36-1),Projects!$B$36/Projects!$D$36,"")</f>
      </c>
      <c r="CS42" s="584">
        <f>IF(AND(Projects!$C$36&lt;=CS$4,CS$4&lt;=Projects!$C$36+Projects!$D$36-1),Projects!$B$36/Projects!$D$36,"")</f>
      </c>
      <c r="CT42" s="584">
        <f>IF(AND(Projects!$C$36&lt;=CT$4,CT$4&lt;=Projects!$C$36+Projects!$D$36-1),Projects!$B$36/Projects!$D$36,"")</f>
      </c>
      <c r="CU42" s="584">
        <f>IF(AND(Projects!$C$36&lt;=CU$4,CU$4&lt;=Projects!$C$36+Projects!$D$36-1),Projects!$B$36/Projects!$D$36,"")</f>
      </c>
      <c r="CV42" s="584">
        <f>IF(AND(Projects!$C$36&lt;=CV$4,CV$4&lt;=Projects!$C$36+Projects!$D$36-1),Projects!$B$36/Projects!$D$36,"")</f>
      </c>
      <c r="CW42" s="584">
        <f>IF(AND(Projects!$C$36&lt;=CW$4,CW$4&lt;=Projects!$C$36+Projects!$D$36-1),Projects!$B$36/Projects!$D$36,"")</f>
      </c>
      <c r="CX42" s="584">
        <f>IF(AND(Projects!$C$36&lt;=CX$4,CX$4&lt;=Projects!$C$36+Projects!$D$36-1),Projects!$B$36/Projects!$D$36,"")</f>
      </c>
      <c r="CY42" s="584">
        <f>IF(AND(Projects!$C$36&lt;=CY$4,CY$4&lt;=Projects!$C$36+Projects!$D$36-1),Projects!$B$36/Projects!$D$36,"")</f>
      </c>
      <c r="CZ42" s="584">
        <f>IF(AND(Projects!$C$36&lt;=CZ$4,CZ$4&lt;=Projects!$C$36+Projects!$D$36-1),Projects!$B$36/Projects!$D$36,"")</f>
      </c>
      <c r="DA42" s="584">
        <f>IF(AND(Projects!$C$36&lt;=DA$4,DA$4&lt;=Projects!$C$36+Projects!$D$36-1),Projects!$B$36/Projects!$D$36,"")</f>
      </c>
      <c r="DB42" s="584">
        <f>IF(AND(Projects!$C$36&lt;=DB$4,DB$4&lt;=Projects!$C$36+Projects!$D$36-1),Projects!$B$36/Projects!$D$36,"")</f>
      </c>
    </row>
    <row r="43" ht="15" customFormat="1" customHeight="1" s="381">
      <c r="A43" s="513" t="inlineStr">
        <is>
          <t>BD-21</t>
        </is>
      </c>
      <c r="B43" s="581">
        <f>Projects!$B$37</f>
        <v>15000000</v>
      </c>
      <c r="C43" s="582">
        <f>EDATE(Model!$E$2,Projects!$C$37-1)</f>
        <v>47423</v>
      </c>
      <c r="D43" s="582">
        <f>EDATE(Model!$E$2,Projects!$C$37+Projects!$D$37-2)</f>
        <v>47969</v>
      </c>
      <c r="E43" s="583">
        <f>Projects!$D$37</f>
        <v>19</v>
      </c>
      <c r="F43" s="581">
        <f>Projects!$B$37/Projects!$D$37</f>
        <v>789473.684210526</v>
      </c>
      <c r="G43" s="584">
        <f>IF(AND(Projects!$C$37&lt;=G$4,G$4&lt;=Projects!$C$37+Projects!$D$37-1),Projects!$B$37/Projects!$D$37,"")</f>
      </c>
      <c r="H43" s="584">
        <f>IF(AND(Projects!$C$37&lt;=H$4,H$4&lt;=Projects!$C$37+Projects!$D$37-1),Projects!$B$37/Projects!$D$37,"")</f>
      </c>
      <c r="I43" s="584">
        <f>IF(AND(Projects!$C$37&lt;=I$4,I$4&lt;=Projects!$C$37+Projects!$D$37-1),Projects!$B$37/Projects!$D$37,"")</f>
      </c>
      <c r="J43" s="584">
        <f>IF(AND(Projects!$C$37&lt;=J$4,J$4&lt;=Projects!$C$37+Projects!$D$37-1),Projects!$B$37/Projects!$D$37,"")</f>
      </c>
      <c r="K43" s="584">
        <f>IF(AND(Projects!$C$37&lt;=K$4,K$4&lt;=Projects!$C$37+Projects!$D$37-1),Projects!$B$37/Projects!$D$37,"")</f>
      </c>
      <c r="L43" s="584">
        <f>IF(AND(Projects!$C$37&lt;=L$4,L$4&lt;=Projects!$C$37+Projects!$D$37-1),Projects!$B$37/Projects!$D$37,"")</f>
      </c>
      <c r="M43" s="584">
        <f>IF(AND(Projects!$C$37&lt;=M$4,M$4&lt;=Projects!$C$37+Projects!$D$37-1),Projects!$B$37/Projects!$D$37,"")</f>
      </c>
      <c r="N43" s="584">
        <f>IF(AND(Projects!$C$37&lt;=N$4,N$4&lt;=Projects!$C$37+Projects!$D$37-1),Projects!$B$37/Projects!$D$37,"")</f>
      </c>
      <c r="O43" s="584">
        <f>IF(AND(Projects!$C$37&lt;=O$4,O$4&lt;=Projects!$C$37+Projects!$D$37-1),Projects!$B$37/Projects!$D$37,"")</f>
      </c>
      <c r="P43" s="584">
        <f>IF(AND(Projects!$C$37&lt;=P$4,P$4&lt;=Projects!$C$37+Projects!$D$37-1),Projects!$B$37/Projects!$D$37,"")</f>
      </c>
      <c r="Q43" s="584">
        <f>IF(AND(Projects!$C$37&lt;=Q$4,Q$4&lt;=Projects!$C$37+Projects!$D$37-1),Projects!$B$37/Projects!$D$37,"")</f>
      </c>
      <c r="R43" s="584">
        <f>IF(AND(Projects!$C$37&lt;=R$4,R$4&lt;=Projects!$C$37+Projects!$D$37-1),Projects!$B$37/Projects!$D$37,"")</f>
      </c>
      <c r="S43" s="584">
        <f>IF(AND(Projects!$C$37&lt;=S$4,S$4&lt;=Projects!$C$37+Projects!$D$37-1),Projects!$B$37/Projects!$D$37,"")</f>
      </c>
      <c r="T43" s="584">
        <f>IF(AND(Projects!$C$37&lt;=T$4,T$4&lt;=Projects!$C$37+Projects!$D$37-1),Projects!$B$37/Projects!$D$37,"")</f>
      </c>
      <c r="U43" s="584">
        <f>IF(AND(Projects!$C$37&lt;=U$4,U$4&lt;=Projects!$C$37+Projects!$D$37-1),Projects!$B$37/Projects!$D$37,"")</f>
      </c>
      <c r="V43" s="584">
        <f>IF(AND(Projects!$C$37&lt;=V$4,V$4&lt;=Projects!$C$37+Projects!$D$37-1),Projects!$B$37/Projects!$D$37,"")</f>
      </c>
      <c r="W43" s="584">
        <f>IF(AND(Projects!$C$37&lt;=W$4,W$4&lt;=Projects!$C$37+Projects!$D$37-1),Projects!$B$37/Projects!$D$37,"")</f>
      </c>
      <c r="X43" s="584">
        <f>IF(AND(Projects!$C$37&lt;=X$4,X$4&lt;=Projects!$C$37+Projects!$D$37-1),Projects!$B$37/Projects!$D$37,"")</f>
      </c>
      <c r="Y43" s="584">
        <f>IF(AND(Projects!$C$37&lt;=Y$4,Y$4&lt;=Projects!$C$37+Projects!$D$37-1),Projects!$B$37/Projects!$D$37,"")</f>
      </c>
      <c r="Z43" s="584">
        <f>IF(AND(Projects!$C$37&lt;=Z$4,Z$4&lt;=Projects!$C$37+Projects!$D$37-1),Projects!$B$37/Projects!$D$37,"")</f>
      </c>
      <c r="AA43" s="584">
        <f>IF(AND(Projects!$C$37&lt;=AA$4,AA$4&lt;=Projects!$C$37+Projects!$D$37-1),Projects!$B$37/Projects!$D$37,"")</f>
      </c>
      <c r="AB43" s="584">
        <f>IF(AND(Projects!$C$37&lt;=AB$4,AB$4&lt;=Projects!$C$37+Projects!$D$37-1),Projects!$B$37/Projects!$D$37,"")</f>
      </c>
      <c r="AC43" s="584">
        <f>IF(AND(Projects!$C$37&lt;=AC$4,AC$4&lt;=Projects!$C$37+Projects!$D$37-1),Projects!$B$37/Projects!$D$37,"")</f>
      </c>
      <c r="AD43" s="584">
        <f>IF(AND(Projects!$C$37&lt;=AD$4,AD$4&lt;=Projects!$C$37+Projects!$D$37-1),Projects!$B$37/Projects!$D$37,"")</f>
      </c>
      <c r="AE43" s="584">
        <f>IF(AND(Projects!$C$37&lt;=AE$4,AE$4&lt;=Projects!$C$37+Projects!$D$37-1),Projects!$B$37/Projects!$D$37,"")</f>
      </c>
      <c r="AF43" s="584">
        <f>IF(AND(Projects!$C$37&lt;=AF$4,AF$4&lt;=Projects!$C$37+Projects!$D$37-1),Projects!$B$37/Projects!$D$37,"")</f>
      </c>
      <c r="AG43" s="584">
        <f>IF(AND(Projects!$C$37&lt;=AG$4,AG$4&lt;=Projects!$C$37+Projects!$D$37-1),Projects!$B$37/Projects!$D$37,"")</f>
      </c>
      <c r="AH43" s="584">
        <f>IF(AND(Projects!$C$37&lt;=AH$4,AH$4&lt;=Projects!$C$37+Projects!$D$37-1),Projects!$B$37/Projects!$D$37,"")</f>
      </c>
      <c r="AI43" s="584">
        <f>IF(AND(Projects!$C$37&lt;=AI$4,AI$4&lt;=Projects!$C$37+Projects!$D$37-1),Projects!$B$37/Projects!$D$37,"")</f>
      </c>
      <c r="AJ43" s="584">
        <f>IF(AND(Projects!$C$37&lt;=AJ$4,AJ$4&lt;=Projects!$C$37+Projects!$D$37-1),Projects!$B$37/Projects!$D$37,"")</f>
      </c>
      <c r="AK43" s="584">
        <f>IF(AND(Projects!$C$37&lt;=AK$4,AK$4&lt;=Projects!$C$37+Projects!$D$37-1),Projects!$B$37/Projects!$D$37,"")</f>
      </c>
      <c r="AL43" s="584">
        <f>IF(AND(Projects!$C$37&lt;=AL$4,AL$4&lt;=Projects!$C$37+Projects!$D$37-1),Projects!$B$37/Projects!$D$37,"")</f>
      </c>
      <c r="AM43" s="584">
        <f>IF(AND(Projects!$C$37&lt;=AM$4,AM$4&lt;=Projects!$C$37+Projects!$D$37-1),Projects!$B$37/Projects!$D$37,"")</f>
      </c>
      <c r="AN43" s="584">
        <f>IF(AND(Projects!$C$37&lt;=AN$4,AN$4&lt;=Projects!$C$37+Projects!$D$37-1),Projects!$B$37/Projects!$D$37,"")</f>
      </c>
      <c r="AO43" s="584">
        <f>IF(AND(Projects!$C$37&lt;=AO$4,AO$4&lt;=Projects!$C$37+Projects!$D$37-1),Projects!$B$37/Projects!$D$37,"")</f>
      </c>
      <c r="AP43" s="584">
        <f>IF(AND(Projects!$C$37&lt;=AP$4,AP$4&lt;=Projects!$C$37+Projects!$D$37-1),Projects!$B$37/Projects!$D$37,"")</f>
      </c>
      <c r="AQ43" s="584">
        <f>IF(AND(Projects!$C$37&lt;=AQ$4,AQ$4&lt;=Projects!$C$37+Projects!$D$37-1),Projects!$B$37/Projects!$D$37,"")</f>
      </c>
      <c r="AR43" s="584">
        <f>IF(AND(Projects!$C$37&lt;=AR$4,AR$4&lt;=Projects!$C$37+Projects!$D$37-1),Projects!$B$37/Projects!$D$37,"")</f>
      </c>
      <c r="AS43" s="584">
        <f>IF(AND(Projects!$C$37&lt;=AS$4,AS$4&lt;=Projects!$C$37+Projects!$D$37-1),Projects!$B$37/Projects!$D$37,"")</f>
      </c>
      <c r="AT43" s="584">
        <f>IF(AND(Projects!$C$37&lt;=AT$4,AT$4&lt;=Projects!$C$37+Projects!$D$37-1),Projects!$B$37/Projects!$D$37,"")</f>
      </c>
      <c r="AU43" s="584">
        <f>IF(AND(Projects!$C$37&lt;=AU$4,AU$4&lt;=Projects!$C$37+Projects!$D$37-1),Projects!$B$37/Projects!$D$37,"")</f>
      </c>
      <c r="AV43" s="584">
        <f>IF(AND(Projects!$C$37&lt;=AV$4,AV$4&lt;=Projects!$C$37+Projects!$D$37-1),Projects!$B$37/Projects!$D$37,"")</f>
      </c>
      <c r="AW43" s="584">
        <f>IF(AND(Projects!$C$37&lt;=AW$4,AW$4&lt;=Projects!$C$37+Projects!$D$37-1),Projects!$B$37/Projects!$D$37,"")</f>
      </c>
      <c r="AX43" s="584">
        <f>IF(AND(Projects!$C$37&lt;=AX$4,AX$4&lt;=Projects!$C$37+Projects!$D$37-1),Projects!$B$37/Projects!$D$37,"")</f>
        <v>789473.684210526</v>
      </c>
      <c r="AY43" s="584">
        <f>IF(AND(Projects!$C$37&lt;=AY$4,AY$4&lt;=Projects!$C$37+Projects!$D$37-1),Projects!$B$37/Projects!$D$37,"")</f>
        <v>789473.684210526</v>
      </c>
      <c r="AZ43" s="584">
        <f>IF(AND(Projects!$C$37&lt;=AZ$4,AZ$4&lt;=Projects!$C$37+Projects!$D$37-1),Projects!$B$37/Projects!$D$37,"")</f>
        <v>789473.684210526</v>
      </c>
      <c r="BA43" s="584">
        <f>IF(AND(Projects!$C$37&lt;=BA$4,BA$4&lt;=Projects!$C$37+Projects!$D$37-1),Projects!$B$37/Projects!$D$37,"")</f>
        <v>789473.684210526</v>
      </c>
      <c r="BB43" s="584">
        <f>IF(AND(Projects!$C$37&lt;=BB$4,BB$4&lt;=Projects!$C$37+Projects!$D$37-1),Projects!$B$37/Projects!$D$37,"")</f>
        <v>789473.684210526</v>
      </c>
      <c r="BC43" s="584">
        <f>IF(AND(Projects!$C$37&lt;=BC$4,BC$4&lt;=Projects!$C$37+Projects!$D$37-1),Projects!$B$37/Projects!$D$37,"")</f>
        <v>789473.684210526</v>
      </c>
      <c r="BD43" s="584">
        <f>IF(AND(Projects!$C$37&lt;=BD$4,BD$4&lt;=Projects!$C$37+Projects!$D$37-1),Projects!$B$37/Projects!$D$37,"")</f>
        <v>789473.684210526</v>
      </c>
      <c r="BE43" s="584">
        <f>IF(AND(Projects!$C$37&lt;=BE$4,BE$4&lt;=Projects!$C$37+Projects!$D$37-1),Projects!$B$37/Projects!$D$37,"")</f>
        <v>789473.684210526</v>
      </c>
      <c r="BF43" s="584">
        <f>IF(AND(Projects!$C$37&lt;=BF$4,BF$4&lt;=Projects!$C$37+Projects!$D$37-1),Projects!$B$37/Projects!$D$37,"")</f>
        <v>789473.684210526</v>
      </c>
      <c r="BG43" s="584">
        <f>IF(AND(Projects!$C$37&lt;=BG$4,BG$4&lt;=Projects!$C$37+Projects!$D$37-1),Projects!$B$37/Projects!$D$37,"")</f>
        <v>789473.684210526</v>
      </c>
      <c r="BH43" s="584">
        <f>IF(AND(Projects!$C$37&lt;=BH$4,BH$4&lt;=Projects!$C$37+Projects!$D$37-1),Projects!$B$37/Projects!$D$37,"")</f>
        <v>789473.684210526</v>
      </c>
      <c r="BI43" s="584">
        <f>IF(AND(Projects!$C$37&lt;=BI$4,BI$4&lt;=Projects!$C$37+Projects!$D$37-1),Projects!$B$37/Projects!$D$37,"")</f>
        <v>789473.684210526</v>
      </c>
      <c r="BJ43" s="584">
        <f>IF(AND(Projects!$C$37&lt;=BJ$4,BJ$4&lt;=Projects!$C$37+Projects!$D$37-1),Projects!$B$37/Projects!$D$37,"")</f>
        <v>789473.684210526</v>
      </c>
      <c r="BK43" s="584">
        <f>IF(AND(Projects!$C$37&lt;=BK$4,BK$4&lt;=Projects!$C$37+Projects!$D$37-1),Projects!$B$37/Projects!$D$37,"")</f>
        <v>789473.684210526</v>
      </c>
      <c r="BL43" s="584">
        <f>IF(AND(Projects!$C$37&lt;=BL$4,BL$4&lt;=Projects!$C$37+Projects!$D$37-1),Projects!$B$37/Projects!$D$37,"")</f>
        <v>789473.684210526</v>
      </c>
      <c r="BM43" s="584">
        <f>IF(AND(Projects!$C$37&lt;=BM$4,BM$4&lt;=Projects!$C$37+Projects!$D$37-1),Projects!$B$37/Projects!$D$37,"")</f>
        <v>789473.684210526</v>
      </c>
      <c r="BN43" s="584">
        <f>IF(AND(Projects!$C$37&lt;=BN$4,BN$4&lt;=Projects!$C$37+Projects!$D$37-1),Projects!$B$37/Projects!$D$37,"")</f>
        <v>789473.684210526</v>
      </c>
      <c r="BO43" s="584">
        <f>IF(AND(Projects!$C$37&lt;=BO$4,BO$4&lt;=Projects!$C$37+Projects!$D$37-1),Projects!$B$37/Projects!$D$37,"")</f>
        <v>789473.684210526</v>
      </c>
      <c r="BP43" s="584">
        <f>IF(AND(Projects!$C$37&lt;=BP$4,BP$4&lt;=Projects!$C$37+Projects!$D$37-1),Projects!$B$37/Projects!$D$37,"")</f>
        <v>789473.684210526</v>
      </c>
      <c r="BQ43" s="584">
        <f>IF(AND(Projects!$C$37&lt;=BQ$4,BQ$4&lt;=Projects!$C$37+Projects!$D$37-1),Projects!$B$37/Projects!$D$37,"")</f>
      </c>
      <c r="BR43" s="584">
        <f>IF(AND(Projects!$C$37&lt;=BR$4,BR$4&lt;=Projects!$C$37+Projects!$D$37-1),Projects!$B$37/Projects!$D$37,"")</f>
      </c>
      <c r="BS43" s="584">
        <f>IF(AND(Projects!$C$37&lt;=BS$4,BS$4&lt;=Projects!$C$37+Projects!$D$37-1),Projects!$B$37/Projects!$D$37,"")</f>
      </c>
      <c r="BT43" s="584">
        <f>IF(AND(Projects!$C$37&lt;=BT$4,BT$4&lt;=Projects!$C$37+Projects!$D$37-1),Projects!$B$37/Projects!$D$37,"")</f>
      </c>
      <c r="BU43" s="584">
        <f>IF(AND(Projects!$C$37&lt;=BU$4,BU$4&lt;=Projects!$C$37+Projects!$D$37-1),Projects!$B$37/Projects!$D$37,"")</f>
      </c>
      <c r="BV43" s="584">
        <f>IF(AND(Projects!$C$37&lt;=BV$4,BV$4&lt;=Projects!$C$37+Projects!$D$37-1),Projects!$B$37/Projects!$D$37,"")</f>
      </c>
      <c r="BW43" s="584">
        <f>IF(AND(Projects!$C$37&lt;=BW$4,BW$4&lt;=Projects!$C$37+Projects!$D$37-1),Projects!$B$37/Projects!$D$37,"")</f>
      </c>
      <c r="BX43" s="584">
        <f>IF(AND(Projects!$C$37&lt;=BX$4,BX$4&lt;=Projects!$C$37+Projects!$D$37-1),Projects!$B$37/Projects!$D$37,"")</f>
      </c>
      <c r="BY43" s="584">
        <f>IF(AND(Projects!$C$37&lt;=BY$4,BY$4&lt;=Projects!$C$37+Projects!$D$37-1),Projects!$B$37/Projects!$D$37,"")</f>
      </c>
      <c r="BZ43" s="584">
        <f>IF(AND(Projects!$C$37&lt;=BZ$4,BZ$4&lt;=Projects!$C$37+Projects!$D$37-1),Projects!$B$37/Projects!$D$37,"")</f>
      </c>
      <c r="CA43" s="584">
        <f>IF(AND(Projects!$C$37&lt;=CA$4,CA$4&lt;=Projects!$C$37+Projects!$D$37-1),Projects!$B$37/Projects!$D$37,"")</f>
      </c>
      <c r="CB43" s="584">
        <f>IF(AND(Projects!$C$37&lt;=CB$4,CB$4&lt;=Projects!$C$37+Projects!$D$37-1),Projects!$B$37/Projects!$D$37,"")</f>
      </c>
      <c r="CC43" s="584">
        <f>IF(AND(Projects!$C$37&lt;=CC$4,CC$4&lt;=Projects!$C$37+Projects!$D$37-1),Projects!$B$37/Projects!$D$37,"")</f>
      </c>
      <c r="CD43" s="584">
        <f>IF(AND(Projects!$C$37&lt;=CD$4,CD$4&lt;=Projects!$C$37+Projects!$D$37-1),Projects!$B$37/Projects!$D$37,"")</f>
      </c>
      <c r="CE43" s="584">
        <f>IF(AND(Projects!$C$37&lt;=CE$4,CE$4&lt;=Projects!$C$37+Projects!$D$37-1),Projects!$B$37/Projects!$D$37,"")</f>
      </c>
      <c r="CF43" s="584">
        <f>IF(AND(Projects!$C$37&lt;=CF$4,CF$4&lt;=Projects!$C$37+Projects!$D$37-1),Projects!$B$37/Projects!$D$37,"")</f>
      </c>
      <c r="CG43" s="584">
        <f>IF(AND(Projects!$C$37&lt;=CG$4,CG$4&lt;=Projects!$C$37+Projects!$D$37-1),Projects!$B$37/Projects!$D$37,"")</f>
      </c>
      <c r="CH43" s="584">
        <f>IF(AND(Projects!$C$37&lt;=CH$4,CH$4&lt;=Projects!$C$37+Projects!$D$37-1),Projects!$B$37/Projects!$D$37,"")</f>
      </c>
      <c r="CI43" s="584">
        <f>IF(AND(Projects!$C$37&lt;=CI$4,CI$4&lt;=Projects!$C$37+Projects!$D$37-1),Projects!$B$37/Projects!$D$37,"")</f>
      </c>
      <c r="CJ43" s="584">
        <f>IF(AND(Projects!$C$37&lt;=CJ$4,CJ$4&lt;=Projects!$C$37+Projects!$D$37-1),Projects!$B$37/Projects!$D$37,"")</f>
      </c>
      <c r="CK43" s="584">
        <f>IF(AND(Projects!$C$37&lt;=CK$4,CK$4&lt;=Projects!$C$37+Projects!$D$37-1),Projects!$B$37/Projects!$D$37,"")</f>
      </c>
      <c r="CL43" s="584">
        <f>IF(AND(Projects!$C$37&lt;=CL$4,CL$4&lt;=Projects!$C$37+Projects!$D$37-1),Projects!$B$37/Projects!$D$37,"")</f>
      </c>
      <c r="CM43" s="584">
        <f>IF(AND(Projects!$C$37&lt;=CM$4,CM$4&lt;=Projects!$C$37+Projects!$D$37-1),Projects!$B$37/Projects!$D$37,"")</f>
      </c>
      <c r="CN43" s="584">
        <f>IF(AND(Projects!$C$37&lt;=CN$4,CN$4&lt;=Projects!$C$37+Projects!$D$37-1),Projects!$B$37/Projects!$D$37,"")</f>
      </c>
      <c r="CO43" s="584">
        <f>IF(AND(Projects!$C$37&lt;=CO$4,CO$4&lt;=Projects!$C$37+Projects!$D$37-1),Projects!$B$37/Projects!$D$37,"")</f>
      </c>
      <c r="CP43" s="584">
        <f>IF(AND(Projects!$C$37&lt;=CP$4,CP$4&lt;=Projects!$C$37+Projects!$D$37-1),Projects!$B$37/Projects!$D$37,"")</f>
      </c>
      <c r="CQ43" s="584">
        <f>IF(AND(Projects!$C$37&lt;=CQ$4,CQ$4&lt;=Projects!$C$37+Projects!$D$37-1),Projects!$B$37/Projects!$D$37,"")</f>
      </c>
      <c r="CR43" s="584">
        <f>IF(AND(Projects!$C$37&lt;=CR$4,CR$4&lt;=Projects!$C$37+Projects!$D$37-1),Projects!$B$37/Projects!$D$37,"")</f>
      </c>
      <c r="CS43" s="584">
        <f>IF(AND(Projects!$C$37&lt;=CS$4,CS$4&lt;=Projects!$C$37+Projects!$D$37-1),Projects!$B$37/Projects!$D$37,"")</f>
      </c>
      <c r="CT43" s="584">
        <f>IF(AND(Projects!$C$37&lt;=CT$4,CT$4&lt;=Projects!$C$37+Projects!$D$37-1),Projects!$B$37/Projects!$D$37,"")</f>
      </c>
      <c r="CU43" s="584">
        <f>IF(AND(Projects!$C$37&lt;=CU$4,CU$4&lt;=Projects!$C$37+Projects!$D$37-1),Projects!$B$37/Projects!$D$37,"")</f>
      </c>
      <c r="CV43" s="584">
        <f>IF(AND(Projects!$C$37&lt;=CV$4,CV$4&lt;=Projects!$C$37+Projects!$D$37-1),Projects!$B$37/Projects!$D$37,"")</f>
      </c>
      <c r="CW43" s="584">
        <f>IF(AND(Projects!$C$37&lt;=CW$4,CW$4&lt;=Projects!$C$37+Projects!$D$37-1),Projects!$B$37/Projects!$D$37,"")</f>
      </c>
      <c r="CX43" s="584">
        <f>IF(AND(Projects!$C$37&lt;=CX$4,CX$4&lt;=Projects!$C$37+Projects!$D$37-1),Projects!$B$37/Projects!$D$37,"")</f>
      </c>
      <c r="CY43" s="584">
        <f>IF(AND(Projects!$C$37&lt;=CY$4,CY$4&lt;=Projects!$C$37+Projects!$D$37-1),Projects!$B$37/Projects!$D$37,"")</f>
      </c>
      <c r="CZ43" s="584">
        <f>IF(AND(Projects!$C$37&lt;=CZ$4,CZ$4&lt;=Projects!$C$37+Projects!$D$37-1),Projects!$B$37/Projects!$D$37,"")</f>
      </c>
      <c r="DA43" s="584">
        <f>IF(AND(Projects!$C$37&lt;=DA$4,DA$4&lt;=Projects!$C$37+Projects!$D$37-1),Projects!$B$37/Projects!$D$37,"")</f>
      </c>
      <c r="DB43" s="584">
        <f>IF(AND(Projects!$C$37&lt;=DB$4,DB$4&lt;=Projects!$C$37+Projects!$D$37-1),Projects!$B$37/Projects!$D$37,"")</f>
      </c>
    </row>
    <row r="44" ht="15" customFormat="1" customHeight="1" s="381">
      <c r="A44" s="513" t="inlineStr">
        <is>
          <t>BD-22</t>
        </is>
      </c>
      <c r="B44" s="581">
        <f>Projects!$B$38</f>
        <v>15000000</v>
      </c>
      <c r="C44" s="582">
        <f>EDATE(Model!$E$2,Projects!$C$38-1)</f>
        <v>47543</v>
      </c>
      <c r="D44" s="582">
        <f>EDATE(Model!$E$2,Projects!$C$38+Projects!$D$38-2)</f>
        <v>48092</v>
      </c>
      <c r="E44" s="583">
        <f>Projects!$D$38</f>
        <v>19</v>
      </c>
      <c r="F44" s="581">
        <f>Projects!$B$38/Projects!$D$38</f>
        <v>789473.684210526</v>
      </c>
      <c r="G44" s="584">
        <f>IF(AND(Projects!$C$38&lt;=G$4,G$4&lt;=Projects!$C$38+Projects!$D$38-1),Projects!$B$38/Projects!$D$38,"")</f>
      </c>
      <c r="H44" s="584">
        <f>IF(AND(Projects!$C$38&lt;=H$4,H$4&lt;=Projects!$C$38+Projects!$D$38-1),Projects!$B$38/Projects!$D$38,"")</f>
      </c>
      <c r="I44" s="584">
        <f>IF(AND(Projects!$C$38&lt;=I$4,I$4&lt;=Projects!$C$38+Projects!$D$38-1),Projects!$B$38/Projects!$D$38,"")</f>
      </c>
      <c r="J44" s="584">
        <f>IF(AND(Projects!$C$38&lt;=J$4,J$4&lt;=Projects!$C$38+Projects!$D$38-1),Projects!$B$38/Projects!$D$38,"")</f>
      </c>
      <c r="K44" s="584">
        <f>IF(AND(Projects!$C$38&lt;=K$4,K$4&lt;=Projects!$C$38+Projects!$D$38-1),Projects!$B$38/Projects!$D$38,"")</f>
      </c>
      <c r="L44" s="584">
        <f>IF(AND(Projects!$C$38&lt;=L$4,L$4&lt;=Projects!$C$38+Projects!$D$38-1),Projects!$B$38/Projects!$D$38,"")</f>
      </c>
      <c r="M44" s="584">
        <f>IF(AND(Projects!$C$38&lt;=M$4,M$4&lt;=Projects!$C$38+Projects!$D$38-1),Projects!$B$38/Projects!$D$38,"")</f>
      </c>
      <c r="N44" s="584">
        <f>IF(AND(Projects!$C$38&lt;=N$4,N$4&lt;=Projects!$C$38+Projects!$D$38-1),Projects!$B$38/Projects!$D$38,"")</f>
      </c>
      <c r="O44" s="584">
        <f>IF(AND(Projects!$C$38&lt;=O$4,O$4&lt;=Projects!$C$38+Projects!$D$38-1),Projects!$B$38/Projects!$D$38,"")</f>
      </c>
      <c r="P44" s="584">
        <f>IF(AND(Projects!$C$38&lt;=P$4,P$4&lt;=Projects!$C$38+Projects!$D$38-1),Projects!$B$38/Projects!$D$38,"")</f>
      </c>
      <c r="Q44" s="584">
        <f>IF(AND(Projects!$C$38&lt;=Q$4,Q$4&lt;=Projects!$C$38+Projects!$D$38-1),Projects!$B$38/Projects!$D$38,"")</f>
      </c>
      <c r="R44" s="584">
        <f>IF(AND(Projects!$C$38&lt;=R$4,R$4&lt;=Projects!$C$38+Projects!$D$38-1),Projects!$B$38/Projects!$D$38,"")</f>
      </c>
      <c r="S44" s="584">
        <f>IF(AND(Projects!$C$38&lt;=S$4,S$4&lt;=Projects!$C$38+Projects!$D$38-1),Projects!$B$38/Projects!$D$38,"")</f>
      </c>
      <c r="T44" s="584">
        <f>IF(AND(Projects!$C$38&lt;=T$4,T$4&lt;=Projects!$C$38+Projects!$D$38-1),Projects!$B$38/Projects!$D$38,"")</f>
      </c>
      <c r="U44" s="584">
        <f>IF(AND(Projects!$C$38&lt;=U$4,U$4&lt;=Projects!$C$38+Projects!$D$38-1),Projects!$B$38/Projects!$D$38,"")</f>
      </c>
      <c r="V44" s="584">
        <f>IF(AND(Projects!$C$38&lt;=V$4,V$4&lt;=Projects!$C$38+Projects!$D$38-1),Projects!$B$38/Projects!$D$38,"")</f>
      </c>
      <c r="W44" s="584">
        <f>IF(AND(Projects!$C$38&lt;=W$4,W$4&lt;=Projects!$C$38+Projects!$D$38-1),Projects!$B$38/Projects!$D$38,"")</f>
      </c>
      <c r="X44" s="584">
        <f>IF(AND(Projects!$C$38&lt;=X$4,X$4&lt;=Projects!$C$38+Projects!$D$38-1),Projects!$B$38/Projects!$D$38,"")</f>
      </c>
      <c r="Y44" s="584">
        <f>IF(AND(Projects!$C$38&lt;=Y$4,Y$4&lt;=Projects!$C$38+Projects!$D$38-1),Projects!$B$38/Projects!$D$38,"")</f>
      </c>
      <c r="Z44" s="584">
        <f>IF(AND(Projects!$C$38&lt;=Z$4,Z$4&lt;=Projects!$C$38+Projects!$D$38-1),Projects!$B$38/Projects!$D$38,"")</f>
      </c>
      <c r="AA44" s="584">
        <f>IF(AND(Projects!$C$38&lt;=AA$4,AA$4&lt;=Projects!$C$38+Projects!$D$38-1),Projects!$B$38/Projects!$D$38,"")</f>
      </c>
      <c r="AB44" s="584">
        <f>IF(AND(Projects!$C$38&lt;=AB$4,AB$4&lt;=Projects!$C$38+Projects!$D$38-1),Projects!$B$38/Projects!$D$38,"")</f>
      </c>
      <c r="AC44" s="584">
        <f>IF(AND(Projects!$C$38&lt;=AC$4,AC$4&lt;=Projects!$C$38+Projects!$D$38-1),Projects!$B$38/Projects!$D$38,"")</f>
      </c>
      <c r="AD44" s="584">
        <f>IF(AND(Projects!$C$38&lt;=AD$4,AD$4&lt;=Projects!$C$38+Projects!$D$38-1),Projects!$B$38/Projects!$D$38,"")</f>
      </c>
      <c r="AE44" s="584">
        <f>IF(AND(Projects!$C$38&lt;=AE$4,AE$4&lt;=Projects!$C$38+Projects!$D$38-1),Projects!$B$38/Projects!$D$38,"")</f>
      </c>
      <c r="AF44" s="584">
        <f>IF(AND(Projects!$C$38&lt;=AF$4,AF$4&lt;=Projects!$C$38+Projects!$D$38-1),Projects!$B$38/Projects!$D$38,"")</f>
      </c>
      <c r="AG44" s="584">
        <f>IF(AND(Projects!$C$38&lt;=AG$4,AG$4&lt;=Projects!$C$38+Projects!$D$38-1),Projects!$B$38/Projects!$D$38,"")</f>
      </c>
      <c r="AH44" s="584">
        <f>IF(AND(Projects!$C$38&lt;=AH$4,AH$4&lt;=Projects!$C$38+Projects!$D$38-1),Projects!$B$38/Projects!$D$38,"")</f>
      </c>
      <c r="AI44" s="584">
        <f>IF(AND(Projects!$C$38&lt;=AI$4,AI$4&lt;=Projects!$C$38+Projects!$D$38-1),Projects!$B$38/Projects!$D$38,"")</f>
      </c>
      <c r="AJ44" s="584">
        <f>IF(AND(Projects!$C$38&lt;=AJ$4,AJ$4&lt;=Projects!$C$38+Projects!$D$38-1),Projects!$B$38/Projects!$D$38,"")</f>
      </c>
      <c r="AK44" s="584">
        <f>IF(AND(Projects!$C$38&lt;=AK$4,AK$4&lt;=Projects!$C$38+Projects!$D$38-1),Projects!$B$38/Projects!$D$38,"")</f>
      </c>
      <c r="AL44" s="584">
        <f>IF(AND(Projects!$C$38&lt;=AL$4,AL$4&lt;=Projects!$C$38+Projects!$D$38-1),Projects!$B$38/Projects!$D$38,"")</f>
      </c>
      <c r="AM44" s="584">
        <f>IF(AND(Projects!$C$38&lt;=AM$4,AM$4&lt;=Projects!$C$38+Projects!$D$38-1),Projects!$B$38/Projects!$D$38,"")</f>
      </c>
      <c r="AN44" s="584">
        <f>IF(AND(Projects!$C$38&lt;=AN$4,AN$4&lt;=Projects!$C$38+Projects!$D$38-1),Projects!$B$38/Projects!$D$38,"")</f>
      </c>
      <c r="AO44" s="584">
        <f>IF(AND(Projects!$C$38&lt;=AO$4,AO$4&lt;=Projects!$C$38+Projects!$D$38-1),Projects!$B$38/Projects!$D$38,"")</f>
      </c>
      <c r="AP44" s="584">
        <f>IF(AND(Projects!$C$38&lt;=AP$4,AP$4&lt;=Projects!$C$38+Projects!$D$38-1),Projects!$B$38/Projects!$D$38,"")</f>
      </c>
      <c r="AQ44" s="584">
        <f>IF(AND(Projects!$C$38&lt;=AQ$4,AQ$4&lt;=Projects!$C$38+Projects!$D$38-1),Projects!$B$38/Projects!$D$38,"")</f>
      </c>
      <c r="AR44" s="584">
        <f>IF(AND(Projects!$C$38&lt;=AR$4,AR$4&lt;=Projects!$C$38+Projects!$D$38-1),Projects!$B$38/Projects!$D$38,"")</f>
      </c>
      <c r="AS44" s="584">
        <f>IF(AND(Projects!$C$38&lt;=AS$4,AS$4&lt;=Projects!$C$38+Projects!$D$38-1),Projects!$B$38/Projects!$D$38,"")</f>
      </c>
      <c r="AT44" s="584">
        <f>IF(AND(Projects!$C$38&lt;=AT$4,AT$4&lt;=Projects!$C$38+Projects!$D$38-1),Projects!$B$38/Projects!$D$38,"")</f>
      </c>
      <c r="AU44" s="584">
        <f>IF(AND(Projects!$C$38&lt;=AU$4,AU$4&lt;=Projects!$C$38+Projects!$D$38-1),Projects!$B$38/Projects!$D$38,"")</f>
      </c>
      <c r="AV44" s="584">
        <f>IF(AND(Projects!$C$38&lt;=AV$4,AV$4&lt;=Projects!$C$38+Projects!$D$38-1),Projects!$B$38/Projects!$D$38,"")</f>
      </c>
      <c r="AW44" s="584">
        <f>IF(AND(Projects!$C$38&lt;=AW$4,AW$4&lt;=Projects!$C$38+Projects!$D$38-1),Projects!$B$38/Projects!$D$38,"")</f>
      </c>
      <c r="AX44" s="584">
        <f>IF(AND(Projects!$C$38&lt;=AX$4,AX$4&lt;=Projects!$C$38+Projects!$D$38-1),Projects!$B$38/Projects!$D$38,"")</f>
      </c>
      <c r="AY44" s="584">
        <f>IF(AND(Projects!$C$38&lt;=AY$4,AY$4&lt;=Projects!$C$38+Projects!$D$38-1),Projects!$B$38/Projects!$D$38,"")</f>
      </c>
      <c r="AZ44" s="584">
        <f>IF(AND(Projects!$C$38&lt;=AZ$4,AZ$4&lt;=Projects!$C$38+Projects!$D$38-1),Projects!$B$38/Projects!$D$38,"")</f>
      </c>
      <c r="BA44" s="584">
        <f>IF(AND(Projects!$C$38&lt;=BA$4,BA$4&lt;=Projects!$C$38+Projects!$D$38-1),Projects!$B$38/Projects!$D$38,"")</f>
      </c>
      <c r="BB44" s="584">
        <f>IF(AND(Projects!$C$38&lt;=BB$4,BB$4&lt;=Projects!$C$38+Projects!$D$38-1),Projects!$B$38/Projects!$D$38,"")</f>
        <v>789473.684210526</v>
      </c>
      <c r="BC44" s="584">
        <f>IF(AND(Projects!$C$38&lt;=BC$4,BC$4&lt;=Projects!$C$38+Projects!$D$38-1),Projects!$B$38/Projects!$D$38,"")</f>
        <v>789473.684210526</v>
      </c>
      <c r="BD44" s="584">
        <f>IF(AND(Projects!$C$38&lt;=BD$4,BD$4&lt;=Projects!$C$38+Projects!$D$38-1),Projects!$B$38/Projects!$D$38,"")</f>
        <v>789473.684210526</v>
      </c>
      <c r="BE44" s="584">
        <f>IF(AND(Projects!$C$38&lt;=BE$4,BE$4&lt;=Projects!$C$38+Projects!$D$38-1),Projects!$B$38/Projects!$D$38,"")</f>
        <v>789473.684210526</v>
      </c>
      <c r="BF44" s="584">
        <f>IF(AND(Projects!$C$38&lt;=BF$4,BF$4&lt;=Projects!$C$38+Projects!$D$38-1),Projects!$B$38/Projects!$D$38,"")</f>
        <v>789473.684210526</v>
      </c>
      <c r="BG44" s="584">
        <f>IF(AND(Projects!$C$38&lt;=BG$4,BG$4&lt;=Projects!$C$38+Projects!$D$38-1),Projects!$B$38/Projects!$D$38,"")</f>
        <v>789473.684210526</v>
      </c>
      <c r="BH44" s="584">
        <f>IF(AND(Projects!$C$38&lt;=BH$4,BH$4&lt;=Projects!$C$38+Projects!$D$38-1),Projects!$B$38/Projects!$D$38,"")</f>
        <v>789473.684210526</v>
      </c>
      <c r="BI44" s="584">
        <f>IF(AND(Projects!$C$38&lt;=BI$4,BI$4&lt;=Projects!$C$38+Projects!$D$38-1),Projects!$B$38/Projects!$D$38,"")</f>
        <v>789473.684210526</v>
      </c>
      <c r="BJ44" s="584">
        <f>IF(AND(Projects!$C$38&lt;=BJ$4,BJ$4&lt;=Projects!$C$38+Projects!$D$38-1),Projects!$B$38/Projects!$D$38,"")</f>
        <v>789473.684210526</v>
      </c>
      <c r="BK44" s="584">
        <f>IF(AND(Projects!$C$38&lt;=BK$4,BK$4&lt;=Projects!$C$38+Projects!$D$38-1),Projects!$B$38/Projects!$D$38,"")</f>
        <v>789473.684210526</v>
      </c>
      <c r="BL44" s="584">
        <f>IF(AND(Projects!$C$38&lt;=BL$4,BL$4&lt;=Projects!$C$38+Projects!$D$38-1),Projects!$B$38/Projects!$D$38,"")</f>
        <v>789473.684210526</v>
      </c>
      <c r="BM44" s="584">
        <f>IF(AND(Projects!$C$38&lt;=BM$4,BM$4&lt;=Projects!$C$38+Projects!$D$38-1),Projects!$B$38/Projects!$D$38,"")</f>
        <v>789473.684210526</v>
      </c>
      <c r="BN44" s="584">
        <f>IF(AND(Projects!$C$38&lt;=BN$4,BN$4&lt;=Projects!$C$38+Projects!$D$38-1),Projects!$B$38/Projects!$D$38,"")</f>
        <v>789473.684210526</v>
      </c>
      <c r="BO44" s="584">
        <f>IF(AND(Projects!$C$38&lt;=BO$4,BO$4&lt;=Projects!$C$38+Projects!$D$38-1),Projects!$B$38/Projects!$D$38,"")</f>
        <v>789473.684210526</v>
      </c>
      <c r="BP44" s="584">
        <f>IF(AND(Projects!$C$38&lt;=BP$4,BP$4&lt;=Projects!$C$38+Projects!$D$38-1),Projects!$B$38/Projects!$D$38,"")</f>
        <v>789473.684210526</v>
      </c>
      <c r="BQ44" s="584">
        <f>IF(AND(Projects!$C$38&lt;=BQ$4,BQ$4&lt;=Projects!$C$38+Projects!$D$38-1),Projects!$B$38/Projects!$D$38,"")</f>
        <v>789473.684210526</v>
      </c>
      <c r="BR44" s="584">
        <f>IF(AND(Projects!$C$38&lt;=BR$4,BR$4&lt;=Projects!$C$38+Projects!$D$38-1),Projects!$B$38/Projects!$D$38,"")</f>
        <v>789473.684210526</v>
      </c>
      <c r="BS44" s="584">
        <f>IF(AND(Projects!$C$38&lt;=BS$4,BS$4&lt;=Projects!$C$38+Projects!$D$38-1),Projects!$B$38/Projects!$D$38,"")</f>
        <v>789473.684210526</v>
      </c>
      <c r="BT44" s="584">
        <f>IF(AND(Projects!$C$38&lt;=BT$4,BT$4&lt;=Projects!$C$38+Projects!$D$38-1),Projects!$B$38/Projects!$D$38,"")</f>
        <v>789473.684210526</v>
      </c>
      <c r="BU44" s="584">
        <f>IF(AND(Projects!$C$38&lt;=BU$4,BU$4&lt;=Projects!$C$38+Projects!$D$38-1),Projects!$B$38/Projects!$D$38,"")</f>
      </c>
      <c r="BV44" s="584">
        <f>IF(AND(Projects!$C$38&lt;=BV$4,BV$4&lt;=Projects!$C$38+Projects!$D$38-1),Projects!$B$38/Projects!$D$38,"")</f>
      </c>
      <c r="BW44" s="584">
        <f>IF(AND(Projects!$C$38&lt;=BW$4,BW$4&lt;=Projects!$C$38+Projects!$D$38-1),Projects!$B$38/Projects!$D$38,"")</f>
      </c>
      <c r="BX44" s="584">
        <f>IF(AND(Projects!$C$38&lt;=BX$4,BX$4&lt;=Projects!$C$38+Projects!$D$38-1),Projects!$B$38/Projects!$D$38,"")</f>
      </c>
      <c r="BY44" s="584">
        <f>IF(AND(Projects!$C$38&lt;=BY$4,BY$4&lt;=Projects!$C$38+Projects!$D$38-1),Projects!$B$38/Projects!$D$38,"")</f>
      </c>
      <c r="BZ44" s="584">
        <f>IF(AND(Projects!$C$38&lt;=BZ$4,BZ$4&lt;=Projects!$C$38+Projects!$D$38-1),Projects!$B$38/Projects!$D$38,"")</f>
      </c>
      <c r="CA44" s="584">
        <f>IF(AND(Projects!$C$38&lt;=CA$4,CA$4&lt;=Projects!$C$38+Projects!$D$38-1),Projects!$B$38/Projects!$D$38,"")</f>
      </c>
      <c r="CB44" s="584">
        <f>IF(AND(Projects!$C$38&lt;=CB$4,CB$4&lt;=Projects!$C$38+Projects!$D$38-1),Projects!$B$38/Projects!$D$38,"")</f>
      </c>
      <c r="CC44" s="584">
        <f>IF(AND(Projects!$C$38&lt;=CC$4,CC$4&lt;=Projects!$C$38+Projects!$D$38-1),Projects!$B$38/Projects!$D$38,"")</f>
      </c>
      <c r="CD44" s="584">
        <f>IF(AND(Projects!$C$38&lt;=CD$4,CD$4&lt;=Projects!$C$38+Projects!$D$38-1),Projects!$B$38/Projects!$D$38,"")</f>
      </c>
      <c r="CE44" s="584">
        <f>IF(AND(Projects!$C$38&lt;=CE$4,CE$4&lt;=Projects!$C$38+Projects!$D$38-1),Projects!$B$38/Projects!$D$38,"")</f>
      </c>
      <c r="CF44" s="584">
        <f>IF(AND(Projects!$C$38&lt;=CF$4,CF$4&lt;=Projects!$C$38+Projects!$D$38-1),Projects!$B$38/Projects!$D$38,"")</f>
      </c>
      <c r="CG44" s="584">
        <f>IF(AND(Projects!$C$38&lt;=CG$4,CG$4&lt;=Projects!$C$38+Projects!$D$38-1),Projects!$B$38/Projects!$D$38,"")</f>
      </c>
      <c r="CH44" s="584">
        <f>IF(AND(Projects!$C$38&lt;=CH$4,CH$4&lt;=Projects!$C$38+Projects!$D$38-1),Projects!$B$38/Projects!$D$38,"")</f>
      </c>
      <c r="CI44" s="584">
        <f>IF(AND(Projects!$C$38&lt;=CI$4,CI$4&lt;=Projects!$C$38+Projects!$D$38-1),Projects!$B$38/Projects!$D$38,"")</f>
      </c>
      <c r="CJ44" s="584">
        <f>IF(AND(Projects!$C$38&lt;=CJ$4,CJ$4&lt;=Projects!$C$38+Projects!$D$38-1),Projects!$B$38/Projects!$D$38,"")</f>
      </c>
      <c r="CK44" s="584">
        <f>IF(AND(Projects!$C$38&lt;=CK$4,CK$4&lt;=Projects!$C$38+Projects!$D$38-1),Projects!$B$38/Projects!$D$38,"")</f>
      </c>
      <c r="CL44" s="584">
        <f>IF(AND(Projects!$C$38&lt;=CL$4,CL$4&lt;=Projects!$C$38+Projects!$D$38-1),Projects!$B$38/Projects!$D$38,"")</f>
      </c>
      <c r="CM44" s="584">
        <f>IF(AND(Projects!$C$38&lt;=CM$4,CM$4&lt;=Projects!$C$38+Projects!$D$38-1),Projects!$B$38/Projects!$D$38,"")</f>
      </c>
      <c r="CN44" s="584">
        <f>IF(AND(Projects!$C$38&lt;=CN$4,CN$4&lt;=Projects!$C$38+Projects!$D$38-1),Projects!$B$38/Projects!$D$38,"")</f>
      </c>
      <c r="CO44" s="584">
        <f>IF(AND(Projects!$C$38&lt;=CO$4,CO$4&lt;=Projects!$C$38+Projects!$D$38-1),Projects!$B$38/Projects!$D$38,"")</f>
      </c>
      <c r="CP44" s="584">
        <f>IF(AND(Projects!$C$38&lt;=CP$4,CP$4&lt;=Projects!$C$38+Projects!$D$38-1),Projects!$B$38/Projects!$D$38,"")</f>
      </c>
      <c r="CQ44" s="584">
        <f>IF(AND(Projects!$C$38&lt;=CQ$4,CQ$4&lt;=Projects!$C$38+Projects!$D$38-1),Projects!$B$38/Projects!$D$38,"")</f>
      </c>
      <c r="CR44" s="584">
        <f>IF(AND(Projects!$C$38&lt;=CR$4,CR$4&lt;=Projects!$C$38+Projects!$D$38-1),Projects!$B$38/Projects!$D$38,"")</f>
      </c>
      <c r="CS44" s="584">
        <f>IF(AND(Projects!$C$38&lt;=CS$4,CS$4&lt;=Projects!$C$38+Projects!$D$38-1),Projects!$B$38/Projects!$D$38,"")</f>
      </c>
      <c r="CT44" s="584">
        <f>IF(AND(Projects!$C$38&lt;=CT$4,CT$4&lt;=Projects!$C$38+Projects!$D$38-1),Projects!$B$38/Projects!$D$38,"")</f>
      </c>
      <c r="CU44" s="584">
        <f>IF(AND(Projects!$C$38&lt;=CU$4,CU$4&lt;=Projects!$C$38+Projects!$D$38-1),Projects!$B$38/Projects!$D$38,"")</f>
      </c>
      <c r="CV44" s="584">
        <f>IF(AND(Projects!$C$38&lt;=CV$4,CV$4&lt;=Projects!$C$38+Projects!$D$38-1),Projects!$B$38/Projects!$D$38,"")</f>
      </c>
      <c r="CW44" s="584">
        <f>IF(AND(Projects!$C$38&lt;=CW$4,CW$4&lt;=Projects!$C$38+Projects!$D$38-1),Projects!$B$38/Projects!$D$38,"")</f>
      </c>
      <c r="CX44" s="584">
        <f>IF(AND(Projects!$C$38&lt;=CX$4,CX$4&lt;=Projects!$C$38+Projects!$D$38-1),Projects!$B$38/Projects!$D$38,"")</f>
      </c>
      <c r="CY44" s="584">
        <f>IF(AND(Projects!$C$38&lt;=CY$4,CY$4&lt;=Projects!$C$38+Projects!$D$38-1),Projects!$B$38/Projects!$D$38,"")</f>
      </c>
      <c r="CZ44" s="584">
        <f>IF(AND(Projects!$C$38&lt;=CZ$4,CZ$4&lt;=Projects!$C$38+Projects!$D$38-1),Projects!$B$38/Projects!$D$38,"")</f>
      </c>
      <c r="DA44" s="584">
        <f>IF(AND(Projects!$C$38&lt;=DA$4,DA$4&lt;=Projects!$C$38+Projects!$D$38-1),Projects!$B$38/Projects!$D$38,"")</f>
      </c>
      <c r="DB44" s="584">
        <f>IF(AND(Projects!$C$38&lt;=DB$4,DB$4&lt;=Projects!$C$38+Projects!$D$38-1),Projects!$B$38/Projects!$D$38,"")</f>
      </c>
    </row>
    <row r="45" ht="15" customFormat="1" customHeight="1" s="381">
      <c r="A45" s="513" t="inlineStr">
        <is>
          <t>BD-23</t>
        </is>
      </c>
      <c r="B45" s="581">
        <f>Projects!$B$39</f>
        <v>18000000</v>
      </c>
      <c r="C45" s="582">
        <f>EDATE(Model!$E$2,Projects!$C$39-1)</f>
        <v>47574</v>
      </c>
      <c r="D45" s="582">
        <f>EDATE(Model!$E$2,Projects!$C$39+Projects!$D$39-2)</f>
        <v>48122</v>
      </c>
      <c r="E45" s="583">
        <f>Projects!$D$39</f>
        <v>19</v>
      </c>
      <c r="F45" s="581">
        <f>Projects!$B$39/Projects!$D$39</f>
        <v>947368.421052632</v>
      </c>
      <c r="G45" s="584">
        <f>IF(AND(Projects!$C$39&lt;=G$4,G$4&lt;=Projects!$C$39+Projects!$D$39-1),Projects!$B$39/Projects!$D$39,"")</f>
      </c>
      <c r="H45" s="584">
        <f>IF(AND(Projects!$C$39&lt;=H$4,H$4&lt;=Projects!$C$39+Projects!$D$39-1),Projects!$B$39/Projects!$D$39,"")</f>
      </c>
      <c r="I45" s="584">
        <f>IF(AND(Projects!$C$39&lt;=I$4,I$4&lt;=Projects!$C$39+Projects!$D$39-1),Projects!$B$39/Projects!$D$39,"")</f>
      </c>
      <c r="J45" s="584">
        <f>IF(AND(Projects!$C$39&lt;=J$4,J$4&lt;=Projects!$C$39+Projects!$D$39-1),Projects!$B$39/Projects!$D$39,"")</f>
      </c>
      <c r="K45" s="584">
        <f>IF(AND(Projects!$C$39&lt;=K$4,K$4&lt;=Projects!$C$39+Projects!$D$39-1),Projects!$B$39/Projects!$D$39,"")</f>
      </c>
      <c r="L45" s="584">
        <f>IF(AND(Projects!$C$39&lt;=L$4,L$4&lt;=Projects!$C$39+Projects!$D$39-1),Projects!$B$39/Projects!$D$39,"")</f>
      </c>
      <c r="M45" s="584">
        <f>IF(AND(Projects!$C$39&lt;=M$4,M$4&lt;=Projects!$C$39+Projects!$D$39-1),Projects!$B$39/Projects!$D$39,"")</f>
      </c>
      <c r="N45" s="584">
        <f>IF(AND(Projects!$C$39&lt;=N$4,N$4&lt;=Projects!$C$39+Projects!$D$39-1),Projects!$B$39/Projects!$D$39,"")</f>
      </c>
      <c r="O45" s="584">
        <f>IF(AND(Projects!$C$39&lt;=O$4,O$4&lt;=Projects!$C$39+Projects!$D$39-1),Projects!$B$39/Projects!$D$39,"")</f>
      </c>
      <c r="P45" s="584">
        <f>IF(AND(Projects!$C$39&lt;=P$4,P$4&lt;=Projects!$C$39+Projects!$D$39-1),Projects!$B$39/Projects!$D$39,"")</f>
      </c>
      <c r="Q45" s="584">
        <f>IF(AND(Projects!$C$39&lt;=Q$4,Q$4&lt;=Projects!$C$39+Projects!$D$39-1),Projects!$B$39/Projects!$D$39,"")</f>
      </c>
      <c r="R45" s="584">
        <f>IF(AND(Projects!$C$39&lt;=R$4,R$4&lt;=Projects!$C$39+Projects!$D$39-1),Projects!$B$39/Projects!$D$39,"")</f>
      </c>
      <c r="S45" s="584">
        <f>IF(AND(Projects!$C$39&lt;=S$4,S$4&lt;=Projects!$C$39+Projects!$D$39-1),Projects!$B$39/Projects!$D$39,"")</f>
      </c>
      <c r="T45" s="584">
        <f>IF(AND(Projects!$C$39&lt;=T$4,T$4&lt;=Projects!$C$39+Projects!$D$39-1),Projects!$B$39/Projects!$D$39,"")</f>
      </c>
      <c r="U45" s="584">
        <f>IF(AND(Projects!$C$39&lt;=U$4,U$4&lt;=Projects!$C$39+Projects!$D$39-1),Projects!$B$39/Projects!$D$39,"")</f>
      </c>
      <c r="V45" s="584">
        <f>IF(AND(Projects!$C$39&lt;=V$4,V$4&lt;=Projects!$C$39+Projects!$D$39-1),Projects!$B$39/Projects!$D$39,"")</f>
      </c>
      <c r="W45" s="584">
        <f>IF(AND(Projects!$C$39&lt;=W$4,W$4&lt;=Projects!$C$39+Projects!$D$39-1),Projects!$B$39/Projects!$D$39,"")</f>
      </c>
      <c r="X45" s="584">
        <f>IF(AND(Projects!$C$39&lt;=X$4,X$4&lt;=Projects!$C$39+Projects!$D$39-1),Projects!$B$39/Projects!$D$39,"")</f>
      </c>
      <c r="Y45" s="584">
        <f>IF(AND(Projects!$C$39&lt;=Y$4,Y$4&lt;=Projects!$C$39+Projects!$D$39-1),Projects!$B$39/Projects!$D$39,"")</f>
      </c>
      <c r="Z45" s="584">
        <f>IF(AND(Projects!$C$39&lt;=Z$4,Z$4&lt;=Projects!$C$39+Projects!$D$39-1),Projects!$B$39/Projects!$D$39,"")</f>
      </c>
      <c r="AA45" s="584">
        <f>IF(AND(Projects!$C$39&lt;=AA$4,AA$4&lt;=Projects!$C$39+Projects!$D$39-1),Projects!$B$39/Projects!$D$39,"")</f>
      </c>
      <c r="AB45" s="584">
        <f>IF(AND(Projects!$C$39&lt;=AB$4,AB$4&lt;=Projects!$C$39+Projects!$D$39-1),Projects!$B$39/Projects!$D$39,"")</f>
      </c>
      <c r="AC45" s="584">
        <f>IF(AND(Projects!$C$39&lt;=AC$4,AC$4&lt;=Projects!$C$39+Projects!$D$39-1),Projects!$B$39/Projects!$D$39,"")</f>
      </c>
      <c r="AD45" s="584">
        <f>IF(AND(Projects!$C$39&lt;=AD$4,AD$4&lt;=Projects!$C$39+Projects!$D$39-1),Projects!$B$39/Projects!$D$39,"")</f>
      </c>
      <c r="AE45" s="584">
        <f>IF(AND(Projects!$C$39&lt;=AE$4,AE$4&lt;=Projects!$C$39+Projects!$D$39-1),Projects!$B$39/Projects!$D$39,"")</f>
      </c>
      <c r="AF45" s="584">
        <f>IF(AND(Projects!$C$39&lt;=AF$4,AF$4&lt;=Projects!$C$39+Projects!$D$39-1),Projects!$B$39/Projects!$D$39,"")</f>
      </c>
      <c r="AG45" s="584">
        <f>IF(AND(Projects!$C$39&lt;=AG$4,AG$4&lt;=Projects!$C$39+Projects!$D$39-1),Projects!$B$39/Projects!$D$39,"")</f>
      </c>
      <c r="AH45" s="584">
        <f>IF(AND(Projects!$C$39&lt;=AH$4,AH$4&lt;=Projects!$C$39+Projects!$D$39-1),Projects!$B$39/Projects!$D$39,"")</f>
      </c>
      <c r="AI45" s="584">
        <f>IF(AND(Projects!$C$39&lt;=AI$4,AI$4&lt;=Projects!$C$39+Projects!$D$39-1),Projects!$B$39/Projects!$D$39,"")</f>
      </c>
      <c r="AJ45" s="584">
        <f>IF(AND(Projects!$C$39&lt;=AJ$4,AJ$4&lt;=Projects!$C$39+Projects!$D$39-1),Projects!$B$39/Projects!$D$39,"")</f>
      </c>
      <c r="AK45" s="584">
        <f>IF(AND(Projects!$C$39&lt;=AK$4,AK$4&lt;=Projects!$C$39+Projects!$D$39-1),Projects!$B$39/Projects!$D$39,"")</f>
      </c>
      <c r="AL45" s="584">
        <f>IF(AND(Projects!$C$39&lt;=AL$4,AL$4&lt;=Projects!$C$39+Projects!$D$39-1),Projects!$B$39/Projects!$D$39,"")</f>
      </c>
      <c r="AM45" s="584">
        <f>IF(AND(Projects!$C$39&lt;=AM$4,AM$4&lt;=Projects!$C$39+Projects!$D$39-1),Projects!$B$39/Projects!$D$39,"")</f>
      </c>
      <c r="AN45" s="584">
        <f>IF(AND(Projects!$C$39&lt;=AN$4,AN$4&lt;=Projects!$C$39+Projects!$D$39-1),Projects!$B$39/Projects!$D$39,"")</f>
      </c>
      <c r="AO45" s="584">
        <f>IF(AND(Projects!$C$39&lt;=AO$4,AO$4&lt;=Projects!$C$39+Projects!$D$39-1),Projects!$B$39/Projects!$D$39,"")</f>
      </c>
      <c r="AP45" s="584">
        <f>IF(AND(Projects!$C$39&lt;=AP$4,AP$4&lt;=Projects!$C$39+Projects!$D$39-1),Projects!$B$39/Projects!$D$39,"")</f>
      </c>
      <c r="AQ45" s="584">
        <f>IF(AND(Projects!$C$39&lt;=AQ$4,AQ$4&lt;=Projects!$C$39+Projects!$D$39-1),Projects!$B$39/Projects!$D$39,"")</f>
      </c>
      <c r="AR45" s="584">
        <f>IF(AND(Projects!$C$39&lt;=AR$4,AR$4&lt;=Projects!$C$39+Projects!$D$39-1),Projects!$B$39/Projects!$D$39,"")</f>
      </c>
      <c r="AS45" s="584">
        <f>IF(AND(Projects!$C$39&lt;=AS$4,AS$4&lt;=Projects!$C$39+Projects!$D$39-1),Projects!$B$39/Projects!$D$39,"")</f>
      </c>
      <c r="AT45" s="584">
        <f>IF(AND(Projects!$C$39&lt;=AT$4,AT$4&lt;=Projects!$C$39+Projects!$D$39-1),Projects!$B$39/Projects!$D$39,"")</f>
      </c>
      <c r="AU45" s="584">
        <f>IF(AND(Projects!$C$39&lt;=AU$4,AU$4&lt;=Projects!$C$39+Projects!$D$39-1),Projects!$B$39/Projects!$D$39,"")</f>
      </c>
      <c r="AV45" s="584">
        <f>IF(AND(Projects!$C$39&lt;=AV$4,AV$4&lt;=Projects!$C$39+Projects!$D$39-1),Projects!$B$39/Projects!$D$39,"")</f>
      </c>
      <c r="AW45" s="584">
        <f>IF(AND(Projects!$C$39&lt;=AW$4,AW$4&lt;=Projects!$C$39+Projects!$D$39-1),Projects!$B$39/Projects!$D$39,"")</f>
      </c>
      <c r="AX45" s="584">
        <f>IF(AND(Projects!$C$39&lt;=AX$4,AX$4&lt;=Projects!$C$39+Projects!$D$39-1),Projects!$B$39/Projects!$D$39,"")</f>
      </c>
      <c r="AY45" s="584">
        <f>IF(AND(Projects!$C$39&lt;=AY$4,AY$4&lt;=Projects!$C$39+Projects!$D$39-1),Projects!$B$39/Projects!$D$39,"")</f>
      </c>
      <c r="AZ45" s="584">
        <f>IF(AND(Projects!$C$39&lt;=AZ$4,AZ$4&lt;=Projects!$C$39+Projects!$D$39-1),Projects!$B$39/Projects!$D$39,"")</f>
      </c>
      <c r="BA45" s="584">
        <f>IF(AND(Projects!$C$39&lt;=BA$4,BA$4&lt;=Projects!$C$39+Projects!$D$39-1),Projects!$B$39/Projects!$D$39,"")</f>
      </c>
      <c r="BB45" s="584">
        <f>IF(AND(Projects!$C$39&lt;=BB$4,BB$4&lt;=Projects!$C$39+Projects!$D$39-1),Projects!$B$39/Projects!$D$39,"")</f>
      </c>
      <c r="BC45" s="584">
        <f>IF(AND(Projects!$C$39&lt;=BC$4,BC$4&lt;=Projects!$C$39+Projects!$D$39-1),Projects!$B$39/Projects!$D$39,"")</f>
        <v>947368.421052632</v>
      </c>
      <c r="BD45" s="584">
        <f>IF(AND(Projects!$C$39&lt;=BD$4,BD$4&lt;=Projects!$C$39+Projects!$D$39-1),Projects!$B$39/Projects!$D$39,"")</f>
        <v>947368.421052632</v>
      </c>
      <c r="BE45" s="584">
        <f>IF(AND(Projects!$C$39&lt;=BE$4,BE$4&lt;=Projects!$C$39+Projects!$D$39-1),Projects!$B$39/Projects!$D$39,"")</f>
        <v>947368.421052632</v>
      </c>
      <c r="BF45" s="584">
        <f>IF(AND(Projects!$C$39&lt;=BF$4,BF$4&lt;=Projects!$C$39+Projects!$D$39-1),Projects!$B$39/Projects!$D$39,"")</f>
        <v>947368.421052632</v>
      </c>
      <c r="BG45" s="584">
        <f>IF(AND(Projects!$C$39&lt;=BG$4,BG$4&lt;=Projects!$C$39+Projects!$D$39-1),Projects!$B$39/Projects!$D$39,"")</f>
        <v>947368.421052632</v>
      </c>
      <c r="BH45" s="584">
        <f>IF(AND(Projects!$C$39&lt;=BH$4,BH$4&lt;=Projects!$C$39+Projects!$D$39-1),Projects!$B$39/Projects!$D$39,"")</f>
        <v>947368.421052632</v>
      </c>
      <c r="BI45" s="584">
        <f>IF(AND(Projects!$C$39&lt;=BI$4,BI$4&lt;=Projects!$C$39+Projects!$D$39-1),Projects!$B$39/Projects!$D$39,"")</f>
        <v>947368.421052632</v>
      </c>
      <c r="BJ45" s="584">
        <f>IF(AND(Projects!$C$39&lt;=BJ$4,BJ$4&lt;=Projects!$C$39+Projects!$D$39-1),Projects!$B$39/Projects!$D$39,"")</f>
        <v>947368.421052632</v>
      </c>
      <c r="BK45" s="584">
        <f>IF(AND(Projects!$C$39&lt;=BK$4,BK$4&lt;=Projects!$C$39+Projects!$D$39-1),Projects!$B$39/Projects!$D$39,"")</f>
        <v>947368.421052632</v>
      </c>
      <c r="BL45" s="584">
        <f>IF(AND(Projects!$C$39&lt;=BL$4,BL$4&lt;=Projects!$C$39+Projects!$D$39-1),Projects!$B$39/Projects!$D$39,"")</f>
        <v>947368.421052632</v>
      </c>
      <c r="BM45" s="584">
        <f>IF(AND(Projects!$C$39&lt;=BM$4,BM$4&lt;=Projects!$C$39+Projects!$D$39-1),Projects!$B$39/Projects!$D$39,"")</f>
        <v>947368.421052632</v>
      </c>
      <c r="BN45" s="584">
        <f>IF(AND(Projects!$C$39&lt;=BN$4,BN$4&lt;=Projects!$C$39+Projects!$D$39-1),Projects!$B$39/Projects!$D$39,"")</f>
        <v>947368.421052632</v>
      </c>
      <c r="BO45" s="584">
        <f>IF(AND(Projects!$C$39&lt;=BO$4,BO$4&lt;=Projects!$C$39+Projects!$D$39-1),Projects!$B$39/Projects!$D$39,"")</f>
        <v>947368.421052632</v>
      </c>
      <c r="BP45" s="584">
        <f>IF(AND(Projects!$C$39&lt;=BP$4,BP$4&lt;=Projects!$C$39+Projects!$D$39-1),Projects!$B$39/Projects!$D$39,"")</f>
        <v>947368.421052632</v>
      </c>
      <c r="BQ45" s="584">
        <f>IF(AND(Projects!$C$39&lt;=BQ$4,BQ$4&lt;=Projects!$C$39+Projects!$D$39-1),Projects!$B$39/Projects!$D$39,"")</f>
        <v>947368.421052632</v>
      </c>
      <c r="BR45" s="584">
        <f>IF(AND(Projects!$C$39&lt;=BR$4,BR$4&lt;=Projects!$C$39+Projects!$D$39-1),Projects!$B$39/Projects!$D$39,"")</f>
        <v>947368.421052632</v>
      </c>
      <c r="BS45" s="584">
        <f>IF(AND(Projects!$C$39&lt;=BS$4,BS$4&lt;=Projects!$C$39+Projects!$D$39-1),Projects!$B$39/Projects!$D$39,"")</f>
        <v>947368.421052632</v>
      </c>
      <c r="BT45" s="584">
        <f>IF(AND(Projects!$C$39&lt;=BT$4,BT$4&lt;=Projects!$C$39+Projects!$D$39-1),Projects!$B$39/Projects!$D$39,"")</f>
        <v>947368.421052632</v>
      </c>
      <c r="BU45" s="584">
        <f>IF(AND(Projects!$C$39&lt;=BU$4,BU$4&lt;=Projects!$C$39+Projects!$D$39-1),Projects!$B$39/Projects!$D$39,"")</f>
        <v>947368.421052632</v>
      </c>
      <c r="BV45" s="584">
        <f>IF(AND(Projects!$C$39&lt;=BV$4,BV$4&lt;=Projects!$C$39+Projects!$D$39-1),Projects!$B$39/Projects!$D$39,"")</f>
      </c>
      <c r="BW45" s="584">
        <f>IF(AND(Projects!$C$39&lt;=BW$4,BW$4&lt;=Projects!$C$39+Projects!$D$39-1),Projects!$B$39/Projects!$D$39,"")</f>
      </c>
      <c r="BX45" s="584">
        <f>IF(AND(Projects!$C$39&lt;=BX$4,BX$4&lt;=Projects!$C$39+Projects!$D$39-1),Projects!$B$39/Projects!$D$39,"")</f>
      </c>
      <c r="BY45" s="584">
        <f>IF(AND(Projects!$C$39&lt;=BY$4,BY$4&lt;=Projects!$C$39+Projects!$D$39-1),Projects!$B$39/Projects!$D$39,"")</f>
      </c>
      <c r="BZ45" s="584">
        <f>IF(AND(Projects!$C$39&lt;=BZ$4,BZ$4&lt;=Projects!$C$39+Projects!$D$39-1),Projects!$B$39/Projects!$D$39,"")</f>
      </c>
      <c r="CA45" s="584">
        <f>IF(AND(Projects!$C$39&lt;=CA$4,CA$4&lt;=Projects!$C$39+Projects!$D$39-1),Projects!$B$39/Projects!$D$39,"")</f>
      </c>
      <c r="CB45" s="584">
        <f>IF(AND(Projects!$C$39&lt;=CB$4,CB$4&lt;=Projects!$C$39+Projects!$D$39-1),Projects!$B$39/Projects!$D$39,"")</f>
      </c>
      <c r="CC45" s="584">
        <f>IF(AND(Projects!$C$39&lt;=CC$4,CC$4&lt;=Projects!$C$39+Projects!$D$39-1),Projects!$B$39/Projects!$D$39,"")</f>
      </c>
      <c r="CD45" s="584">
        <f>IF(AND(Projects!$C$39&lt;=CD$4,CD$4&lt;=Projects!$C$39+Projects!$D$39-1),Projects!$B$39/Projects!$D$39,"")</f>
      </c>
      <c r="CE45" s="584">
        <f>IF(AND(Projects!$C$39&lt;=CE$4,CE$4&lt;=Projects!$C$39+Projects!$D$39-1),Projects!$B$39/Projects!$D$39,"")</f>
      </c>
      <c r="CF45" s="584">
        <f>IF(AND(Projects!$C$39&lt;=CF$4,CF$4&lt;=Projects!$C$39+Projects!$D$39-1),Projects!$B$39/Projects!$D$39,"")</f>
      </c>
      <c r="CG45" s="584">
        <f>IF(AND(Projects!$C$39&lt;=CG$4,CG$4&lt;=Projects!$C$39+Projects!$D$39-1),Projects!$B$39/Projects!$D$39,"")</f>
      </c>
      <c r="CH45" s="584">
        <f>IF(AND(Projects!$C$39&lt;=CH$4,CH$4&lt;=Projects!$C$39+Projects!$D$39-1),Projects!$B$39/Projects!$D$39,"")</f>
      </c>
      <c r="CI45" s="584">
        <f>IF(AND(Projects!$C$39&lt;=CI$4,CI$4&lt;=Projects!$C$39+Projects!$D$39-1),Projects!$B$39/Projects!$D$39,"")</f>
      </c>
      <c r="CJ45" s="584">
        <f>IF(AND(Projects!$C$39&lt;=CJ$4,CJ$4&lt;=Projects!$C$39+Projects!$D$39-1),Projects!$B$39/Projects!$D$39,"")</f>
      </c>
      <c r="CK45" s="584">
        <f>IF(AND(Projects!$C$39&lt;=CK$4,CK$4&lt;=Projects!$C$39+Projects!$D$39-1),Projects!$B$39/Projects!$D$39,"")</f>
      </c>
      <c r="CL45" s="584">
        <f>IF(AND(Projects!$C$39&lt;=CL$4,CL$4&lt;=Projects!$C$39+Projects!$D$39-1),Projects!$B$39/Projects!$D$39,"")</f>
      </c>
      <c r="CM45" s="584">
        <f>IF(AND(Projects!$C$39&lt;=CM$4,CM$4&lt;=Projects!$C$39+Projects!$D$39-1),Projects!$B$39/Projects!$D$39,"")</f>
      </c>
      <c r="CN45" s="584">
        <f>IF(AND(Projects!$C$39&lt;=CN$4,CN$4&lt;=Projects!$C$39+Projects!$D$39-1),Projects!$B$39/Projects!$D$39,"")</f>
      </c>
      <c r="CO45" s="584">
        <f>IF(AND(Projects!$C$39&lt;=CO$4,CO$4&lt;=Projects!$C$39+Projects!$D$39-1),Projects!$B$39/Projects!$D$39,"")</f>
      </c>
      <c r="CP45" s="584">
        <f>IF(AND(Projects!$C$39&lt;=CP$4,CP$4&lt;=Projects!$C$39+Projects!$D$39-1),Projects!$B$39/Projects!$D$39,"")</f>
      </c>
      <c r="CQ45" s="584">
        <f>IF(AND(Projects!$C$39&lt;=CQ$4,CQ$4&lt;=Projects!$C$39+Projects!$D$39-1),Projects!$B$39/Projects!$D$39,"")</f>
      </c>
      <c r="CR45" s="584">
        <f>IF(AND(Projects!$C$39&lt;=CR$4,CR$4&lt;=Projects!$C$39+Projects!$D$39-1),Projects!$B$39/Projects!$D$39,"")</f>
      </c>
      <c r="CS45" s="584">
        <f>IF(AND(Projects!$C$39&lt;=CS$4,CS$4&lt;=Projects!$C$39+Projects!$D$39-1),Projects!$B$39/Projects!$D$39,"")</f>
      </c>
      <c r="CT45" s="584">
        <f>IF(AND(Projects!$C$39&lt;=CT$4,CT$4&lt;=Projects!$C$39+Projects!$D$39-1),Projects!$B$39/Projects!$D$39,"")</f>
      </c>
      <c r="CU45" s="584">
        <f>IF(AND(Projects!$C$39&lt;=CU$4,CU$4&lt;=Projects!$C$39+Projects!$D$39-1),Projects!$B$39/Projects!$D$39,"")</f>
      </c>
      <c r="CV45" s="584">
        <f>IF(AND(Projects!$C$39&lt;=CV$4,CV$4&lt;=Projects!$C$39+Projects!$D$39-1),Projects!$B$39/Projects!$D$39,"")</f>
      </c>
      <c r="CW45" s="584">
        <f>IF(AND(Projects!$C$39&lt;=CW$4,CW$4&lt;=Projects!$C$39+Projects!$D$39-1),Projects!$B$39/Projects!$D$39,"")</f>
      </c>
      <c r="CX45" s="584">
        <f>IF(AND(Projects!$C$39&lt;=CX$4,CX$4&lt;=Projects!$C$39+Projects!$D$39-1),Projects!$B$39/Projects!$D$39,"")</f>
      </c>
      <c r="CY45" s="584">
        <f>IF(AND(Projects!$C$39&lt;=CY$4,CY$4&lt;=Projects!$C$39+Projects!$D$39-1),Projects!$B$39/Projects!$D$39,"")</f>
      </c>
      <c r="CZ45" s="584">
        <f>IF(AND(Projects!$C$39&lt;=CZ$4,CZ$4&lt;=Projects!$C$39+Projects!$D$39-1),Projects!$B$39/Projects!$D$39,"")</f>
      </c>
      <c r="DA45" s="584">
        <f>IF(AND(Projects!$C$39&lt;=DA$4,DA$4&lt;=Projects!$C$39+Projects!$D$39-1),Projects!$B$39/Projects!$D$39,"")</f>
      </c>
      <c r="DB45" s="584">
        <f>IF(AND(Projects!$C$39&lt;=DB$4,DB$4&lt;=Projects!$C$39+Projects!$D$39-1),Projects!$B$39/Projects!$D$39,"")</f>
      </c>
    </row>
    <row r="46" ht="15" customFormat="1" customHeight="1" s="381">
      <c r="A46" s="513" t="inlineStr">
        <is>
          <t>BD-24</t>
        </is>
      </c>
      <c r="B46" s="581">
        <f>Projects!$B$40</f>
        <v>15000000</v>
      </c>
      <c r="C46" s="582">
        <f>EDATE(Model!$E$2,Projects!$C$40-1)</f>
        <v>47604</v>
      </c>
      <c r="D46" s="582">
        <f>EDATE(Model!$E$2,Projects!$C$40+Projects!$D$40-2)</f>
        <v>48153</v>
      </c>
      <c r="E46" s="583">
        <f>Projects!$D$40</f>
        <v>19</v>
      </c>
      <c r="F46" s="581">
        <f>Projects!$B$40/Projects!$D$40</f>
        <v>789473.684210526</v>
      </c>
      <c r="G46" s="584">
        <f>IF(AND(Projects!$C$40&lt;=G$4,G$4&lt;=Projects!$C$40+Projects!$D$40-1),Projects!$B$40/Projects!$D$40,"")</f>
      </c>
      <c r="H46" s="584">
        <f>IF(AND(Projects!$C$40&lt;=H$4,H$4&lt;=Projects!$C$40+Projects!$D$40-1),Projects!$B$40/Projects!$D$40,"")</f>
      </c>
      <c r="I46" s="584">
        <f>IF(AND(Projects!$C$40&lt;=I$4,I$4&lt;=Projects!$C$40+Projects!$D$40-1),Projects!$B$40/Projects!$D$40,"")</f>
      </c>
      <c r="J46" s="584">
        <f>IF(AND(Projects!$C$40&lt;=J$4,J$4&lt;=Projects!$C$40+Projects!$D$40-1),Projects!$B$40/Projects!$D$40,"")</f>
      </c>
      <c r="K46" s="584">
        <f>IF(AND(Projects!$C$40&lt;=K$4,K$4&lt;=Projects!$C$40+Projects!$D$40-1),Projects!$B$40/Projects!$D$40,"")</f>
      </c>
      <c r="L46" s="584">
        <f>IF(AND(Projects!$C$40&lt;=L$4,L$4&lt;=Projects!$C$40+Projects!$D$40-1),Projects!$B$40/Projects!$D$40,"")</f>
      </c>
      <c r="M46" s="584">
        <f>IF(AND(Projects!$C$40&lt;=M$4,M$4&lt;=Projects!$C$40+Projects!$D$40-1),Projects!$B$40/Projects!$D$40,"")</f>
      </c>
      <c r="N46" s="584">
        <f>IF(AND(Projects!$C$40&lt;=N$4,N$4&lt;=Projects!$C$40+Projects!$D$40-1),Projects!$B$40/Projects!$D$40,"")</f>
      </c>
      <c r="O46" s="584">
        <f>IF(AND(Projects!$C$40&lt;=O$4,O$4&lt;=Projects!$C$40+Projects!$D$40-1),Projects!$B$40/Projects!$D$40,"")</f>
      </c>
      <c r="P46" s="584">
        <f>IF(AND(Projects!$C$40&lt;=P$4,P$4&lt;=Projects!$C$40+Projects!$D$40-1),Projects!$B$40/Projects!$D$40,"")</f>
      </c>
      <c r="Q46" s="584">
        <f>IF(AND(Projects!$C$40&lt;=Q$4,Q$4&lt;=Projects!$C$40+Projects!$D$40-1),Projects!$B$40/Projects!$D$40,"")</f>
      </c>
      <c r="R46" s="584">
        <f>IF(AND(Projects!$C$40&lt;=R$4,R$4&lt;=Projects!$C$40+Projects!$D$40-1),Projects!$B$40/Projects!$D$40,"")</f>
      </c>
      <c r="S46" s="584">
        <f>IF(AND(Projects!$C$40&lt;=S$4,S$4&lt;=Projects!$C$40+Projects!$D$40-1),Projects!$B$40/Projects!$D$40,"")</f>
      </c>
      <c r="T46" s="584">
        <f>IF(AND(Projects!$C$40&lt;=T$4,T$4&lt;=Projects!$C$40+Projects!$D$40-1),Projects!$B$40/Projects!$D$40,"")</f>
      </c>
      <c r="U46" s="584">
        <f>IF(AND(Projects!$C$40&lt;=U$4,U$4&lt;=Projects!$C$40+Projects!$D$40-1),Projects!$B$40/Projects!$D$40,"")</f>
      </c>
      <c r="V46" s="584">
        <f>IF(AND(Projects!$C$40&lt;=V$4,V$4&lt;=Projects!$C$40+Projects!$D$40-1),Projects!$B$40/Projects!$D$40,"")</f>
      </c>
      <c r="W46" s="584">
        <f>IF(AND(Projects!$C$40&lt;=W$4,W$4&lt;=Projects!$C$40+Projects!$D$40-1),Projects!$B$40/Projects!$D$40,"")</f>
      </c>
      <c r="X46" s="584">
        <f>IF(AND(Projects!$C$40&lt;=X$4,X$4&lt;=Projects!$C$40+Projects!$D$40-1),Projects!$B$40/Projects!$D$40,"")</f>
      </c>
      <c r="Y46" s="584">
        <f>IF(AND(Projects!$C$40&lt;=Y$4,Y$4&lt;=Projects!$C$40+Projects!$D$40-1),Projects!$B$40/Projects!$D$40,"")</f>
      </c>
      <c r="Z46" s="584">
        <f>IF(AND(Projects!$C$40&lt;=Z$4,Z$4&lt;=Projects!$C$40+Projects!$D$40-1),Projects!$B$40/Projects!$D$40,"")</f>
      </c>
      <c r="AA46" s="584">
        <f>IF(AND(Projects!$C$40&lt;=AA$4,AA$4&lt;=Projects!$C$40+Projects!$D$40-1),Projects!$B$40/Projects!$D$40,"")</f>
      </c>
      <c r="AB46" s="584">
        <f>IF(AND(Projects!$C$40&lt;=AB$4,AB$4&lt;=Projects!$C$40+Projects!$D$40-1),Projects!$B$40/Projects!$D$40,"")</f>
      </c>
      <c r="AC46" s="584">
        <f>IF(AND(Projects!$C$40&lt;=AC$4,AC$4&lt;=Projects!$C$40+Projects!$D$40-1),Projects!$B$40/Projects!$D$40,"")</f>
      </c>
      <c r="AD46" s="584">
        <f>IF(AND(Projects!$C$40&lt;=AD$4,AD$4&lt;=Projects!$C$40+Projects!$D$40-1),Projects!$B$40/Projects!$D$40,"")</f>
      </c>
      <c r="AE46" s="584">
        <f>IF(AND(Projects!$C$40&lt;=AE$4,AE$4&lt;=Projects!$C$40+Projects!$D$40-1),Projects!$B$40/Projects!$D$40,"")</f>
      </c>
      <c r="AF46" s="584">
        <f>IF(AND(Projects!$C$40&lt;=AF$4,AF$4&lt;=Projects!$C$40+Projects!$D$40-1),Projects!$B$40/Projects!$D$40,"")</f>
      </c>
      <c r="AG46" s="584">
        <f>IF(AND(Projects!$C$40&lt;=AG$4,AG$4&lt;=Projects!$C$40+Projects!$D$40-1),Projects!$B$40/Projects!$D$40,"")</f>
      </c>
      <c r="AH46" s="584">
        <f>IF(AND(Projects!$C$40&lt;=AH$4,AH$4&lt;=Projects!$C$40+Projects!$D$40-1),Projects!$B$40/Projects!$D$40,"")</f>
      </c>
      <c r="AI46" s="584">
        <f>IF(AND(Projects!$C$40&lt;=AI$4,AI$4&lt;=Projects!$C$40+Projects!$D$40-1),Projects!$B$40/Projects!$D$40,"")</f>
      </c>
      <c r="AJ46" s="584">
        <f>IF(AND(Projects!$C$40&lt;=AJ$4,AJ$4&lt;=Projects!$C$40+Projects!$D$40-1),Projects!$B$40/Projects!$D$40,"")</f>
      </c>
      <c r="AK46" s="584">
        <f>IF(AND(Projects!$C$40&lt;=AK$4,AK$4&lt;=Projects!$C$40+Projects!$D$40-1),Projects!$B$40/Projects!$D$40,"")</f>
      </c>
      <c r="AL46" s="584">
        <f>IF(AND(Projects!$C$40&lt;=AL$4,AL$4&lt;=Projects!$C$40+Projects!$D$40-1),Projects!$B$40/Projects!$D$40,"")</f>
      </c>
      <c r="AM46" s="584">
        <f>IF(AND(Projects!$C$40&lt;=AM$4,AM$4&lt;=Projects!$C$40+Projects!$D$40-1),Projects!$B$40/Projects!$D$40,"")</f>
      </c>
      <c r="AN46" s="584">
        <f>IF(AND(Projects!$C$40&lt;=AN$4,AN$4&lt;=Projects!$C$40+Projects!$D$40-1),Projects!$B$40/Projects!$D$40,"")</f>
      </c>
      <c r="AO46" s="584">
        <f>IF(AND(Projects!$C$40&lt;=AO$4,AO$4&lt;=Projects!$C$40+Projects!$D$40-1),Projects!$B$40/Projects!$D$40,"")</f>
      </c>
      <c r="AP46" s="584">
        <f>IF(AND(Projects!$C$40&lt;=AP$4,AP$4&lt;=Projects!$C$40+Projects!$D$40-1),Projects!$B$40/Projects!$D$40,"")</f>
      </c>
      <c r="AQ46" s="584">
        <f>IF(AND(Projects!$C$40&lt;=AQ$4,AQ$4&lt;=Projects!$C$40+Projects!$D$40-1),Projects!$B$40/Projects!$D$40,"")</f>
      </c>
      <c r="AR46" s="584">
        <f>IF(AND(Projects!$C$40&lt;=AR$4,AR$4&lt;=Projects!$C$40+Projects!$D$40-1),Projects!$B$40/Projects!$D$40,"")</f>
      </c>
      <c r="AS46" s="584">
        <f>IF(AND(Projects!$C$40&lt;=AS$4,AS$4&lt;=Projects!$C$40+Projects!$D$40-1),Projects!$B$40/Projects!$D$40,"")</f>
      </c>
      <c r="AT46" s="584">
        <f>IF(AND(Projects!$C$40&lt;=AT$4,AT$4&lt;=Projects!$C$40+Projects!$D$40-1),Projects!$B$40/Projects!$D$40,"")</f>
      </c>
      <c r="AU46" s="584">
        <f>IF(AND(Projects!$C$40&lt;=AU$4,AU$4&lt;=Projects!$C$40+Projects!$D$40-1),Projects!$B$40/Projects!$D$40,"")</f>
      </c>
      <c r="AV46" s="584">
        <f>IF(AND(Projects!$C$40&lt;=AV$4,AV$4&lt;=Projects!$C$40+Projects!$D$40-1),Projects!$B$40/Projects!$D$40,"")</f>
      </c>
      <c r="AW46" s="584">
        <f>IF(AND(Projects!$C$40&lt;=AW$4,AW$4&lt;=Projects!$C$40+Projects!$D$40-1),Projects!$B$40/Projects!$D$40,"")</f>
      </c>
      <c r="AX46" s="584">
        <f>IF(AND(Projects!$C$40&lt;=AX$4,AX$4&lt;=Projects!$C$40+Projects!$D$40-1),Projects!$B$40/Projects!$D$40,"")</f>
      </c>
      <c r="AY46" s="584">
        <f>IF(AND(Projects!$C$40&lt;=AY$4,AY$4&lt;=Projects!$C$40+Projects!$D$40-1),Projects!$B$40/Projects!$D$40,"")</f>
      </c>
      <c r="AZ46" s="584">
        <f>IF(AND(Projects!$C$40&lt;=AZ$4,AZ$4&lt;=Projects!$C$40+Projects!$D$40-1),Projects!$B$40/Projects!$D$40,"")</f>
      </c>
      <c r="BA46" s="584">
        <f>IF(AND(Projects!$C$40&lt;=BA$4,BA$4&lt;=Projects!$C$40+Projects!$D$40-1),Projects!$B$40/Projects!$D$40,"")</f>
      </c>
      <c r="BB46" s="584">
        <f>IF(AND(Projects!$C$40&lt;=BB$4,BB$4&lt;=Projects!$C$40+Projects!$D$40-1),Projects!$B$40/Projects!$D$40,"")</f>
      </c>
      <c r="BC46" s="584">
        <f>IF(AND(Projects!$C$40&lt;=BC$4,BC$4&lt;=Projects!$C$40+Projects!$D$40-1),Projects!$B$40/Projects!$D$40,"")</f>
      </c>
      <c r="BD46" s="584">
        <f>IF(AND(Projects!$C$40&lt;=BD$4,BD$4&lt;=Projects!$C$40+Projects!$D$40-1),Projects!$B$40/Projects!$D$40,"")</f>
        <v>789473.684210526</v>
      </c>
      <c r="BE46" s="584">
        <f>IF(AND(Projects!$C$40&lt;=BE$4,BE$4&lt;=Projects!$C$40+Projects!$D$40-1),Projects!$B$40/Projects!$D$40,"")</f>
        <v>789473.684210526</v>
      </c>
      <c r="BF46" s="584">
        <f>IF(AND(Projects!$C$40&lt;=BF$4,BF$4&lt;=Projects!$C$40+Projects!$D$40-1),Projects!$B$40/Projects!$D$40,"")</f>
        <v>789473.684210526</v>
      </c>
      <c r="BG46" s="584">
        <f>IF(AND(Projects!$C$40&lt;=BG$4,BG$4&lt;=Projects!$C$40+Projects!$D$40-1),Projects!$B$40/Projects!$D$40,"")</f>
        <v>789473.684210526</v>
      </c>
      <c r="BH46" s="584">
        <f>IF(AND(Projects!$C$40&lt;=BH$4,BH$4&lt;=Projects!$C$40+Projects!$D$40-1),Projects!$B$40/Projects!$D$40,"")</f>
        <v>789473.684210526</v>
      </c>
      <c r="BI46" s="584">
        <f>IF(AND(Projects!$C$40&lt;=BI$4,BI$4&lt;=Projects!$C$40+Projects!$D$40-1),Projects!$B$40/Projects!$D$40,"")</f>
        <v>789473.684210526</v>
      </c>
      <c r="BJ46" s="584">
        <f>IF(AND(Projects!$C$40&lt;=BJ$4,BJ$4&lt;=Projects!$C$40+Projects!$D$40-1),Projects!$B$40/Projects!$D$40,"")</f>
        <v>789473.684210526</v>
      </c>
      <c r="BK46" s="584">
        <f>IF(AND(Projects!$C$40&lt;=BK$4,BK$4&lt;=Projects!$C$40+Projects!$D$40-1),Projects!$B$40/Projects!$D$40,"")</f>
        <v>789473.684210526</v>
      </c>
      <c r="BL46" s="584">
        <f>IF(AND(Projects!$C$40&lt;=BL$4,BL$4&lt;=Projects!$C$40+Projects!$D$40-1),Projects!$B$40/Projects!$D$40,"")</f>
        <v>789473.684210526</v>
      </c>
      <c r="BM46" s="584">
        <f>IF(AND(Projects!$C$40&lt;=BM$4,BM$4&lt;=Projects!$C$40+Projects!$D$40-1),Projects!$B$40/Projects!$D$40,"")</f>
        <v>789473.684210526</v>
      </c>
      <c r="BN46" s="584">
        <f>IF(AND(Projects!$C$40&lt;=BN$4,BN$4&lt;=Projects!$C$40+Projects!$D$40-1),Projects!$B$40/Projects!$D$40,"")</f>
        <v>789473.684210526</v>
      </c>
      <c r="BO46" s="584">
        <f>IF(AND(Projects!$C$40&lt;=BO$4,BO$4&lt;=Projects!$C$40+Projects!$D$40-1),Projects!$B$40/Projects!$D$40,"")</f>
        <v>789473.684210526</v>
      </c>
      <c r="BP46" s="584">
        <f>IF(AND(Projects!$C$40&lt;=BP$4,BP$4&lt;=Projects!$C$40+Projects!$D$40-1),Projects!$B$40/Projects!$D$40,"")</f>
        <v>789473.684210526</v>
      </c>
      <c r="BQ46" s="584">
        <f>IF(AND(Projects!$C$40&lt;=BQ$4,BQ$4&lt;=Projects!$C$40+Projects!$D$40-1),Projects!$B$40/Projects!$D$40,"")</f>
        <v>789473.684210526</v>
      </c>
      <c r="BR46" s="584">
        <f>IF(AND(Projects!$C$40&lt;=BR$4,BR$4&lt;=Projects!$C$40+Projects!$D$40-1),Projects!$B$40/Projects!$D$40,"")</f>
        <v>789473.684210526</v>
      </c>
      <c r="BS46" s="584">
        <f>IF(AND(Projects!$C$40&lt;=BS$4,BS$4&lt;=Projects!$C$40+Projects!$D$40-1),Projects!$B$40/Projects!$D$40,"")</f>
        <v>789473.684210526</v>
      </c>
      <c r="BT46" s="584">
        <f>IF(AND(Projects!$C$40&lt;=BT$4,BT$4&lt;=Projects!$C$40+Projects!$D$40-1),Projects!$B$40/Projects!$D$40,"")</f>
        <v>789473.684210526</v>
      </c>
      <c r="BU46" s="584">
        <f>IF(AND(Projects!$C$40&lt;=BU$4,BU$4&lt;=Projects!$C$40+Projects!$D$40-1),Projects!$B$40/Projects!$D$40,"")</f>
        <v>789473.684210526</v>
      </c>
      <c r="BV46" s="584">
        <f>IF(AND(Projects!$C$40&lt;=BV$4,BV$4&lt;=Projects!$C$40+Projects!$D$40-1),Projects!$B$40/Projects!$D$40,"")</f>
        <v>789473.684210526</v>
      </c>
      <c r="BW46" s="584">
        <f>IF(AND(Projects!$C$40&lt;=BW$4,BW$4&lt;=Projects!$C$40+Projects!$D$40-1),Projects!$B$40/Projects!$D$40,"")</f>
      </c>
      <c r="BX46" s="584">
        <f>IF(AND(Projects!$C$40&lt;=BX$4,BX$4&lt;=Projects!$C$40+Projects!$D$40-1),Projects!$B$40/Projects!$D$40,"")</f>
      </c>
      <c r="BY46" s="584">
        <f>IF(AND(Projects!$C$40&lt;=BY$4,BY$4&lt;=Projects!$C$40+Projects!$D$40-1),Projects!$B$40/Projects!$D$40,"")</f>
      </c>
      <c r="BZ46" s="584">
        <f>IF(AND(Projects!$C$40&lt;=BZ$4,BZ$4&lt;=Projects!$C$40+Projects!$D$40-1),Projects!$B$40/Projects!$D$40,"")</f>
      </c>
      <c r="CA46" s="584">
        <f>IF(AND(Projects!$C$40&lt;=CA$4,CA$4&lt;=Projects!$C$40+Projects!$D$40-1),Projects!$B$40/Projects!$D$40,"")</f>
      </c>
      <c r="CB46" s="584">
        <f>IF(AND(Projects!$C$40&lt;=CB$4,CB$4&lt;=Projects!$C$40+Projects!$D$40-1),Projects!$B$40/Projects!$D$40,"")</f>
      </c>
      <c r="CC46" s="584">
        <f>IF(AND(Projects!$C$40&lt;=CC$4,CC$4&lt;=Projects!$C$40+Projects!$D$40-1),Projects!$B$40/Projects!$D$40,"")</f>
      </c>
      <c r="CD46" s="584">
        <f>IF(AND(Projects!$C$40&lt;=CD$4,CD$4&lt;=Projects!$C$40+Projects!$D$40-1),Projects!$B$40/Projects!$D$40,"")</f>
      </c>
      <c r="CE46" s="584">
        <f>IF(AND(Projects!$C$40&lt;=CE$4,CE$4&lt;=Projects!$C$40+Projects!$D$40-1),Projects!$B$40/Projects!$D$40,"")</f>
      </c>
      <c r="CF46" s="584">
        <f>IF(AND(Projects!$C$40&lt;=CF$4,CF$4&lt;=Projects!$C$40+Projects!$D$40-1),Projects!$B$40/Projects!$D$40,"")</f>
      </c>
      <c r="CG46" s="584">
        <f>IF(AND(Projects!$C$40&lt;=CG$4,CG$4&lt;=Projects!$C$40+Projects!$D$40-1),Projects!$B$40/Projects!$D$40,"")</f>
      </c>
      <c r="CH46" s="584">
        <f>IF(AND(Projects!$C$40&lt;=CH$4,CH$4&lt;=Projects!$C$40+Projects!$D$40-1),Projects!$B$40/Projects!$D$40,"")</f>
      </c>
      <c r="CI46" s="584">
        <f>IF(AND(Projects!$C$40&lt;=CI$4,CI$4&lt;=Projects!$C$40+Projects!$D$40-1),Projects!$B$40/Projects!$D$40,"")</f>
      </c>
      <c r="CJ46" s="584">
        <f>IF(AND(Projects!$C$40&lt;=CJ$4,CJ$4&lt;=Projects!$C$40+Projects!$D$40-1),Projects!$B$40/Projects!$D$40,"")</f>
      </c>
      <c r="CK46" s="584">
        <f>IF(AND(Projects!$C$40&lt;=CK$4,CK$4&lt;=Projects!$C$40+Projects!$D$40-1),Projects!$B$40/Projects!$D$40,"")</f>
      </c>
      <c r="CL46" s="584">
        <f>IF(AND(Projects!$C$40&lt;=CL$4,CL$4&lt;=Projects!$C$40+Projects!$D$40-1),Projects!$B$40/Projects!$D$40,"")</f>
      </c>
      <c r="CM46" s="584">
        <f>IF(AND(Projects!$C$40&lt;=CM$4,CM$4&lt;=Projects!$C$40+Projects!$D$40-1),Projects!$B$40/Projects!$D$40,"")</f>
      </c>
      <c r="CN46" s="584">
        <f>IF(AND(Projects!$C$40&lt;=CN$4,CN$4&lt;=Projects!$C$40+Projects!$D$40-1),Projects!$B$40/Projects!$D$40,"")</f>
      </c>
      <c r="CO46" s="584">
        <f>IF(AND(Projects!$C$40&lt;=CO$4,CO$4&lt;=Projects!$C$40+Projects!$D$40-1),Projects!$B$40/Projects!$D$40,"")</f>
      </c>
      <c r="CP46" s="584">
        <f>IF(AND(Projects!$C$40&lt;=CP$4,CP$4&lt;=Projects!$C$40+Projects!$D$40-1),Projects!$B$40/Projects!$D$40,"")</f>
      </c>
      <c r="CQ46" s="584">
        <f>IF(AND(Projects!$C$40&lt;=CQ$4,CQ$4&lt;=Projects!$C$40+Projects!$D$40-1),Projects!$B$40/Projects!$D$40,"")</f>
      </c>
      <c r="CR46" s="584">
        <f>IF(AND(Projects!$C$40&lt;=CR$4,CR$4&lt;=Projects!$C$40+Projects!$D$40-1),Projects!$B$40/Projects!$D$40,"")</f>
      </c>
      <c r="CS46" s="584">
        <f>IF(AND(Projects!$C$40&lt;=CS$4,CS$4&lt;=Projects!$C$40+Projects!$D$40-1),Projects!$B$40/Projects!$D$40,"")</f>
      </c>
      <c r="CT46" s="584">
        <f>IF(AND(Projects!$C$40&lt;=CT$4,CT$4&lt;=Projects!$C$40+Projects!$D$40-1),Projects!$B$40/Projects!$D$40,"")</f>
      </c>
      <c r="CU46" s="584">
        <f>IF(AND(Projects!$C$40&lt;=CU$4,CU$4&lt;=Projects!$C$40+Projects!$D$40-1),Projects!$B$40/Projects!$D$40,"")</f>
      </c>
      <c r="CV46" s="584">
        <f>IF(AND(Projects!$C$40&lt;=CV$4,CV$4&lt;=Projects!$C$40+Projects!$D$40-1),Projects!$B$40/Projects!$D$40,"")</f>
      </c>
      <c r="CW46" s="584">
        <f>IF(AND(Projects!$C$40&lt;=CW$4,CW$4&lt;=Projects!$C$40+Projects!$D$40-1),Projects!$B$40/Projects!$D$40,"")</f>
      </c>
      <c r="CX46" s="584">
        <f>IF(AND(Projects!$C$40&lt;=CX$4,CX$4&lt;=Projects!$C$40+Projects!$D$40-1),Projects!$B$40/Projects!$D$40,"")</f>
      </c>
      <c r="CY46" s="584">
        <f>IF(AND(Projects!$C$40&lt;=CY$4,CY$4&lt;=Projects!$C$40+Projects!$D$40-1),Projects!$B$40/Projects!$D$40,"")</f>
      </c>
      <c r="CZ46" s="584">
        <f>IF(AND(Projects!$C$40&lt;=CZ$4,CZ$4&lt;=Projects!$C$40+Projects!$D$40-1),Projects!$B$40/Projects!$D$40,"")</f>
      </c>
      <c r="DA46" s="584">
        <f>IF(AND(Projects!$C$40&lt;=DA$4,DA$4&lt;=Projects!$C$40+Projects!$D$40-1),Projects!$B$40/Projects!$D$40,"")</f>
      </c>
      <c r="DB46" s="584">
        <f>IF(AND(Projects!$C$40&lt;=DB$4,DB$4&lt;=Projects!$C$40+Projects!$D$40-1),Projects!$B$40/Projects!$D$40,"")</f>
      </c>
    </row>
    <row r="47" ht="15" customFormat="1" customHeight="1" s="381">
      <c r="A47" s="513" t="inlineStr">
        <is>
          <t>BD-25</t>
        </is>
      </c>
      <c r="B47" s="581">
        <f>Projects!$B$41</f>
        <v>15000000</v>
      </c>
      <c r="C47" s="582">
        <f>EDATE(Model!$E$2,Projects!$C$41-1)</f>
        <v>47635</v>
      </c>
      <c r="D47" s="582">
        <f>EDATE(Model!$E$2,Projects!$C$41+Projects!$D$41-2)</f>
        <v>48183</v>
      </c>
      <c r="E47" s="583">
        <f>Projects!$D$41</f>
        <v>19</v>
      </c>
      <c r="F47" s="581">
        <f>Projects!$B$41/Projects!$D$41</f>
        <v>789473.684210526</v>
      </c>
      <c r="G47" s="584">
        <f>IF(AND(Projects!$C$41&lt;=G$4,G$4&lt;=Projects!$C$41+Projects!$D$41-1),Projects!$B$41/Projects!$D$41,"")</f>
      </c>
      <c r="H47" s="584">
        <f>IF(AND(Projects!$C$41&lt;=H$4,H$4&lt;=Projects!$C$41+Projects!$D$41-1),Projects!$B$41/Projects!$D$41,"")</f>
      </c>
      <c r="I47" s="584">
        <f>IF(AND(Projects!$C$41&lt;=I$4,I$4&lt;=Projects!$C$41+Projects!$D$41-1),Projects!$B$41/Projects!$D$41,"")</f>
      </c>
      <c r="J47" s="584">
        <f>IF(AND(Projects!$C$41&lt;=J$4,J$4&lt;=Projects!$C$41+Projects!$D$41-1),Projects!$B$41/Projects!$D$41,"")</f>
      </c>
      <c r="K47" s="584">
        <f>IF(AND(Projects!$C$41&lt;=K$4,K$4&lt;=Projects!$C$41+Projects!$D$41-1),Projects!$B$41/Projects!$D$41,"")</f>
      </c>
      <c r="L47" s="584">
        <f>IF(AND(Projects!$C$41&lt;=L$4,L$4&lt;=Projects!$C$41+Projects!$D$41-1),Projects!$B$41/Projects!$D$41,"")</f>
      </c>
      <c r="M47" s="584">
        <f>IF(AND(Projects!$C$41&lt;=M$4,M$4&lt;=Projects!$C$41+Projects!$D$41-1),Projects!$B$41/Projects!$D$41,"")</f>
      </c>
      <c r="N47" s="584">
        <f>IF(AND(Projects!$C$41&lt;=N$4,N$4&lt;=Projects!$C$41+Projects!$D$41-1),Projects!$B$41/Projects!$D$41,"")</f>
      </c>
      <c r="O47" s="584">
        <f>IF(AND(Projects!$C$41&lt;=O$4,O$4&lt;=Projects!$C$41+Projects!$D$41-1),Projects!$B$41/Projects!$D$41,"")</f>
      </c>
      <c r="P47" s="584">
        <f>IF(AND(Projects!$C$41&lt;=P$4,P$4&lt;=Projects!$C$41+Projects!$D$41-1),Projects!$B$41/Projects!$D$41,"")</f>
      </c>
      <c r="Q47" s="584">
        <f>IF(AND(Projects!$C$41&lt;=Q$4,Q$4&lt;=Projects!$C$41+Projects!$D$41-1),Projects!$B$41/Projects!$D$41,"")</f>
      </c>
      <c r="R47" s="584">
        <f>IF(AND(Projects!$C$41&lt;=R$4,R$4&lt;=Projects!$C$41+Projects!$D$41-1),Projects!$B$41/Projects!$D$41,"")</f>
      </c>
      <c r="S47" s="584">
        <f>IF(AND(Projects!$C$41&lt;=S$4,S$4&lt;=Projects!$C$41+Projects!$D$41-1),Projects!$B$41/Projects!$D$41,"")</f>
      </c>
      <c r="T47" s="584">
        <f>IF(AND(Projects!$C$41&lt;=T$4,T$4&lt;=Projects!$C$41+Projects!$D$41-1),Projects!$B$41/Projects!$D$41,"")</f>
      </c>
      <c r="U47" s="584">
        <f>IF(AND(Projects!$C$41&lt;=U$4,U$4&lt;=Projects!$C$41+Projects!$D$41-1),Projects!$B$41/Projects!$D$41,"")</f>
      </c>
      <c r="V47" s="584">
        <f>IF(AND(Projects!$C$41&lt;=V$4,V$4&lt;=Projects!$C$41+Projects!$D$41-1),Projects!$B$41/Projects!$D$41,"")</f>
      </c>
      <c r="W47" s="584">
        <f>IF(AND(Projects!$C$41&lt;=W$4,W$4&lt;=Projects!$C$41+Projects!$D$41-1),Projects!$B$41/Projects!$D$41,"")</f>
      </c>
      <c r="X47" s="584">
        <f>IF(AND(Projects!$C$41&lt;=X$4,X$4&lt;=Projects!$C$41+Projects!$D$41-1),Projects!$B$41/Projects!$D$41,"")</f>
      </c>
      <c r="Y47" s="584">
        <f>IF(AND(Projects!$C$41&lt;=Y$4,Y$4&lt;=Projects!$C$41+Projects!$D$41-1),Projects!$B$41/Projects!$D$41,"")</f>
      </c>
      <c r="Z47" s="584">
        <f>IF(AND(Projects!$C$41&lt;=Z$4,Z$4&lt;=Projects!$C$41+Projects!$D$41-1),Projects!$B$41/Projects!$D$41,"")</f>
      </c>
      <c r="AA47" s="584">
        <f>IF(AND(Projects!$C$41&lt;=AA$4,AA$4&lt;=Projects!$C$41+Projects!$D$41-1),Projects!$B$41/Projects!$D$41,"")</f>
      </c>
      <c r="AB47" s="584">
        <f>IF(AND(Projects!$C$41&lt;=AB$4,AB$4&lt;=Projects!$C$41+Projects!$D$41-1),Projects!$B$41/Projects!$D$41,"")</f>
      </c>
      <c r="AC47" s="584">
        <f>IF(AND(Projects!$C$41&lt;=AC$4,AC$4&lt;=Projects!$C$41+Projects!$D$41-1),Projects!$B$41/Projects!$D$41,"")</f>
      </c>
      <c r="AD47" s="584">
        <f>IF(AND(Projects!$C$41&lt;=AD$4,AD$4&lt;=Projects!$C$41+Projects!$D$41-1),Projects!$B$41/Projects!$D$41,"")</f>
      </c>
      <c r="AE47" s="584">
        <f>IF(AND(Projects!$C$41&lt;=AE$4,AE$4&lt;=Projects!$C$41+Projects!$D$41-1),Projects!$B$41/Projects!$D$41,"")</f>
      </c>
      <c r="AF47" s="584">
        <f>IF(AND(Projects!$C$41&lt;=AF$4,AF$4&lt;=Projects!$C$41+Projects!$D$41-1),Projects!$B$41/Projects!$D$41,"")</f>
      </c>
      <c r="AG47" s="584">
        <f>IF(AND(Projects!$C$41&lt;=AG$4,AG$4&lt;=Projects!$C$41+Projects!$D$41-1),Projects!$B$41/Projects!$D$41,"")</f>
      </c>
      <c r="AH47" s="584">
        <f>IF(AND(Projects!$C$41&lt;=AH$4,AH$4&lt;=Projects!$C$41+Projects!$D$41-1),Projects!$B$41/Projects!$D$41,"")</f>
      </c>
      <c r="AI47" s="584">
        <f>IF(AND(Projects!$C$41&lt;=AI$4,AI$4&lt;=Projects!$C$41+Projects!$D$41-1),Projects!$B$41/Projects!$D$41,"")</f>
      </c>
      <c r="AJ47" s="584">
        <f>IF(AND(Projects!$C$41&lt;=AJ$4,AJ$4&lt;=Projects!$C$41+Projects!$D$41-1),Projects!$B$41/Projects!$D$41,"")</f>
      </c>
      <c r="AK47" s="584">
        <f>IF(AND(Projects!$C$41&lt;=AK$4,AK$4&lt;=Projects!$C$41+Projects!$D$41-1),Projects!$B$41/Projects!$D$41,"")</f>
      </c>
      <c r="AL47" s="584">
        <f>IF(AND(Projects!$C$41&lt;=AL$4,AL$4&lt;=Projects!$C$41+Projects!$D$41-1),Projects!$B$41/Projects!$D$41,"")</f>
      </c>
      <c r="AM47" s="584">
        <f>IF(AND(Projects!$C$41&lt;=AM$4,AM$4&lt;=Projects!$C$41+Projects!$D$41-1),Projects!$B$41/Projects!$D$41,"")</f>
      </c>
      <c r="AN47" s="584">
        <f>IF(AND(Projects!$C$41&lt;=AN$4,AN$4&lt;=Projects!$C$41+Projects!$D$41-1),Projects!$B$41/Projects!$D$41,"")</f>
      </c>
      <c r="AO47" s="584">
        <f>IF(AND(Projects!$C$41&lt;=AO$4,AO$4&lt;=Projects!$C$41+Projects!$D$41-1),Projects!$B$41/Projects!$D$41,"")</f>
      </c>
      <c r="AP47" s="584">
        <f>IF(AND(Projects!$C$41&lt;=AP$4,AP$4&lt;=Projects!$C$41+Projects!$D$41-1),Projects!$B$41/Projects!$D$41,"")</f>
      </c>
      <c r="AQ47" s="584">
        <f>IF(AND(Projects!$C$41&lt;=AQ$4,AQ$4&lt;=Projects!$C$41+Projects!$D$41-1),Projects!$B$41/Projects!$D$41,"")</f>
      </c>
      <c r="AR47" s="584">
        <f>IF(AND(Projects!$C$41&lt;=AR$4,AR$4&lt;=Projects!$C$41+Projects!$D$41-1),Projects!$B$41/Projects!$D$41,"")</f>
      </c>
      <c r="AS47" s="584">
        <f>IF(AND(Projects!$C$41&lt;=AS$4,AS$4&lt;=Projects!$C$41+Projects!$D$41-1),Projects!$B$41/Projects!$D$41,"")</f>
      </c>
      <c r="AT47" s="584">
        <f>IF(AND(Projects!$C$41&lt;=AT$4,AT$4&lt;=Projects!$C$41+Projects!$D$41-1),Projects!$B$41/Projects!$D$41,"")</f>
      </c>
      <c r="AU47" s="584">
        <f>IF(AND(Projects!$C$41&lt;=AU$4,AU$4&lt;=Projects!$C$41+Projects!$D$41-1),Projects!$B$41/Projects!$D$41,"")</f>
      </c>
      <c r="AV47" s="584">
        <f>IF(AND(Projects!$C$41&lt;=AV$4,AV$4&lt;=Projects!$C$41+Projects!$D$41-1),Projects!$B$41/Projects!$D$41,"")</f>
      </c>
      <c r="AW47" s="584">
        <f>IF(AND(Projects!$C$41&lt;=AW$4,AW$4&lt;=Projects!$C$41+Projects!$D$41-1),Projects!$B$41/Projects!$D$41,"")</f>
      </c>
      <c r="AX47" s="584">
        <f>IF(AND(Projects!$C$41&lt;=AX$4,AX$4&lt;=Projects!$C$41+Projects!$D$41-1),Projects!$B$41/Projects!$D$41,"")</f>
      </c>
      <c r="AY47" s="584">
        <f>IF(AND(Projects!$C$41&lt;=AY$4,AY$4&lt;=Projects!$C$41+Projects!$D$41-1),Projects!$B$41/Projects!$D$41,"")</f>
      </c>
      <c r="AZ47" s="584">
        <f>IF(AND(Projects!$C$41&lt;=AZ$4,AZ$4&lt;=Projects!$C$41+Projects!$D$41-1),Projects!$B$41/Projects!$D$41,"")</f>
      </c>
      <c r="BA47" s="584">
        <f>IF(AND(Projects!$C$41&lt;=BA$4,BA$4&lt;=Projects!$C$41+Projects!$D$41-1),Projects!$B$41/Projects!$D$41,"")</f>
      </c>
      <c r="BB47" s="584">
        <f>IF(AND(Projects!$C$41&lt;=BB$4,BB$4&lt;=Projects!$C$41+Projects!$D$41-1),Projects!$B$41/Projects!$D$41,"")</f>
      </c>
      <c r="BC47" s="584">
        <f>IF(AND(Projects!$C$41&lt;=BC$4,BC$4&lt;=Projects!$C$41+Projects!$D$41-1),Projects!$B$41/Projects!$D$41,"")</f>
      </c>
      <c r="BD47" s="584">
        <f>IF(AND(Projects!$C$41&lt;=BD$4,BD$4&lt;=Projects!$C$41+Projects!$D$41-1),Projects!$B$41/Projects!$D$41,"")</f>
      </c>
      <c r="BE47" s="584">
        <f>IF(AND(Projects!$C$41&lt;=BE$4,BE$4&lt;=Projects!$C$41+Projects!$D$41-1),Projects!$B$41/Projects!$D$41,"")</f>
        <v>789473.684210526</v>
      </c>
      <c r="BF47" s="584">
        <f>IF(AND(Projects!$C$41&lt;=BF$4,BF$4&lt;=Projects!$C$41+Projects!$D$41-1),Projects!$B$41/Projects!$D$41,"")</f>
        <v>789473.684210526</v>
      </c>
      <c r="BG47" s="584">
        <f>IF(AND(Projects!$C$41&lt;=BG$4,BG$4&lt;=Projects!$C$41+Projects!$D$41-1),Projects!$B$41/Projects!$D$41,"")</f>
        <v>789473.684210526</v>
      </c>
      <c r="BH47" s="584">
        <f>IF(AND(Projects!$C$41&lt;=BH$4,BH$4&lt;=Projects!$C$41+Projects!$D$41-1),Projects!$B$41/Projects!$D$41,"")</f>
        <v>789473.684210526</v>
      </c>
      <c r="BI47" s="584">
        <f>IF(AND(Projects!$C$41&lt;=BI$4,BI$4&lt;=Projects!$C$41+Projects!$D$41-1),Projects!$B$41/Projects!$D$41,"")</f>
        <v>789473.684210526</v>
      </c>
      <c r="BJ47" s="584">
        <f>IF(AND(Projects!$C$41&lt;=BJ$4,BJ$4&lt;=Projects!$C$41+Projects!$D$41-1),Projects!$B$41/Projects!$D$41,"")</f>
        <v>789473.684210526</v>
      </c>
      <c r="BK47" s="584">
        <f>IF(AND(Projects!$C$41&lt;=BK$4,BK$4&lt;=Projects!$C$41+Projects!$D$41-1),Projects!$B$41/Projects!$D$41,"")</f>
        <v>789473.684210526</v>
      </c>
      <c r="BL47" s="584">
        <f>IF(AND(Projects!$C$41&lt;=BL$4,BL$4&lt;=Projects!$C$41+Projects!$D$41-1),Projects!$B$41/Projects!$D$41,"")</f>
        <v>789473.684210526</v>
      </c>
      <c r="BM47" s="584">
        <f>IF(AND(Projects!$C$41&lt;=BM$4,BM$4&lt;=Projects!$C$41+Projects!$D$41-1),Projects!$B$41/Projects!$D$41,"")</f>
        <v>789473.684210526</v>
      </c>
      <c r="BN47" s="584">
        <f>IF(AND(Projects!$C$41&lt;=BN$4,BN$4&lt;=Projects!$C$41+Projects!$D$41-1),Projects!$B$41/Projects!$D$41,"")</f>
        <v>789473.684210526</v>
      </c>
      <c r="BO47" s="584">
        <f>IF(AND(Projects!$C$41&lt;=BO$4,BO$4&lt;=Projects!$C$41+Projects!$D$41-1),Projects!$B$41/Projects!$D$41,"")</f>
        <v>789473.684210526</v>
      </c>
      <c r="BP47" s="584">
        <f>IF(AND(Projects!$C$41&lt;=BP$4,BP$4&lt;=Projects!$C$41+Projects!$D$41-1),Projects!$B$41/Projects!$D$41,"")</f>
        <v>789473.684210526</v>
      </c>
      <c r="BQ47" s="584">
        <f>IF(AND(Projects!$C$41&lt;=BQ$4,BQ$4&lt;=Projects!$C$41+Projects!$D$41-1),Projects!$B$41/Projects!$D$41,"")</f>
        <v>789473.684210526</v>
      </c>
      <c r="BR47" s="584">
        <f>IF(AND(Projects!$C$41&lt;=BR$4,BR$4&lt;=Projects!$C$41+Projects!$D$41-1),Projects!$B$41/Projects!$D$41,"")</f>
        <v>789473.684210526</v>
      </c>
      <c r="BS47" s="584">
        <f>IF(AND(Projects!$C$41&lt;=BS$4,BS$4&lt;=Projects!$C$41+Projects!$D$41-1),Projects!$B$41/Projects!$D$41,"")</f>
        <v>789473.684210526</v>
      </c>
      <c r="BT47" s="584">
        <f>IF(AND(Projects!$C$41&lt;=BT$4,BT$4&lt;=Projects!$C$41+Projects!$D$41-1),Projects!$B$41/Projects!$D$41,"")</f>
        <v>789473.684210526</v>
      </c>
      <c r="BU47" s="584">
        <f>IF(AND(Projects!$C$41&lt;=BU$4,BU$4&lt;=Projects!$C$41+Projects!$D$41-1),Projects!$B$41/Projects!$D$41,"")</f>
        <v>789473.684210526</v>
      </c>
      <c r="BV47" s="584">
        <f>IF(AND(Projects!$C$41&lt;=BV$4,BV$4&lt;=Projects!$C$41+Projects!$D$41-1),Projects!$B$41/Projects!$D$41,"")</f>
        <v>789473.684210526</v>
      </c>
      <c r="BW47" s="584">
        <f>IF(AND(Projects!$C$41&lt;=BW$4,BW$4&lt;=Projects!$C$41+Projects!$D$41-1),Projects!$B$41/Projects!$D$41,"")</f>
        <v>789473.684210526</v>
      </c>
      <c r="BX47" s="584">
        <f>IF(AND(Projects!$C$41&lt;=BX$4,BX$4&lt;=Projects!$C$41+Projects!$D$41-1),Projects!$B$41/Projects!$D$41,"")</f>
      </c>
      <c r="BY47" s="584">
        <f>IF(AND(Projects!$C$41&lt;=BY$4,BY$4&lt;=Projects!$C$41+Projects!$D$41-1),Projects!$B$41/Projects!$D$41,"")</f>
      </c>
      <c r="BZ47" s="584">
        <f>IF(AND(Projects!$C$41&lt;=BZ$4,BZ$4&lt;=Projects!$C$41+Projects!$D$41-1),Projects!$B$41/Projects!$D$41,"")</f>
      </c>
      <c r="CA47" s="584">
        <f>IF(AND(Projects!$C$41&lt;=CA$4,CA$4&lt;=Projects!$C$41+Projects!$D$41-1),Projects!$B$41/Projects!$D$41,"")</f>
      </c>
      <c r="CB47" s="584">
        <f>IF(AND(Projects!$C$41&lt;=CB$4,CB$4&lt;=Projects!$C$41+Projects!$D$41-1),Projects!$B$41/Projects!$D$41,"")</f>
      </c>
      <c r="CC47" s="584">
        <f>IF(AND(Projects!$C$41&lt;=CC$4,CC$4&lt;=Projects!$C$41+Projects!$D$41-1),Projects!$B$41/Projects!$D$41,"")</f>
      </c>
      <c r="CD47" s="584">
        <f>IF(AND(Projects!$C$41&lt;=CD$4,CD$4&lt;=Projects!$C$41+Projects!$D$41-1),Projects!$B$41/Projects!$D$41,"")</f>
      </c>
      <c r="CE47" s="584">
        <f>IF(AND(Projects!$C$41&lt;=CE$4,CE$4&lt;=Projects!$C$41+Projects!$D$41-1),Projects!$B$41/Projects!$D$41,"")</f>
      </c>
      <c r="CF47" s="584">
        <f>IF(AND(Projects!$C$41&lt;=CF$4,CF$4&lt;=Projects!$C$41+Projects!$D$41-1),Projects!$B$41/Projects!$D$41,"")</f>
      </c>
      <c r="CG47" s="584">
        <f>IF(AND(Projects!$C$41&lt;=CG$4,CG$4&lt;=Projects!$C$41+Projects!$D$41-1),Projects!$B$41/Projects!$D$41,"")</f>
      </c>
      <c r="CH47" s="584">
        <f>IF(AND(Projects!$C$41&lt;=CH$4,CH$4&lt;=Projects!$C$41+Projects!$D$41-1),Projects!$B$41/Projects!$D$41,"")</f>
      </c>
      <c r="CI47" s="584">
        <f>IF(AND(Projects!$C$41&lt;=CI$4,CI$4&lt;=Projects!$C$41+Projects!$D$41-1),Projects!$B$41/Projects!$D$41,"")</f>
      </c>
      <c r="CJ47" s="584">
        <f>IF(AND(Projects!$C$41&lt;=CJ$4,CJ$4&lt;=Projects!$C$41+Projects!$D$41-1),Projects!$B$41/Projects!$D$41,"")</f>
      </c>
      <c r="CK47" s="584">
        <f>IF(AND(Projects!$C$41&lt;=CK$4,CK$4&lt;=Projects!$C$41+Projects!$D$41-1),Projects!$B$41/Projects!$D$41,"")</f>
      </c>
      <c r="CL47" s="584">
        <f>IF(AND(Projects!$C$41&lt;=CL$4,CL$4&lt;=Projects!$C$41+Projects!$D$41-1),Projects!$B$41/Projects!$D$41,"")</f>
      </c>
      <c r="CM47" s="584">
        <f>IF(AND(Projects!$C$41&lt;=CM$4,CM$4&lt;=Projects!$C$41+Projects!$D$41-1),Projects!$B$41/Projects!$D$41,"")</f>
      </c>
      <c r="CN47" s="584">
        <f>IF(AND(Projects!$C$41&lt;=CN$4,CN$4&lt;=Projects!$C$41+Projects!$D$41-1),Projects!$B$41/Projects!$D$41,"")</f>
      </c>
      <c r="CO47" s="584">
        <f>IF(AND(Projects!$C$41&lt;=CO$4,CO$4&lt;=Projects!$C$41+Projects!$D$41-1),Projects!$B$41/Projects!$D$41,"")</f>
      </c>
      <c r="CP47" s="584">
        <f>IF(AND(Projects!$C$41&lt;=CP$4,CP$4&lt;=Projects!$C$41+Projects!$D$41-1),Projects!$B$41/Projects!$D$41,"")</f>
      </c>
      <c r="CQ47" s="584">
        <f>IF(AND(Projects!$C$41&lt;=CQ$4,CQ$4&lt;=Projects!$C$41+Projects!$D$41-1),Projects!$B$41/Projects!$D$41,"")</f>
      </c>
      <c r="CR47" s="584">
        <f>IF(AND(Projects!$C$41&lt;=CR$4,CR$4&lt;=Projects!$C$41+Projects!$D$41-1),Projects!$B$41/Projects!$D$41,"")</f>
      </c>
      <c r="CS47" s="584">
        <f>IF(AND(Projects!$C$41&lt;=CS$4,CS$4&lt;=Projects!$C$41+Projects!$D$41-1),Projects!$B$41/Projects!$D$41,"")</f>
      </c>
      <c r="CT47" s="584">
        <f>IF(AND(Projects!$C$41&lt;=CT$4,CT$4&lt;=Projects!$C$41+Projects!$D$41-1),Projects!$B$41/Projects!$D$41,"")</f>
      </c>
      <c r="CU47" s="584">
        <f>IF(AND(Projects!$C$41&lt;=CU$4,CU$4&lt;=Projects!$C$41+Projects!$D$41-1),Projects!$B$41/Projects!$D$41,"")</f>
      </c>
      <c r="CV47" s="584">
        <f>IF(AND(Projects!$C$41&lt;=CV$4,CV$4&lt;=Projects!$C$41+Projects!$D$41-1),Projects!$B$41/Projects!$D$41,"")</f>
      </c>
      <c r="CW47" s="584">
        <f>IF(AND(Projects!$C$41&lt;=CW$4,CW$4&lt;=Projects!$C$41+Projects!$D$41-1),Projects!$B$41/Projects!$D$41,"")</f>
      </c>
      <c r="CX47" s="584">
        <f>IF(AND(Projects!$C$41&lt;=CX$4,CX$4&lt;=Projects!$C$41+Projects!$D$41-1),Projects!$B$41/Projects!$D$41,"")</f>
      </c>
      <c r="CY47" s="584">
        <f>IF(AND(Projects!$C$41&lt;=CY$4,CY$4&lt;=Projects!$C$41+Projects!$D$41-1),Projects!$B$41/Projects!$D$41,"")</f>
      </c>
      <c r="CZ47" s="584">
        <f>IF(AND(Projects!$C$41&lt;=CZ$4,CZ$4&lt;=Projects!$C$41+Projects!$D$41-1),Projects!$B$41/Projects!$D$41,"")</f>
      </c>
      <c r="DA47" s="584">
        <f>IF(AND(Projects!$C$41&lt;=DA$4,DA$4&lt;=Projects!$C$41+Projects!$D$41-1),Projects!$B$41/Projects!$D$41,"")</f>
      </c>
      <c r="DB47" s="584">
        <f>IF(AND(Projects!$C$41&lt;=DB$4,DB$4&lt;=Projects!$C$41+Projects!$D$41-1),Projects!$B$41/Projects!$D$41,"")</f>
      </c>
    </row>
    <row r="48" ht="15" customFormat="1" customHeight="1" s="381">
      <c r="A48" s="513" t="inlineStr">
        <is>
          <t>BD-26</t>
        </is>
      </c>
      <c r="B48" s="581">
        <f>Projects!$B$42</f>
        <v>18000000</v>
      </c>
      <c r="C48" s="582">
        <f>EDATE(Model!$E$2,Projects!$C$42-1)</f>
        <v>47665</v>
      </c>
      <c r="D48" s="582">
        <f>EDATE(Model!$E$2,Projects!$C$42+Projects!$D$42-2)</f>
        <v>48214</v>
      </c>
      <c r="E48" s="583">
        <f>Projects!$D$42</f>
        <v>19</v>
      </c>
      <c r="F48" s="581">
        <f>Projects!$B$42/Projects!$D$42</f>
        <v>947368.421052632</v>
      </c>
      <c r="G48" s="584">
        <f>IF(AND(Projects!$C$42&lt;=G$4,G$4&lt;=Projects!$C$42+Projects!$D$42-1),Projects!$B$42/Projects!$D$42,"")</f>
      </c>
      <c r="H48" s="584">
        <f>IF(AND(Projects!$C$42&lt;=H$4,H$4&lt;=Projects!$C$42+Projects!$D$42-1),Projects!$B$42/Projects!$D$42,"")</f>
      </c>
      <c r="I48" s="584">
        <f>IF(AND(Projects!$C$42&lt;=I$4,I$4&lt;=Projects!$C$42+Projects!$D$42-1),Projects!$B$42/Projects!$D$42,"")</f>
      </c>
      <c r="J48" s="584">
        <f>IF(AND(Projects!$C$42&lt;=J$4,J$4&lt;=Projects!$C$42+Projects!$D$42-1),Projects!$B$42/Projects!$D$42,"")</f>
      </c>
      <c r="K48" s="584">
        <f>IF(AND(Projects!$C$42&lt;=K$4,K$4&lt;=Projects!$C$42+Projects!$D$42-1),Projects!$B$42/Projects!$D$42,"")</f>
      </c>
      <c r="L48" s="584">
        <f>IF(AND(Projects!$C$42&lt;=L$4,L$4&lt;=Projects!$C$42+Projects!$D$42-1),Projects!$B$42/Projects!$D$42,"")</f>
      </c>
      <c r="M48" s="584">
        <f>IF(AND(Projects!$C$42&lt;=M$4,M$4&lt;=Projects!$C$42+Projects!$D$42-1),Projects!$B$42/Projects!$D$42,"")</f>
      </c>
      <c r="N48" s="584">
        <f>IF(AND(Projects!$C$42&lt;=N$4,N$4&lt;=Projects!$C$42+Projects!$D$42-1),Projects!$B$42/Projects!$D$42,"")</f>
      </c>
      <c r="O48" s="584">
        <f>IF(AND(Projects!$C$42&lt;=O$4,O$4&lt;=Projects!$C$42+Projects!$D$42-1),Projects!$B$42/Projects!$D$42,"")</f>
      </c>
      <c r="P48" s="584">
        <f>IF(AND(Projects!$C$42&lt;=P$4,P$4&lt;=Projects!$C$42+Projects!$D$42-1),Projects!$B$42/Projects!$D$42,"")</f>
      </c>
      <c r="Q48" s="584">
        <f>IF(AND(Projects!$C$42&lt;=Q$4,Q$4&lt;=Projects!$C$42+Projects!$D$42-1),Projects!$B$42/Projects!$D$42,"")</f>
      </c>
      <c r="R48" s="584">
        <f>IF(AND(Projects!$C$42&lt;=R$4,R$4&lt;=Projects!$C$42+Projects!$D$42-1),Projects!$B$42/Projects!$D$42,"")</f>
      </c>
      <c r="S48" s="584">
        <f>IF(AND(Projects!$C$42&lt;=S$4,S$4&lt;=Projects!$C$42+Projects!$D$42-1),Projects!$B$42/Projects!$D$42,"")</f>
      </c>
      <c r="T48" s="584">
        <f>IF(AND(Projects!$C$42&lt;=T$4,T$4&lt;=Projects!$C$42+Projects!$D$42-1),Projects!$B$42/Projects!$D$42,"")</f>
      </c>
      <c r="U48" s="584">
        <f>IF(AND(Projects!$C$42&lt;=U$4,U$4&lt;=Projects!$C$42+Projects!$D$42-1),Projects!$B$42/Projects!$D$42,"")</f>
      </c>
      <c r="V48" s="584">
        <f>IF(AND(Projects!$C$42&lt;=V$4,V$4&lt;=Projects!$C$42+Projects!$D$42-1),Projects!$B$42/Projects!$D$42,"")</f>
      </c>
      <c r="W48" s="584">
        <f>IF(AND(Projects!$C$42&lt;=W$4,W$4&lt;=Projects!$C$42+Projects!$D$42-1),Projects!$B$42/Projects!$D$42,"")</f>
      </c>
      <c r="X48" s="584">
        <f>IF(AND(Projects!$C$42&lt;=X$4,X$4&lt;=Projects!$C$42+Projects!$D$42-1),Projects!$B$42/Projects!$D$42,"")</f>
      </c>
      <c r="Y48" s="584">
        <f>IF(AND(Projects!$C$42&lt;=Y$4,Y$4&lt;=Projects!$C$42+Projects!$D$42-1),Projects!$B$42/Projects!$D$42,"")</f>
      </c>
      <c r="Z48" s="584">
        <f>IF(AND(Projects!$C$42&lt;=Z$4,Z$4&lt;=Projects!$C$42+Projects!$D$42-1),Projects!$B$42/Projects!$D$42,"")</f>
      </c>
      <c r="AA48" s="584">
        <f>IF(AND(Projects!$C$42&lt;=AA$4,AA$4&lt;=Projects!$C$42+Projects!$D$42-1),Projects!$B$42/Projects!$D$42,"")</f>
      </c>
      <c r="AB48" s="584">
        <f>IF(AND(Projects!$C$42&lt;=AB$4,AB$4&lt;=Projects!$C$42+Projects!$D$42-1),Projects!$B$42/Projects!$D$42,"")</f>
      </c>
      <c r="AC48" s="584">
        <f>IF(AND(Projects!$C$42&lt;=AC$4,AC$4&lt;=Projects!$C$42+Projects!$D$42-1),Projects!$B$42/Projects!$D$42,"")</f>
      </c>
      <c r="AD48" s="584">
        <f>IF(AND(Projects!$C$42&lt;=AD$4,AD$4&lt;=Projects!$C$42+Projects!$D$42-1),Projects!$B$42/Projects!$D$42,"")</f>
      </c>
      <c r="AE48" s="584">
        <f>IF(AND(Projects!$C$42&lt;=AE$4,AE$4&lt;=Projects!$C$42+Projects!$D$42-1),Projects!$B$42/Projects!$D$42,"")</f>
      </c>
      <c r="AF48" s="584">
        <f>IF(AND(Projects!$C$42&lt;=AF$4,AF$4&lt;=Projects!$C$42+Projects!$D$42-1),Projects!$B$42/Projects!$D$42,"")</f>
      </c>
      <c r="AG48" s="584">
        <f>IF(AND(Projects!$C$42&lt;=AG$4,AG$4&lt;=Projects!$C$42+Projects!$D$42-1),Projects!$B$42/Projects!$D$42,"")</f>
      </c>
      <c r="AH48" s="584">
        <f>IF(AND(Projects!$C$42&lt;=AH$4,AH$4&lt;=Projects!$C$42+Projects!$D$42-1),Projects!$B$42/Projects!$D$42,"")</f>
      </c>
      <c r="AI48" s="584">
        <f>IF(AND(Projects!$C$42&lt;=AI$4,AI$4&lt;=Projects!$C$42+Projects!$D$42-1),Projects!$B$42/Projects!$D$42,"")</f>
      </c>
      <c r="AJ48" s="584">
        <f>IF(AND(Projects!$C$42&lt;=AJ$4,AJ$4&lt;=Projects!$C$42+Projects!$D$42-1),Projects!$B$42/Projects!$D$42,"")</f>
      </c>
      <c r="AK48" s="584">
        <f>IF(AND(Projects!$C$42&lt;=AK$4,AK$4&lt;=Projects!$C$42+Projects!$D$42-1),Projects!$B$42/Projects!$D$42,"")</f>
      </c>
      <c r="AL48" s="584">
        <f>IF(AND(Projects!$C$42&lt;=AL$4,AL$4&lt;=Projects!$C$42+Projects!$D$42-1),Projects!$B$42/Projects!$D$42,"")</f>
      </c>
      <c r="AM48" s="584">
        <f>IF(AND(Projects!$C$42&lt;=AM$4,AM$4&lt;=Projects!$C$42+Projects!$D$42-1),Projects!$B$42/Projects!$D$42,"")</f>
      </c>
      <c r="AN48" s="584">
        <f>IF(AND(Projects!$C$42&lt;=AN$4,AN$4&lt;=Projects!$C$42+Projects!$D$42-1),Projects!$B$42/Projects!$D$42,"")</f>
      </c>
      <c r="AO48" s="584">
        <f>IF(AND(Projects!$C$42&lt;=AO$4,AO$4&lt;=Projects!$C$42+Projects!$D$42-1),Projects!$B$42/Projects!$D$42,"")</f>
      </c>
      <c r="AP48" s="584">
        <f>IF(AND(Projects!$C$42&lt;=AP$4,AP$4&lt;=Projects!$C$42+Projects!$D$42-1),Projects!$B$42/Projects!$D$42,"")</f>
      </c>
      <c r="AQ48" s="584">
        <f>IF(AND(Projects!$C$42&lt;=AQ$4,AQ$4&lt;=Projects!$C$42+Projects!$D$42-1),Projects!$B$42/Projects!$D$42,"")</f>
      </c>
      <c r="AR48" s="584">
        <f>IF(AND(Projects!$C$42&lt;=AR$4,AR$4&lt;=Projects!$C$42+Projects!$D$42-1),Projects!$B$42/Projects!$D$42,"")</f>
      </c>
      <c r="AS48" s="584">
        <f>IF(AND(Projects!$C$42&lt;=AS$4,AS$4&lt;=Projects!$C$42+Projects!$D$42-1),Projects!$B$42/Projects!$D$42,"")</f>
      </c>
      <c r="AT48" s="584">
        <f>IF(AND(Projects!$C$42&lt;=AT$4,AT$4&lt;=Projects!$C$42+Projects!$D$42-1),Projects!$B$42/Projects!$D$42,"")</f>
      </c>
      <c r="AU48" s="584">
        <f>IF(AND(Projects!$C$42&lt;=AU$4,AU$4&lt;=Projects!$C$42+Projects!$D$42-1),Projects!$B$42/Projects!$D$42,"")</f>
      </c>
      <c r="AV48" s="584">
        <f>IF(AND(Projects!$C$42&lt;=AV$4,AV$4&lt;=Projects!$C$42+Projects!$D$42-1),Projects!$B$42/Projects!$D$42,"")</f>
      </c>
      <c r="AW48" s="584">
        <f>IF(AND(Projects!$C$42&lt;=AW$4,AW$4&lt;=Projects!$C$42+Projects!$D$42-1),Projects!$B$42/Projects!$D$42,"")</f>
      </c>
      <c r="AX48" s="584">
        <f>IF(AND(Projects!$C$42&lt;=AX$4,AX$4&lt;=Projects!$C$42+Projects!$D$42-1),Projects!$B$42/Projects!$D$42,"")</f>
      </c>
      <c r="AY48" s="584">
        <f>IF(AND(Projects!$C$42&lt;=AY$4,AY$4&lt;=Projects!$C$42+Projects!$D$42-1),Projects!$B$42/Projects!$D$42,"")</f>
      </c>
      <c r="AZ48" s="584">
        <f>IF(AND(Projects!$C$42&lt;=AZ$4,AZ$4&lt;=Projects!$C$42+Projects!$D$42-1),Projects!$B$42/Projects!$D$42,"")</f>
      </c>
      <c r="BA48" s="584">
        <f>IF(AND(Projects!$C$42&lt;=BA$4,BA$4&lt;=Projects!$C$42+Projects!$D$42-1),Projects!$B$42/Projects!$D$42,"")</f>
      </c>
      <c r="BB48" s="584">
        <f>IF(AND(Projects!$C$42&lt;=BB$4,BB$4&lt;=Projects!$C$42+Projects!$D$42-1),Projects!$B$42/Projects!$D$42,"")</f>
      </c>
      <c r="BC48" s="584">
        <f>IF(AND(Projects!$C$42&lt;=BC$4,BC$4&lt;=Projects!$C$42+Projects!$D$42-1),Projects!$B$42/Projects!$D$42,"")</f>
      </c>
      <c r="BD48" s="584">
        <f>IF(AND(Projects!$C$42&lt;=BD$4,BD$4&lt;=Projects!$C$42+Projects!$D$42-1),Projects!$B$42/Projects!$D$42,"")</f>
      </c>
      <c r="BE48" s="584">
        <f>IF(AND(Projects!$C$42&lt;=BE$4,BE$4&lt;=Projects!$C$42+Projects!$D$42-1),Projects!$B$42/Projects!$D$42,"")</f>
      </c>
      <c r="BF48" s="584">
        <f>IF(AND(Projects!$C$42&lt;=BF$4,BF$4&lt;=Projects!$C$42+Projects!$D$42-1),Projects!$B$42/Projects!$D$42,"")</f>
        <v>947368.421052632</v>
      </c>
      <c r="BG48" s="584">
        <f>IF(AND(Projects!$C$42&lt;=BG$4,BG$4&lt;=Projects!$C$42+Projects!$D$42-1),Projects!$B$42/Projects!$D$42,"")</f>
        <v>947368.421052632</v>
      </c>
      <c r="BH48" s="584">
        <f>IF(AND(Projects!$C$42&lt;=BH$4,BH$4&lt;=Projects!$C$42+Projects!$D$42-1),Projects!$B$42/Projects!$D$42,"")</f>
        <v>947368.421052632</v>
      </c>
      <c r="BI48" s="584">
        <f>IF(AND(Projects!$C$42&lt;=BI$4,BI$4&lt;=Projects!$C$42+Projects!$D$42-1),Projects!$B$42/Projects!$D$42,"")</f>
        <v>947368.421052632</v>
      </c>
      <c r="BJ48" s="584">
        <f>IF(AND(Projects!$C$42&lt;=BJ$4,BJ$4&lt;=Projects!$C$42+Projects!$D$42-1),Projects!$B$42/Projects!$D$42,"")</f>
        <v>947368.421052632</v>
      </c>
      <c r="BK48" s="584">
        <f>IF(AND(Projects!$C$42&lt;=BK$4,BK$4&lt;=Projects!$C$42+Projects!$D$42-1),Projects!$B$42/Projects!$D$42,"")</f>
        <v>947368.421052632</v>
      </c>
      <c r="BL48" s="584">
        <f>IF(AND(Projects!$C$42&lt;=BL$4,BL$4&lt;=Projects!$C$42+Projects!$D$42-1),Projects!$B$42/Projects!$D$42,"")</f>
        <v>947368.421052632</v>
      </c>
      <c r="BM48" s="584">
        <f>IF(AND(Projects!$C$42&lt;=BM$4,BM$4&lt;=Projects!$C$42+Projects!$D$42-1),Projects!$B$42/Projects!$D$42,"")</f>
        <v>947368.421052632</v>
      </c>
      <c r="BN48" s="584">
        <f>IF(AND(Projects!$C$42&lt;=BN$4,BN$4&lt;=Projects!$C$42+Projects!$D$42-1),Projects!$B$42/Projects!$D$42,"")</f>
        <v>947368.421052632</v>
      </c>
      <c r="BO48" s="584">
        <f>IF(AND(Projects!$C$42&lt;=BO$4,BO$4&lt;=Projects!$C$42+Projects!$D$42-1),Projects!$B$42/Projects!$D$42,"")</f>
        <v>947368.421052632</v>
      </c>
      <c r="BP48" s="584">
        <f>IF(AND(Projects!$C$42&lt;=BP$4,BP$4&lt;=Projects!$C$42+Projects!$D$42-1),Projects!$B$42/Projects!$D$42,"")</f>
        <v>947368.421052632</v>
      </c>
      <c r="BQ48" s="584">
        <f>IF(AND(Projects!$C$42&lt;=BQ$4,BQ$4&lt;=Projects!$C$42+Projects!$D$42-1),Projects!$B$42/Projects!$D$42,"")</f>
        <v>947368.421052632</v>
      </c>
      <c r="BR48" s="584">
        <f>IF(AND(Projects!$C$42&lt;=BR$4,BR$4&lt;=Projects!$C$42+Projects!$D$42-1),Projects!$B$42/Projects!$D$42,"")</f>
        <v>947368.421052632</v>
      </c>
      <c r="BS48" s="584">
        <f>IF(AND(Projects!$C$42&lt;=BS$4,BS$4&lt;=Projects!$C$42+Projects!$D$42-1),Projects!$B$42/Projects!$D$42,"")</f>
        <v>947368.421052632</v>
      </c>
      <c r="BT48" s="584">
        <f>IF(AND(Projects!$C$42&lt;=BT$4,BT$4&lt;=Projects!$C$42+Projects!$D$42-1),Projects!$B$42/Projects!$D$42,"")</f>
        <v>947368.421052632</v>
      </c>
      <c r="BU48" s="584">
        <f>IF(AND(Projects!$C$42&lt;=BU$4,BU$4&lt;=Projects!$C$42+Projects!$D$42-1),Projects!$B$42/Projects!$D$42,"")</f>
        <v>947368.421052632</v>
      </c>
      <c r="BV48" s="584">
        <f>IF(AND(Projects!$C$42&lt;=BV$4,BV$4&lt;=Projects!$C$42+Projects!$D$42-1),Projects!$B$42/Projects!$D$42,"")</f>
        <v>947368.421052632</v>
      </c>
      <c r="BW48" s="584">
        <f>IF(AND(Projects!$C$42&lt;=BW$4,BW$4&lt;=Projects!$C$42+Projects!$D$42-1),Projects!$B$42/Projects!$D$42,"")</f>
        <v>947368.421052632</v>
      </c>
      <c r="BX48" s="584">
        <f>IF(AND(Projects!$C$42&lt;=BX$4,BX$4&lt;=Projects!$C$42+Projects!$D$42-1),Projects!$B$42/Projects!$D$42,"")</f>
        <v>947368.421052632</v>
      </c>
      <c r="BY48" s="584">
        <f>IF(AND(Projects!$C$42&lt;=BY$4,BY$4&lt;=Projects!$C$42+Projects!$D$42-1),Projects!$B$42/Projects!$D$42,"")</f>
      </c>
      <c r="BZ48" s="584">
        <f>IF(AND(Projects!$C$42&lt;=BZ$4,BZ$4&lt;=Projects!$C$42+Projects!$D$42-1),Projects!$B$42/Projects!$D$42,"")</f>
      </c>
      <c r="CA48" s="584">
        <f>IF(AND(Projects!$C$42&lt;=CA$4,CA$4&lt;=Projects!$C$42+Projects!$D$42-1),Projects!$B$42/Projects!$D$42,"")</f>
      </c>
      <c r="CB48" s="584">
        <f>IF(AND(Projects!$C$42&lt;=CB$4,CB$4&lt;=Projects!$C$42+Projects!$D$42-1),Projects!$B$42/Projects!$D$42,"")</f>
      </c>
      <c r="CC48" s="584">
        <f>IF(AND(Projects!$C$42&lt;=CC$4,CC$4&lt;=Projects!$C$42+Projects!$D$42-1),Projects!$B$42/Projects!$D$42,"")</f>
      </c>
      <c r="CD48" s="584">
        <f>IF(AND(Projects!$C$42&lt;=CD$4,CD$4&lt;=Projects!$C$42+Projects!$D$42-1),Projects!$B$42/Projects!$D$42,"")</f>
      </c>
      <c r="CE48" s="584">
        <f>IF(AND(Projects!$C$42&lt;=CE$4,CE$4&lt;=Projects!$C$42+Projects!$D$42-1),Projects!$B$42/Projects!$D$42,"")</f>
      </c>
      <c r="CF48" s="584">
        <f>IF(AND(Projects!$C$42&lt;=CF$4,CF$4&lt;=Projects!$C$42+Projects!$D$42-1),Projects!$B$42/Projects!$D$42,"")</f>
      </c>
      <c r="CG48" s="584">
        <f>IF(AND(Projects!$C$42&lt;=CG$4,CG$4&lt;=Projects!$C$42+Projects!$D$42-1),Projects!$B$42/Projects!$D$42,"")</f>
      </c>
      <c r="CH48" s="584">
        <f>IF(AND(Projects!$C$42&lt;=CH$4,CH$4&lt;=Projects!$C$42+Projects!$D$42-1),Projects!$B$42/Projects!$D$42,"")</f>
      </c>
      <c r="CI48" s="584">
        <f>IF(AND(Projects!$C$42&lt;=CI$4,CI$4&lt;=Projects!$C$42+Projects!$D$42-1),Projects!$B$42/Projects!$D$42,"")</f>
      </c>
      <c r="CJ48" s="584">
        <f>IF(AND(Projects!$C$42&lt;=CJ$4,CJ$4&lt;=Projects!$C$42+Projects!$D$42-1),Projects!$B$42/Projects!$D$42,"")</f>
      </c>
      <c r="CK48" s="584">
        <f>IF(AND(Projects!$C$42&lt;=CK$4,CK$4&lt;=Projects!$C$42+Projects!$D$42-1),Projects!$B$42/Projects!$D$42,"")</f>
      </c>
      <c r="CL48" s="584">
        <f>IF(AND(Projects!$C$42&lt;=CL$4,CL$4&lt;=Projects!$C$42+Projects!$D$42-1),Projects!$B$42/Projects!$D$42,"")</f>
      </c>
      <c r="CM48" s="584">
        <f>IF(AND(Projects!$C$42&lt;=CM$4,CM$4&lt;=Projects!$C$42+Projects!$D$42-1),Projects!$B$42/Projects!$D$42,"")</f>
      </c>
      <c r="CN48" s="584">
        <f>IF(AND(Projects!$C$42&lt;=CN$4,CN$4&lt;=Projects!$C$42+Projects!$D$42-1),Projects!$B$42/Projects!$D$42,"")</f>
      </c>
      <c r="CO48" s="584">
        <f>IF(AND(Projects!$C$42&lt;=CO$4,CO$4&lt;=Projects!$C$42+Projects!$D$42-1),Projects!$B$42/Projects!$D$42,"")</f>
      </c>
      <c r="CP48" s="584">
        <f>IF(AND(Projects!$C$42&lt;=CP$4,CP$4&lt;=Projects!$C$42+Projects!$D$42-1),Projects!$B$42/Projects!$D$42,"")</f>
      </c>
      <c r="CQ48" s="584">
        <f>IF(AND(Projects!$C$42&lt;=CQ$4,CQ$4&lt;=Projects!$C$42+Projects!$D$42-1),Projects!$B$42/Projects!$D$42,"")</f>
      </c>
      <c r="CR48" s="584">
        <f>IF(AND(Projects!$C$42&lt;=CR$4,CR$4&lt;=Projects!$C$42+Projects!$D$42-1),Projects!$B$42/Projects!$D$42,"")</f>
      </c>
      <c r="CS48" s="584">
        <f>IF(AND(Projects!$C$42&lt;=CS$4,CS$4&lt;=Projects!$C$42+Projects!$D$42-1),Projects!$B$42/Projects!$D$42,"")</f>
      </c>
      <c r="CT48" s="584">
        <f>IF(AND(Projects!$C$42&lt;=CT$4,CT$4&lt;=Projects!$C$42+Projects!$D$42-1),Projects!$B$42/Projects!$D$42,"")</f>
      </c>
      <c r="CU48" s="584">
        <f>IF(AND(Projects!$C$42&lt;=CU$4,CU$4&lt;=Projects!$C$42+Projects!$D$42-1),Projects!$B$42/Projects!$D$42,"")</f>
      </c>
      <c r="CV48" s="584">
        <f>IF(AND(Projects!$C$42&lt;=CV$4,CV$4&lt;=Projects!$C$42+Projects!$D$42-1),Projects!$B$42/Projects!$D$42,"")</f>
      </c>
      <c r="CW48" s="584">
        <f>IF(AND(Projects!$C$42&lt;=CW$4,CW$4&lt;=Projects!$C$42+Projects!$D$42-1),Projects!$B$42/Projects!$D$42,"")</f>
      </c>
      <c r="CX48" s="584">
        <f>IF(AND(Projects!$C$42&lt;=CX$4,CX$4&lt;=Projects!$C$42+Projects!$D$42-1),Projects!$B$42/Projects!$D$42,"")</f>
      </c>
      <c r="CY48" s="584">
        <f>IF(AND(Projects!$C$42&lt;=CY$4,CY$4&lt;=Projects!$C$42+Projects!$D$42-1),Projects!$B$42/Projects!$D$42,"")</f>
      </c>
      <c r="CZ48" s="584">
        <f>IF(AND(Projects!$C$42&lt;=CZ$4,CZ$4&lt;=Projects!$C$42+Projects!$D$42-1),Projects!$B$42/Projects!$D$42,"")</f>
      </c>
      <c r="DA48" s="584">
        <f>IF(AND(Projects!$C$42&lt;=DA$4,DA$4&lt;=Projects!$C$42+Projects!$D$42-1),Projects!$B$42/Projects!$D$42,"")</f>
      </c>
      <c r="DB48" s="584">
        <f>IF(AND(Projects!$C$42&lt;=DB$4,DB$4&lt;=Projects!$C$42+Projects!$D$42-1),Projects!$B$42/Projects!$D$42,"")</f>
      </c>
    </row>
    <row r="49" ht="15" customFormat="1" customHeight="1" s="381">
      <c r="A49" s="513" t="inlineStr">
        <is>
          <t>BD-27</t>
        </is>
      </c>
      <c r="B49" s="581">
        <f>Projects!$B$43</f>
        <v>15000000</v>
      </c>
      <c r="C49" s="582">
        <f>EDATE(Model!$E$2,Projects!$C$43-1)</f>
        <v>47696</v>
      </c>
      <c r="D49" s="582">
        <f>EDATE(Model!$E$2,Projects!$C$43+Projects!$D$43-2)</f>
        <v>48245</v>
      </c>
      <c r="E49" s="583">
        <f>Projects!$D$43</f>
        <v>19</v>
      </c>
      <c r="F49" s="581">
        <f>Projects!$B$43/Projects!$D$43</f>
        <v>789473.684210526</v>
      </c>
      <c r="G49" s="584">
        <f>IF(AND(Projects!$C$43&lt;=G$4,G$4&lt;=Projects!$C$43+Projects!$D$43-1),Projects!$B$43/Projects!$D$43,"")</f>
      </c>
      <c r="H49" s="584">
        <f>IF(AND(Projects!$C$43&lt;=H$4,H$4&lt;=Projects!$C$43+Projects!$D$43-1),Projects!$B$43/Projects!$D$43,"")</f>
      </c>
      <c r="I49" s="584">
        <f>IF(AND(Projects!$C$43&lt;=I$4,I$4&lt;=Projects!$C$43+Projects!$D$43-1),Projects!$B$43/Projects!$D$43,"")</f>
      </c>
      <c r="J49" s="584">
        <f>IF(AND(Projects!$C$43&lt;=J$4,J$4&lt;=Projects!$C$43+Projects!$D$43-1),Projects!$B$43/Projects!$D$43,"")</f>
      </c>
      <c r="K49" s="584">
        <f>IF(AND(Projects!$C$43&lt;=K$4,K$4&lt;=Projects!$C$43+Projects!$D$43-1),Projects!$B$43/Projects!$D$43,"")</f>
      </c>
      <c r="L49" s="584">
        <f>IF(AND(Projects!$C$43&lt;=L$4,L$4&lt;=Projects!$C$43+Projects!$D$43-1),Projects!$B$43/Projects!$D$43,"")</f>
      </c>
      <c r="M49" s="584">
        <f>IF(AND(Projects!$C$43&lt;=M$4,M$4&lt;=Projects!$C$43+Projects!$D$43-1),Projects!$B$43/Projects!$D$43,"")</f>
      </c>
      <c r="N49" s="584">
        <f>IF(AND(Projects!$C$43&lt;=N$4,N$4&lt;=Projects!$C$43+Projects!$D$43-1),Projects!$B$43/Projects!$D$43,"")</f>
      </c>
      <c r="O49" s="584">
        <f>IF(AND(Projects!$C$43&lt;=O$4,O$4&lt;=Projects!$C$43+Projects!$D$43-1),Projects!$B$43/Projects!$D$43,"")</f>
      </c>
      <c r="P49" s="584">
        <f>IF(AND(Projects!$C$43&lt;=P$4,P$4&lt;=Projects!$C$43+Projects!$D$43-1),Projects!$B$43/Projects!$D$43,"")</f>
      </c>
      <c r="Q49" s="584">
        <f>IF(AND(Projects!$C$43&lt;=Q$4,Q$4&lt;=Projects!$C$43+Projects!$D$43-1),Projects!$B$43/Projects!$D$43,"")</f>
      </c>
      <c r="R49" s="584">
        <f>IF(AND(Projects!$C$43&lt;=R$4,R$4&lt;=Projects!$C$43+Projects!$D$43-1),Projects!$B$43/Projects!$D$43,"")</f>
      </c>
      <c r="S49" s="584">
        <f>IF(AND(Projects!$C$43&lt;=S$4,S$4&lt;=Projects!$C$43+Projects!$D$43-1),Projects!$B$43/Projects!$D$43,"")</f>
      </c>
      <c r="T49" s="584">
        <f>IF(AND(Projects!$C$43&lt;=T$4,T$4&lt;=Projects!$C$43+Projects!$D$43-1),Projects!$B$43/Projects!$D$43,"")</f>
      </c>
      <c r="U49" s="584">
        <f>IF(AND(Projects!$C$43&lt;=U$4,U$4&lt;=Projects!$C$43+Projects!$D$43-1),Projects!$B$43/Projects!$D$43,"")</f>
      </c>
      <c r="V49" s="584">
        <f>IF(AND(Projects!$C$43&lt;=V$4,V$4&lt;=Projects!$C$43+Projects!$D$43-1),Projects!$B$43/Projects!$D$43,"")</f>
      </c>
      <c r="W49" s="584">
        <f>IF(AND(Projects!$C$43&lt;=W$4,W$4&lt;=Projects!$C$43+Projects!$D$43-1),Projects!$B$43/Projects!$D$43,"")</f>
      </c>
      <c r="X49" s="584">
        <f>IF(AND(Projects!$C$43&lt;=X$4,X$4&lt;=Projects!$C$43+Projects!$D$43-1),Projects!$B$43/Projects!$D$43,"")</f>
      </c>
      <c r="Y49" s="584">
        <f>IF(AND(Projects!$C$43&lt;=Y$4,Y$4&lt;=Projects!$C$43+Projects!$D$43-1),Projects!$B$43/Projects!$D$43,"")</f>
      </c>
      <c r="Z49" s="584">
        <f>IF(AND(Projects!$C$43&lt;=Z$4,Z$4&lt;=Projects!$C$43+Projects!$D$43-1),Projects!$B$43/Projects!$D$43,"")</f>
      </c>
      <c r="AA49" s="584">
        <f>IF(AND(Projects!$C$43&lt;=AA$4,AA$4&lt;=Projects!$C$43+Projects!$D$43-1),Projects!$B$43/Projects!$D$43,"")</f>
      </c>
      <c r="AB49" s="584">
        <f>IF(AND(Projects!$C$43&lt;=AB$4,AB$4&lt;=Projects!$C$43+Projects!$D$43-1),Projects!$B$43/Projects!$D$43,"")</f>
      </c>
      <c r="AC49" s="584">
        <f>IF(AND(Projects!$C$43&lt;=AC$4,AC$4&lt;=Projects!$C$43+Projects!$D$43-1),Projects!$B$43/Projects!$D$43,"")</f>
      </c>
      <c r="AD49" s="584">
        <f>IF(AND(Projects!$C$43&lt;=AD$4,AD$4&lt;=Projects!$C$43+Projects!$D$43-1),Projects!$B$43/Projects!$D$43,"")</f>
      </c>
      <c r="AE49" s="584">
        <f>IF(AND(Projects!$C$43&lt;=AE$4,AE$4&lt;=Projects!$C$43+Projects!$D$43-1),Projects!$B$43/Projects!$D$43,"")</f>
      </c>
      <c r="AF49" s="584">
        <f>IF(AND(Projects!$C$43&lt;=AF$4,AF$4&lt;=Projects!$C$43+Projects!$D$43-1),Projects!$B$43/Projects!$D$43,"")</f>
      </c>
      <c r="AG49" s="584">
        <f>IF(AND(Projects!$C$43&lt;=AG$4,AG$4&lt;=Projects!$C$43+Projects!$D$43-1),Projects!$B$43/Projects!$D$43,"")</f>
      </c>
      <c r="AH49" s="584">
        <f>IF(AND(Projects!$C$43&lt;=AH$4,AH$4&lt;=Projects!$C$43+Projects!$D$43-1),Projects!$B$43/Projects!$D$43,"")</f>
      </c>
      <c r="AI49" s="584">
        <f>IF(AND(Projects!$C$43&lt;=AI$4,AI$4&lt;=Projects!$C$43+Projects!$D$43-1),Projects!$B$43/Projects!$D$43,"")</f>
      </c>
      <c r="AJ49" s="584">
        <f>IF(AND(Projects!$C$43&lt;=AJ$4,AJ$4&lt;=Projects!$C$43+Projects!$D$43-1),Projects!$B$43/Projects!$D$43,"")</f>
      </c>
      <c r="AK49" s="584">
        <f>IF(AND(Projects!$C$43&lt;=AK$4,AK$4&lt;=Projects!$C$43+Projects!$D$43-1),Projects!$B$43/Projects!$D$43,"")</f>
      </c>
      <c r="AL49" s="584">
        <f>IF(AND(Projects!$C$43&lt;=AL$4,AL$4&lt;=Projects!$C$43+Projects!$D$43-1),Projects!$B$43/Projects!$D$43,"")</f>
      </c>
      <c r="AM49" s="584">
        <f>IF(AND(Projects!$C$43&lt;=AM$4,AM$4&lt;=Projects!$C$43+Projects!$D$43-1),Projects!$B$43/Projects!$D$43,"")</f>
      </c>
      <c r="AN49" s="584">
        <f>IF(AND(Projects!$C$43&lt;=AN$4,AN$4&lt;=Projects!$C$43+Projects!$D$43-1),Projects!$B$43/Projects!$D$43,"")</f>
      </c>
      <c r="AO49" s="584">
        <f>IF(AND(Projects!$C$43&lt;=AO$4,AO$4&lt;=Projects!$C$43+Projects!$D$43-1),Projects!$B$43/Projects!$D$43,"")</f>
      </c>
      <c r="AP49" s="584">
        <f>IF(AND(Projects!$C$43&lt;=AP$4,AP$4&lt;=Projects!$C$43+Projects!$D$43-1),Projects!$B$43/Projects!$D$43,"")</f>
      </c>
      <c r="AQ49" s="584">
        <f>IF(AND(Projects!$C$43&lt;=AQ$4,AQ$4&lt;=Projects!$C$43+Projects!$D$43-1),Projects!$B$43/Projects!$D$43,"")</f>
      </c>
      <c r="AR49" s="584">
        <f>IF(AND(Projects!$C$43&lt;=AR$4,AR$4&lt;=Projects!$C$43+Projects!$D$43-1),Projects!$B$43/Projects!$D$43,"")</f>
      </c>
      <c r="AS49" s="584">
        <f>IF(AND(Projects!$C$43&lt;=AS$4,AS$4&lt;=Projects!$C$43+Projects!$D$43-1),Projects!$B$43/Projects!$D$43,"")</f>
      </c>
      <c r="AT49" s="584">
        <f>IF(AND(Projects!$C$43&lt;=AT$4,AT$4&lt;=Projects!$C$43+Projects!$D$43-1),Projects!$B$43/Projects!$D$43,"")</f>
      </c>
      <c r="AU49" s="584">
        <f>IF(AND(Projects!$C$43&lt;=AU$4,AU$4&lt;=Projects!$C$43+Projects!$D$43-1),Projects!$B$43/Projects!$D$43,"")</f>
      </c>
      <c r="AV49" s="584">
        <f>IF(AND(Projects!$C$43&lt;=AV$4,AV$4&lt;=Projects!$C$43+Projects!$D$43-1),Projects!$B$43/Projects!$D$43,"")</f>
      </c>
      <c r="AW49" s="584">
        <f>IF(AND(Projects!$C$43&lt;=AW$4,AW$4&lt;=Projects!$C$43+Projects!$D$43-1),Projects!$B$43/Projects!$D$43,"")</f>
      </c>
      <c r="AX49" s="584">
        <f>IF(AND(Projects!$C$43&lt;=AX$4,AX$4&lt;=Projects!$C$43+Projects!$D$43-1),Projects!$B$43/Projects!$D$43,"")</f>
      </c>
      <c r="AY49" s="584">
        <f>IF(AND(Projects!$C$43&lt;=AY$4,AY$4&lt;=Projects!$C$43+Projects!$D$43-1),Projects!$B$43/Projects!$D$43,"")</f>
      </c>
      <c r="AZ49" s="584">
        <f>IF(AND(Projects!$C$43&lt;=AZ$4,AZ$4&lt;=Projects!$C$43+Projects!$D$43-1),Projects!$B$43/Projects!$D$43,"")</f>
      </c>
      <c r="BA49" s="584">
        <f>IF(AND(Projects!$C$43&lt;=BA$4,BA$4&lt;=Projects!$C$43+Projects!$D$43-1),Projects!$B$43/Projects!$D$43,"")</f>
      </c>
      <c r="BB49" s="584">
        <f>IF(AND(Projects!$C$43&lt;=BB$4,BB$4&lt;=Projects!$C$43+Projects!$D$43-1),Projects!$B$43/Projects!$D$43,"")</f>
      </c>
      <c r="BC49" s="584">
        <f>IF(AND(Projects!$C$43&lt;=BC$4,BC$4&lt;=Projects!$C$43+Projects!$D$43-1),Projects!$B$43/Projects!$D$43,"")</f>
      </c>
      <c r="BD49" s="584">
        <f>IF(AND(Projects!$C$43&lt;=BD$4,BD$4&lt;=Projects!$C$43+Projects!$D$43-1),Projects!$B$43/Projects!$D$43,"")</f>
      </c>
      <c r="BE49" s="584">
        <f>IF(AND(Projects!$C$43&lt;=BE$4,BE$4&lt;=Projects!$C$43+Projects!$D$43-1),Projects!$B$43/Projects!$D$43,"")</f>
      </c>
      <c r="BF49" s="584">
        <f>IF(AND(Projects!$C$43&lt;=BF$4,BF$4&lt;=Projects!$C$43+Projects!$D$43-1),Projects!$B$43/Projects!$D$43,"")</f>
      </c>
      <c r="BG49" s="584">
        <f>IF(AND(Projects!$C$43&lt;=BG$4,BG$4&lt;=Projects!$C$43+Projects!$D$43-1),Projects!$B$43/Projects!$D$43,"")</f>
        <v>789473.684210526</v>
      </c>
      <c r="BH49" s="584">
        <f>IF(AND(Projects!$C$43&lt;=BH$4,BH$4&lt;=Projects!$C$43+Projects!$D$43-1),Projects!$B$43/Projects!$D$43,"")</f>
        <v>789473.684210526</v>
      </c>
      <c r="BI49" s="584">
        <f>IF(AND(Projects!$C$43&lt;=BI$4,BI$4&lt;=Projects!$C$43+Projects!$D$43-1),Projects!$B$43/Projects!$D$43,"")</f>
        <v>789473.684210526</v>
      </c>
      <c r="BJ49" s="584">
        <f>IF(AND(Projects!$C$43&lt;=BJ$4,BJ$4&lt;=Projects!$C$43+Projects!$D$43-1),Projects!$B$43/Projects!$D$43,"")</f>
        <v>789473.684210526</v>
      </c>
      <c r="BK49" s="584">
        <f>IF(AND(Projects!$C$43&lt;=BK$4,BK$4&lt;=Projects!$C$43+Projects!$D$43-1),Projects!$B$43/Projects!$D$43,"")</f>
        <v>789473.684210526</v>
      </c>
      <c r="BL49" s="584">
        <f>IF(AND(Projects!$C$43&lt;=BL$4,BL$4&lt;=Projects!$C$43+Projects!$D$43-1),Projects!$B$43/Projects!$D$43,"")</f>
        <v>789473.684210526</v>
      </c>
      <c r="BM49" s="584">
        <f>IF(AND(Projects!$C$43&lt;=BM$4,BM$4&lt;=Projects!$C$43+Projects!$D$43-1),Projects!$B$43/Projects!$D$43,"")</f>
        <v>789473.684210526</v>
      </c>
      <c r="BN49" s="584">
        <f>IF(AND(Projects!$C$43&lt;=BN$4,BN$4&lt;=Projects!$C$43+Projects!$D$43-1),Projects!$B$43/Projects!$D$43,"")</f>
        <v>789473.684210526</v>
      </c>
      <c r="BO49" s="584">
        <f>IF(AND(Projects!$C$43&lt;=BO$4,BO$4&lt;=Projects!$C$43+Projects!$D$43-1),Projects!$B$43/Projects!$D$43,"")</f>
        <v>789473.684210526</v>
      </c>
      <c r="BP49" s="584">
        <f>IF(AND(Projects!$C$43&lt;=BP$4,BP$4&lt;=Projects!$C$43+Projects!$D$43-1),Projects!$B$43/Projects!$D$43,"")</f>
        <v>789473.684210526</v>
      </c>
      <c r="BQ49" s="584">
        <f>IF(AND(Projects!$C$43&lt;=BQ$4,BQ$4&lt;=Projects!$C$43+Projects!$D$43-1),Projects!$B$43/Projects!$D$43,"")</f>
        <v>789473.684210526</v>
      </c>
      <c r="BR49" s="584">
        <f>IF(AND(Projects!$C$43&lt;=BR$4,BR$4&lt;=Projects!$C$43+Projects!$D$43-1),Projects!$B$43/Projects!$D$43,"")</f>
        <v>789473.684210526</v>
      </c>
      <c r="BS49" s="584">
        <f>IF(AND(Projects!$C$43&lt;=BS$4,BS$4&lt;=Projects!$C$43+Projects!$D$43-1),Projects!$B$43/Projects!$D$43,"")</f>
        <v>789473.684210526</v>
      </c>
      <c r="BT49" s="584">
        <f>IF(AND(Projects!$C$43&lt;=BT$4,BT$4&lt;=Projects!$C$43+Projects!$D$43-1),Projects!$B$43/Projects!$D$43,"")</f>
        <v>789473.684210526</v>
      </c>
      <c r="BU49" s="584">
        <f>IF(AND(Projects!$C$43&lt;=BU$4,BU$4&lt;=Projects!$C$43+Projects!$D$43-1),Projects!$B$43/Projects!$D$43,"")</f>
        <v>789473.684210526</v>
      </c>
      <c r="BV49" s="584">
        <f>IF(AND(Projects!$C$43&lt;=BV$4,BV$4&lt;=Projects!$C$43+Projects!$D$43-1),Projects!$B$43/Projects!$D$43,"")</f>
        <v>789473.684210526</v>
      </c>
      <c r="BW49" s="584">
        <f>IF(AND(Projects!$C$43&lt;=BW$4,BW$4&lt;=Projects!$C$43+Projects!$D$43-1),Projects!$B$43/Projects!$D$43,"")</f>
        <v>789473.684210526</v>
      </c>
      <c r="BX49" s="584">
        <f>IF(AND(Projects!$C$43&lt;=BX$4,BX$4&lt;=Projects!$C$43+Projects!$D$43-1),Projects!$B$43/Projects!$D$43,"")</f>
        <v>789473.684210526</v>
      </c>
      <c r="BY49" s="584">
        <f>IF(AND(Projects!$C$43&lt;=BY$4,BY$4&lt;=Projects!$C$43+Projects!$D$43-1),Projects!$B$43/Projects!$D$43,"")</f>
        <v>789473.684210526</v>
      </c>
      <c r="BZ49" s="584">
        <f>IF(AND(Projects!$C$43&lt;=BZ$4,BZ$4&lt;=Projects!$C$43+Projects!$D$43-1),Projects!$B$43/Projects!$D$43,"")</f>
      </c>
      <c r="CA49" s="584">
        <f>IF(AND(Projects!$C$43&lt;=CA$4,CA$4&lt;=Projects!$C$43+Projects!$D$43-1),Projects!$B$43/Projects!$D$43,"")</f>
      </c>
      <c r="CB49" s="584">
        <f>IF(AND(Projects!$C$43&lt;=CB$4,CB$4&lt;=Projects!$C$43+Projects!$D$43-1),Projects!$B$43/Projects!$D$43,"")</f>
      </c>
      <c r="CC49" s="584">
        <f>IF(AND(Projects!$C$43&lt;=CC$4,CC$4&lt;=Projects!$C$43+Projects!$D$43-1),Projects!$B$43/Projects!$D$43,"")</f>
      </c>
      <c r="CD49" s="584">
        <f>IF(AND(Projects!$C$43&lt;=CD$4,CD$4&lt;=Projects!$C$43+Projects!$D$43-1),Projects!$B$43/Projects!$D$43,"")</f>
      </c>
      <c r="CE49" s="584">
        <f>IF(AND(Projects!$C$43&lt;=CE$4,CE$4&lt;=Projects!$C$43+Projects!$D$43-1),Projects!$B$43/Projects!$D$43,"")</f>
      </c>
      <c r="CF49" s="584">
        <f>IF(AND(Projects!$C$43&lt;=CF$4,CF$4&lt;=Projects!$C$43+Projects!$D$43-1),Projects!$B$43/Projects!$D$43,"")</f>
      </c>
      <c r="CG49" s="584">
        <f>IF(AND(Projects!$C$43&lt;=CG$4,CG$4&lt;=Projects!$C$43+Projects!$D$43-1),Projects!$B$43/Projects!$D$43,"")</f>
      </c>
      <c r="CH49" s="584">
        <f>IF(AND(Projects!$C$43&lt;=CH$4,CH$4&lt;=Projects!$C$43+Projects!$D$43-1),Projects!$B$43/Projects!$D$43,"")</f>
      </c>
      <c r="CI49" s="584">
        <f>IF(AND(Projects!$C$43&lt;=CI$4,CI$4&lt;=Projects!$C$43+Projects!$D$43-1),Projects!$B$43/Projects!$D$43,"")</f>
      </c>
      <c r="CJ49" s="584">
        <f>IF(AND(Projects!$C$43&lt;=CJ$4,CJ$4&lt;=Projects!$C$43+Projects!$D$43-1),Projects!$B$43/Projects!$D$43,"")</f>
      </c>
      <c r="CK49" s="584">
        <f>IF(AND(Projects!$C$43&lt;=CK$4,CK$4&lt;=Projects!$C$43+Projects!$D$43-1),Projects!$B$43/Projects!$D$43,"")</f>
      </c>
      <c r="CL49" s="584">
        <f>IF(AND(Projects!$C$43&lt;=CL$4,CL$4&lt;=Projects!$C$43+Projects!$D$43-1),Projects!$B$43/Projects!$D$43,"")</f>
      </c>
      <c r="CM49" s="584">
        <f>IF(AND(Projects!$C$43&lt;=CM$4,CM$4&lt;=Projects!$C$43+Projects!$D$43-1),Projects!$B$43/Projects!$D$43,"")</f>
      </c>
      <c r="CN49" s="584">
        <f>IF(AND(Projects!$C$43&lt;=CN$4,CN$4&lt;=Projects!$C$43+Projects!$D$43-1),Projects!$B$43/Projects!$D$43,"")</f>
      </c>
      <c r="CO49" s="584">
        <f>IF(AND(Projects!$C$43&lt;=CO$4,CO$4&lt;=Projects!$C$43+Projects!$D$43-1),Projects!$B$43/Projects!$D$43,"")</f>
      </c>
      <c r="CP49" s="584">
        <f>IF(AND(Projects!$C$43&lt;=CP$4,CP$4&lt;=Projects!$C$43+Projects!$D$43-1),Projects!$B$43/Projects!$D$43,"")</f>
      </c>
      <c r="CQ49" s="584">
        <f>IF(AND(Projects!$C$43&lt;=CQ$4,CQ$4&lt;=Projects!$C$43+Projects!$D$43-1),Projects!$B$43/Projects!$D$43,"")</f>
      </c>
      <c r="CR49" s="584">
        <f>IF(AND(Projects!$C$43&lt;=CR$4,CR$4&lt;=Projects!$C$43+Projects!$D$43-1),Projects!$B$43/Projects!$D$43,"")</f>
      </c>
      <c r="CS49" s="584">
        <f>IF(AND(Projects!$C$43&lt;=CS$4,CS$4&lt;=Projects!$C$43+Projects!$D$43-1),Projects!$B$43/Projects!$D$43,"")</f>
      </c>
      <c r="CT49" s="584">
        <f>IF(AND(Projects!$C$43&lt;=CT$4,CT$4&lt;=Projects!$C$43+Projects!$D$43-1),Projects!$B$43/Projects!$D$43,"")</f>
      </c>
      <c r="CU49" s="584">
        <f>IF(AND(Projects!$C$43&lt;=CU$4,CU$4&lt;=Projects!$C$43+Projects!$D$43-1),Projects!$B$43/Projects!$D$43,"")</f>
      </c>
      <c r="CV49" s="584">
        <f>IF(AND(Projects!$C$43&lt;=CV$4,CV$4&lt;=Projects!$C$43+Projects!$D$43-1),Projects!$B$43/Projects!$D$43,"")</f>
      </c>
      <c r="CW49" s="584">
        <f>IF(AND(Projects!$C$43&lt;=CW$4,CW$4&lt;=Projects!$C$43+Projects!$D$43-1),Projects!$B$43/Projects!$D$43,"")</f>
      </c>
      <c r="CX49" s="584">
        <f>IF(AND(Projects!$C$43&lt;=CX$4,CX$4&lt;=Projects!$C$43+Projects!$D$43-1),Projects!$B$43/Projects!$D$43,"")</f>
      </c>
      <c r="CY49" s="584">
        <f>IF(AND(Projects!$C$43&lt;=CY$4,CY$4&lt;=Projects!$C$43+Projects!$D$43-1),Projects!$B$43/Projects!$D$43,"")</f>
      </c>
      <c r="CZ49" s="584">
        <f>IF(AND(Projects!$C$43&lt;=CZ$4,CZ$4&lt;=Projects!$C$43+Projects!$D$43-1),Projects!$B$43/Projects!$D$43,"")</f>
      </c>
      <c r="DA49" s="584">
        <f>IF(AND(Projects!$C$43&lt;=DA$4,DA$4&lt;=Projects!$C$43+Projects!$D$43-1),Projects!$B$43/Projects!$D$43,"")</f>
      </c>
      <c r="DB49" s="584">
        <f>IF(AND(Projects!$C$43&lt;=DB$4,DB$4&lt;=Projects!$C$43+Projects!$D$43-1),Projects!$B$43/Projects!$D$43,"")</f>
      </c>
    </row>
    <row r="50" ht="15" customFormat="1" customHeight="1" s="381">
      <c r="A50" s="513" t="inlineStr">
        <is>
          <t>BD-28</t>
        </is>
      </c>
      <c r="B50" s="581">
        <f>Projects!$B$44</f>
        <v>15000000</v>
      </c>
      <c r="C50" s="582">
        <f>EDATE(Model!$E$2,Projects!$C$44-1)</f>
        <v>47727</v>
      </c>
      <c r="D50" s="582">
        <f>EDATE(Model!$E$2,Projects!$C$44+Projects!$D$44-2)</f>
        <v>48274</v>
      </c>
      <c r="E50" s="583">
        <f>Projects!$D$44</f>
        <v>19</v>
      </c>
      <c r="F50" s="581">
        <f>Projects!$B$44/Projects!$D$44</f>
        <v>789473.684210526</v>
      </c>
      <c r="G50" s="584">
        <f>IF(AND(Projects!$C$44&lt;=G$4,G$4&lt;=Projects!$C$44+Projects!$D$44-1),Projects!$B$44/Projects!$D$44,"")</f>
      </c>
      <c r="H50" s="584">
        <f>IF(AND(Projects!$C$44&lt;=H$4,H$4&lt;=Projects!$C$44+Projects!$D$44-1),Projects!$B$44/Projects!$D$44,"")</f>
      </c>
      <c r="I50" s="584">
        <f>IF(AND(Projects!$C$44&lt;=I$4,I$4&lt;=Projects!$C$44+Projects!$D$44-1),Projects!$B$44/Projects!$D$44,"")</f>
      </c>
      <c r="J50" s="584">
        <f>IF(AND(Projects!$C$44&lt;=J$4,J$4&lt;=Projects!$C$44+Projects!$D$44-1),Projects!$B$44/Projects!$D$44,"")</f>
      </c>
      <c r="K50" s="584">
        <f>IF(AND(Projects!$C$44&lt;=K$4,K$4&lt;=Projects!$C$44+Projects!$D$44-1),Projects!$B$44/Projects!$D$44,"")</f>
      </c>
      <c r="L50" s="584">
        <f>IF(AND(Projects!$C$44&lt;=L$4,L$4&lt;=Projects!$C$44+Projects!$D$44-1),Projects!$B$44/Projects!$D$44,"")</f>
      </c>
      <c r="M50" s="584">
        <f>IF(AND(Projects!$C$44&lt;=M$4,M$4&lt;=Projects!$C$44+Projects!$D$44-1),Projects!$B$44/Projects!$D$44,"")</f>
      </c>
      <c r="N50" s="584">
        <f>IF(AND(Projects!$C$44&lt;=N$4,N$4&lt;=Projects!$C$44+Projects!$D$44-1),Projects!$B$44/Projects!$D$44,"")</f>
      </c>
      <c r="O50" s="584">
        <f>IF(AND(Projects!$C$44&lt;=O$4,O$4&lt;=Projects!$C$44+Projects!$D$44-1),Projects!$B$44/Projects!$D$44,"")</f>
      </c>
      <c r="P50" s="584">
        <f>IF(AND(Projects!$C$44&lt;=P$4,P$4&lt;=Projects!$C$44+Projects!$D$44-1),Projects!$B$44/Projects!$D$44,"")</f>
      </c>
      <c r="Q50" s="584">
        <f>IF(AND(Projects!$C$44&lt;=Q$4,Q$4&lt;=Projects!$C$44+Projects!$D$44-1),Projects!$B$44/Projects!$D$44,"")</f>
      </c>
      <c r="R50" s="584">
        <f>IF(AND(Projects!$C$44&lt;=R$4,R$4&lt;=Projects!$C$44+Projects!$D$44-1),Projects!$B$44/Projects!$D$44,"")</f>
      </c>
      <c r="S50" s="584">
        <f>IF(AND(Projects!$C$44&lt;=S$4,S$4&lt;=Projects!$C$44+Projects!$D$44-1),Projects!$B$44/Projects!$D$44,"")</f>
      </c>
      <c r="T50" s="584">
        <f>IF(AND(Projects!$C$44&lt;=T$4,T$4&lt;=Projects!$C$44+Projects!$D$44-1),Projects!$B$44/Projects!$D$44,"")</f>
      </c>
      <c r="U50" s="584">
        <f>IF(AND(Projects!$C$44&lt;=U$4,U$4&lt;=Projects!$C$44+Projects!$D$44-1),Projects!$B$44/Projects!$D$44,"")</f>
      </c>
      <c r="V50" s="584">
        <f>IF(AND(Projects!$C$44&lt;=V$4,V$4&lt;=Projects!$C$44+Projects!$D$44-1),Projects!$B$44/Projects!$D$44,"")</f>
      </c>
      <c r="W50" s="584">
        <f>IF(AND(Projects!$C$44&lt;=W$4,W$4&lt;=Projects!$C$44+Projects!$D$44-1),Projects!$B$44/Projects!$D$44,"")</f>
      </c>
      <c r="X50" s="584">
        <f>IF(AND(Projects!$C$44&lt;=X$4,X$4&lt;=Projects!$C$44+Projects!$D$44-1),Projects!$B$44/Projects!$D$44,"")</f>
      </c>
      <c r="Y50" s="584">
        <f>IF(AND(Projects!$C$44&lt;=Y$4,Y$4&lt;=Projects!$C$44+Projects!$D$44-1),Projects!$B$44/Projects!$D$44,"")</f>
      </c>
      <c r="Z50" s="584">
        <f>IF(AND(Projects!$C$44&lt;=Z$4,Z$4&lt;=Projects!$C$44+Projects!$D$44-1),Projects!$B$44/Projects!$D$44,"")</f>
      </c>
      <c r="AA50" s="584">
        <f>IF(AND(Projects!$C$44&lt;=AA$4,AA$4&lt;=Projects!$C$44+Projects!$D$44-1),Projects!$B$44/Projects!$D$44,"")</f>
      </c>
      <c r="AB50" s="584">
        <f>IF(AND(Projects!$C$44&lt;=AB$4,AB$4&lt;=Projects!$C$44+Projects!$D$44-1),Projects!$B$44/Projects!$D$44,"")</f>
      </c>
      <c r="AC50" s="584">
        <f>IF(AND(Projects!$C$44&lt;=AC$4,AC$4&lt;=Projects!$C$44+Projects!$D$44-1),Projects!$B$44/Projects!$D$44,"")</f>
      </c>
      <c r="AD50" s="584">
        <f>IF(AND(Projects!$C$44&lt;=AD$4,AD$4&lt;=Projects!$C$44+Projects!$D$44-1),Projects!$B$44/Projects!$D$44,"")</f>
      </c>
      <c r="AE50" s="584">
        <f>IF(AND(Projects!$C$44&lt;=AE$4,AE$4&lt;=Projects!$C$44+Projects!$D$44-1),Projects!$B$44/Projects!$D$44,"")</f>
      </c>
      <c r="AF50" s="584">
        <f>IF(AND(Projects!$C$44&lt;=AF$4,AF$4&lt;=Projects!$C$44+Projects!$D$44-1),Projects!$B$44/Projects!$D$44,"")</f>
      </c>
      <c r="AG50" s="584">
        <f>IF(AND(Projects!$C$44&lt;=AG$4,AG$4&lt;=Projects!$C$44+Projects!$D$44-1),Projects!$B$44/Projects!$D$44,"")</f>
      </c>
      <c r="AH50" s="584">
        <f>IF(AND(Projects!$C$44&lt;=AH$4,AH$4&lt;=Projects!$C$44+Projects!$D$44-1),Projects!$B$44/Projects!$D$44,"")</f>
      </c>
      <c r="AI50" s="584">
        <f>IF(AND(Projects!$C$44&lt;=AI$4,AI$4&lt;=Projects!$C$44+Projects!$D$44-1),Projects!$B$44/Projects!$D$44,"")</f>
      </c>
      <c r="AJ50" s="584">
        <f>IF(AND(Projects!$C$44&lt;=AJ$4,AJ$4&lt;=Projects!$C$44+Projects!$D$44-1),Projects!$B$44/Projects!$D$44,"")</f>
      </c>
      <c r="AK50" s="584">
        <f>IF(AND(Projects!$C$44&lt;=AK$4,AK$4&lt;=Projects!$C$44+Projects!$D$44-1),Projects!$B$44/Projects!$D$44,"")</f>
      </c>
      <c r="AL50" s="584">
        <f>IF(AND(Projects!$C$44&lt;=AL$4,AL$4&lt;=Projects!$C$44+Projects!$D$44-1),Projects!$B$44/Projects!$D$44,"")</f>
      </c>
      <c r="AM50" s="584">
        <f>IF(AND(Projects!$C$44&lt;=AM$4,AM$4&lt;=Projects!$C$44+Projects!$D$44-1),Projects!$B$44/Projects!$D$44,"")</f>
      </c>
      <c r="AN50" s="584">
        <f>IF(AND(Projects!$C$44&lt;=AN$4,AN$4&lt;=Projects!$C$44+Projects!$D$44-1),Projects!$B$44/Projects!$D$44,"")</f>
      </c>
      <c r="AO50" s="584">
        <f>IF(AND(Projects!$C$44&lt;=AO$4,AO$4&lt;=Projects!$C$44+Projects!$D$44-1),Projects!$B$44/Projects!$D$44,"")</f>
      </c>
      <c r="AP50" s="584">
        <f>IF(AND(Projects!$C$44&lt;=AP$4,AP$4&lt;=Projects!$C$44+Projects!$D$44-1),Projects!$B$44/Projects!$D$44,"")</f>
      </c>
      <c r="AQ50" s="584">
        <f>IF(AND(Projects!$C$44&lt;=AQ$4,AQ$4&lt;=Projects!$C$44+Projects!$D$44-1),Projects!$B$44/Projects!$D$44,"")</f>
      </c>
      <c r="AR50" s="584">
        <f>IF(AND(Projects!$C$44&lt;=AR$4,AR$4&lt;=Projects!$C$44+Projects!$D$44-1),Projects!$B$44/Projects!$D$44,"")</f>
      </c>
      <c r="AS50" s="584">
        <f>IF(AND(Projects!$C$44&lt;=AS$4,AS$4&lt;=Projects!$C$44+Projects!$D$44-1),Projects!$B$44/Projects!$D$44,"")</f>
      </c>
      <c r="AT50" s="584">
        <f>IF(AND(Projects!$C$44&lt;=AT$4,AT$4&lt;=Projects!$C$44+Projects!$D$44-1),Projects!$B$44/Projects!$D$44,"")</f>
      </c>
      <c r="AU50" s="584">
        <f>IF(AND(Projects!$C$44&lt;=AU$4,AU$4&lt;=Projects!$C$44+Projects!$D$44-1),Projects!$B$44/Projects!$D$44,"")</f>
      </c>
      <c r="AV50" s="584">
        <f>IF(AND(Projects!$C$44&lt;=AV$4,AV$4&lt;=Projects!$C$44+Projects!$D$44-1),Projects!$B$44/Projects!$D$44,"")</f>
      </c>
      <c r="AW50" s="584">
        <f>IF(AND(Projects!$C$44&lt;=AW$4,AW$4&lt;=Projects!$C$44+Projects!$D$44-1),Projects!$B$44/Projects!$D$44,"")</f>
      </c>
      <c r="AX50" s="584">
        <f>IF(AND(Projects!$C$44&lt;=AX$4,AX$4&lt;=Projects!$C$44+Projects!$D$44-1),Projects!$B$44/Projects!$D$44,"")</f>
      </c>
      <c r="AY50" s="584">
        <f>IF(AND(Projects!$C$44&lt;=AY$4,AY$4&lt;=Projects!$C$44+Projects!$D$44-1),Projects!$B$44/Projects!$D$44,"")</f>
      </c>
      <c r="AZ50" s="584">
        <f>IF(AND(Projects!$C$44&lt;=AZ$4,AZ$4&lt;=Projects!$C$44+Projects!$D$44-1),Projects!$B$44/Projects!$D$44,"")</f>
      </c>
      <c r="BA50" s="584">
        <f>IF(AND(Projects!$C$44&lt;=BA$4,BA$4&lt;=Projects!$C$44+Projects!$D$44-1),Projects!$B$44/Projects!$D$44,"")</f>
      </c>
      <c r="BB50" s="584">
        <f>IF(AND(Projects!$C$44&lt;=BB$4,BB$4&lt;=Projects!$C$44+Projects!$D$44-1),Projects!$B$44/Projects!$D$44,"")</f>
      </c>
      <c r="BC50" s="584">
        <f>IF(AND(Projects!$C$44&lt;=BC$4,BC$4&lt;=Projects!$C$44+Projects!$D$44-1),Projects!$B$44/Projects!$D$44,"")</f>
      </c>
      <c r="BD50" s="584">
        <f>IF(AND(Projects!$C$44&lt;=BD$4,BD$4&lt;=Projects!$C$44+Projects!$D$44-1),Projects!$B$44/Projects!$D$44,"")</f>
      </c>
      <c r="BE50" s="584">
        <f>IF(AND(Projects!$C$44&lt;=BE$4,BE$4&lt;=Projects!$C$44+Projects!$D$44-1),Projects!$B$44/Projects!$D$44,"")</f>
      </c>
      <c r="BF50" s="584">
        <f>IF(AND(Projects!$C$44&lt;=BF$4,BF$4&lt;=Projects!$C$44+Projects!$D$44-1),Projects!$B$44/Projects!$D$44,"")</f>
      </c>
      <c r="BG50" s="584">
        <f>IF(AND(Projects!$C$44&lt;=BG$4,BG$4&lt;=Projects!$C$44+Projects!$D$44-1),Projects!$B$44/Projects!$D$44,"")</f>
      </c>
      <c r="BH50" s="584">
        <f>IF(AND(Projects!$C$44&lt;=BH$4,BH$4&lt;=Projects!$C$44+Projects!$D$44-1),Projects!$B$44/Projects!$D$44,"")</f>
        <v>789473.684210526</v>
      </c>
      <c r="BI50" s="584">
        <f>IF(AND(Projects!$C$44&lt;=BI$4,BI$4&lt;=Projects!$C$44+Projects!$D$44-1),Projects!$B$44/Projects!$D$44,"")</f>
        <v>789473.684210526</v>
      </c>
      <c r="BJ50" s="584">
        <f>IF(AND(Projects!$C$44&lt;=BJ$4,BJ$4&lt;=Projects!$C$44+Projects!$D$44-1),Projects!$B$44/Projects!$D$44,"")</f>
        <v>789473.684210526</v>
      </c>
      <c r="BK50" s="584">
        <f>IF(AND(Projects!$C$44&lt;=BK$4,BK$4&lt;=Projects!$C$44+Projects!$D$44-1),Projects!$B$44/Projects!$D$44,"")</f>
        <v>789473.684210526</v>
      </c>
      <c r="BL50" s="584">
        <f>IF(AND(Projects!$C$44&lt;=BL$4,BL$4&lt;=Projects!$C$44+Projects!$D$44-1),Projects!$B$44/Projects!$D$44,"")</f>
        <v>789473.684210526</v>
      </c>
      <c r="BM50" s="584">
        <f>IF(AND(Projects!$C$44&lt;=BM$4,BM$4&lt;=Projects!$C$44+Projects!$D$44-1),Projects!$B$44/Projects!$D$44,"")</f>
        <v>789473.684210526</v>
      </c>
      <c r="BN50" s="584">
        <f>IF(AND(Projects!$C$44&lt;=BN$4,BN$4&lt;=Projects!$C$44+Projects!$D$44-1),Projects!$B$44/Projects!$D$44,"")</f>
        <v>789473.684210526</v>
      </c>
      <c r="BO50" s="584">
        <f>IF(AND(Projects!$C$44&lt;=BO$4,BO$4&lt;=Projects!$C$44+Projects!$D$44-1),Projects!$B$44/Projects!$D$44,"")</f>
        <v>789473.684210526</v>
      </c>
      <c r="BP50" s="584">
        <f>IF(AND(Projects!$C$44&lt;=BP$4,BP$4&lt;=Projects!$C$44+Projects!$D$44-1),Projects!$B$44/Projects!$D$44,"")</f>
        <v>789473.684210526</v>
      </c>
      <c r="BQ50" s="584">
        <f>IF(AND(Projects!$C$44&lt;=BQ$4,BQ$4&lt;=Projects!$C$44+Projects!$D$44-1),Projects!$B$44/Projects!$D$44,"")</f>
        <v>789473.684210526</v>
      </c>
      <c r="BR50" s="584">
        <f>IF(AND(Projects!$C$44&lt;=BR$4,BR$4&lt;=Projects!$C$44+Projects!$D$44-1),Projects!$B$44/Projects!$D$44,"")</f>
        <v>789473.684210526</v>
      </c>
      <c r="BS50" s="584">
        <f>IF(AND(Projects!$C$44&lt;=BS$4,BS$4&lt;=Projects!$C$44+Projects!$D$44-1),Projects!$B$44/Projects!$D$44,"")</f>
        <v>789473.684210526</v>
      </c>
      <c r="BT50" s="584">
        <f>IF(AND(Projects!$C$44&lt;=BT$4,BT$4&lt;=Projects!$C$44+Projects!$D$44-1),Projects!$B$44/Projects!$D$44,"")</f>
        <v>789473.684210526</v>
      </c>
      <c r="BU50" s="584">
        <f>IF(AND(Projects!$C$44&lt;=BU$4,BU$4&lt;=Projects!$C$44+Projects!$D$44-1),Projects!$B$44/Projects!$D$44,"")</f>
        <v>789473.684210526</v>
      </c>
      <c r="BV50" s="584">
        <f>IF(AND(Projects!$C$44&lt;=BV$4,BV$4&lt;=Projects!$C$44+Projects!$D$44-1),Projects!$B$44/Projects!$D$44,"")</f>
        <v>789473.684210526</v>
      </c>
      <c r="BW50" s="584">
        <f>IF(AND(Projects!$C$44&lt;=BW$4,BW$4&lt;=Projects!$C$44+Projects!$D$44-1),Projects!$B$44/Projects!$D$44,"")</f>
        <v>789473.684210526</v>
      </c>
      <c r="BX50" s="584">
        <f>IF(AND(Projects!$C$44&lt;=BX$4,BX$4&lt;=Projects!$C$44+Projects!$D$44-1),Projects!$B$44/Projects!$D$44,"")</f>
        <v>789473.684210526</v>
      </c>
      <c r="BY50" s="584">
        <f>IF(AND(Projects!$C$44&lt;=BY$4,BY$4&lt;=Projects!$C$44+Projects!$D$44-1),Projects!$B$44/Projects!$D$44,"")</f>
        <v>789473.684210526</v>
      </c>
      <c r="BZ50" s="584">
        <f>IF(AND(Projects!$C$44&lt;=BZ$4,BZ$4&lt;=Projects!$C$44+Projects!$D$44-1),Projects!$B$44/Projects!$D$44,"")</f>
        <v>789473.684210526</v>
      </c>
      <c r="CA50" s="584">
        <f>IF(AND(Projects!$C$44&lt;=CA$4,CA$4&lt;=Projects!$C$44+Projects!$D$44-1),Projects!$B$44/Projects!$D$44,"")</f>
      </c>
      <c r="CB50" s="584">
        <f>IF(AND(Projects!$C$44&lt;=CB$4,CB$4&lt;=Projects!$C$44+Projects!$D$44-1),Projects!$B$44/Projects!$D$44,"")</f>
      </c>
      <c r="CC50" s="584">
        <f>IF(AND(Projects!$C$44&lt;=CC$4,CC$4&lt;=Projects!$C$44+Projects!$D$44-1),Projects!$B$44/Projects!$D$44,"")</f>
      </c>
      <c r="CD50" s="584">
        <f>IF(AND(Projects!$C$44&lt;=CD$4,CD$4&lt;=Projects!$C$44+Projects!$D$44-1),Projects!$B$44/Projects!$D$44,"")</f>
      </c>
      <c r="CE50" s="584">
        <f>IF(AND(Projects!$C$44&lt;=CE$4,CE$4&lt;=Projects!$C$44+Projects!$D$44-1),Projects!$B$44/Projects!$D$44,"")</f>
      </c>
      <c r="CF50" s="584">
        <f>IF(AND(Projects!$C$44&lt;=CF$4,CF$4&lt;=Projects!$C$44+Projects!$D$44-1),Projects!$B$44/Projects!$D$44,"")</f>
      </c>
      <c r="CG50" s="584">
        <f>IF(AND(Projects!$C$44&lt;=CG$4,CG$4&lt;=Projects!$C$44+Projects!$D$44-1),Projects!$B$44/Projects!$D$44,"")</f>
      </c>
      <c r="CH50" s="584">
        <f>IF(AND(Projects!$C$44&lt;=CH$4,CH$4&lt;=Projects!$C$44+Projects!$D$44-1),Projects!$B$44/Projects!$D$44,"")</f>
      </c>
      <c r="CI50" s="584">
        <f>IF(AND(Projects!$C$44&lt;=CI$4,CI$4&lt;=Projects!$C$44+Projects!$D$44-1),Projects!$B$44/Projects!$D$44,"")</f>
      </c>
      <c r="CJ50" s="584">
        <f>IF(AND(Projects!$C$44&lt;=CJ$4,CJ$4&lt;=Projects!$C$44+Projects!$D$44-1),Projects!$B$44/Projects!$D$44,"")</f>
      </c>
      <c r="CK50" s="584">
        <f>IF(AND(Projects!$C$44&lt;=CK$4,CK$4&lt;=Projects!$C$44+Projects!$D$44-1),Projects!$B$44/Projects!$D$44,"")</f>
      </c>
      <c r="CL50" s="584">
        <f>IF(AND(Projects!$C$44&lt;=CL$4,CL$4&lt;=Projects!$C$44+Projects!$D$44-1),Projects!$B$44/Projects!$D$44,"")</f>
      </c>
      <c r="CM50" s="584">
        <f>IF(AND(Projects!$C$44&lt;=CM$4,CM$4&lt;=Projects!$C$44+Projects!$D$44-1),Projects!$B$44/Projects!$D$44,"")</f>
      </c>
      <c r="CN50" s="584">
        <f>IF(AND(Projects!$C$44&lt;=CN$4,CN$4&lt;=Projects!$C$44+Projects!$D$44-1),Projects!$B$44/Projects!$D$44,"")</f>
      </c>
      <c r="CO50" s="584">
        <f>IF(AND(Projects!$C$44&lt;=CO$4,CO$4&lt;=Projects!$C$44+Projects!$D$44-1),Projects!$B$44/Projects!$D$44,"")</f>
      </c>
      <c r="CP50" s="584">
        <f>IF(AND(Projects!$C$44&lt;=CP$4,CP$4&lt;=Projects!$C$44+Projects!$D$44-1),Projects!$B$44/Projects!$D$44,"")</f>
      </c>
      <c r="CQ50" s="584">
        <f>IF(AND(Projects!$C$44&lt;=CQ$4,CQ$4&lt;=Projects!$C$44+Projects!$D$44-1),Projects!$B$44/Projects!$D$44,"")</f>
      </c>
      <c r="CR50" s="584">
        <f>IF(AND(Projects!$C$44&lt;=CR$4,CR$4&lt;=Projects!$C$44+Projects!$D$44-1),Projects!$B$44/Projects!$D$44,"")</f>
      </c>
      <c r="CS50" s="584">
        <f>IF(AND(Projects!$C$44&lt;=CS$4,CS$4&lt;=Projects!$C$44+Projects!$D$44-1),Projects!$B$44/Projects!$D$44,"")</f>
      </c>
      <c r="CT50" s="584">
        <f>IF(AND(Projects!$C$44&lt;=CT$4,CT$4&lt;=Projects!$C$44+Projects!$D$44-1),Projects!$B$44/Projects!$D$44,"")</f>
      </c>
      <c r="CU50" s="584">
        <f>IF(AND(Projects!$C$44&lt;=CU$4,CU$4&lt;=Projects!$C$44+Projects!$D$44-1),Projects!$B$44/Projects!$D$44,"")</f>
      </c>
      <c r="CV50" s="584">
        <f>IF(AND(Projects!$C$44&lt;=CV$4,CV$4&lt;=Projects!$C$44+Projects!$D$44-1),Projects!$B$44/Projects!$D$44,"")</f>
      </c>
      <c r="CW50" s="584">
        <f>IF(AND(Projects!$C$44&lt;=CW$4,CW$4&lt;=Projects!$C$44+Projects!$D$44-1),Projects!$B$44/Projects!$D$44,"")</f>
      </c>
      <c r="CX50" s="584">
        <f>IF(AND(Projects!$C$44&lt;=CX$4,CX$4&lt;=Projects!$C$44+Projects!$D$44-1),Projects!$B$44/Projects!$D$44,"")</f>
      </c>
      <c r="CY50" s="584">
        <f>IF(AND(Projects!$C$44&lt;=CY$4,CY$4&lt;=Projects!$C$44+Projects!$D$44-1),Projects!$B$44/Projects!$D$44,"")</f>
      </c>
      <c r="CZ50" s="584">
        <f>IF(AND(Projects!$C$44&lt;=CZ$4,CZ$4&lt;=Projects!$C$44+Projects!$D$44-1),Projects!$B$44/Projects!$D$44,"")</f>
      </c>
      <c r="DA50" s="584">
        <f>IF(AND(Projects!$C$44&lt;=DA$4,DA$4&lt;=Projects!$C$44+Projects!$D$44-1),Projects!$B$44/Projects!$D$44,"")</f>
      </c>
      <c r="DB50" s="584">
        <f>IF(AND(Projects!$C$44&lt;=DB$4,DB$4&lt;=Projects!$C$44+Projects!$D$44-1),Projects!$B$44/Projects!$D$44,"")</f>
      </c>
    </row>
    <row r="51" ht="15" customFormat="1" customHeight="1" s="381">
      <c r="A51" s="513" t="inlineStr">
        <is>
          <t>BD-29</t>
        </is>
      </c>
      <c r="B51" s="581">
        <f>Projects!$B$45</f>
        <v>18000000</v>
      </c>
      <c r="C51" s="582">
        <f>EDATE(Model!$E$2,Projects!$C$45-1)</f>
        <v>47757</v>
      </c>
      <c r="D51" s="582">
        <f>EDATE(Model!$E$2,Projects!$C$45+Projects!$D$45-2)</f>
        <v>48305</v>
      </c>
      <c r="E51" s="583">
        <f>Projects!$D$45</f>
        <v>19</v>
      </c>
      <c r="F51" s="581">
        <f>Projects!$B$45/Projects!$D$45</f>
        <v>947368.421052632</v>
      </c>
      <c r="G51" s="584">
        <f>IF(AND(Projects!$C$45&lt;=G$4,G$4&lt;=Projects!$C$45+Projects!$D$45-1),Projects!$B$45/Projects!$D$45,"")</f>
      </c>
      <c r="H51" s="584">
        <f>IF(AND(Projects!$C$45&lt;=H$4,H$4&lt;=Projects!$C$45+Projects!$D$45-1),Projects!$B$45/Projects!$D$45,"")</f>
      </c>
      <c r="I51" s="584">
        <f>IF(AND(Projects!$C$45&lt;=I$4,I$4&lt;=Projects!$C$45+Projects!$D$45-1),Projects!$B$45/Projects!$D$45,"")</f>
      </c>
      <c r="J51" s="584">
        <f>IF(AND(Projects!$C$45&lt;=J$4,J$4&lt;=Projects!$C$45+Projects!$D$45-1),Projects!$B$45/Projects!$D$45,"")</f>
      </c>
      <c r="K51" s="584">
        <f>IF(AND(Projects!$C$45&lt;=K$4,K$4&lt;=Projects!$C$45+Projects!$D$45-1),Projects!$B$45/Projects!$D$45,"")</f>
      </c>
      <c r="L51" s="584">
        <f>IF(AND(Projects!$C$45&lt;=L$4,L$4&lt;=Projects!$C$45+Projects!$D$45-1),Projects!$B$45/Projects!$D$45,"")</f>
      </c>
      <c r="M51" s="584">
        <f>IF(AND(Projects!$C$45&lt;=M$4,M$4&lt;=Projects!$C$45+Projects!$D$45-1),Projects!$B$45/Projects!$D$45,"")</f>
      </c>
      <c r="N51" s="584">
        <f>IF(AND(Projects!$C$45&lt;=N$4,N$4&lt;=Projects!$C$45+Projects!$D$45-1),Projects!$B$45/Projects!$D$45,"")</f>
      </c>
      <c r="O51" s="584">
        <f>IF(AND(Projects!$C$45&lt;=O$4,O$4&lt;=Projects!$C$45+Projects!$D$45-1),Projects!$B$45/Projects!$D$45,"")</f>
      </c>
      <c r="P51" s="584">
        <f>IF(AND(Projects!$C$45&lt;=P$4,P$4&lt;=Projects!$C$45+Projects!$D$45-1),Projects!$B$45/Projects!$D$45,"")</f>
      </c>
      <c r="Q51" s="584">
        <f>IF(AND(Projects!$C$45&lt;=Q$4,Q$4&lt;=Projects!$C$45+Projects!$D$45-1),Projects!$B$45/Projects!$D$45,"")</f>
      </c>
      <c r="R51" s="584">
        <f>IF(AND(Projects!$C$45&lt;=R$4,R$4&lt;=Projects!$C$45+Projects!$D$45-1),Projects!$B$45/Projects!$D$45,"")</f>
      </c>
      <c r="S51" s="584">
        <f>IF(AND(Projects!$C$45&lt;=S$4,S$4&lt;=Projects!$C$45+Projects!$D$45-1),Projects!$B$45/Projects!$D$45,"")</f>
      </c>
      <c r="T51" s="584">
        <f>IF(AND(Projects!$C$45&lt;=T$4,T$4&lt;=Projects!$C$45+Projects!$D$45-1),Projects!$B$45/Projects!$D$45,"")</f>
      </c>
      <c r="U51" s="584">
        <f>IF(AND(Projects!$C$45&lt;=U$4,U$4&lt;=Projects!$C$45+Projects!$D$45-1),Projects!$B$45/Projects!$D$45,"")</f>
      </c>
      <c r="V51" s="584">
        <f>IF(AND(Projects!$C$45&lt;=V$4,V$4&lt;=Projects!$C$45+Projects!$D$45-1),Projects!$B$45/Projects!$D$45,"")</f>
      </c>
      <c r="W51" s="584">
        <f>IF(AND(Projects!$C$45&lt;=W$4,W$4&lt;=Projects!$C$45+Projects!$D$45-1),Projects!$B$45/Projects!$D$45,"")</f>
      </c>
      <c r="X51" s="584">
        <f>IF(AND(Projects!$C$45&lt;=X$4,X$4&lt;=Projects!$C$45+Projects!$D$45-1),Projects!$B$45/Projects!$D$45,"")</f>
      </c>
      <c r="Y51" s="584">
        <f>IF(AND(Projects!$C$45&lt;=Y$4,Y$4&lt;=Projects!$C$45+Projects!$D$45-1),Projects!$B$45/Projects!$D$45,"")</f>
      </c>
      <c r="Z51" s="584">
        <f>IF(AND(Projects!$C$45&lt;=Z$4,Z$4&lt;=Projects!$C$45+Projects!$D$45-1),Projects!$B$45/Projects!$D$45,"")</f>
      </c>
      <c r="AA51" s="584">
        <f>IF(AND(Projects!$C$45&lt;=AA$4,AA$4&lt;=Projects!$C$45+Projects!$D$45-1),Projects!$B$45/Projects!$D$45,"")</f>
      </c>
      <c r="AB51" s="584">
        <f>IF(AND(Projects!$C$45&lt;=AB$4,AB$4&lt;=Projects!$C$45+Projects!$D$45-1),Projects!$B$45/Projects!$D$45,"")</f>
      </c>
      <c r="AC51" s="584">
        <f>IF(AND(Projects!$C$45&lt;=AC$4,AC$4&lt;=Projects!$C$45+Projects!$D$45-1),Projects!$B$45/Projects!$D$45,"")</f>
      </c>
      <c r="AD51" s="584">
        <f>IF(AND(Projects!$C$45&lt;=AD$4,AD$4&lt;=Projects!$C$45+Projects!$D$45-1),Projects!$B$45/Projects!$D$45,"")</f>
      </c>
      <c r="AE51" s="584">
        <f>IF(AND(Projects!$C$45&lt;=AE$4,AE$4&lt;=Projects!$C$45+Projects!$D$45-1),Projects!$B$45/Projects!$D$45,"")</f>
      </c>
      <c r="AF51" s="584">
        <f>IF(AND(Projects!$C$45&lt;=AF$4,AF$4&lt;=Projects!$C$45+Projects!$D$45-1),Projects!$B$45/Projects!$D$45,"")</f>
      </c>
      <c r="AG51" s="584">
        <f>IF(AND(Projects!$C$45&lt;=AG$4,AG$4&lt;=Projects!$C$45+Projects!$D$45-1),Projects!$B$45/Projects!$D$45,"")</f>
      </c>
      <c r="AH51" s="584">
        <f>IF(AND(Projects!$C$45&lt;=AH$4,AH$4&lt;=Projects!$C$45+Projects!$D$45-1),Projects!$B$45/Projects!$D$45,"")</f>
      </c>
      <c r="AI51" s="584">
        <f>IF(AND(Projects!$C$45&lt;=AI$4,AI$4&lt;=Projects!$C$45+Projects!$D$45-1),Projects!$B$45/Projects!$D$45,"")</f>
      </c>
      <c r="AJ51" s="584">
        <f>IF(AND(Projects!$C$45&lt;=AJ$4,AJ$4&lt;=Projects!$C$45+Projects!$D$45-1),Projects!$B$45/Projects!$D$45,"")</f>
      </c>
      <c r="AK51" s="584">
        <f>IF(AND(Projects!$C$45&lt;=AK$4,AK$4&lt;=Projects!$C$45+Projects!$D$45-1),Projects!$B$45/Projects!$D$45,"")</f>
      </c>
      <c r="AL51" s="584">
        <f>IF(AND(Projects!$C$45&lt;=AL$4,AL$4&lt;=Projects!$C$45+Projects!$D$45-1),Projects!$B$45/Projects!$D$45,"")</f>
      </c>
      <c r="AM51" s="584">
        <f>IF(AND(Projects!$C$45&lt;=AM$4,AM$4&lt;=Projects!$C$45+Projects!$D$45-1),Projects!$B$45/Projects!$D$45,"")</f>
      </c>
      <c r="AN51" s="584">
        <f>IF(AND(Projects!$C$45&lt;=AN$4,AN$4&lt;=Projects!$C$45+Projects!$D$45-1),Projects!$B$45/Projects!$D$45,"")</f>
      </c>
      <c r="AO51" s="584">
        <f>IF(AND(Projects!$C$45&lt;=AO$4,AO$4&lt;=Projects!$C$45+Projects!$D$45-1),Projects!$B$45/Projects!$D$45,"")</f>
      </c>
      <c r="AP51" s="584">
        <f>IF(AND(Projects!$C$45&lt;=AP$4,AP$4&lt;=Projects!$C$45+Projects!$D$45-1),Projects!$B$45/Projects!$D$45,"")</f>
      </c>
      <c r="AQ51" s="584">
        <f>IF(AND(Projects!$C$45&lt;=AQ$4,AQ$4&lt;=Projects!$C$45+Projects!$D$45-1),Projects!$B$45/Projects!$D$45,"")</f>
      </c>
      <c r="AR51" s="584">
        <f>IF(AND(Projects!$C$45&lt;=AR$4,AR$4&lt;=Projects!$C$45+Projects!$D$45-1),Projects!$B$45/Projects!$D$45,"")</f>
      </c>
      <c r="AS51" s="584">
        <f>IF(AND(Projects!$C$45&lt;=AS$4,AS$4&lt;=Projects!$C$45+Projects!$D$45-1),Projects!$B$45/Projects!$D$45,"")</f>
      </c>
      <c r="AT51" s="584">
        <f>IF(AND(Projects!$C$45&lt;=AT$4,AT$4&lt;=Projects!$C$45+Projects!$D$45-1),Projects!$B$45/Projects!$D$45,"")</f>
      </c>
      <c r="AU51" s="584">
        <f>IF(AND(Projects!$C$45&lt;=AU$4,AU$4&lt;=Projects!$C$45+Projects!$D$45-1),Projects!$B$45/Projects!$D$45,"")</f>
      </c>
      <c r="AV51" s="584">
        <f>IF(AND(Projects!$C$45&lt;=AV$4,AV$4&lt;=Projects!$C$45+Projects!$D$45-1),Projects!$B$45/Projects!$D$45,"")</f>
      </c>
      <c r="AW51" s="584">
        <f>IF(AND(Projects!$C$45&lt;=AW$4,AW$4&lt;=Projects!$C$45+Projects!$D$45-1),Projects!$B$45/Projects!$D$45,"")</f>
      </c>
      <c r="AX51" s="584">
        <f>IF(AND(Projects!$C$45&lt;=AX$4,AX$4&lt;=Projects!$C$45+Projects!$D$45-1),Projects!$B$45/Projects!$D$45,"")</f>
      </c>
      <c r="AY51" s="584">
        <f>IF(AND(Projects!$C$45&lt;=AY$4,AY$4&lt;=Projects!$C$45+Projects!$D$45-1),Projects!$B$45/Projects!$D$45,"")</f>
      </c>
      <c r="AZ51" s="584">
        <f>IF(AND(Projects!$C$45&lt;=AZ$4,AZ$4&lt;=Projects!$C$45+Projects!$D$45-1),Projects!$B$45/Projects!$D$45,"")</f>
      </c>
      <c r="BA51" s="584">
        <f>IF(AND(Projects!$C$45&lt;=BA$4,BA$4&lt;=Projects!$C$45+Projects!$D$45-1),Projects!$B$45/Projects!$D$45,"")</f>
      </c>
      <c r="BB51" s="584">
        <f>IF(AND(Projects!$C$45&lt;=BB$4,BB$4&lt;=Projects!$C$45+Projects!$D$45-1),Projects!$B$45/Projects!$D$45,"")</f>
      </c>
      <c r="BC51" s="584">
        <f>IF(AND(Projects!$C$45&lt;=BC$4,BC$4&lt;=Projects!$C$45+Projects!$D$45-1),Projects!$B$45/Projects!$D$45,"")</f>
      </c>
      <c r="BD51" s="584">
        <f>IF(AND(Projects!$C$45&lt;=BD$4,BD$4&lt;=Projects!$C$45+Projects!$D$45-1),Projects!$B$45/Projects!$D$45,"")</f>
      </c>
      <c r="BE51" s="584">
        <f>IF(AND(Projects!$C$45&lt;=BE$4,BE$4&lt;=Projects!$C$45+Projects!$D$45-1),Projects!$B$45/Projects!$D$45,"")</f>
      </c>
      <c r="BF51" s="584">
        <f>IF(AND(Projects!$C$45&lt;=BF$4,BF$4&lt;=Projects!$C$45+Projects!$D$45-1),Projects!$B$45/Projects!$D$45,"")</f>
      </c>
      <c r="BG51" s="584">
        <f>IF(AND(Projects!$C$45&lt;=BG$4,BG$4&lt;=Projects!$C$45+Projects!$D$45-1),Projects!$B$45/Projects!$D$45,"")</f>
      </c>
      <c r="BH51" s="584">
        <f>IF(AND(Projects!$C$45&lt;=BH$4,BH$4&lt;=Projects!$C$45+Projects!$D$45-1),Projects!$B$45/Projects!$D$45,"")</f>
      </c>
      <c r="BI51" s="584">
        <f>IF(AND(Projects!$C$45&lt;=BI$4,BI$4&lt;=Projects!$C$45+Projects!$D$45-1),Projects!$B$45/Projects!$D$45,"")</f>
        <v>947368.421052632</v>
      </c>
      <c r="BJ51" s="584">
        <f>IF(AND(Projects!$C$45&lt;=BJ$4,BJ$4&lt;=Projects!$C$45+Projects!$D$45-1),Projects!$B$45/Projects!$D$45,"")</f>
        <v>947368.421052632</v>
      </c>
      <c r="BK51" s="584">
        <f>IF(AND(Projects!$C$45&lt;=BK$4,BK$4&lt;=Projects!$C$45+Projects!$D$45-1),Projects!$B$45/Projects!$D$45,"")</f>
        <v>947368.421052632</v>
      </c>
      <c r="BL51" s="584">
        <f>IF(AND(Projects!$C$45&lt;=BL$4,BL$4&lt;=Projects!$C$45+Projects!$D$45-1),Projects!$B$45/Projects!$D$45,"")</f>
        <v>947368.421052632</v>
      </c>
      <c r="BM51" s="584">
        <f>IF(AND(Projects!$C$45&lt;=BM$4,BM$4&lt;=Projects!$C$45+Projects!$D$45-1),Projects!$B$45/Projects!$D$45,"")</f>
        <v>947368.421052632</v>
      </c>
      <c r="BN51" s="584">
        <f>IF(AND(Projects!$C$45&lt;=BN$4,BN$4&lt;=Projects!$C$45+Projects!$D$45-1),Projects!$B$45/Projects!$D$45,"")</f>
        <v>947368.421052632</v>
      </c>
      <c r="BO51" s="584">
        <f>IF(AND(Projects!$C$45&lt;=BO$4,BO$4&lt;=Projects!$C$45+Projects!$D$45-1),Projects!$B$45/Projects!$D$45,"")</f>
        <v>947368.421052632</v>
      </c>
      <c r="BP51" s="584">
        <f>IF(AND(Projects!$C$45&lt;=BP$4,BP$4&lt;=Projects!$C$45+Projects!$D$45-1),Projects!$B$45/Projects!$D$45,"")</f>
        <v>947368.421052632</v>
      </c>
      <c r="BQ51" s="584">
        <f>IF(AND(Projects!$C$45&lt;=BQ$4,BQ$4&lt;=Projects!$C$45+Projects!$D$45-1),Projects!$B$45/Projects!$D$45,"")</f>
        <v>947368.421052632</v>
      </c>
      <c r="BR51" s="584">
        <f>IF(AND(Projects!$C$45&lt;=BR$4,BR$4&lt;=Projects!$C$45+Projects!$D$45-1),Projects!$B$45/Projects!$D$45,"")</f>
        <v>947368.421052632</v>
      </c>
      <c r="BS51" s="584">
        <f>IF(AND(Projects!$C$45&lt;=BS$4,BS$4&lt;=Projects!$C$45+Projects!$D$45-1),Projects!$B$45/Projects!$D$45,"")</f>
        <v>947368.421052632</v>
      </c>
      <c r="BT51" s="584">
        <f>IF(AND(Projects!$C$45&lt;=BT$4,BT$4&lt;=Projects!$C$45+Projects!$D$45-1),Projects!$B$45/Projects!$D$45,"")</f>
        <v>947368.421052632</v>
      </c>
      <c r="BU51" s="584">
        <f>IF(AND(Projects!$C$45&lt;=BU$4,BU$4&lt;=Projects!$C$45+Projects!$D$45-1),Projects!$B$45/Projects!$D$45,"")</f>
        <v>947368.421052632</v>
      </c>
      <c r="BV51" s="584">
        <f>IF(AND(Projects!$C$45&lt;=BV$4,BV$4&lt;=Projects!$C$45+Projects!$D$45-1),Projects!$B$45/Projects!$D$45,"")</f>
        <v>947368.421052632</v>
      </c>
      <c r="BW51" s="584">
        <f>IF(AND(Projects!$C$45&lt;=BW$4,BW$4&lt;=Projects!$C$45+Projects!$D$45-1),Projects!$B$45/Projects!$D$45,"")</f>
        <v>947368.421052632</v>
      </c>
      <c r="BX51" s="584">
        <f>IF(AND(Projects!$C$45&lt;=BX$4,BX$4&lt;=Projects!$C$45+Projects!$D$45-1),Projects!$B$45/Projects!$D$45,"")</f>
        <v>947368.421052632</v>
      </c>
      <c r="BY51" s="584">
        <f>IF(AND(Projects!$C$45&lt;=BY$4,BY$4&lt;=Projects!$C$45+Projects!$D$45-1),Projects!$B$45/Projects!$D$45,"")</f>
        <v>947368.421052632</v>
      </c>
      <c r="BZ51" s="584">
        <f>IF(AND(Projects!$C$45&lt;=BZ$4,BZ$4&lt;=Projects!$C$45+Projects!$D$45-1),Projects!$B$45/Projects!$D$45,"")</f>
        <v>947368.421052632</v>
      </c>
      <c r="CA51" s="584">
        <f>IF(AND(Projects!$C$45&lt;=CA$4,CA$4&lt;=Projects!$C$45+Projects!$D$45-1),Projects!$B$45/Projects!$D$45,"")</f>
        <v>947368.421052632</v>
      </c>
      <c r="CB51" s="584">
        <f>IF(AND(Projects!$C$45&lt;=CB$4,CB$4&lt;=Projects!$C$45+Projects!$D$45-1),Projects!$B$45/Projects!$D$45,"")</f>
      </c>
      <c r="CC51" s="584">
        <f>IF(AND(Projects!$C$45&lt;=CC$4,CC$4&lt;=Projects!$C$45+Projects!$D$45-1),Projects!$B$45/Projects!$D$45,"")</f>
      </c>
      <c r="CD51" s="584">
        <f>IF(AND(Projects!$C$45&lt;=CD$4,CD$4&lt;=Projects!$C$45+Projects!$D$45-1),Projects!$B$45/Projects!$D$45,"")</f>
      </c>
      <c r="CE51" s="584">
        <f>IF(AND(Projects!$C$45&lt;=CE$4,CE$4&lt;=Projects!$C$45+Projects!$D$45-1),Projects!$B$45/Projects!$D$45,"")</f>
      </c>
      <c r="CF51" s="584">
        <f>IF(AND(Projects!$C$45&lt;=CF$4,CF$4&lt;=Projects!$C$45+Projects!$D$45-1),Projects!$B$45/Projects!$D$45,"")</f>
      </c>
      <c r="CG51" s="584">
        <f>IF(AND(Projects!$C$45&lt;=CG$4,CG$4&lt;=Projects!$C$45+Projects!$D$45-1),Projects!$B$45/Projects!$D$45,"")</f>
      </c>
      <c r="CH51" s="584">
        <f>IF(AND(Projects!$C$45&lt;=CH$4,CH$4&lt;=Projects!$C$45+Projects!$D$45-1),Projects!$B$45/Projects!$D$45,"")</f>
      </c>
      <c r="CI51" s="584">
        <f>IF(AND(Projects!$C$45&lt;=CI$4,CI$4&lt;=Projects!$C$45+Projects!$D$45-1),Projects!$B$45/Projects!$D$45,"")</f>
      </c>
      <c r="CJ51" s="584">
        <f>IF(AND(Projects!$C$45&lt;=CJ$4,CJ$4&lt;=Projects!$C$45+Projects!$D$45-1),Projects!$B$45/Projects!$D$45,"")</f>
      </c>
      <c r="CK51" s="584">
        <f>IF(AND(Projects!$C$45&lt;=CK$4,CK$4&lt;=Projects!$C$45+Projects!$D$45-1),Projects!$B$45/Projects!$D$45,"")</f>
      </c>
      <c r="CL51" s="584">
        <f>IF(AND(Projects!$C$45&lt;=CL$4,CL$4&lt;=Projects!$C$45+Projects!$D$45-1),Projects!$B$45/Projects!$D$45,"")</f>
      </c>
      <c r="CM51" s="584">
        <f>IF(AND(Projects!$C$45&lt;=CM$4,CM$4&lt;=Projects!$C$45+Projects!$D$45-1),Projects!$B$45/Projects!$D$45,"")</f>
      </c>
      <c r="CN51" s="584">
        <f>IF(AND(Projects!$C$45&lt;=CN$4,CN$4&lt;=Projects!$C$45+Projects!$D$45-1),Projects!$B$45/Projects!$D$45,"")</f>
      </c>
      <c r="CO51" s="584">
        <f>IF(AND(Projects!$C$45&lt;=CO$4,CO$4&lt;=Projects!$C$45+Projects!$D$45-1),Projects!$B$45/Projects!$D$45,"")</f>
      </c>
      <c r="CP51" s="584">
        <f>IF(AND(Projects!$C$45&lt;=CP$4,CP$4&lt;=Projects!$C$45+Projects!$D$45-1),Projects!$B$45/Projects!$D$45,"")</f>
      </c>
      <c r="CQ51" s="584">
        <f>IF(AND(Projects!$C$45&lt;=CQ$4,CQ$4&lt;=Projects!$C$45+Projects!$D$45-1),Projects!$B$45/Projects!$D$45,"")</f>
      </c>
      <c r="CR51" s="584">
        <f>IF(AND(Projects!$C$45&lt;=CR$4,CR$4&lt;=Projects!$C$45+Projects!$D$45-1),Projects!$B$45/Projects!$D$45,"")</f>
      </c>
      <c r="CS51" s="584">
        <f>IF(AND(Projects!$C$45&lt;=CS$4,CS$4&lt;=Projects!$C$45+Projects!$D$45-1),Projects!$B$45/Projects!$D$45,"")</f>
      </c>
      <c r="CT51" s="584">
        <f>IF(AND(Projects!$C$45&lt;=CT$4,CT$4&lt;=Projects!$C$45+Projects!$D$45-1),Projects!$B$45/Projects!$D$45,"")</f>
      </c>
      <c r="CU51" s="584">
        <f>IF(AND(Projects!$C$45&lt;=CU$4,CU$4&lt;=Projects!$C$45+Projects!$D$45-1),Projects!$B$45/Projects!$D$45,"")</f>
      </c>
      <c r="CV51" s="584">
        <f>IF(AND(Projects!$C$45&lt;=CV$4,CV$4&lt;=Projects!$C$45+Projects!$D$45-1),Projects!$B$45/Projects!$D$45,"")</f>
      </c>
      <c r="CW51" s="584">
        <f>IF(AND(Projects!$C$45&lt;=CW$4,CW$4&lt;=Projects!$C$45+Projects!$D$45-1),Projects!$B$45/Projects!$D$45,"")</f>
      </c>
      <c r="CX51" s="584">
        <f>IF(AND(Projects!$C$45&lt;=CX$4,CX$4&lt;=Projects!$C$45+Projects!$D$45-1),Projects!$B$45/Projects!$D$45,"")</f>
      </c>
      <c r="CY51" s="584">
        <f>IF(AND(Projects!$C$45&lt;=CY$4,CY$4&lt;=Projects!$C$45+Projects!$D$45-1),Projects!$B$45/Projects!$D$45,"")</f>
      </c>
      <c r="CZ51" s="584">
        <f>IF(AND(Projects!$C$45&lt;=CZ$4,CZ$4&lt;=Projects!$C$45+Projects!$D$45-1),Projects!$B$45/Projects!$D$45,"")</f>
      </c>
      <c r="DA51" s="584">
        <f>IF(AND(Projects!$C$45&lt;=DA$4,DA$4&lt;=Projects!$C$45+Projects!$D$45-1),Projects!$B$45/Projects!$D$45,"")</f>
      </c>
      <c r="DB51" s="584">
        <f>IF(AND(Projects!$C$45&lt;=DB$4,DB$4&lt;=Projects!$C$45+Projects!$D$45-1),Projects!$B$45/Projects!$D$45,"")</f>
      </c>
    </row>
    <row r="52" ht="15" customFormat="1" customHeight="1" s="381">
      <c r="A52" s="513" t="inlineStr">
        <is>
          <t>BD-30</t>
        </is>
      </c>
      <c r="B52" s="581">
        <f>Projects!$B$46</f>
        <v>15000000</v>
      </c>
      <c r="C52" s="582">
        <f>EDATE(Model!$E$2,Projects!$C$46-1)</f>
        <v>47788</v>
      </c>
      <c r="D52" s="582">
        <f>EDATE(Model!$E$2,Projects!$C$46+Projects!$D$46-2)</f>
        <v>48335</v>
      </c>
      <c r="E52" s="583">
        <f>Projects!$D$46</f>
        <v>19</v>
      </c>
      <c r="F52" s="581">
        <f>Projects!$B$46/Projects!$D$46</f>
        <v>789473.684210526</v>
      </c>
      <c r="G52" s="584">
        <f>IF(AND(Projects!$C$46&lt;=G$4,G$4&lt;=Projects!$C$46+Projects!$D$46-1),Projects!$B$46/Projects!$D$46,"")</f>
      </c>
      <c r="H52" s="584">
        <f>IF(AND(Projects!$C$46&lt;=H$4,H$4&lt;=Projects!$C$46+Projects!$D$46-1),Projects!$B$46/Projects!$D$46,"")</f>
      </c>
      <c r="I52" s="584">
        <f>IF(AND(Projects!$C$46&lt;=I$4,I$4&lt;=Projects!$C$46+Projects!$D$46-1),Projects!$B$46/Projects!$D$46,"")</f>
      </c>
      <c r="J52" s="584">
        <f>IF(AND(Projects!$C$46&lt;=J$4,J$4&lt;=Projects!$C$46+Projects!$D$46-1),Projects!$B$46/Projects!$D$46,"")</f>
      </c>
      <c r="K52" s="584">
        <f>IF(AND(Projects!$C$46&lt;=K$4,K$4&lt;=Projects!$C$46+Projects!$D$46-1),Projects!$B$46/Projects!$D$46,"")</f>
      </c>
      <c r="L52" s="584">
        <f>IF(AND(Projects!$C$46&lt;=L$4,L$4&lt;=Projects!$C$46+Projects!$D$46-1),Projects!$B$46/Projects!$D$46,"")</f>
      </c>
      <c r="M52" s="584">
        <f>IF(AND(Projects!$C$46&lt;=M$4,M$4&lt;=Projects!$C$46+Projects!$D$46-1),Projects!$B$46/Projects!$D$46,"")</f>
      </c>
      <c r="N52" s="584">
        <f>IF(AND(Projects!$C$46&lt;=N$4,N$4&lt;=Projects!$C$46+Projects!$D$46-1),Projects!$B$46/Projects!$D$46,"")</f>
      </c>
      <c r="O52" s="584">
        <f>IF(AND(Projects!$C$46&lt;=O$4,O$4&lt;=Projects!$C$46+Projects!$D$46-1),Projects!$B$46/Projects!$D$46,"")</f>
      </c>
      <c r="P52" s="584">
        <f>IF(AND(Projects!$C$46&lt;=P$4,P$4&lt;=Projects!$C$46+Projects!$D$46-1),Projects!$B$46/Projects!$D$46,"")</f>
      </c>
      <c r="Q52" s="584">
        <f>IF(AND(Projects!$C$46&lt;=Q$4,Q$4&lt;=Projects!$C$46+Projects!$D$46-1),Projects!$B$46/Projects!$D$46,"")</f>
      </c>
      <c r="R52" s="584">
        <f>IF(AND(Projects!$C$46&lt;=R$4,R$4&lt;=Projects!$C$46+Projects!$D$46-1),Projects!$B$46/Projects!$D$46,"")</f>
      </c>
      <c r="S52" s="584">
        <f>IF(AND(Projects!$C$46&lt;=S$4,S$4&lt;=Projects!$C$46+Projects!$D$46-1),Projects!$B$46/Projects!$D$46,"")</f>
      </c>
      <c r="T52" s="584">
        <f>IF(AND(Projects!$C$46&lt;=T$4,T$4&lt;=Projects!$C$46+Projects!$D$46-1),Projects!$B$46/Projects!$D$46,"")</f>
      </c>
      <c r="U52" s="584">
        <f>IF(AND(Projects!$C$46&lt;=U$4,U$4&lt;=Projects!$C$46+Projects!$D$46-1),Projects!$B$46/Projects!$D$46,"")</f>
      </c>
      <c r="V52" s="584">
        <f>IF(AND(Projects!$C$46&lt;=V$4,V$4&lt;=Projects!$C$46+Projects!$D$46-1),Projects!$B$46/Projects!$D$46,"")</f>
      </c>
      <c r="W52" s="584">
        <f>IF(AND(Projects!$C$46&lt;=W$4,W$4&lt;=Projects!$C$46+Projects!$D$46-1),Projects!$B$46/Projects!$D$46,"")</f>
      </c>
      <c r="X52" s="584">
        <f>IF(AND(Projects!$C$46&lt;=X$4,X$4&lt;=Projects!$C$46+Projects!$D$46-1),Projects!$B$46/Projects!$D$46,"")</f>
      </c>
      <c r="Y52" s="584">
        <f>IF(AND(Projects!$C$46&lt;=Y$4,Y$4&lt;=Projects!$C$46+Projects!$D$46-1),Projects!$B$46/Projects!$D$46,"")</f>
      </c>
      <c r="Z52" s="584">
        <f>IF(AND(Projects!$C$46&lt;=Z$4,Z$4&lt;=Projects!$C$46+Projects!$D$46-1),Projects!$B$46/Projects!$D$46,"")</f>
      </c>
      <c r="AA52" s="584">
        <f>IF(AND(Projects!$C$46&lt;=AA$4,AA$4&lt;=Projects!$C$46+Projects!$D$46-1),Projects!$B$46/Projects!$D$46,"")</f>
      </c>
      <c r="AB52" s="584">
        <f>IF(AND(Projects!$C$46&lt;=AB$4,AB$4&lt;=Projects!$C$46+Projects!$D$46-1),Projects!$B$46/Projects!$D$46,"")</f>
      </c>
      <c r="AC52" s="584">
        <f>IF(AND(Projects!$C$46&lt;=AC$4,AC$4&lt;=Projects!$C$46+Projects!$D$46-1),Projects!$B$46/Projects!$D$46,"")</f>
      </c>
      <c r="AD52" s="584">
        <f>IF(AND(Projects!$C$46&lt;=AD$4,AD$4&lt;=Projects!$C$46+Projects!$D$46-1),Projects!$B$46/Projects!$D$46,"")</f>
      </c>
      <c r="AE52" s="584">
        <f>IF(AND(Projects!$C$46&lt;=AE$4,AE$4&lt;=Projects!$C$46+Projects!$D$46-1),Projects!$B$46/Projects!$D$46,"")</f>
      </c>
      <c r="AF52" s="584">
        <f>IF(AND(Projects!$C$46&lt;=AF$4,AF$4&lt;=Projects!$C$46+Projects!$D$46-1),Projects!$B$46/Projects!$D$46,"")</f>
      </c>
      <c r="AG52" s="584">
        <f>IF(AND(Projects!$C$46&lt;=AG$4,AG$4&lt;=Projects!$C$46+Projects!$D$46-1),Projects!$B$46/Projects!$D$46,"")</f>
      </c>
      <c r="AH52" s="584">
        <f>IF(AND(Projects!$C$46&lt;=AH$4,AH$4&lt;=Projects!$C$46+Projects!$D$46-1),Projects!$B$46/Projects!$D$46,"")</f>
      </c>
      <c r="AI52" s="584">
        <f>IF(AND(Projects!$C$46&lt;=AI$4,AI$4&lt;=Projects!$C$46+Projects!$D$46-1),Projects!$B$46/Projects!$D$46,"")</f>
      </c>
      <c r="AJ52" s="584">
        <f>IF(AND(Projects!$C$46&lt;=AJ$4,AJ$4&lt;=Projects!$C$46+Projects!$D$46-1),Projects!$B$46/Projects!$D$46,"")</f>
      </c>
      <c r="AK52" s="584">
        <f>IF(AND(Projects!$C$46&lt;=AK$4,AK$4&lt;=Projects!$C$46+Projects!$D$46-1),Projects!$B$46/Projects!$D$46,"")</f>
      </c>
      <c r="AL52" s="584">
        <f>IF(AND(Projects!$C$46&lt;=AL$4,AL$4&lt;=Projects!$C$46+Projects!$D$46-1),Projects!$B$46/Projects!$D$46,"")</f>
      </c>
      <c r="AM52" s="584">
        <f>IF(AND(Projects!$C$46&lt;=AM$4,AM$4&lt;=Projects!$C$46+Projects!$D$46-1),Projects!$B$46/Projects!$D$46,"")</f>
      </c>
      <c r="AN52" s="584">
        <f>IF(AND(Projects!$C$46&lt;=AN$4,AN$4&lt;=Projects!$C$46+Projects!$D$46-1),Projects!$B$46/Projects!$D$46,"")</f>
      </c>
      <c r="AO52" s="584">
        <f>IF(AND(Projects!$C$46&lt;=AO$4,AO$4&lt;=Projects!$C$46+Projects!$D$46-1),Projects!$B$46/Projects!$D$46,"")</f>
      </c>
      <c r="AP52" s="584">
        <f>IF(AND(Projects!$C$46&lt;=AP$4,AP$4&lt;=Projects!$C$46+Projects!$D$46-1),Projects!$B$46/Projects!$D$46,"")</f>
      </c>
      <c r="AQ52" s="584">
        <f>IF(AND(Projects!$C$46&lt;=AQ$4,AQ$4&lt;=Projects!$C$46+Projects!$D$46-1),Projects!$B$46/Projects!$D$46,"")</f>
      </c>
      <c r="AR52" s="584">
        <f>IF(AND(Projects!$C$46&lt;=AR$4,AR$4&lt;=Projects!$C$46+Projects!$D$46-1),Projects!$B$46/Projects!$D$46,"")</f>
      </c>
      <c r="AS52" s="584">
        <f>IF(AND(Projects!$C$46&lt;=AS$4,AS$4&lt;=Projects!$C$46+Projects!$D$46-1),Projects!$B$46/Projects!$D$46,"")</f>
      </c>
      <c r="AT52" s="584">
        <f>IF(AND(Projects!$C$46&lt;=AT$4,AT$4&lt;=Projects!$C$46+Projects!$D$46-1),Projects!$B$46/Projects!$D$46,"")</f>
      </c>
      <c r="AU52" s="584">
        <f>IF(AND(Projects!$C$46&lt;=AU$4,AU$4&lt;=Projects!$C$46+Projects!$D$46-1),Projects!$B$46/Projects!$D$46,"")</f>
      </c>
      <c r="AV52" s="584">
        <f>IF(AND(Projects!$C$46&lt;=AV$4,AV$4&lt;=Projects!$C$46+Projects!$D$46-1),Projects!$B$46/Projects!$D$46,"")</f>
      </c>
      <c r="AW52" s="584">
        <f>IF(AND(Projects!$C$46&lt;=AW$4,AW$4&lt;=Projects!$C$46+Projects!$D$46-1),Projects!$B$46/Projects!$D$46,"")</f>
      </c>
      <c r="AX52" s="584">
        <f>IF(AND(Projects!$C$46&lt;=AX$4,AX$4&lt;=Projects!$C$46+Projects!$D$46-1),Projects!$B$46/Projects!$D$46,"")</f>
      </c>
      <c r="AY52" s="584">
        <f>IF(AND(Projects!$C$46&lt;=AY$4,AY$4&lt;=Projects!$C$46+Projects!$D$46-1),Projects!$B$46/Projects!$D$46,"")</f>
      </c>
      <c r="AZ52" s="584">
        <f>IF(AND(Projects!$C$46&lt;=AZ$4,AZ$4&lt;=Projects!$C$46+Projects!$D$46-1),Projects!$B$46/Projects!$D$46,"")</f>
      </c>
      <c r="BA52" s="584">
        <f>IF(AND(Projects!$C$46&lt;=BA$4,BA$4&lt;=Projects!$C$46+Projects!$D$46-1),Projects!$B$46/Projects!$D$46,"")</f>
      </c>
      <c r="BB52" s="584">
        <f>IF(AND(Projects!$C$46&lt;=BB$4,BB$4&lt;=Projects!$C$46+Projects!$D$46-1),Projects!$B$46/Projects!$D$46,"")</f>
      </c>
      <c r="BC52" s="584">
        <f>IF(AND(Projects!$C$46&lt;=BC$4,BC$4&lt;=Projects!$C$46+Projects!$D$46-1),Projects!$B$46/Projects!$D$46,"")</f>
      </c>
      <c r="BD52" s="584">
        <f>IF(AND(Projects!$C$46&lt;=BD$4,BD$4&lt;=Projects!$C$46+Projects!$D$46-1),Projects!$B$46/Projects!$D$46,"")</f>
      </c>
      <c r="BE52" s="584">
        <f>IF(AND(Projects!$C$46&lt;=BE$4,BE$4&lt;=Projects!$C$46+Projects!$D$46-1),Projects!$B$46/Projects!$D$46,"")</f>
      </c>
      <c r="BF52" s="584">
        <f>IF(AND(Projects!$C$46&lt;=BF$4,BF$4&lt;=Projects!$C$46+Projects!$D$46-1),Projects!$B$46/Projects!$D$46,"")</f>
      </c>
      <c r="BG52" s="584">
        <f>IF(AND(Projects!$C$46&lt;=BG$4,BG$4&lt;=Projects!$C$46+Projects!$D$46-1),Projects!$B$46/Projects!$D$46,"")</f>
      </c>
      <c r="BH52" s="584">
        <f>IF(AND(Projects!$C$46&lt;=BH$4,BH$4&lt;=Projects!$C$46+Projects!$D$46-1),Projects!$B$46/Projects!$D$46,"")</f>
      </c>
      <c r="BI52" s="584">
        <f>IF(AND(Projects!$C$46&lt;=BI$4,BI$4&lt;=Projects!$C$46+Projects!$D$46-1),Projects!$B$46/Projects!$D$46,"")</f>
      </c>
      <c r="BJ52" s="584">
        <f>IF(AND(Projects!$C$46&lt;=BJ$4,BJ$4&lt;=Projects!$C$46+Projects!$D$46-1),Projects!$B$46/Projects!$D$46,"")</f>
        <v>789473.684210526</v>
      </c>
      <c r="BK52" s="584">
        <f>IF(AND(Projects!$C$46&lt;=BK$4,BK$4&lt;=Projects!$C$46+Projects!$D$46-1),Projects!$B$46/Projects!$D$46,"")</f>
        <v>789473.684210526</v>
      </c>
      <c r="BL52" s="584">
        <f>IF(AND(Projects!$C$46&lt;=BL$4,BL$4&lt;=Projects!$C$46+Projects!$D$46-1),Projects!$B$46/Projects!$D$46,"")</f>
        <v>789473.684210526</v>
      </c>
      <c r="BM52" s="584">
        <f>IF(AND(Projects!$C$46&lt;=BM$4,BM$4&lt;=Projects!$C$46+Projects!$D$46-1),Projects!$B$46/Projects!$D$46,"")</f>
        <v>789473.684210526</v>
      </c>
      <c r="BN52" s="584">
        <f>IF(AND(Projects!$C$46&lt;=BN$4,BN$4&lt;=Projects!$C$46+Projects!$D$46-1),Projects!$B$46/Projects!$D$46,"")</f>
        <v>789473.684210526</v>
      </c>
      <c r="BO52" s="584">
        <f>IF(AND(Projects!$C$46&lt;=BO$4,BO$4&lt;=Projects!$C$46+Projects!$D$46-1),Projects!$B$46/Projects!$D$46,"")</f>
        <v>789473.684210526</v>
      </c>
      <c r="BP52" s="584">
        <f>IF(AND(Projects!$C$46&lt;=BP$4,BP$4&lt;=Projects!$C$46+Projects!$D$46-1),Projects!$B$46/Projects!$D$46,"")</f>
        <v>789473.684210526</v>
      </c>
      <c r="BQ52" s="584">
        <f>IF(AND(Projects!$C$46&lt;=BQ$4,BQ$4&lt;=Projects!$C$46+Projects!$D$46-1),Projects!$B$46/Projects!$D$46,"")</f>
        <v>789473.684210526</v>
      </c>
      <c r="BR52" s="584">
        <f>IF(AND(Projects!$C$46&lt;=BR$4,BR$4&lt;=Projects!$C$46+Projects!$D$46-1),Projects!$B$46/Projects!$D$46,"")</f>
        <v>789473.684210526</v>
      </c>
      <c r="BS52" s="584">
        <f>IF(AND(Projects!$C$46&lt;=BS$4,BS$4&lt;=Projects!$C$46+Projects!$D$46-1),Projects!$B$46/Projects!$D$46,"")</f>
        <v>789473.684210526</v>
      </c>
      <c r="BT52" s="584">
        <f>IF(AND(Projects!$C$46&lt;=BT$4,BT$4&lt;=Projects!$C$46+Projects!$D$46-1),Projects!$B$46/Projects!$D$46,"")</f>
        <v>789473.684210526</v>
      </c>
      <c r="BU52" s="584">
        <f>IF(AND(Projects!$C$46&lt;=BU$4,BU$4&lt;=Projects!$C$46+Projects!$D$46-1),Projects!$B$46/Projects!$D$46,"")</f>
        <v>789473.684210526</v>
      </c>
      <c r="BV52" s="584">
        <f>IF(AND(Projects!$C$46&lt;=BV$4,BV$4&lt;=Projects!$C$46+Projects!$D$46-1),Projects!$B$46/Projects!$D$46,"")</f>
        <v>789473.684210526</v>
      </c>
      <c r="BW52" s="584">
        <f>IF(AND(Projects!$C$46&lt;=BW$4,BW$4&lt;=Projects!$C$46+Projects!$D$46-1),Projects!$B$46/Projects!$D$46,"")</f>
        <v>789473.684210526</v>
      </c>
      <c r="BX52" s="584">
        <f>IF(AND(Projects!$C$46&lt;=BX$4,BX$4&lt;=Projects!$C$46+Projects!$D$46-1),Projects!$B$46/Projects!$D$46,"")</f>
        <v>789473.684210526</v>
      </c>
      <c r="BY52" s="584">
        <f>IF(AND(Projects!$C$46&lt;=BY$4,BY$4&lt;=Projects!$C$46+Projects!$D$46-1),Projects!$B$46/Projects!$D$46,"")</f>
        <v>789473.684210526</v>
      </c>
      <c r="BZ52" s="584">
        <f>IF(AND(Projects!$C$46&lt;=BZ$4,BZ$4&lt;=Projects!$C$46+Projects!$D$46-1),Projects!$B$46/Projects!$D$46,"")</f>
        <v>789473.684210526</v>
      </c>
      <c r="CA52" s="584">
        <f>IF(AND(Projects!$C$46&lt;=CA$4,CA$4&lt;=Projects!$C$46+Projects!$D$46-1),Projects!$B$46/Projects!$D$46,"")</f>
        <v>789473.684210526</v>
      </c>
      <c r="CB52" s="584">
        <f>IF(AND(Projects!$C$46&lt;=CB$4,CB$4&lt;=Projects!$C$46+Projects!$D$46-1),Projects!$B$46/Projects!$D$46,"")</f>
        <v>789473.684210526</v>
      </c>
      <c r="CC52" s="584">
        <f>IF(AND(Projects!$C$46&lt;=CC$4,CC$4&lt;=Projects!$C$46+Projects!$D$46-1),Projects!$B$46/Projects!$D$46,"")</f>
      </c>
      <c r="CD52" s="584">
        <f>IF(AND(Projects!$C$46&lt;=CD$4,CD$4&lt;=Projects!$C$46+Projects!$D$46-1),Projects!$B$46/Projects!$D$46,"")</f>
      </c>
      <c r="CE52" s="584">
        <f>IF(AND(Projects!$C$46&lt;=CE$4,CE$4&lt;=Projects!$C$46+Projects!$D$46-1),Projects!$B$46/Projects!$D$46,"")</f>
      </c>
      <c r="CF52" s="584">
        <f>IF(AND(Projects!$C$46&lt;=CF$4,CF$4&lt;=Projects!$C$46+Projects!$D$46-1),Projects!$B$46/Projects!$D$46,"")</f>
      </c>
      <c r="CG52" s="584">
        <f>IF(AND(Projects!$C$46&lt;=CG$4,CG$4&lt;=Projects!$C$46+Projects!$D$46-1),Projects!$B$46/Projects!$D$46,"")</f>
      </c>
      <c r="CH52" s="584">
        <f>IF(AND(Projects!$C$46&lt;=CH$4,CH$4&lt;=Projects!$C$46+Projects!$D$46-1),Projects!$B$46/Projects!$D$46,"")</f>
      </c>
      <c r="CI52" s="584">
        <f>IF(AND(Projects!$C$46&lt;=CI$4,CI$4&lt;=Projects!$C$46+Projects!$D$46-1),Projects!$B$46/Projects!$D$46,"")</f>
      </c>
      <c r="CJ52" s="584">
        <f>IF(AND(Projects!$C$46&lt;=CJ$4,CJ$4&lt;=Projects!$C$46+Projects!$D$46-1),Projects!$B$46/Projects!$D$46,"")</f>
      </c>
      <c r="CK52" s="584">
        <f>IF(AND(Projects!$C$46&lt;=CK$4,CK$4&lt;=Projects!$C$46+Projects!$D$46-1),Projects!$B$46/Projects!$D$46,"")</f>
      </c>
      <c r="CL52" s="584">
        <f>IF(AND(Projects!$C$46&lt;=CL$4,CL$4&lt;=Projects!$C$46+Projects!$D$46-1),Projects!$B$46/Projects!$D$46,"")</f>
      </c>
      <c r="CM52" s="584">
        <f>IF(AND(Projects!$C$46&lt;=CM$4,CM$4&lt;=Projects!$C$46+Projects!$D$46-1),Projects!$B$46/Projects!$D$46,"")</f>
      </c>
      <c r="CN52" s="584">
        <f>IF(AND(Projects!$C$46&lt;=CN$4,CN$4&lt;=Projects!$C$46+Projects!$D$46-1),Projects!$B$46/Projects!$D$46,"")</f>
      </c>
      <c r="CO52" s="584">
        <f>IF(AND(Projects!$C$46&lt;=CO$4,CO$4&lt;=Projects!$C$46+Projects!$D$46-1),Projects!$B$46/Projects!$D$46,"")</f>
      </c>
      <c r="CP52" s="584">
        <f>IF(AND(Projects!$C$46&lt;=CP$4,CP$4&lt;=Projects!$C$46+Projects!$D$46-1),Projects!$B$46/Projects!$D$46,"")</f>
      </c>
      <c r="CQ52" s="584">
        <f>IF(AND(Projects!$C$46&lt;=CQ$4,CQ$4&lt;=Projects!$C$46+Projects!$D$46-1),Projects!$B$46/Projects!$D$46,"")</f>
      </c>
      <c r="CR52" s="584">
        <f>IF(AND(Projects!$C$46&lt;=CR$4,CR$4&lt;=Projects!$C$46+Projects!$D$46-1),Projects!$B$46/Projects!$D$46,"")</f>
      </c>
      <c r="CS52" s="584">
        <f>IF(AND(Projects!$C$46&lt;=CS$4,CS$4&lt;=Projects!$C$46+Projects!$D$46-1),Projects!$B$46/Projects!$D$46,"")</f>
      </c>
      <c r="CT52" s="584">
        <f>IF(AND(Projects!$C$46&lt;=CT$4,CT$4&lt;=Projects!$C$46+Projects!$D$46-1),Projects!$B$46/Projects!$D$46,"")</f>
      </c>
      <c r="CU52" s="584">
        <f>IF(AND(Projects!$C$46&lt;=CU$4,CU$4&lt;=Projects!$C$46+Projects!$D$46-1),Projects!$B$46/Projects!$D$46,"")</f>
      </c>
      <c r="CV52" s="584">
        <f>IF(AND(Projects!$C$46&lt;=CV$4,CV$4&lt;=Projects!$C$46+Projects!$D$46-1),Projects!$B$46/Projects!$D$46,"")</f>
      </c>
      <c r="CW52" s="584">
        <f>IF(AND(Projects!$C$46&lt;=CW$4,CW$4&lt;=Projects!$C$46+Projects!$D$46-1),Projects!$B$46/Projects!$D$46,"")</f>
      </c>
      <c r="CX52" s="584">
        <f>IF(AND(Projects!$C$46&lt;=CX$4,CX$4&lt;=Projects!$C$46+Projects!$D$46-1),Projects!$B$46/Projects!$D$46,"")</f>
      </c>
      <c r="CY52" s="584">
        <f>IF(AND(Projects!$C$46&lt;=CY$4,CY$4&lt;=Projects!$C$46+Projects!$D$46-1),Projects!$B$46/Projects!$D$46,"")</f>
      </c>
      <c r="CZ52" s="584">
        <f>IF(AND(Projects!$C$46&lt;=CZ$4,CZ$4&lt;=Projects!$C$46+Projects!$D$46-1),Projects!$B$46/Projects!$D$46,"")</f>
      </c>
      <c r="DA52" s="584">
        <f>IF(AND(Projects!$C$46&lt;=DA$4,DA$4&lt;=Projects!$C$46+Projects!$D$46-1),Projects!$B$46/Projects!$D$46,"")</f>
      </c>
      <c r="DB52" s="584">
        <f>IF(AND(Projects!$C$46&lt;=DB$4,DB$4&lt;=Projects!$C$46+Projects!$D$46-1),Projects!$B$46/Projects!$D$46,"")</f>
      </c>
    </row>
    <row r="53" ht="15" customFormat="1" customHeight="1" s="381">
      <c r="A53" s="477" t="inlineStr">
        <is>
          <t>Pipeline: Monthly Billing In Place ($M)</t>
        </is>
      </c>
      <c r="G53" s="585">
        <f>SUM(G28:G52)</f>
        <v>0</v>
      </c>
      <c r="H53" s="585">
        <f>SUM(H28:H52)</f>
        <v>0</v>
      </c>
      <c r="I53" s="585">
        <f>SUM(I28:I52)</f>
        <v>0</v>
      </c>
      <c r="J53" s="585">
        <f>SUM(J28:J52)</f>
        <v>0</v>
      </c>
      <c r="K53" s="585">
        <f>SUM(K28:K52)</f>
        <v>0</v>
      </c>
      <c r="L53" s="585">
        <f>SUM(L28:L52)</f>
        <v>0</v>
      </c>
      <c r="M53" s="585">
        <f>SUM(M28:M52)</f>
        <v>0</v>
      </c>
      <c r="N53" s="585">
        <f>SUM(N28:N52)</f>
        <v>0</v>
      </c>
      <c r="O53" s="585">
        <f>SUM(O28:O52)</f>
        <v>0</v>
      </c>
      <c r="P53" s="585">
        <f>SUM(P28:P52)</f>
        <v>0</v>
      </c>
      <c r="Q53" s="585">
        <f>SUM(Q28:Q52)</f>
        <v>0</v>
      </c>
      <c r="R53" s="585">
        <f>SUM(R28:R52)</f>
        <v>0</v>
      </c>
      <c r="S53" s="585">
        <f>SUM(S28:S52)</f>
        <v>0</v>
      </c>
      <c r="T53" s="585">
        <f>SUM(T28:T52)</f>
        <v>0</v>
      </c>
      <c r="U53" s="585">
        <f>SUM(U28:U52)</f>
        <v>0</v>
      </c>
      <c r="V53" s="585">
        <f>SUM(V28:V52)</f>
        <v>789473.684210526</v>
      </c>
      <c r="W53" s="585">
        <f>SUM(W28:W52)</f>
        <v>1578947.36842105</v>
      </c>
      <c r="X53" s="585">
        <f>SUM(X28:X52)</f>
        <v>1578947.36842105</v>
      </c>
      <c r="Y53" s="585">
        <f>SUM(Y28:Y52)</f>
        <v>1578947.36842105</v>
      </c>
      <c r="Z53" s="585">
        <f>SUM(Z28:Z52)</f>
        <v>1578947.36842105</v>
      </c>
      <c r="AA53" s="585">
        <f>SUM(AA28:AA52)</f>
        <v>1578947.36842105</v>
      </c>
      <c r="AB53" s="585">
        <f>SUM(AB28:AB52)</f>
        <v>1578947.36842105</v>
      </c>
      <c r="AC53" s="585">
        <f>SUM(AC28:AC52)</f>
        <v>1578947.36842105</v>
      </c>
      <c r="AD53" s="585">
        <f>SUM(AD28:AD52)</f>
        <v>2526315.78947368</v>
      </c>
      <c r="AE53" s="585">
        <f>SUM(AE28:AE52)</f>
        <v>2526315.78947368</v>
      </c>
      <c r="AF53" s="585">
        <f>SUM(AF28:AF52)</f>
        <v>2526315.78947368</v>
      </c>
      <c r="AG53" s="585">
        <f>SUM(AG28:AG52)</f>
        <v>2526315.78947368</v>
      </c>
      <c r="AH53" s="585">
        <f>SUM(AH28:AH52)</f>
        <v>2526315.78947368</v>
      </c>
      <c r="AI53" s="585">
        <f>SUM(AI28:AI52)</f>
        <v>3473684.21052632</v>
      </c>
      <c r="AJ53" s="585">
        <f>SUM(AJ28:AJ52)</f>
        <v>4421052.63157895</v>
      </c>
      <c r="AK53" s="585">
        <f>SUM(AK28:AK52)</f>
        <v>5210526.31578947</v>
      </c>
      <c r="AL53" s="585">
        <f>SUM(AL28:AL52)</f>
        <v>6000000</v>
      </c>
      <c r="AM53" s="585">
        <f>SUM(AM28:AM52)</f>
        <v>6789473.68421053</v>
      </c>
      <c r="AN53" s="585">
        <f>SUM(AN28:AN52)</f>
        <v>7578947.36842105</v>
      </c>
      <c r="AO53" s="585">
        <f>SUM(AO28:AO52)</f>
        <v>7736842.10526316</v>
      </c>
      <c r="AP53" s="585">
        <f>SUM(AP28:AP52)</f>
        <v>7736842.10526316</v>
      </c>
      <c r="AQ53" s="585">
        <f>SUM(AQ28:AQ52)</f>
        <v>8526315.78947369</v>
      </c>
      <c r="AR53" s="585">
        <f>SUM(AR28:AR52)</f>
        <v>9473684.21052632</v>
      </c>
      <c r="AS53" s="585">
        <f>SUM(AS28:AS52)</f>
        <v>10263157.8947368</v>
      </c>
      <c r="AT53" s="585">
        <f>SUM(AT28:AT52)</f>
        <v>10263157.8947368</v>
      </c>
      <c r="AU53" s="585">
        <f>SUM(AU28:AU52)</f>
        <v>10263157.8947368</v>
      </c>
      <c r="AV53" s="585">
        <f>SUM(AV28:AV52)</f>
        <v>10263157.8947368</v>
      </c>
      <c r="AW53" s="585">
        <f>SUM(AW28:AW52)</f>
        <v>10263157.8947368</v>
      </c>
      <c r="AX53" s="585">
        <f>SUM(AX28:AX52)</f>
        <v>11052631.5789474</v>
      </c>
      <c r="AY53" s="585">
        <f>SUM(AY28:AY52)</f>
        <v>11052631.5789474</v>
      </c>
      <c r="AZ53" s="585">
        <f>SUM(AZ28:AZ52)</f>
        <v>11052631.5789474</v>
      </c>
      <c r="BA53" s="585">
        <f>SUM(BA28:BA52)</f>
        <v>11052631.5789474</v>
      </c>
      <c r="BB53" s="585">
        <f>SUM(BB28:BB52)</f>
        <v>10894736.8421053</v>
      </c>
      <c r="BC53" s="585">
        <f>SUM(BC28:BC52)</f>
        <v>10894736.8421053</v>
      </c>
      <c r="BD53" s="585">
        <f>SUM(BD28:BD52)</f>
        <v>10894736.8421053</v>
      </c>
      <c r="BE53" s="585">
        <f>SUM(BE28:BE52)</f>
        <v>10894736.8421053</v>
      </c>
      <c r="BF53" s="585">
        <f>SUM(BF28:BF52)</f>
        <v>11052631.5789474</v>
      </c>
      <c r="BG53" s="585">
        <f>SUM(BG28:BG52)</f>
        <v>11052631.5789474</v>
      </c>
      <c r="BH53" s="585">
        <f>SUM(BH28:BH52)</f>
        <v>10894736.8421053</v>
      </c>
      <c r="BI53" s="585">
        <f>SUM(BI28:BI52)</f>
        <v>11052631.5789474</v>
      </c>
      <c r="BJ53" s="585">
        <f>SUM(BJ28:BJ52)</f>
        <v>11052631.5789474</v>
      </c>
      <c r="BK53" s="585">
        <f>SUM(BK28:BK52)</f>
        <v>10105263.1578947</v>
      </c>
      <c r="BL53" s="585">
        <f>SUM(BL28:BL52)</f>
        <v>9315789.47368421</v>
      </c>
      <c r="BM53" s="585">
        <f>SUM(BM28:BM52)</f>
        <v>9315789.47368421</v>
      </c>
      <c r="BN53" s="585">
        <f>SUM(BN28:BN52)</f>
        <v>9315789.47368421</v>
      </c>
      <c r="BO53" s="585">
        <f>SUM(BO28:BO52)</f>
        <v>9315789.47368421</v>
      </c>
      <c r="BP53" s="585">
        <f>SUM(BP28:BP52)</f>
        <v>8368421.05263158</v>
      </c>
      <c r="BQ53" s="585">
        <f>SUM(BQ28:BQ52)</f>
        <v>7578947.36842105</v>
      </c>
      <c r="BR53" s="585">
        <f>SUM(BR28:BR52)</f>
        <v>7578947.36842105</v>
      </c>
      <c r="BS53" s="585">
        <f>SUM(BS28:BS52)</f>
        <v>7578947.36842105</v>
      </c>
      <c r="BT53" s="585">
        <f>SUM(BT28:BT52)</f>
        <v>7578947.36842105</v>
      </c>
      <c r="BU53" s="585">
        <f>SUM(BU28:BU52)</f>
        <v>6789473.68421053</v>
      </c>
      <c r="BV53" s="585">
        <f>SUM(BV28:BV52)</f>
        <v>5842105.2631579</v>
      </c>
      <c r="BW53" s="585">
        <f>SUM(BW28:BW52)</f>
        <v>5052631.57894737</v>
      </c>
      <c r="BX53" s="585">
        <f>SUM(BX28:BX52)</f>
        <v>4263157.89473684</v>
      </c>
      <c r="BY53" s="585">
        <f>SUM(BY28:BY52)</f>
        <v>3315789.47368421</v>
      </c>
      <c r="BZ53" s="585">
        <f>SUM(BZ28:BZ52)</f>
        <v>2526315.78947368</v>
      </c>
      <c r="CA53" s="585">
        <f>SUM(CA28:CA52)</f>
        <v>1736842.10526316</v>
      </c>
      <c r="CB53" s="585">
        <f>SUM(CB28:CB52)</f>
        <v>789473.684210526</v>
      </c>
      <c r="CC53" s="585">
        <f>SUM(CC28:CC52)</f>
        <v>0</v>
      </c>
      <c r="CD53" s="585">
        <f>SUM(CD28:CD52)</f>
        <v>0</v>
      </c>
      <c r="CE53" s="585">
        <f>SUM(CE28:CE52)</f>
        <v>0</v>
      </c>
      <c r="CF53" s="585">
        <f>SUM(CF28:CF52)</f>
        <v>0</v>
      </c>
      <c r="CG53" s="585">
        <f>SUM(CG28:CG52)</f>
        <v>0</v>
      </c>
      <c r="CH53" s="585">
        <f>SUM(CH28:CH52)</f>
        <v>0</v>
      </c>
      <c r="CI53" s="585">
        <f>SUM(CI28:CI52)</f>
        <v>0</v>
      </c>
      <c r="CJ53" s="585">
        <f>SUM(CJ28:CJ52)</f>
        <v>0</v>
      </c>
      <c r="CK53" s="585">
        <f>SUM(CK28:CK52)</f>
        <v>0</v>
      </c>
      <c r="CL53" s="585">
        <f>SUM(CL28:CL52)</f>
        <v>0</v>
      </c>
      <c r="CM53" s="585">
        <f>SUM(CM28:CM52)</f>
        <v>0</v>
      </c>
      <c r="CN53" s="585">
        <f>SUM(CN28:CN52)</f>
        <v>0</v>
      </c>
      <c r="CO53" s="585">
        <f>SUM(CO28:CO52)</f>
        <v>0</v>
      </c>
      <c r="CP53" s="585">
        <f>SUM(CP28:CP52)</f>
        <v>0</v>
      </c>
      <c r="CQ53" s="585">
        <f>SUM(CQ28:CQ52)</f>
        <v>0</v>
      </c>
      <c r="CR53" s="585">
        <f>SUM(CR28:CR52)</f>
        <v>0</v>
      </c>
      <c r="CS53" s="585">
        <f>SUM(CS28:CS52)</f>
        <v>0</v>
      </c>
      <c r="CT53" s="585">
        <f>SUM(CT28:CT52)</f>
        <v>0</v>
      </c>
      <c r="CU53" s="585">
        <f>SUM(CU28:CU52)</f>
        <v>0</v>
      </c>
      <c r="CV53" s="585">
        <f>SUM(CV28:CV52)</f>
        <v>0</v>
      </c>
      <c r="CW53" s="585">
        <f>SUM(CW28:CW52)</f>
        <v>0</v>
      </c>
      <c r="CX53" s="585">
        <f>SUM(CX28:CX52)</f>
        <v>0</v>
      </c>
      <c r="CY53" s="585">
        <f>SUM(CY28:CY52)</f>
        <v>0</v>
      </c>
      <c r="CZ53" s="585">
        <f>SUM(CZ28:CZ52)</f>
        <v>0</v>
      </c>
      <c r="DA53" s="585">
        <f>SUM(DA28:DA52)</f>
        <v>0</v>
      </c>
      <c r="DB53" s="585">
        <f>SUM(DB28:DB52)</f>
        <v>0</v>
      </c>
    </row>
    <row r="54" ht="15" customFormat="1" customHeight="1" s="381">
      <c r="A54" s="477" t="inlineStr">
        <is>
          <t>Pipeline: Jobs Active (#)</t>
        </is>
      </c>
      <c r="G54" s="586">
        <f>COUNT(G28:G52)</f>
        <v>0</v>
      </c>
      <c r="H54" s="586">
        <f>COUNT(H28:H52)</f>
        <v>0</v>
      </c>
      <c r="I54" s="586">
        <f>COUNT(I28:I52)</f>
        <v>0</v>
      </c>
      <c r="J54" s="586">
        <f>COUNT(J28:J52)</f>
        <v>0</v>
      </c>
      <c r="K54" s="586">
        <f>COUNT(K28:K52)</f>
        <v>0</v>
      </c>
      <c r="L54" s="586">
        <f>COUNT(L28:L52)</f>
        <v>0</v>
      </c>
      <c r="M54" s="586">
        <f>COUNT(M28:M52)</f>
        <v>0</v>
      </c>
      <c r="N54" s="586">
        <f>COUNT(N28:N52)</f>
        <v>0</v>
      </c>
      <c r="O54" s="586">
        <f>COUNT(O28:O52)</f>
        <v>0</v>
      </c>
      <c r="P54" s="586">
        <f>COUNT(P28:P52)</f>
        <v>0</v>
      </c>
      <c r="Q54" s="586">
        <f>COUNT(Q28:Q52)</f>
        <v>0</v>
      </c>
      <c r="R54" s="586">
        <f>COUNT(R28:R52)</f>
        <v>0</v>
      </c>
      <c r="S54" s="586">
        <f>COUNT(S28:S52)</f>
        <v>0</v>
      </c>
      <c r="T54" s="586">
        <f>COUNT(T28:T52)</f>
        <v>0</v>
      </c>
      <c r="U54" s="586">
        <f>COUNT(U28:U52)</f>
        <v>0</v>
      </c>
      <c r="V54" s="586">
        <f>COUNT(V28:V52)</f>
        <v>1</v>
      </c>
      <c r="W54" s="586">
        <f>COUNT(W28:W52)</f>
        <v>2</v>
      </c>
      <c r="X54" s="586">
        <f>COUNT(X28:X52)</f>
        <v>2</v>
      </c>
      <c r="Y54" s="586">
        <f>COUNT(Y28:Y52)</f>
        <v>2</v>
      </c>
      <c r="Z54" s="586">
        <f>COUNT(Z28:Z52)</f>
        <v>2</v>
      </c>
      <c r="AA54" s="586">
        <f>COUNT(AA28:AA52)</f>
        <v>2</v>
      </c>
      <c r="AB54" s="586">
        <f>COUNT(AB28:AB52)</f>
        <v>2</v>
      </c>
      <c r="AC54" s="586">
        <f>COUNT(AC28:AC52)</f>
        <v>2</v>
      </c>
      <c r="AD54" s="586">
        <f>COUNT(AD28:AD52)</f>
        <v>3</v>
      </c>
      <c r="AE54" s="586">
        <f>COUNT(AE28:AE52)</f>
        <v>3</v>
      </c>
      <c r="AF54" s="586">
        <f>COUNT(AF28:AF52)</f>
        <v>3</v>
      </c>
      <c r="AG54" s="586">
        <f>COUNT(AG28:AG52)</f>
        <v>3</v>
      </c>
      <c r="AH54" s="586">
        <f>COUNT(AH28:AH52)</f>
        <v>3</v>
      </c>
      <c r="AI54" s="586">
        <f>COUNT(AI28:AI52)</f>
        <v>4</v>
      </c>
      <c r="AJ54" s="586">
        <f>COUNT(AJ28:AJ52)</f>
        <v>5</v>
      </c>
      <c r="AK54" s="586">
        <f>COUNT(AK28:AK52)</f>
        <v>6</v>
      </c>
      <c r="AL54" s="586">
        <f>COUNT(AL28:AL52)</f>
        <v>7</v>
      </c>
      <c r="AM54" s="586">
        <f>COUNT(AM28:AM52)</f>
        <v>8</v>
      </c>
      <c r="AN54" s="586">
        <f>COUNT(AN28:AN52)</f>
        <v>9</v>
      </c>
      <c r="AO54" s="586">
        <f>COUNT(AO28:AO52)</f>
        <v>9</v>
      </c>
      <c r="AP54" s="586">
        <f>COUNT(AP28:AP52)</f>
        <v>9</v>
      </c>
      <c r="AQ54" s="586">
        <f>COUNT(AQ28:AQ52)</f>
        <v>10</v>
      </c>
      <c r="AR54" s="586">
        <f>COUNT(AR28:AR52)</f>
        <v>11</v>
      </c>
      <c r="AS54" s="586">
        <f>COUNT(AS28:AS52)</f>
        <v>12</v>
      </c>
      <c r="AT54" s="586">
        <f>COUNT(AT28:AT52)</f>
        <v>12</v>
      </c>
      <c r="AU54" s="586">
        <f>COUNT(AU28:AU52)</f>
        <v>12</v>
      </c>
      <c r="AV54" s="586">
        <f>COUNT(AV28:AV52)</f>
        <v>12</v>
      </c>
      <c r="AW54" s="586">
        <f>COUNT(AW28:AW52)</f>
        <v>12</v>
      </c>
      <c r="AX54" s="586">
        <f>COUNT(AX28:AX52)</f>
        <v>13</v>
      </c>
      <c r="AY54" s="586">
        <f>COUNT(AY28:AY52)</f>
        <v>13</v>
      </c>
      <c r="AZ54" s="586">
        <f>COUNT(AZ28:AZ52)</f>
        <v>13</v>
      </c>
      <c r="BA54" s="586">
        <f>COUNT(BA28:BA52)</f>
        <v>13</v>
      </c>
      <c r="BB54" s="586">
        <f>COUNT(BB28:BB52)</f>
        <v>13</v>
      </c>
      <c r="BC54" s="586">
        <f>COUNT(BC28:BC52)</f>
        <v>13</v>
      </c>
      <c r="BD54" s="586">
        <f>COUNT(BD28:BD52)</f>
        <v>13</v>
      </c>
      <c r="BE54" s="586">
        <f>COUNT(BE28:BE52)</f>
        <v>13</v>
      </c>
      <c r="BF54" s="586">
        <f>COUNT(BF28:BF52)</f>
        <v>13</v>
      </c>
      <c r="BG54" s="586">
        <f>COUNT(BG28:BG52)</f>
        <v>13</v>
      </c>
      <c r="BH54" s="586">
        <f>COUNT(BH28:BH52)</f>
        <v>13</v>
      </c>
      <c r="BI54" s="586">
        <f>COUNT(BI28:BI52)</f>
        <v>13</v>
      </c>
      <c r="BJ54" s="586">
        <f>COUNT(BJ28:BJ52)</f>
        <v>13</v>
      </c>
      <c r="BK54" s="586">
        <f>COUNT(BK28:BK52)</f>
        <v>12</v>
      </c>
      <c r="BL54" s="586">
        <f>COUNT(BL28:BL52)</f>
        <v>11</v>
      </c>
      <c r="BM54" s="586">
        <f>COUNT(BM28:BM52)</f>
        <v>11</v>
      </c>
      <c r="BN54" s="586">
        <f>COUNT(BN28:BN52)</f>
        <v>11</v>
      </c>
      <c r="BO54" s="586">
        <f>COUNT(BO28:BO52)</f>
        <v>11</v>
      </c>
      <c r="BP54" s="586">
        <f>COUNT(BP28:BP52)</f>
        <v>10</v>
      </c>
      <c r="BQ54" s="586">
        <f>COUNT(BQ28:BQ52)</f>
        <v>9</v>
      </c>
      <c r="BR54" s="586">
        <f>COUNT(BR28:BR52)</f>
        <v>9</v>
      </c>
      <c r="BS54" s="586">
        <f>COUNT(BS28:BS52)</f>
        <v>9</v>
      </c>
      <c r="BT54" s="586">
        <f>COUNT(BT28:BT52)</f>
        <v>9</v>
      </c>
      <c r="BU54" s="586">
        <f>COUNT(BU28:BU52)</f>
        <v>8</v>
      </c>
      <c r="BV54" s="586">
        <f>COUNT(BV28:BV52)</f>
        <v>7</v>
      </c>
      <c r="BW54" s="586">
        <f>COUNT(BW28:BW52)</f>
        <v>6</v>
      </c>
      <c r="BX54" s="586">
        <f>COUNT(BX28:BX52)</f>
        <v>5</v>
      </c>
      <c r="BY54" s="586">
        <f>COUNT(BY28:BY52)</f>
        <v>4</v>
      </c>
      <c r="BZ54" s="586">
        <f>COUNT(BZ28:BZ52)</f>
        <v>3</v>
      </c>
      <c r="CA54" s="586">
        <f>COUNT(CA28:CA52)</f>
        <v>2</v>
      </c>
      <c r="CB54" s="586">
        <f>COUNT(CB28:CB52)</f>
        <v>1</v>
      </c>
      <c r="CC54" s="586">
        <f>COUNT(CC28:CC52)</f>
        <v>0</v>
      </c>
      <c r="CD54" s="586">
        <f>COUNT(CD28:CD52)</f>
        <v>0</v>
      </c>
      <c r="CE54" s="586">
        <f>COUNT(CE28:CE52)</f>
        <v>0</v>
      </c>
      <c r="CF54" s="586">
        <f>COUNT(CF28:CF52)</f>
        <v>0</v>
      </c>
      <c r="CG54" s="586">
        <f>COUNT(CG28:CG52)</f>
        <v>0</v>
      </c>
      <c r="CH54" s="586">
        <f>COUNT(CH28:CH52)</f>
        <v>0</v>
      </c>
      <c r="CI54" s="586">
        <f>COUNT(CI28:CI52)</f>
        <v>0</v>
      </c>
      <c r="CJ54" s="586">
        <f>COUNT(CJ28:CJ52)</f>
        <v>0</v>
      </c>
      <c r="CK54" s="586">
        <f>COUNT(CK28:CK52)</f>
        <v>0</v>
      </c>
      <c r="CL54" s="586">
        <f>COUNT(CL28:CL52)</f>
        <v>0</v>
      </c>
      <c r="CM54" s="586">
        <f>COUNT(CM28:CM52)</f>
        <v>0</v>
      </c>
      <c r="CN54" s="586">
        <f>COUNT(CN28:CN52)</f>
        <v>0</v>
      </c>
      <c r="CO54" s="586">
        <f>COUNT(CO28:CO52)</f>
        <v>0</v>
      </c>
      <c r="CP54" s="586">
        <f>COUNT(CP28:CP52)</f>
        <v>0</v>
      </c>
      <c r="CQ54" s="586">
        <f>COUNT(CQ28:CQ52)</f>
        <v>0</v>
      </c>
      <c r="CR54" s="586">
        <f>COUNT(CR28:CR52)</f>
        <v>0</v>
      </c>
      <c r="CS54" s="586">
        <f>COUNT(CS28:CS52)</f>
        <v>0</v>
      </c>
      <c r="CT54" s="586">
        <f>COUNT(CT28:CT52)</f>
        <v>0</v>
      </c>
      <c r="CU54" s="586">
        <f>COUNT(CU28:CU52)</f>
        <v>0</v>
      </c>
      <c r="CV54" s="586">
        <f>COUNT(CV28:CV52)</f>
        <v>0</v>
      </c>
      <c r="CW54" s="586">
        <f>COUNT(CW28:CW52)</f>
        <v>0</v>
      </c>
      <c r="CX54" s="586">
        <f>COUNT(CX28:CX52)</f>
        <v>0</v>
      </c>
      <c r="CY54" s="586">
        <f>COUNT(CY28:CY52)</f>
        <v>0</v>
      </c>
      <c r="CZ54" s="586">
        <f>COUNT(CZ28:CZ52)</f>
        <v>0</v>
      </c>
      <c r="DA54" s="586">
        <f>COUNT(DA28:DA52)</f>
        <v>0</v>
      </c>
      <c r="DB54" s="586">
        <f>COUNT(DB28:DB52)</f>
        <v>0</v>
      </c>
    </row>
    <row r="56" ht="15" customFormat="1" customHeight="1" s="381">
      <c r="A56" s="587" t="inlineStr">
        <is>
          <t>TOTAL MONTHLY BILLING IN PLACE ($M)</t>
        </is>
      </c>
      <c r="B56" s="588" t="n"/>
      <c r="C56" s="588" t="n"/>
      <c r="D56" s="588" t="n"/>
      <c r="E56" s="588" t="n"/>
      <c r="F56" s="588" t="n"/>
      <c r="G56" s="589">
        <f>G21+G53</f>
        <v>4099668.80942982</v>
      </c>
      <c r="H56" s="589">
        <f>H21+H53</f>
        <v>4099668.80942982</v>
      </c>
      <c r="I56" s="589">
        <f>I21+I53</f>
        <v>4099668.80942982</v>
      </c>
      <c r="J56" s="589">
        <f>J21+J53</f>
        <v>4099668.80942982</v>
      </c>
      <c r="K56" s="589">
        <f>K21+K53</f>
        <v>6687944.28609649</v>
      </c>
      <c r="L56" s="589">
        <f>L21+L53</f>
        <v>6687944.28609649</v>
      </c>
      <c r="M56" s="589">
        <f>M21+M53</f>
        <v>6687944.28609649</v>
      </c>
      <c r="N56" s="589">
        <f>N21+N53</f>
        <v>7573919.49442983</v>
      </c>
      <c r="O56" s="589">
        <f>O21+O53</f>
        <v>6683160.11942983</v>
      </c>
      <c r="P56" s="589">
        <f>P21+P53</f>
        <v>8383782.26416667</v>
      </c>
      <c r="Q56" s="589">
        <f>Q21+Q53</f>
        <v>8383782.26416667</v>
      </c>
      <c r="R56" s="589">
        <f>R21+R53</f>
        <v>8383782.26416667</v>
      </c>
      <c r="S56" s="589">
        <f>S21+S53</f>
        <v>8383782.26416667</v>
      </c>
      <c r="T56" s="589">
        <f>T21+T53</f>
        <v>10698780.6501316</v>
      </c>
      <c r="U56" s="589">
        <f>U21+U53</f>
        <v>11294432.4922368</v>
      </c>
      <c r="V56" s="589">
        <f>V21+V53</f>
        <v>11297393.9624123</v>
      </c>
      <c r="W56" s="589">
        <f>W21+W53</f>
        <v>10825839.5841228</v>
      </c>
      <c r="X56" s="589">
        <f>X21+X53</f>
        <v>10825839.5841228</v>
      </c>
      <c r="Y56" s="589">
        <f>Y21+Y53</f>
        <v>10825839.5841228</v>
      </c>
      <c r="Z56" s="589">
        <f>Z21+Z53</f>
        <v>11677906.2530263</v>
      </c>
      <c r="AA56" s="589">
        <f>AA21+AA53</f>
        <v>11677906.2530263</v>
      </c>
      <c r="AB56" s="589">
        <f>AB21+AB53</f>
        <v>11677906.2530263</v>
      </c>
      <c r="AC56" s="589">
        <f>AC21+AC53</f>
        <v>11677906.2530263</v>
      </c>
      <c r="AD56" s="589">
        <f>AD21+AD53</f>
        <v>11941391.7240789</v>
      </c>
      <c r="AE56" s="589">
        <f>AE21+AE53</f>
        <v>11941391.7240789</v>
      </c>
      <c r="AF56" s="589">
        <f>AF21+AF53</f>
        <v>11941391.7240789</v>
      </c>
      <c r="AG56" s="589">
        <f>AG21+AG53</f>
        <v>13319879.4574123</v>
      </c>
      <c r="AH56" s="589">
        <f>AH21+AH53</f>
        <v>13319879.4574123</v>
      </c>
      <c r="AI56" s="589">
        <f>AI21+AI53</f>
        <v>12566625.7337281</v>
      </c>
      <c r="AJ56" s="589">
        <f>AJ21+AJ53</f>
        <v>13513994.1547807</v>
      </c>
      <c r="AK56" s="589">
        <f>AK21+AK53</f>
        <v>14303467.8389912</v>
      </c>
      <c r="AL56" s="589">
        <f>AL21+AL53</f>
        <v>14206966.3148684</v>
      </c>
      <c r="AM56" s="589">
        <f>AM21+AM53</f>
        <v>14190333.9464474</v>
      </c>
      <c r="AN56" s="589">
        <f>AN21+AN53</f>
        <v>14384155.7885526</v>
      </c>
      <c r="AO56" s="589">
        <f>AO21+AO53</f>
        <v>11666985.9460965</v>
      </c>
      <c r="AP56" s="589">
        <f>AP21+AP53</f>
        <v>11666985.9460965</v>
      </c>
      <c r="AQ56" s="589">
        <f>AQ21+AQ53</f>
        <v>12456459.630307</v>
      </c>
      <c r="AR56" s="589">
        <f>AR21+AR53</f>
        <v>13403828.0513596</v>
      </c>
      <c r="AS56" s="589">
        <f>AS21+AS53</f>
        <v>14193301.7355702</v>
      </c>
      <c r="AT56" s="589">
        <f>AT21+AT53</f>
        <v>14193301.7355702</v>
      </c>
      <c r="AU56" s="589">
        <f>AU21+AU53</f>
        <v>14193301.7355702</v>
      </c>
      <c r="AV56" s="589">
        <f>AV21+AV53</f>
        <v>14193301.7355702</v>
      </c>
      <c r="AW56" s="589">
        <f>AW21+AW53</f>
        <v>14193301.7355702</v>
      </c>
      <c r="AX56" s="589">
        <f>AX21+AX53</f>
        <v>12431119.3122807</v>
      </c>
      <c r="AY56" s="589">
        <f>AY21+AY53</f>
        <v>12431119.3122807</v>
      </c>
      <c r="AZ56" s="589">
        <f>AZ21+AZ53</f>
        <v>12431119.3122807</v>
      </c>
      <c r="BA56" s="589">
        <f>BA21+BA53</f>
        <v>12431119.3122807</v>
      </c>
      <c r="BB56" s="589">
        <f>BB21+BB53</f>
        <v>12273224.5754386</v>
      </c>
      <c r="BC56" s="589">
        <f>BC21+BC53</f>
        <v>12273224.5754386</v>
      </c>
      <c r="BD56" s="589">
        <f>BD21+BD53</f>
        <v>12273224.5754386</v>
      </c>
      <c r="BE56" s="589">
        <f>BE21+BE53</f>
        <v>12273224.5754386</v>
      </c>
      <c r="BF56" s="589">
        <f>BF21+BF53</f>
        <v>12431119.3122807</v>
      </c>
      <c r="BG56" s="589">
        <f>BG21+BG53</f>
        <v>12431119.3122807</v>
      </c>
      <c r="BH56" s="589">
        <f>BH21+BH53</f>
        <v>12273224.5754386</v>
      </c>
      <c r="BI56" s="589">
        <f>BI21+BI53</f>
        <v>12431119.3122807</v>
      </c>
      <c r="BJ56" s="589">
        <f>BJ21+BJ53</f>
        <v>12431119.3122807</v>
      </c>
      <c r="BK56" s="589">
        <f>BK21+BK53</f>
        <v>10105263.1578947</v>
      </c>
      <c r="BL56" s="589">
        <f>BL21+BL53</f>
        <v>9315789.47368421</v>
      </c>
      <c r="BM56" s="589">
        <f>BM21+BM53</f>
        <v>9315789.47368421</v>
      </c>
      <c r="BN56" s="589">
        <f>BN21+BN53</f>
        <v>9315789.47368421</v>
      </c>
      <c r="BO56" s="589">
        <f>BO21+BO53</f>
        <v>9315789.47368421</v>
      </c>
      <c r="BP56" s="589">
        <f>BP21+BP53</f>
        <v>8368421.05263158</v>
      </c>
      <c r="BQ56" s="589">
        <f>BQ21+BQ53</f>
        <v>7578947.36842105</v>
      </c>
      <c r="BR56" s="589">
        <f>BR21+BR53</f>
        <v>7578947.36842105</v>
      </c>
      <c r="BS56" s="589">
        <f>BS21+BS53</f>
        <v>7578947.36842105</v>
      </c>
      <c r="BT56" s="589">
        <f>BT21+BT53</f>
        <v>7578947.36842105</v>
      </c>
      <c r="BU56" s="589">
        <f>BU21+BU53</f>
        <v>6789473.68421053</v>
      </c>
      <c r="BV56" s="589">
        <f>BV21+BV53</f>
        <v>5842105.2631579</v>
      </c>
      <c r="BW56" s="589">
        <f>BW21+BW53</f>
        <v>5052631.57894737</v>
      </c>
      <c r="BX56" s="589">
        <f>BX21+BX53</f>
        <v>4263157.89473684</v>
      </c>
      <c r="BY56" s="589">
        <f>BY21+BY53</f>
        <v>3315789.47368421</v>
      </c>
      <c r="BZ56" s="589">
        <f>BZ21+BZ53</f>
        <v>2526315.78947368</v>
      </c>
      <c r="CA56" s="589">
        <f>CA21+CA53</f>
        <v>1736842.10526316</v>
      </c>
      <c r="CB56" s="589">
        <f>CB21+CB53</f>
        <v>789473.684210526</v>
      </c>
      <c r="CC56" s="589">
        <f>CC21+CC53</f>
        <v>0</v>
      </c>
      <c r="CD56" s="589">
        <f>CD21+CD53</f>
        <v>0</v>
      </c>
      <c r="CE56" s="589">
        <f>CE21+CE53</f>
        <v>0</v>
      </c>
      <c r="CF56" s="589">
        <f>CF21+CF53</f>
        <v>0</v>
      </c>
      <c r="CG56" s="589">
        <f>CG21+CG53</f>
        <v>0</v>
      </c>
      <c r="CH56" s="589">
        <f>CH21+CH53</f>
        <v>0</v>
      </c>
      <c r="CI56" s="589">
        <f>CI21+CI53</f>
        <v>0</v>
      </c>
      <c r="CJ56" s="589">
        <f>CJ21+CJ53</f>
        <v>0</v>
      </c>
      <c r="CK56" s="589">
        <f>CK21+CK53</f>
        <v>0</v>
      </c>
      <c r="CL56" s="589">
        <f>CL21+CL53</f>
        <v>0</v>
      </c>
      <c r="CM56" s="589">
        <f>CM21+CM53</f>
        <v>0</v>
      </c>
      <c r="CN56" s="589">
        <f>CN21+CN53</f>
        <v>0</v>
      </c>
      <c r="CO56" s="589">
        <f>CO21+CO53</f>
        <v>0</v>
      </c>
      <c r="CP56" s="589">
        <f>CP21+CP53</f>
        <v>0</v>
      </c>
      <c r="CQ56" s="589">
        <f>CQ21+CQ53</f>
        <v>0</v>
      </c>
      <c r="CR56" s="589">
        <f>CR21+CR53</f>
        <v>0</v>
      </c>
      <c r="CS56" s="589">
        <f>CS21+CS53</f>
        <v>0</v>
      </c>
      <c r="CT56" s="589">
        <f>CT21+CT53</f>
        <v>0</v>
      </c>
      <c r="CU56" s="589">
        <f>CU21+CU53</f>
        <v>0</v>
      </c>
      <c r="CV56" s="589">
        <f>CV21+CV53</f>
        <v>0</v>
      </c>
      <c r="CW56" s="589">
        <f>CW21+CW53</f>
        <v>0</v>
      </c>
      <c r="CX56" s="589">
        <f>CX21+CX53</f>
        <v>0</v>
      </c>
      <c r="CY56" s="589">
        <f>CY21+CY53</f>
        <v>0</v>
      </c>
      <c r="CZ56" s="589">
        <f>CZ21+CZ53</f>
        <v>0</v>
      </c>
      <c r="DA56" s="589">
        <f>DA21+DA53</f>
        <v>0</v>
      </c>
      <c r="DB56" s="589">
        <f>DB21+DB53</f>
        <v>0</v>
      </c>
    </row>
    <row r="57" ht="15" customFormat="1" customHeight="1" s="381">
      <c r="A57" s="587" t="inlineStr">
        <is>
          <t>TOTAL JOBS ACTIVE (#)</t>
        </is>
      </c>
      <c r="B57" s="588" t="n"/>
      <c r="C57" s="588" t="n"/>
      <c r="D57" s="588" t="n"/>
      <c r="E57" s="588" t="n"/>
      <c r="F57" s="588" t="n"/>
      <c r="G57" s="590">
        <f>G22+G54</f>
        <v>5</v>
      </c>
      <c r="H57" s="590">
        <f>H22+H54</f>
        <v>5</v>
      </c>
      <c r="I57" s="590">
        <f>I22+I54</f>
        <v>5</v>
      </c>
      <c r="J57" s="590">
        <f>J22+J54</f>
        <v>5</v>
      </c>
      <c r="K57" s="590">
        <f>K22+K54</f>
        <v>8</v>
      </c>
      <c r="L57" s="590">
        <f>L22+L54</f>
        <v>8</v>
      </c>
      <c r="M57" s="590">
        <f>M22+M54</f>
        <v>8</v>
      </c>
      <c r="N57" s="590">
        <f>N22+N54</f>
        <v>9</v>
      </c>
      <c r="O57" s="590">
        <f>O22+O54</f>
        <v>8</v>
      </c>
      <c r="P57" s="590">
        <f>P22+P54</f>
        <v>11</v>
      </c>
      <c r="Q57" s="590">
        <f>Q22+Q54</f>
        <v>11</v>
      </c>
      <c r="R57" s="590">
        <f>R22+R54</f>
        <v>11</v>
      </c>
      <c r="S57" s="590">
        <f>S22+S54</f>
        <v>11</v>
      </c>
      <c r="T57" s="590">
        <f>T22+T54</f>
        <v>13</v>
      </c>
      <c r="U57" s="590">
        <f>U22+U54</f>
        <v>14</v>
      </c>
      <c r="V57" s="590">
        <f>V22+V54</f>
        <v>14</v>
      </c>
      <c r="W57" s="590">
        <f>W22+W54</f>
        <v>14</v>
      </c>
      <c r="X57" s="590">
        <f>X22+X54</f>
        <v>14</v>
      </c>
      <c r="Y57" s="590">
        <f>Y22+Y54</f>
        <v>14</v>
      </c>
      <c r="Z57" s="590">
        <f>Z22+Z54</f>
        <v>14</v>
      </c>
      <c r="AA57" s="590">
        <f>AA22+AA54</f>
        <v>14</v>
      </c>
      <c r="AB57" s="590">
        <f>AB22+AB54</f>
        <v>14</v>
      </c>
      <c r="AC57" s="590">
        <f>AC22+AC54</f>
        <v>14</v>
      </c>
      <c r="AD57" s="590">
        <f>AD22+AD54</f>
        <v>14</v>
      </c>
      <c r="AE57" s="590">
        <f>AE22+AE54</f>
        <v>14</v>
      </c>
      <c r="AF57" s="590">
        <f>AF22+AF54</f>
        <v>14</v>
      </c>
      <c r="AG57" s="590">
        <f>AG22+AG54</f>
        <v>15</v>
      </c>
      <c r="AH57" s="590">
        <f>AH22+AH54</f>
        <v>15</v>
      </c>
      <c r="AI57" s="590">
        <f>AI22+AI54</f>
        <v>13</v>
      </c>
      <c r="AJ57" s="590">
        <f>AJ22+AJ54</f>
        <v>14</v>
      </c>
      <c r="AK57" s="590">
        <f>AK22+AK54</f>
        <v>15</v>
      </c>
      <c r="AL57" s="590">
        <f>AL22+AL54</f>
        <v>15</v>
      </c>
      <c r="AM57" s="590">
        <f>AM22+AM54</f>
        <v>15</v>
      </c>
      <c r="AN57" s="590">
        <f>AN22+AN54</f>
        <v>15</v>
      </c>
      <c r="AO57" s="590">
        <f>AO22+AO54</f>
        <v>12</v>
      </c>
      <c r="AP57" s="590">
        <f>AP22+AP54</f>
        <v>12</v>
      </c>
      <c r="AQ57" s="590">
        <f>AQ22+AQ54</f>
        <v>13</v>
      </c>
      <c r="AR57" s="590">
        <f>AR22+AR54</f>
        <v>14</v>
      </c>
      <c r="AS57" s="590">
        <f>AS22+AS54</f>
        <v>15</v>
      </c>
      <c r="AT57" s="590">
        <f>AT22+AT54</f>
        <v>15</v>
      </c>
      <c r="AU57" s="590">
        <f>AU22+AU54</f>
        <v>15</v>
      </c>
      <c r="AV57" s="590">
        <f>AV22+AV54</f>
        <v>15</v>
      </c>
      <c r="AW57" s="590">
        <f>AW22+AW54</f>
        <v>15</v>
      </c>
      <c r="AX57" s="590">
        <f>AX22+AX54</f>
        <v>14</v>
      </c>
      <c r="AY57" s="590">
        <f>AY22+AY54</f>
        <v>14</v>
      </c>
      <c r="AZ57" s="590">
        <f>AZ22+AZ54</f>
        <v>14</v>
      </c>
      <c r="BA57" s="590">
        <f>BA22+BA54</f>
        <v>14</v>
      </c>
      <c r="BB57" s="590">
        <f>BB22+BB54</f>
        <v>14</v>
      </c>
      <c r="BC57" s="590">
        <f>BC22+BC54</f>
        <v>14</v>
      </c>
      <c r="BD57" s="590">
        <f>BD22+BD54</f>
        <v>14</v>
      </c>
      <c r="BE57" s="590">
        <f>BE22+BE54</f>
        <v>14</v>
      </c>
      <c r="BF57" s="590">
        <f>BF22+BF54</f>
        <v>14</v>
      </c>
      <c r="BG57" s="590">
        <f>BG22+BG54</f>
        <v>14</v>
      </c>
      <c r="BH57" s="590">
        <f>BH22+BH54</f>
        <v>14</v>
      </c>
      <c r="BI57" s="590">
        <f>BI22+BI54</f>
        <v>14</v>
      </c>
      <c r="BJ57" s="590">
        <f>BJ22+BJ54</f>
        <v>14</v>
      </c>
      <c r="BK57" s="590">
        <f>BK22+BK54</f>
        <v>12</v>
      </c>
      <c r="BL57" s="590">
        <f>BL22+BL54</f>
        <v>11</v>
      </c>
      <c r="BM57" s="590">
        <f>BM22+BM54</f>
        <v>11</v>
      </c>
      <c r="BN57" s="590">
        <f>BN22+BN54</f>
        <v>11</v>
      </c>
      <c r="BO57" s="590">
        <f>BO22+BO54</f>
        <v>11</v>
      </c>
      <c r="BP57" s="590">
        <f>BP22+BP54</f>
        <v>10</v>
      </c>
      <c r="BQ57" s="590">
        <f>BQ22+BQ54</f>
        <v>9</v>
      </c>
      <c r="BR57" s="590">
        <f>BR22+BR54</f>
        <v>9</v>
      </c>
      <c r="BS57" s="590">
        <f>BS22+BS54</f>
        <v>9</v>
      </c>
      <c r="BT57" s="590">
        <f>BT22+BT54</f>
        <v>9</v>
      </c>
      <c r="BU57" s="590">
        <f>BU22+BU54</f>
        <v>8</v>
      </c>
      <c r="BV57" s="590">
        <f>BV22+BV54</f>
        <v>7</v>
      </c>
      <c r="BW57" s="590">
        <f>BW22+BW54</f>
        <v>6</v>
      </c>
      <c r="BX57" s="590">
        <f>BX22+BX54</f>
        <v>5</v>
      </c>
      <c r="BY57" s="590">
        <f>BY22+BY54</f>
        <v>4</v>
      </c>
      <c r="BZ57" s="590">
        <f>BZ22+BZ54</f>
        <v>3</v>
      </c>
      <c r="CA57" s="590">
        <f>CA22+CA54</f>
        <v>2</v>
      </c>
      <c r="CB57" s="590">
        <f>CB22+CB54</f>
        <v>1</v>
      </c>
      <c r="CC57" s="590">
        <f>CC22+CC54</f>
        <v>0</v>
      </c>
      <c r="CD57" s="590">
        <f>CD22+CD54</f>
        <v>0</v>
      </c>
      <c r="CE57" s="590">
        <f>CE22+CE54</f>
        <v>0</v>
      </c>
      <c r="CF57" s="590">
        <f>CF22+CF54</f>
        <v>0</v>
      </c>
      <c r="CG57" s="590">
        <f>CG22+CG54</f>
        <v>0</v>
      </c>
      <c r="CH57" s="590">
        <f>CH22+CH54</f>
        <v>0</v>
      </c>
      <c r="CI57" s="590">
        <f>CI22+CI54</f>
        <v>0</v>
      </c>
      <c r="CJ57" s="590">
        <f>CJ22+CJ54</f>
        <v>0</v>
      </c>
      <c r="CK57" s="590">
        <f>CK22+CK54</f>
        <v>0</v>
      </c>
      <c r="CL57" s="590">
        <f>CL22+CL54</f>
        <v>0</v>
      </c>
      <c r="CM57" s="590">
        <f>CM22+CM54</f>
        <v>0</v>
      </c>
      <c r="CN57" s="590">
        <f>CN22+CN54</f>
        <v>0</v>
      </c>
      <c r="CO57" s="590">
        <f>CO22+CO54</f>
        <v>0</v>
      </c>
      <c r="CP57" s="590">
        <f>CP22+CP54</f>
        <v>0</v>
      </c>
      <c r="CQ57" s="590">
        <f>CQ22+CQ54</f>
        <v>0</v>
      </c>
      <c r="CR57" s="590">
        <f>CR22+CR54</f>
        <v>0</v>
      </c>
      <c r="CS57" s="590">
        <f>CS22+CS54</f>
        <v>0</v>
      </c>
      <c r="CT57" s="590">
        <f>CT22+CT54</f>
        <v>0</v>
      </c>
      <c r="CU57" s="590">
        <f>CU22+CU54</f>
        <v>0</v>
      </c>
      <c r="CV57" s="590">
        <f>CV22+CV54</f>
        <v>0</v>
      </c>
      <c r="CW57" s="590">
        <f>CW22+CW54</f>
        <v>0</v>
      </c>
      <c r="CX57" s="590">
        <f>CX22+CX54</f>
        <v>0</v>
      </c>
      <c r="CY57" s="590">
        <f>CY22+CY54</f>
        <v>0</v>
      </c>
      <c r="CZ57" s="590">
        <f>CZ22+CZ54</f>
        <v>0</v>
      </c>
      <c r="DA57" s="590">
        <f>DA22+DA54</f>
        <v>0</v>
      </c>
      <c r="DB57" s="590">
        <f>DB22+DB54</f>
        <v>0</v>
      </c>
    </row>
    <row r="59" ht="15" customFormat="1" customHeight="1" s="381">
      <c r="A59" s="477" t="inlineStr">
        <is>
          <t>Monthly Overhead ($) — INPUT</t>
        </is>
      </c>
      <c r="F59" s="591" t="n">
        <v>0</v>
      </c>
    </row>
    <row r="60" ht="15" customFormat="1" customHeight="1" s="381">
      <c r="A60" s="477" t="inlineStr">
        <is>
          <t>Breakeven Billing Hurdle = 10 x Overhead ($M)</t>
        </is>
      </c>
      <c r="G60" s="592">
        <f>10*$F$59</f>
        <v>0</v>
      </c>
      <c r="H60" s="592">
        <f>10*$F$59</f>
        <v>0</v>
      </c>
      <c r="I60" s="592">
        <f>10*$F$59</f>
        <v>0</v>
      </c>
      <c r="J60" s="592">
        <f>10*$F$59</f>
        <v>0</v>
      </c>
      <c r="K60" s="592">
        <f>10*$F$59</f>
        <v>0</v>
      </c>
      <c r="L60" s="592">
        <f>10*$F$59</f>
        <v>0</v>
      </c>
      <c r="M60" s="592">
        <f>10*$F$59</f>
        <v>0</v>
      </c>
      <c r="N60" s="592">
        <f>10*$F$59</f>
        <v>0</v>
      </c>
      <c r="O60" s="592">
        <f>10*$F$59</f>
        <v>0</v>
      </c>
      <c r="P60" s="592">
        <f>10*$F$59</f>
        <v>0</v>
      </c>
      <c r="Q60" s="592">
        <f>10*$F$59</f>
        <v>0</v>
      </c>
      <c r="R60" s="592">
        <f>10*$F$59</f>
        <v>0</v>
      </c>
      <c r="S60" s="592">
        <f>10*$F$59</f>
        <v>0</v>
      </c>
      <c r="T60" s="592">
        <f>10*$F$59</f>
        <v>0</v>
      </c>
      <c r="U60" s="592">
        <f>10*$F$59</f>
        <v>0</v>
      </c>
      <c r="V60" s="592">
        <f>10*$F$59</f>
        <v>0</v>
      </c>
      <c r="W60" s="592">
        <f>10*$F$59</f>
        <v>0</v>
      </c>
      <c r="X60" s="592">
        <f>10*$F$59</f>
        <v>0</v>
      </c>
      <c r="Y60" s="592">
        <f>10*$F$59</f>
        <v>0</v>
      </c>
      <c r="Z60" s="592">
        <f>10*$F$59</f>
        <v>0</v>
      </c>
      <c r="AA60" s="592">
        <f>10*$F$59</f>
        <v>0</v>
      </c>
      <c r="AB60" s="592">
        <f>10*$F$59</f>
        <v>0</v>
      </c>
      <c r="AC60" s="592">
        <f>10*$F$59</f>
        <v>0</v>
      </c>
      <c r="AD60" s="592">
        <f>10*$F$59</f>
        <v>0</v>
      </c>
      <c r="AE60" s="592">
        <f>10*$F$59</f>
        <v>0</v>
      </c>
      <c r="AF60" s="592">
        <f>10*$F$59</f>
        <v>0</v>
      </c>
      <c r="AG60" s="592">
        <f>10*$F$59</f>
        <v>0</v>
      </c>
      <c r="AH60" s="592">
        <f>10*$F$59</f>
        <v>0</v>
      </c>
      <c r="AI60" s="592">
        <f>10*$F$59</f>
        <v>0</v>
      </c>
      <c r="AJ60" s="592">
        <f>10*$F$59</f>
        <v>0</v>
      </c>
      <c r="AK60" s="592">
        <f>10*$F$59</f>
        <v>0</v>
      </c>
      <c r="AL60" s="592">
        <f>10*$F$59</f>
        <v>0</v>
      </c>
      <c r="AM60" s="592">
        <f>10*$F$59</f>
        <v>0</v>
      </c>
      <c r="AN60" s="592">
        <f>10*$F$59</f>
        <v>0</v>
      </c>
      <c r="AO60" s="592">
        <f>10*$F$59</f>
        <v>0</v>
      </c>
      <c r="AP60" s="592">
        <f>10*$F$59</f>
        <v>0</v>
      </c>
      <c r="AQ60" s="592">
        <f>10*$F$59</f>
        <v>0</v>
      </c>
      <c r="AR60" s="592">
        <f>10*$F$59</f>
        <v>0</v>
      </c>
      <c r="AS60" s="592">
        <f>10*$F$59</f>
        <v>0</v>
      </c>
      <c r="AT60" s="592">
        <f>10*$F$59</f>
        <v>0</v>
      </c>
      <c r="AU60" s="592">
        <f>10*$F$59</f>
        <v>0</v>
      </c>
      <c r="AV60" s="592">
        <f>10*$F$59</f>
        <v>0</v>
      </c>
      <c r="AW60" s="592">
        <f>10*$F$59</f>
        <v>0</v>
      </c>
      <c r="AX60" s="592">
        <f>10*$F$59</f>
        <v>0</v>
      </c>
      <c r="AY60" s="592">
        <f>10*$F$59</f>
        <v>0</v>
      </c>
      <c r="AZ60" s="592">
        <f>10*$F$59</f>
        <v>0</v>
      </c>
      <c r="BA60" s="592">
        <f>10*$F$59</f>
        <v>0</v>
      </c>
      <c r="BB60" s="592">
        <f>10*$F$59</f>
        <v>0</v>
      </c>
      <c r="BC60" s="592">
        <f>10*$F$59</f>
        <v>0</v>
      </c>
      <c r="BD60" s="592">
        <f>10*$F$59</f>
        <v>0</v>
      </c>
      <c r="BE60" s="592">
        <f>10*$F$59</f>
        <v>0</v>
      </c>
      <c r="BF60" s="592">
        <f>10*$F$59</f>
        <v>0</v>
      </c>
      <c r="BG60" s="592">
        <f>10*$F$59</f>
        <v>0</v>
      </c>
      <c r="BH60" s="592">
        <f>10*$F$59</f>
        <v>0</v>
      </c>
      <c r="BI60" s="592">
        <f>10*$F$59</f>
        <v>0</v>
      </c>
      <c r="BJ60" s="592">
        <f>10*$F$59</f>
        <v>0</v>
      </c>
      <c r="BK60" s="592">
        <f>10*$F$59</f>
        <v>0</v>
      </c>
      <c r="BL60" s="592">
        <f>10*$F$59</f>
        <v>0</v>
      </c>
      <c r="BM60" s="592">
        <f>10*$F$59</f>
        <v>0</v>
      </c>
      <c r="BN60" s="592">
        <f>10*$F$59</f>
        <v>0</v>
      </c>
      <c r="BO60" s="592">
        <f>10*$F$59</f>
        <v>0</v>
      </c>
      <c r="BP60" s="592">
        <f>10*$F$59</f>
        <v>0</v>
      </c>
      <c r="BQ60" s="592">
        <f>10*$F$59</f>
        <v>0</v>
      </c>
      <c r="BR60" s="592">
        <f>10*$F$59</f>
        <v>0</v>
      </c>
      <c r="BS60" s="592">
        <f>10*$F$59</f>
        <v>0</v>
      </c>
      <c r="BT60" s="592">
        <f>10*$F$59</f>
        <v>0</v>
      </c>
      <c r="BU60" s="592">
        <f>10*$F$59</f>
        <v>0</v>
      </c>
      <c r="BV60" s="592">
        <f>10*$F$59</f>
        <v>0</v>
      </c>
      <c r="BW60" s="592">
        <f>10*$F$59</f>
        <v>0</v>
      </c>
      <c r="BX60" s="592">
        <f>10*$F$59</f>
        <v>0</v>
      </c>
      <c r="BY60" s="592">
        <f>10*$F$59</f>
        <v>0</v>
      </c>
      <c r="BZ60" s="592">
        <f>10*$F$59</f>
        <v>0</v>
      </c>
      <c r="CA60" s="592">
        <f>10*$F$59</f>
        <v>0</v>
      </c>
      <c r="CB60" s="592">
        <f>10*$F$59</f>
        <v>0</v>
      </c>
      <c r="CC60" s="592">
        <f>10*$F$59</f>
        <v>0</v>
      </c>
      <c r="CD60" s="592">
        <f>10*$F$59</f>
        <v>0</v>
      </c>
      <c r="CE60" s="592">
        <f>10*$F$59</f>
        <v>0</v>
      </c>
      <c r="CF60" s="592">
        <f>10*$F$59</f>
        <v>0</v>
      </c>
      <c r="CG60" s="592">
        <f>10*$F$59</f>
        <v>0</v>
      </c>
      <c r="CH60" s="592">
        <f>10*$F$59</f>
        <v>0</v>
      </c>
      <c r="CI60" s="592">
        <f>10*$F$59</f>
        <v>0</v>
      </c>
      <c r="CJ60" s="592">
        <f>10*$F$59</f>
        <v>0</v>
      </c>
      <c r="CK60" s="592">
        <f>10*$F$59</f>
        <v>0</v>
      </c>
      <c r="CL60" s="592">
        <f>10*$F$59</f>
        <v>0</v>
      </c>
      <c r="CM60" s="592">
        <f>10*$F$59</f>
        <v>0</v>
      </c>
      <c r="CN60" s="592">
        <f>10*$F$59</f>
        <v>0</v>
      </c>
      <c r="CO60" s="592">
        <f>10*$F$59</f>
        <v>0</v>
      </c>
      <c r="CP60" s="592">
        <f>10*$F$59</f>
        <v>0</v>
      </c>
      <c r="CQ60" s="592">
        <f>10*$F$59</f>
        <v>0</v>
      </c>
      <c r="CR60" s="592">
        <f>10*$F$59</f>
        <v>0</v>
      </c>
      <c r="CS60" s="592">
        <f>10*$F$59</f>
        <v>0</v>
      </c>
      <c r="CT60" s="592">
        <f>10*$F$59</f>
        <v>0</v>
      </c>
      <c r="CU60" s="592">
        <f>10*$F$59</f>
        <v>0</v>
      </c>
      <c r="CV60" s="592">
        <f>10*$F$59</f>
        <v>0</v>
      </c>
      <c r="CW60" s="592">
        <f>10*$F$59</f>
        <v>0</v>
      </c>
      <c r="CX60" s="592">
        <f>10*$F$59</f>
        <v>0</v>
      </c>
      <c r="CY60" s="592">
        <f>10*$F$59</f>
        <v>0</v>
      </c>
      <c r="CZ60" s="592">
        <f>10*$F$59</f>
        <v>0</v>
      </c>
      <c r="DA60" s="592">
        <f>10*$F$59</f>
        <v>0</v>
      </c>
      <c r="DB60" s="592">
        <f>10*$F$59</f>
        <v>0</v>
      </c>
    </row>
    <row r="61" ht="15" customFormat="1" customHeight="1" s="381">
      <c r="A61" s="477" t="inlineStr">
        <is>
          <t>Billing Surplus / (Gap) vs Hurdle ($M)</t>
        </is>
      </c>
      <c r="G61" s="593">
        <f>G56-G60</f>
        <v>4099668.80942982</v>
      </c>
      <c r="H61" s="593">
        <f>H56-H60</f>
        <v>4099668.80942982</v>
      </c>
      <c r="I61" s="593">
        <f>I56-I60</f>
        <v>4099668.80942982</v>
      </c>
      <c r="J61" s="593">
        <f>J56-J60</f>
        <v>4099668.80942982</v>
      </c>
      <c r="K61" s="593">
        <f>K56-K60</f>
        <v>6687944.28609649</v>
      </c>
      <c r="L61" s="593">
        <f>L56-L60</f>
        <v>6687944.28609649</v>
      </c>
      <c r="M61" s="593">
        <f>M56-M60</f>
        <v>6687944.28609649</v>
      </c>
      <c r="N61" s="593">
        <f>N56-N60</f>
        <v>7573919.49442983</v>
      </c>
      <c r="O61" s="593">
        <f>O56-O60</f>
        <v>6683160.11942983</v>
      </c>
      <c r="P61" s="593">
        <f>P56-P60</f>
        <v>8383782.26416667</v>
      </c>
      <c r="Q61" s="593">
        <f>Q56-Q60</f>
        <v>8383782.26416667</v>
      </c>
      <c r="R61" s="593">
        <f>R56-R60</f>
        <v>8383782.26416667</v>
      </c>
      <c r="S61" s="593">
        <f>S56-S60</f>
        <v>8383782.26416667</v>
      </c>
      <c r="T61" s="593">
        <f>T56-T60</f>
        <v>10698780.6501316</v>
      </c>
      <c r="U61" s="593">
        <f>U56-U60</f>
        <v>11294432.4922368</v>
      </c>
      <c r="V61" s="593">
        <f>V56-V60</f>
        <v>11297393.9624123</v>
      </c>
      <c r="W61" s="593">
        <f>W56-W60</f>
        <v>10825839.5841228</v>
      </c>
      <c r="X61" s="593">
        <f>X56-X60</f>
        <v>10825839.5841228</v>
      </c>
      <c r="Y61" s="593">
        <f>Y56-Y60</f>
        <v>10825839.5841228</v>
      </c>
      <c r="Z61" s="593">
        <f>Z56-Z60</f>
        <v>11677906.2530263</v>
      </c>
      <c r="AA61" s="593">
        <f>AA56-AA60</f>
        <v>11677906.2530263</v>
      </c>
      <c r="AB61" s="593">
        <f>AB56-AB60</f>
        <v>11677906.2530263</v>
      </c>
      <c r="AC61" s="593">
        <f>AC56-AC60</f>
        <v>11677906.2530263</v>
      </c>
      <c r="AD61" s="593">
        <f>AD56-AD60</f>
        <v>11941391.7240789</v>
      </c>
      <c r="AE61" s="593">
        <f>AE56-AE60</f>
        <v>11941391.7240789</v>
      </c>
      <c r="AF61" s="593">
        <f>AF56-AF60</f>
        <v>11941391.7240789</v>
      </c>
      <c r="AG61" s="593">
        <f>AG56-AG60</f>
        <v>13319879.4574123</v>
      </c>
      <c r="AH61" s="593">
        <f>AH56-AH60</f>
        <v>13319879.4574123</v>
      </c>
      <c r="AI61" s="593">
        <f>AI56-AI60</f>
        <v>12566625.7337281</v>
      </c>
      <c r="AJ61" s="593">
        <f>AJ56-AJ60</f>
        <v>13513994.1547807</v>
      </c>
      <c r="AK61" s="593">
        <f>AK56-AK60</f>
        <v>14303467.8389912</v>
      </c>
      <c r="AL61" s="593">
        <f>AL56-AL60</f>
        <v>14206966.3148684</v>
      </c>
      <c r="AM61" s="593">
        <f>AM56-AM60</f>
        <v>14190333.9464474</v>
      </c>
      <c r="AN61" s="593">
        <f>AN56-AN60</f>
        <v>14384155.7885526</v>
      </c>
      <c r="AO61" s="593">
        <f>AO56-AO60</f>
        <v>11666985.9460965</v>
      </c>
      <c r="AP61" s="593">
        <f>AP56-AP60</f>
        <v>11666985.9460965</v>
      </c>
      <c r="AQ61" s="593">
        <f>AQ56-AQ60</f>
        <v>12456459.630307</v>
      </c>
      <c r="AR61" s="593">
        <f>AR56-AR60</f>
        <v>13403828.0513596</v>
      </c>
      <c r="AS61" s="593">
        <f>AS56-AS60</f>
        <v>14193301.7355702</v>
      </c>
      <c r="AT61" s="593">
        <f>AT56-AT60</f>
        <v>14193301.7355702</v>
      </c>
      <c r="AU61" s="593">
        <f>AU56-AU60</f>
        <v>14193301.7355702</v>
      </c>
      <c r="AV61" s="593">
        <f>AV56-AV60</f>
        <v>14193301.7355702</v>
      </c>
      <c r="AW61" s="593">
        <f>AW56-AW60</f>
        <v>14193301.7355702</v>
      </c>
      <c r="AX61" s="593">
        <f>AX56-AX60</f>
        <v>12431119.3122807</v>
      </c>
      <c r="AY61" s="593">
        <f>AY56-AY60</f>
        <v>12431119.3122807</v>
      </c>
      <c r="AZ61" s="593">
        <f>AZ56-AZ60</f>
        <v>12431119.3122807</v>
      </c>
      <c r="BA61" s="593">
        <f>BA56-BA60</f>
        <v>12431119.3122807</v>
      </c>
      <c r="BB61" s="593">
        <f>BB56-BB60</f>
        <v>12273224.5754386</v>
      </c>
      <c r="BC61" s="593">
        <f>BC56-BC60</f>
        <v>12273224.5754386</v>
      </c>
      <c r="BD61" s="593">
        <f>BD56-BD60</f>
        <v>12273224.5754386</v>
      </c>
      <c r="BE61" s="593">
        <f>BE56-BE60</f>
        <v>12273224.5754386</v>
      </c>
      <c r="BF61" s="593">
        <f>BF56-BF60</f>
        <v>12431119.3122807</v>
      </c>
      <c r="BG61" s="593">
        <f>BG56-BG60</f>
        <v>12431119.3122807</v>
      </c>
      <c r="BH61" s="593">
        <f>BH56-BH60</f>
        <v>12273224.5754386</v>
      </c>
      <c r="BI61" s="593">
        <f>BI56-BI60</f>
        <v>12431119.3122807</v>
      </c>
      <c r="BJ61" s="593">
        <f>BJ56-BJ60</f>
        <v>12431119.3122807</v>
      </c>
      <c r="BK61" s="593">
        <f>BK56-BK60</f>
        <v>10105263.1578947</v>
      </c>
      <c r="BL61" s="593">
        <f>BL56-BL60</f>
        <v>9315789.47368421</v>
      </c>
      <c r="BM61" s="593">
        <f>BM56-BM60</f>
        <v>9315789.47368421</v>
      </c>
      <c r="BN61" s="593">
        <f>BN56-BN60</f>
        <v>9315789.47368421</v>
      </c>
      <c r="BO61" s="593">
        <f>BO56-BO60</f>
        <v>9315789.47368421</v>
      </c>
      <c r="BP61" s="593">
        <f>BP56-BP60</f>
        <v>8368421.05263158</v>
      </c>
      <c r="BQ61" s="593">
        <f>BQ56-BQ60</f>
        <v>7578947.36842105</v>
      </c>
      <c r="BR61" s="593">
        <f>BR56-BR60</f>
        <v>7578947.36842105</v>
      </c>
      <c r="BS61" s="593">
        <f>BS56-BS60</f>
        <v>7578947.36842105</v>
      </c>
      <c r="BT61" s="593">
        <f>BT56-BT60</f>
        <v>7578947.36842105</v>
      </c>
      <c r="BU61" s="593">
        <f>BU56-BU60</f>
        <v>6789473.68421053</v>
      </c>
      <c r="BV61" s="593">
        <f>BV56-BV60</f>
        <v>5842105.2631579</v>
      </c>
      <c r="BW61" s="593">
        <f>BW56-BW60</f>
        <v>5052631.57894737</v>
      </c>
      <c r="BX61" s="593">
        <f>BX56-BX60</f>
        <v>4263157.89473684</v>
      </c>
      <c r="BY61" s="593">
        <f>BY56-BY60</f>
        <v>3315789.47368421</v>
      </c>
      <c r="BZ61" s="593">
        <f>BZ56-BZ60</f>
        <v>2526315.78947368</v>
      </c>
      <c r="CA61" s="593">
        <f>CA56-CA60</f>
        <v>1736842.10526316</v>
      </c>
      <c r="CB61" s="593">
        <f>CB56-CB60</f>
        <v>789473.684210526</v>
      </c>
      <c r="CC61" s="593">
        <f>CC56-CC60</f>
        <v>0</v>
      </c>
      <c r="CD61" s="593">
        <f>CD56-CD60</f>
        <v>0</v>
      </c>
      <c r="CE61" s="593">
        <f>CE56-CE60</f>
        <v>0</v>
      </c>
      <c r="CF61" s="593">
        <f>CF56-CF60</f>
        <v>0</v>
      </c>
      <c r="CG61" s="593">
        <f>CG56-CG60</f>
        <v>0</v>
      </c>
      <c r="CH61" s="593">
        <f>CH56-CH60</f>
        <v>0</v>
      </c>
      <c r="CI61" s="593">
        <f>CI56-CI60</f>
        <v>0</v>
      </c>
      <c r="CJ61" s="593">
        <f>CJ56-CJ60</f>
        <v>0</v>
      </c>
      <c r="CK61" s="593">
        <f>CK56-CK60</f>
        <v>0</v>
      </c>
      <c r="CL61" s="593">
        <f>CL56-CL60</f>
        <v>0</v>
      </c>
      <c r="CM61" s="593">
        <f>CM56-CM60</f>
        <v>0</v>
      </c>
      <c r="CN61" s="593">
        <f>CN56-CN60</f>
        <v>0</v>
      </c>
      <c r="CO61" s="593">
        <f>CO56-CO60</f>
        <v>0</v>
      </c>
      <c r="CP61" s="593">
        <f>CP56-CP60</f>
        <v>0</v>
      </c>
      <c r="CQ61" s="593">
        <f>CQ56-CQ60</f>
        <v>0</v>
      </c>
      <c r="CR61" s="593">
        <f>CR56-CR60</f>
        <v>0</v>
      </c>
      <c r="CS61" s="593">
        <f>CS56-CS60</f>
        <v>0</v>
      </c>
      <c r="CT61" s="593">
        <f>CT56-CT60</f>
        <v>0</v>
      </c>
      <c r="CU61" s="593">
        <f>CU56-CU60</f>
        <v>0</v>
      </c>
      <c r="CV61" s="593">
        <f>CV56-CV60</f>
        <v>0</v>
      </c>
      <c r="CW61" s="593">
        <f>CW56-CW60</f>
        <v>0</v>
      </c>
      <c r="CX61" s="593">
        <f>CX56-CX60</f>
        <v>0</v>
      </c>
      <c r="CY61" s="593">
        <f>CY56-CY60</f>
        <v>0</v>
      </c>
      <c r="CZ61" s="593">
        <f>CZ56-CZ60</f>
        <v>0</v>
      </c>
      <c r="DA61" s="593">
        <f>DA56-DA60</f>
        <v>0</v>
      </c>
      <c r="DB61" s="593">
        <f>DB56-DB60</f>
        <v>0</v>
      </c>
    </row>
  </sheetData>
  <conditionalFormatting sqref="G7:DB20">
    <cfRule type="expression" rank="0" priority="2" equalAverage="0" aboveAverage="0" dxfId="3" text="" percent="0" bottom="0">
      <formula>G7&lt;&gt;""</formula>
    </cfRule>
  </conditionalFormatting>
  <conditionalFormatting sqref="G24:DB52">
    <cfRule type="expression" rank="0" priority="3" equalAverage="0" aboveAverage="0" dxfId="4" text="" percent="0" bottom="0">
      <formula>G24&lt;&gt;""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K47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baseColWidth="8" defaultColWidth="8.71875" defaultRowHeight="15" zeroHeight="0" outlineLevelRow="0"/>
  <cols>
    <col width="30" customWidth="1" style="381" min="1" max="1"/>
    <col width="26" customWidth="1" style="381" min="2" max="2"/>
    <col width="14" customWidth="1" style="381" min="3" max="4"/>
    <col width="11" customWidth="1" style="381" min="5" max="5"/>
    <col width="10" customWidth="1" style="381" min="6" max="7"/>
    <col width="11" customWidth="1" style="381" min="8" max="8"/>
    <col width="12" customWidth="1" style="381" min="9" max="9"/>
    <col width="13" customWidth="1" style="381" min="10" max="10"/>
  </cols>
  <sheetData>
    <row r="1" ht="19.5" customFormat="1" customHeight="1" s="381">
      <c r="A1" s="594" t="inlineStr">
        <is>
          <t>Name</t>
        </is>
      </c>
      <c r="B1" s="594" t="inlineStr">
        <is>
          <t>Role</t>
        </is>
      </c>
      <c r="C1" s="595" t="inlineStr">
        <is>
          <t>Annual Salary</t>
        </is>
      </c>
      <c r="D1" s="595" t="inlineStr">
        <is>
          <t>Monthly Cost</t>
        </is>
      </c>
      <c r="E1" s="595" t="inlineStr">
        <is>
          <t>Start Month</t>
        </is>
      </c>
      <c r="F1" s="595" t="inlineStr">
        <is>
          <t>Type</t>
        </is>
      </c>
      <c r="G1" s="595" t="inlineStr">
        <is>
          <t>Active</t>
        </is>
      </c>
      <c r="H1" s="595" t="inlineStr">
        <is>
          <t>Consult %</t>
        </is>
      </c>
      <c r="I1" s="595" t="inlineStr">
        <is>
          <t>LV Alloc %</t>
        </is>
      </c>
      <c r="J1" s="595" t="inlineStr">
        <is>
          <t>Category</t>
        </is>
      </c>
      <c r="K1" s="595" t="inlineStr">
        <is>
          <t>End Month</t>
        </is>
      </c>
    </row>
    <row r="2" ht="15" customFormat="1" customHeight="1" s="381">
      <c r="A2" s="596" t="inlineStr">
        <is>
          <t>Kim Moreno</t>
        </is>
      </c>
      <c r="B2" s="596" t="inlineStr">
        <is>
          <t>Project Coordinator/Admin</t>
        </is>
      </c>
      <c r="C2" s="597" t="n">
        <v>70000</v>
      </c>
      <c r="D2" s="597">
        <f>C2/12</f>
        <v>5833.33333333333</v>
      </c>
      <c r="E2" s="598" t="n">
        <v>1</v>
      </c>
      <c r="F2" s="599" t="inlineStr">
        <is>
          <t>GC</t>
        </is>
      </c>
      <c r="G2" s="599" t="inlineStr">
        <is>
          <t>Yes</t>
        </is>
      </c>
      <c r="H2" s="600" t="n">
        <v>0</v>
      </c>
      <c r="I2" s="600" t="n">
        <v>0</v>
      </c>
      <c r="J2" s="596" t="inlineStr">
        <is>
          <t>Corporate</t>
        </is>
      </c>
    </row>
    <row r="3" ht="15" customFormat="1" customHeight="1" s="381">
      <c r="A3" s="601" t="inlineStr">
        <is>
          <t>Grady LaKamp (Corporate)</t>
        </is>
      </c>
      <c r="B3" s="601" t="inlineStr">
        <is>
          <t>Executive</t>
        </is>
      </c>
      <c r="C3" s="602" t="n">
        <v>80000</v>
      </c>
      <c r="D3" s="602">
        <f>C3/12</f>
        <v>6666.66666666667</v>
      </c>
      <c r="E3" s="603" t="n">
        <v>1</v>
      </c>
      <c r="F3" s="604" t="inlineStr">
        <is>
          <t>GC</t>
        </is>
      </c>
      <c r="G3" s="604" t="inlineStr">
        <is>
          <t>Yes</t>
        </is>
      </c>
      <c r="H3" s="605" t="n">
        <v>0.5</v>
      </c>
      <c r="I3" s="605" t="n">
        <v>0</v>
      </c>
      <c r="J3" s="601" t="inlineStr">
        <is>
          <t>Corporate</t>
        </is>
      </c>
    </row>
    <row r="4" ht="15" customFormat="1" customHeight="1" s="381">
      <c r="A4" s="596" t="inlineStr">
        <is>
          <t>Joe LaKamp (Corporate)</t>
        </is>
      </c>
      <c r="B4" s="596" t="inlineStr">
        <is>
          <t>Executive</t>
        </is>
      </c>
      <c r="C4" s="597" t="n">
        <v>25000</v>
      </c>
      <c r="D4" s="597">
        <f>C4/12</f>
        <v>2083.33333333333</v>
      </c>
      <c r="E4" s="598" t="n">
        <v>1</v>
      </c>
      <c r="F4" s="599" t="inlineStr">
        <is>
          <t>GC</t>
        </is>
      </c>
      <c r="G4" s="599" t="inlineStr">
        <is>
          <t>Yes</t>
        </is>
      </c>
      <c r="H4" s="600" t="n">
        <v>0.5</v>
      </c>
      <c r="I4" s="600" t="n">
        <v>0</v>
      </c>
      <c r="J4" s="596" t="inlineStr">
        <is>
          <t>Corporate</t>
        </is>
      </c>
      <c r="K4" s="499" t="n">
        <v>9</v>
      </c>
    </row>
    <row r="5" ht="15" customFormat="1" customHeight="1" s="381">
      <c r="A5" s="601" t="inlineStr">
        <is>
          <t>Pedro Rosalas (Corporate)</t>
        </is>
      </c>
      <c r="B5" s="601" t="inlineStr">
        <is>
          <t>Project Manager</t>
        </is>
      </c>
      <c r="C5" s="602" t="n">
        <v>20000</v>
      </c>
      <c r="D5" s="602">
        <f>C5/12</f>
        <v>1666.66666666667</v>
      </c>
      <c r="E5" s="603" t="n">
        <v>1</v>
      </c>
      <c r="F5" s="604" t="inlineStr">
        <is>
          <t>GC</t>
        </is>
      </c>
      <c r="G5" s="604" t="inlineStr">
        <is>
          <t>Yes</t>
        </is>
      </c>
      <c r="H5" s="605" t="n">
        <v>0</v>
      </c>
      <c r="I5" s="605" t="n">
        <v>0</v>
      </c>
      <c r="J5" s="601" t="inlineStr">
        <is>
          <t>Corporate</t>
        </is>
      </c>
    </row>
    <row r="6" ht="15" customFormat="1" customHeight="1" s="381">
      <c r="A6" s="596" t="inlineStr">
        <is>
          <t>Greg Smith (Corporate)</t>
        </is>
      </c>
      <c r="B6" s="596" t="inlineStr">
        <is>
          <t>Project Manager</t>
        </is>
      </c>
      <c r="C6" s="597" t="n">
        <v>20000</v>
      </c>
      <c r="D6" s="597">
        <f>C6/12</f>
        <v>1666.66666666667</v>
      </c>
      <c r="E6" s="598" t="n">
        <v>1</v>
      </c>
      <c r="F6" s="599" t="inlineStr">
        <is>
          <t>GC</t>
        </is>
      </c>
      <c r="G6" s="599" t="inlineStr">
        <is>
          <t>Yes</t>
        </is>
      </c>
      <c r="H6" s="600" t="n">
        <v>0</v>
      </c>
      <c r="I6" s="600" t="n">
        <v>0</v>
      </c>
      <c r="J6" s="596" t="inlineStr">
        <is>
          <t>Corporate</t>
        </is>
      </c>
    </row>
    <row r="7" ht="15" customFormat="1" customHeight="1" s="381">
      <c r="A7" s="596" t="inlineStr">
        <is>
          <t>Grady LaKamp (Field)</t>
        </is>
      </c>
      <c r="B7" s="596" t="inlineStr">
        <is>
          <t>Executive</t>
        </is>
      </c>
      <c r="C7" s="597" t="n">
        <v>320000</v>
      </c>
      <c r="D7" s="597">
        <f>C7/12</f>
        <v>26666.6666666667</v>
      </c>
      <c r="E7" s="598" t="n">
        <v>1</v>
      </c>
      <c r="F7" s="599" t="inlineStr">
        <is>
          <t>GC</t>
        </is>
      </c>
      <c r="G7" s="599" t="inlineStr">
        <is>
          <t>Yes</t>
        </is>
      </c>
      <c r="H7" s="600" t="n">
        <v>0.5</v>
      </c>
      <c r="I7" s="600" t="n">
        <v>0</v>
      </c>
      <c r="J7" s="596" t="inlineStr">
        <is>
          <t>Field</t>
        </is>
      </c>
    </row>
    <row r="8" ht="15" customFormat="1" customHeight="1" s="381">
      <c r="A8" s="601" t="inlineStr">
        <is>
          <t>Joe LaKamp (Field)</t>
        </is>
      </c>
      <c r="B8" s="601" t="inlineStr">
        <is>
          <t>Executive</t>
        </is>
      </c>
      <c r="C8" s="602" t="n">
        <v>225000</v>
      </c>
      <c r="D8" s="602">
        <f>C8/12</f>
        <v>18750</v>
      </c>
      <c r="E8" s="603" t="n">
        <v>1</v>
      </c>
      <c r="F8" s="604" t="inlineStr">
        <is>
          <t>GC</t>
        </is>
      </c>
      <c r="G8" s="604" t="inlineStr">
        <is>
          <t>Yes</t>
        </is>
      </c>
      <c r="H8" s="605" t="n">
        <v>0.5</v>
      </c>
      <c r="I8" s="605" t="n">
        <v>0</v>
      </c>
      <c r="J8" s="601" t="inlineStr">
        <is>
          <t>Field</t>
        </is>
      </c>
      <c r="K8" s="499" t="n">
        <v>9</v>
      </c>
    </row>
    <row r="9" ht="15" customFormat="1" customHeight="1" s="381">
      <c r="A9" s="596" t="inlineStr">
        <is>
          <t>Pedro Rosalas (Field)</t>
        </is>
      </c>
      <c r="B9" s="596" t="inlineStr">
        <is>
          <t>Project Manager</t>
        </is>
      </c>
      <c r="C9" s="597" t="n">
        <v>180000</v>
      </c>
      <c r="D9" s="597">
        <f>C9/12</f>
        <v>15000</v>
      </c>
      <c r="E9" s="598" t="n">
        <v>1</v>
      </c>
      <c r="F9" s="599" t="inlineStr">
        <is>
          <t>GC</t>
        </is>
      </c>
      <c r="G9" s="599" t="inlineStr">
        <is>
          <t>Yes</t>
        </is>
      </c>
      <c r="H9" s="600" t="n">
        <v>0</v>
      </c>
      <c r="I9" s="600" t="n">
        <v>0</v>
      </c>
      <c r="J9" s="596" t="inlineStr">
        <is>
          <t>Field</t>
        </is>
      </c>
    </row>
    <row r="10" ht="15" customFormat="1" customHeight="1" s="381">
      <c r="A10" s="601" t="inlineStr">
        <is>
          <t>Greg Smith (Field)</t>
        </is>
      </c>
      <c r="B10" s="601" t="inlineStr">
        <is>
          <t>Project Manager</t>
        </is>
      </c>
      <c r="C10" s="602" t="n">
        <v>180000</v>
      </c>
      <c r="D10" s="602">
        <f>C10/12</f>
        <v>15000</v>
      </c>
      <c r="E10" s="603" t="n">
        <v>1</v>
      </c>
      <c r="F10" s="604" t="inlineStr">
        <is>
          <t>GC</t>
        </is>
      </c>
      <c r="G10" s="604" t="inlineStr">
        <is>
          <t>Yes</t>
        </is>
      </c>
      <c r="H10" s="605" t="n">
        <v>0</v>
      </c>
      <c r="I10" s="605" t="n">
        <v>0</v>
      </c>
      <c r="J10" s="601" t="inlineStr">
        <is>
          <t>Field</t>
        </is>
      </c>
    </row>
    <row r="11" ht="15" customFormat="1" customHeight="1" s="381">
      <c r="A11" s="596" t="inlineStr">
        <is>
          <t>Henry Vera</t>
        </is>
      </c>
      <c r="B11" s="596" t="inlineStr">
        <is>
          <t>Asst Project Manager</t>
        </is>
      </c>
      <c r="C11" s="597" t="n">
        <v>105000</v>
      </c>
      <c r="D11" s="597">
        <f>C11/12</f>
        <v>8750</v>
      </c>
      <c r="E11" s="598" t="n">
        <v>3</v>
      </c>
      <c r="F11" s="599" t="inlineStr">
        <is>
          <t>GC</t>
        </is>
      </c>
      <c r="G11" s="599" t="inlineStr">
        <is>
          <t>Yes</t>
        </is>
      </c>
      <c r="H11" s="600" t="n">
        <v>0</v>
      </c>
      <c r="I11" s="600" t="n">
        <v>0</v>
      </c>
      <c r="J11" s="596" t="inlineStr">
        <is>
          <t>Field</t>
        </is>
      </c>
    </row>
    <row r="12" ht="15" customFormat="1" customHeight="1" s="381">
      <c r="A12" s="601" t="inlineStr">
        <is>
          <t>Dorian Puentes</t>
        </is>
      </c>
      <c r="B12" s="601" t="inlineStr">
        <is>
          <t>Asst Project Manager</t>
        </is>
      </c>
      <c r="C12" s="602" t="n">
        <v>155000</v>
      </c>
      <c r="D12" s="602">
        <f>C12/12</f>
        <v>12916.6666666667</v>
      </c>
      <c r="E12" s="603" t="n">
        <v>1</v>
      </c>
      <c r="F12" s="604" t="inlineStr">
        <is>
          <t>GC</t>
        </is>
      </c>
      <c r="G12" s="604" t="inlineStr">
        <is>
          <t>Yes</t>
        </is>
      </c>
      <c r="H12" s="605" t="n">
        <v>0</v>
      </c>
      <c r="I12" s="605" t="n">
        <v>0</v>
      </c>
      <c r="J12" s="601" t="inlineStr">
        <is>
          <t>Field</t>
        </is>
      </c>
    </row>
    <row r="13" ht="15" customFormat="1" customHeight="1" s="381">
      <c r="A13" s="596" t="inlineStr">
        <is>
          <t>Roy Torries</t>
        </is>
      </c>
      <c r="B13" s="596" t="inlineStr">
        <is>
          <t>Asst Project Manager</t>
        </is>
      </c>
      <c r="C13" s="597" t="n">
        <v>185000</v>
      </c>
      <c r="D13" s="597">
        <f>C13/12</f>
        <v>15416.6666666667</v>
      </c>
      <c r="E13" s="598" t="n">
        <v>1</v>
      </c>
      <c r="F13" s="599" t="inlineStr">
        <is>
          <t>GC</t>
        </is>
      </c>
      <c r="G13" s="599" t="inlineStr">
        <is>
          <t>Yes</t>
        </is>
      </c>
      <c r="H13" s="600" t="n">
        <v>0</v>
      </c>
      <c r="I13" s="600" t="n">
        <v>0</v>
      </c>
      <c r="J13" s="596" t="inlineStr">
        <is>
          <t>Field</t>
        </is>
      </c>
    </row>
    <row r="14" ht="15" customFormat="1" customHeight="1" s="381">
      <c r="A14" s="601" t="inlineStr">
        <is>
          <t>Lucy Mohler</t>
        </is>
      </c>
      <c r="B14" s="601" t="inlineStr">
        <is>
          <t>Asst Project Manager</t>
        </is>
      </c>
      <c r="C14" s="602" t="n">
        <v>125000</v>
      </c>
      <c r="D14" s="602">
        <f>C14/12</f>
        <v>10416.6666666667</v>
      </c>
      <c r="E14" s="603" t="n">
        <v>2</v>
      </c>
      <c r="F14" s="604" t="inlineStr">
        <is>
          <t>GC</t>
        </is>
      </c>
      <c r="G14" s="604" t="inlineStr">
        <is>
          <t>Yes</t>
        </is>
      </c>
      <c r="H14" s="605" t="n">
        <v>0</v>
      </c>
      <c r="I14" s="605" t="n">
        <v>0</v>
      </c>
      <c r="J14" s="601" t="inlineStr">
        <is>
          <t>Field</t>
        </is>
      </c>
    </row>
    <row r="15" ht="15" customFormat="1" customHeight="1" s="381">
      <c r="A15" s="596" t="inlineStr">
        <is>
          <t>Francis APM</t>
        </is>
      </c>
      <c r="B15" s="596" t="inlineStr">
        <is>
          <t>Asst Project Manager</t>
        </is>
      </c>
      <c r="C15" s="597" t="n">
        <v>130000</v>
      </c>
      <c r="D15" s="597">
        <f>C15/12</f>
        <v>10833.3333333333</v>
      </c>
      <c r="E15" s="598" t="n">
        <v>9</v>
      </c>
      <c r="F15" s="599" t="inlineStr">
        <is>
          <t>GC</t>
        </is>
      </c>
      <c r="G15" s="599" t="inlineStr">
        <is>
          <t>Yes</t>
        </is>
      </c>
      <c r="H15" s="600" t="n">
        <v>0</v>
      </c>
      <c r="I15" s="600" t="n">
        <v>0</v>
      </c>
      <c r="J15" s="596" t="inlineStr">
        <is>
          <t>Field</t>
        </is>
      </c>
    </row>
    <row r="16" ht="15" customFormat="1" customHeight="1" s="381">
      <c r="A16" s="601" t="inlineStr">
        <is>
          <t>Brisa Sanchez</t>
        </is>
      </c>
      <c r="B16" s="601" t="inlineStr">
        <is>
          <t>Project Coordinator</t>
        </is>
      </c>
      <c r="C16" s="602" t="n">
        <v>90000</v>
      </c>
      <c r="D16" s="602">
        <f>C16/12</f>
        <v>7500</v>
      </c>
      <c r="E16" s="603" t="n">
        <v>3</v>
      </c>
      <c r="F16" s="604" t="inlineStr">
        <is>
          <t>GC</t>
        </is>
      </c>
      <c r="G16" s="604" t="inlineStr">
        <is>
          <t>Yes</t>
        </is>
      </c>
      <c r="H16" s="605" t="n">
        <v>0</v>
      </c>
      <c r="I16" s="605" t="n">
        <v>0</v>
      </c>
      <c r="J16" s="601" t="inlineStr">
        <is>
          <t>Field</t>
        </is>
      </c>
    </row>
    <row r="17" ht="15" customFormat="1" customHeight="1" s="381">
      <c r="A17" s="596" t="inlineStr">
        <is>
          <t>Alina Akopian</t>
        </is>
      </c>
      <c r="B17" s="596" t="inlineStr">
        <is>
          <t>Project Coordinator/Admin</t>
        </is>
      </c>
      <c r="C17" s="597" t="n">
        <v>97500</v>
      </c>
      <c r="D17" s="597">
        <f>C17/12</f>
        <v>8125</v>
      </c>
      <c r="E17" s="598" t="n">
        <v>1</v>
      </c>
      <c r="F17" s="599" t="inlineStr">
        <is>
          <t>GC</t>
        </is>
      </c>
      <c r="G17" s="599" t="inlineStr">
        <is>
          <t>Yes</t>
        </is>
      </c>
      <c r="H17" s="600" t="n">
        <v>0</v>
      </c>
      <c r="I17" s="600" t="n">
        <v>0</v>
      </c>
      <c r="J17" s="596" t="inlineStr">
        <is>
          <t>Field</t>
        </is>
      </c>
    </row>
    <row r="18" ht="15" customFormat="1" customHeight="1" s="381">
      <c r="A18" s="601" t="inlineStr">
        <is>
          <t>Mike Savaikie</t>
        </is>
      </c>
      <c r="B18" s="601" t="inlineStr">
        <is>
          <t>Senior Superintendent</t>
        </is>
      </c>
      <c r="C18" s="602" t="n">
        <v>150000</v>
      </c>
      <c r="D18" s="602">
        <f>C18/12</f>
        <v>12500</v>
      </c>
      <c r="E18" s="603" t="n">
        <v>1</v>
      </c>
      <c r="F18" s="604" t="inlineStr">
        <is>
          <t>GC</t>
        </is>
      </c>
      <c r="G18" s="604" t="inlineStr">
        <is>
          <t>Yes</t>
        </is>
      </c>
      <c r="H18" s="605" t="n">
        <v>0</v>
      </c>
      <c r="I18" s="605" t="n">
        <v>0</v>
      </c>
      <c r="J18" s="601" t="inlineStr">
        <is>
          <t>Field</t>
        </is>
      </c>
    </row>
    <row r="19" ht="15" customFormat="1" customHeight="1" s="381">
      <c r="A19" s="596" t="inlineStr">
        <is>
          <t>Daniel Carrillo</t>
        </is>
      </c>
      <c r="B19" s="596" t="inlineStr">
        <is>
          <t>Senior Superintendent</t>
        </is>
      </c>
      <c r="C19" s="597" t="n">
        <v>150000</v>
      </c>
      <c r="D19" s="597">
        <f>C19/12</f>
        <v>12500</v>
      </c>
      <c r="E19" s="598" t="n">
        <v>1</v>
      </c>
      <c r="F19" s="599" t="inlineStr">
        <is>
          <t>GC</t>
        </is>
      </c>
      <c r="G19" s="599" t="inlineStr">
        <is>
          <t>Yes</t>
        </is>
      </c>
      <c r="H19" s="600" t="n">
        <v>0</v>
      </c>
      <c r="I19" s="600" t="n">
        <v>0</v>
      </c>
      <c r="J19" s="596" t="inlineStr">
        <is>
          <t>Field</t>
        </is>
      </c>
    </row>
    <row r="20" ht="15" customFormat="1" customHeight="1" s="381">
      <c r="A20" s="601" t="inlineStr">
        <is>
          <t>Alex Gottlieb</t>
        </is>
      </c>
      <c r="B20" s="601" t="inlineStr">
        <is>
          <t>Senior Superintendent</t>
        </is>
      </c>
      <c r="C20" s="602" t="n">
        <v>110000</v>
      </c>
      <c r="D20" s="602">
        <f>C20/12</f>
        <v>9166.66666666667</v>
      </c>
      <c r="E20" s="603" t="n">
        <v>1</v>
      </c>
      <c r="F20" s="604" t="inlineStr">
        <is>
          <t>GC</t>
        </is>
      </c>
      <c r="G20" s="604" t="inlineStr">
        <is>
          <t>Yes</t>
        </is>
      </c>
      <c r="H20" s="605" t="n">
        <v>0</v>
      </c>
      <c r="I20" s="605" t="n">
        <v>0</v>
      </c>
      <c r="J20" s="601" t="inlineStr">
        <is>
          <t>Field</t>
        </is>
      </c>
    </row>
    <row r="21" ht="15" customFormat="1" customHeight="1" s="381">
      <c r="A21" s="596" t="inlineStr">
        <is>
          <t>Steve Garcia</t>
        </is>
      </c>
      <c r="B21" s="596" t="inlineStr">
        <is>
          <t>Senior Superintendent</t>
        </is>
      </c>
      <c r="C21" s="597" t="n">
        <v>170000</v>
      </c>
      <c r="D21" s="597">
        <f>C21/12</f>
        <v>14166.6666666667</v>
      </c>
      <c r="E21" s="598" t="n">
        <v>2</v>
      </c>
      <c r="F21" s="599" t="inlineStr">
        <is>
          <t>GC</t>
        </is>
      </c>
      <c r="G21" s="599" t="inlineStr">
        <is>
          <t>Yes</t>
        </is>
      </c>
      <c r="H21" s="600" t="n">
        <v>0</v>
      </c>
      <c r="I21" s="600" t="n">
        <v>0</v>
      </c>
      <c r="J21" s="596" t="inlineStr">
        <is>
          <t>Field</t>
        </is>
      </c>
    </row>
    <row r="22" ht="15" customFormat="1" customHeight="1" s="381">
      <c r="A22" s="601" t="inlineStr">
        <is>
          <t>Acama Sr Super</t>
        </is>
      </c>
      <c r="B22" s="601" t="inlineStr">
        <is>
          <t>Senior Superintendent</t>
        </is>
      </c>
      <c r="C22" s="602" t="n">
        <v>160000</v>
      </c>
      <c r="D22" s="602">
        <f>C22/12</f>
        <v>13333.3333333333</v>
      </c>
      <c r="E22" s="603">
        <v>8</v>
      </c>
      <c r="F22" s="604" t="inlineStr">
        <is>
          <t>GC</t>
        </is>
      </c>
      <c r="G22" s="604" t="inlineStr">
        <is>
          <t>Yes</t>
        </is>
      </c>
      <c r="H22" s="605" t="n">
        <v>0</v>
      </c>
      <c r="I22" s="605" t="n">
        <v>0</v>
      </c>
      <c r="J22" s="601" t="inlineStr">
        <is>
          <t>Field</t>
        </is>
      </c>
    </row>
    <row r="23" ht="15" customFormat="1" customHeight="1" s="381">
      <c r="A23" s="596" t="inlineStr">
        <is>
          <t>Reseda Sr Super</t>
        </is>
      </c>
      <c r="B23" s="596" t="inlineStr">
        <is>
          <t>Senior Superintendent</t>
        </is>
      </c>
      <c r="C23" s="597" t="n">
        <v>160000</v>
      </c>
      <c r="D23" s="597">
        <f>C23/12</f>
        <v>13333.3333333333</v>
      </c>
      <c r="E23" s="598">
        <v>14</v>
      </c>
      <c r="F23" s="599" t="inlineStr">
        <is>
          <t>GC</t>
        </is>
      </c>
      <c r="G23" s="599" t="inlineStr">
        <is>
          <t>Yes</t>
        </is>
      </c>
      <c r="H23" s="600" t="n">
        <v>0</v>
      </c>
      <c r="I23" s="600" t="n">
        <v>0</v>
      </c>
      <c r="J23" s="596" t="inlineStr">
        <is>
          <t>Field</t>
        </is>
      </c>
    </row>
    <row r="24" ht="15" customFormat="1" customHeight="1" s="381">
      <c r="A24" s="601" t="inlineStr">
        <is>
          <t>Nick Donald</t>
        </is>
      </c>
      <c r="B24" s="601" t="inlineStr">
        <is>
          <t>Site Superintendent</t>
        </is>
      </c>
      <c r="C24" s="602" t="n">
        <v>75000</v>
      </c>
      <c r="D24" s="602">
        <f>C24/12</f>
        <v>6250</v>
      </c>
      <c r="E24" s="603" t="n">
        <v>1</v>
      </c>
      <c r="F24" s="604" t="inlineStr">
        <is>
          <t>GC</t>
        </is>
      </c>
      <c r="G24" s="604" t="inlineStr">
        <is>
          <t>Yes</t>
        </is>
      </c>
      <c r="H24" s="605" t="n">
        <v>0</v>
      </c>
      <c r="I24" s="605" t="n">
        <v>0</v>
      </c>
      <c r="J24" s="601" t="inlineStr">
        <is>
          <t>Field</t>
        </is>
      </c>
    </row>
    <row r="25" ht="15" customFormat="1" customHeight="1" s="381">
      <c r="A25" s="596" t="inlineStr">
        <is>
          <t>Logan Terriquez</t>
        </is>
      </c>
      <c r="B25" s="596" t="inlineStr">
        <is>
          <t>Site Superintendent</t>
        </is>
      </c>
      <c r="C25" s="597" t="n">
        <v>105000</v>
      </c>
      <c r="D25" s="597">
        <f>C25/12</f>
        <v>8750</v>
      </c>
      <c r="E25" s="598" t="n">
        <v>3</v>
      </c>
      <c r="F25" s="599" t="inlineStr">
        <is>
          <t>GC</t>
        </is>
      </c>
      <c r="G25" s="599" t="inlineStr">
        <is>
          <t>Yes</t>
        </is>
      </c>
      <c r="H25" s="600" t="n">
        <v>0</v>
      </c>
      <c r="I25" s="600" t="n">
        <v>0</v>
      </c>
      <c r="J25" s="596" t="inlineStr">
        <is>
          <t>Field</t>
        </is>
      </c>
    </row>
    <row r="26" ht="15" customFormat="1" customHeight="1" s="381">
      <c r="A26" s="601" t="inlineStr">
        <is>
          <t>Jesus Castellanos</t>
        </is>
      </c>
      <c r="B26" s="601" t="inlineStr">
        <is>
          <t>Senior Superintendent</t>
        </is>
      </c>
      <c r="C26" s="602" t="n">
        <v>170000</v>
      </c>
      <c r="D26" s="602">
        <f>C26/12</f>
        <v>14166.6666666667</v>
      </c>
      <c r="E26" s="603" t="n">
        <v>4</v>
      </c>
      <c r="F26" s="604" t="inlineStr">
        <is>
          <t>GC</t>
        </is>
      </c>
      <c r="G26" s="604" t="inlineStr">
        <is>
          <t>Yes</t>
        </is>
      </c>
      <c r="H26" s="605" t="n">
        <v>0</v>
      </c>
      <c r="I26" s="605" t="n">
        <v>0</v>
      </c>
      <c r="J26" s="601" t="inlineStr">
        <is>
          <t>Field</t>
        </is>
      </c>
    </row>
    <row r="27" ht="15" customFormat="1" customHeight="1" s="381">
      <c r="A27" s="596" t="inlineStr">
        <is>
          <t>Taylor Flores</t>
        </is>
      </c>
      <c r="B27" s="596" t="inlineStr">
        <is>
          <t>Senior Superintendent</t>
        </is>
      </c>
      <c r="C27" s="597" t="n">
        <v>130000</v>
      </c>
      <c r="D27" s="597">
        <f>C27/12</f>
        <v>10833.3333333333</v>
      </c>
      <c r="E27" s="598" t="n">
        <v>4</v>
      </c>
      <c r="F27" s="599" t="inlineStr">
        <is>
          <t>GC</t>
        </is>
      </c>
      <c r="G27" s="599" t="inlineStr">
        <is>
          <t>Yes</t>
        </is>
      </c>
      <c r="H27" s="600" t="n">
        <v>0</v>
      </c>
      <c r="I27" s="600" t="n">
        <v>0</v>
      </c>
      <c r="J27" s="596" t="inlineStr">
        <is>
          <t>Field</t>
        </is>
      </c>
    </row>
    <row r="28" ht="15" customFormat="1" customHeight="1" s="381">
      <c r="A28" s="601" t="inlineStr">
        <is>
          <t>Asst Super Add (HVN wave)</t>
        </is>
      </c>
      <c r="B28" s="601" t="inlineStr">
        <is>
          <t>Asst Superintendent</t>
        </is>
      </c>
      <c r="C28" s="602" t="n">
        <v>125000</v>
      </c>
      <c r="D28" s="602">
        <f>C28/12</f>
        <v>10416.6666666667</v>
      </c>
      <c r="E28" s="603">
        <v>14</v>
      </c>
      <c r="F28" s="604" t="inlineStr">
        <is>
          <t>GC</t>
        </is>
      </c>
      <c r="G28" s="604" t="inlineStr">
        <is>
          <t>Yes</t>
        </is>
      </c>
      <c r="H28" s="605" t="n">
        <v>0</v>
      </c>
      <c r="I28" s="605" t="n">
        <v>0</v>
      </c>
      <c r="J28" s="601" t="inlineStr">
        <is>
          <t>Field</t>
        </is>
      </c>
    </row>
    <row r="29" ht="15" customFormat="1" customHeight="1" s="381">
      <c r="A29" s="596" t="inlineStr">
        <is>
          <t>Ivan Delgado</t>
        </is>
      </c>
      <c r="B29" s="596" t="inlineStr">
        <is>
          <t>Field Engineer</t>
        </is>
      </c>
      <c r="C29" s="597" t="n">
        <v>65000</v>
      </c>
      <c r="D29" s="597">
        <f>C29/12</f>
        <v>5416.66666666667</v>
      </c>
      <c r="E29" s="598" t="n">
        <v>1</v>
      </c>
      <c r="F29" s="599" t="inlineStr">
        <is>
          <t>GC</t>
        </is>
      </c>
      <c r="G29" s="599" t="inlineStr">
        <is>
          <t>Yes</t>
        </is>
      </c>
      <c r="H29" s="600" t="n">
        <v>0</v>
      </c>
      <c r="I29" s="600" t="n">
        <v>0</v>
      </c>
      <c r="J29" s="596" t="inlineStr">
        <is>
          <t>Field</t>
        </is>
      </c>
    </row>
    <row r="30" ht="15" customFormat="1" customHeight="1" s="381">
      <c r="A30" s="601" t="inlineStr">
        <is>
          <t>Jonah Dobkin</t>
        </is>
      </c>
      <c r="B30" s="601" t="inlineStr">
        <is>
          <t>Field Engineer</t>
        </is>
      </c>
      <c r="C30" s="602" t="n">
        <v>95000</v>
      </c>
      <c r="D30" s="602">
        <f>C30/12</f>
        <v>7916.66666666667</v>
      </c>
      <c r="E30" s="603" t="n">
        <v>1</v>
      </c>
      <c r="F30" s="604" t="inlineStr">
        <is>
          <t>GC</t>
        </is>
      </c>
      <c r="G30" s="604" t="inlineStr">
        <is>
          <t>Yes</t>
        </is>
      </c>
      <c r="H30" s="605" t="n">
        <v>0</v>
      </c>
      <c r="I30" s="605" t="n">
        <v>0</v>
      </c>
      <c r="J30" s="601" t="inlineStr">
        <is>
          <t>Field</t>
        </is>
      </c>
    </row>
    <row r="31" ht="15" customFormat="1" customHeight="1" s="381">
      <c r="A31" s="596" t="inlineStr">
        <is>
          <t>Carlos Rocha</t>
        </is>
      </c>
      <c r="B31" s="596" t="inlineStr">
        <is>
          <t>Laborer</t>
        </is>
      </c>
      <c r="C31" s="597" t="n">
        <v>70000</v>
      </c>
      <c r="D31" s="597">
        <f>C31/12</f>
        <v>5833.33333333333</v>
      </c>
      <c r="E31" s="598" t="n">
        <v>1</v>
      </c>
      <c r="F31" s="599" t="inlineStr">
        <is>
          <t>GC</t>
        </is>
      </c>
      <c r="G31" s="599" t="inlineStr">
        <is>
          <t>Yes</t>
        </is>
      </c>
      <c r="H31" s="600" t="n">
        <v>0</v>
      </c>
      <c r="I31" s="600" t="n">
        <v>0</v>
      </c>
      <c r="J31" s="596" t="inlineStr">
        <is>
          <t>Field</t>
        </is>
      </c>
    </row>
    <row r="32" ht="15" customFormat="1" customHeight="1" s="381">
      <c r="A32" s="601" t="inlineStr">
        <is>
          <t>Devis Tejada</t>
        </is>
      </c>
      <c r="B32" s="601" t="inlineStr">
        <is>
          <t>Laborer</t>
        </is>
      </c>
      <c r="C32" s="602" t="n">
        <v>55000</v>
      </c>
      <c r="D32" s="602">
        <f>C32/12</f>
        <v>4583.33333333333</v>
      </c>
      <c r="E32" s="603" t="n">
        <v>1</v>
      </c>
      <c r="F32" s="604" t="inlineStr">
        <is>
          <t>GC</t>
        </is>
      </c>
      <c r="G32" s="604" t="inlineStr">
        <is>
          <t>Yes</t>
        </is>
      </c>
      <c r="H32" s="605" t="n">
        <v>0</v>
      </c>
      <c r="I32" s="605" t="n">
        <v>0</v>
      </c>
      <c r="J32" s="601" t="inlineStr">
        <is>
          <t>Field</t>
        </is>
      </c>
    </row>
    <row r="33" ht="15" customFormat="1" customHeight="1" s="381">
      <c r="A33" s="596" t="inlineStr">
        <is>
          <t>Albert Wolfe</t>
        </is>
      </c>
      <c r="B33" s="596" t="inlineStr">
        <is>
          <t>Laborer</t>
        </is>
      </c>
      <c r="C33" s="597" t="n">
        <v>50000</v>
      </c>
      <c r="D33" s="597">
        <f>C33/12</f>
        <v>4166.66666666667</v>
      </c>
      <c r="E33" s="598" t="n">
        <v>1</v>
      </c>
      <c r="F33" s="599" t="inlineStr">
        <is>
          <t>GC</t>
        </is>
      </c>
      <c r="G33" s="599" t="inlineStr">
        <is>
          <t>Yes</t>
        </is>
      </c>
      <c r="H33" s="600" t="n">
        <v>0</v>
      </c>
      <c r="I33" s="600" t="n">
        <v>0</v>
      </c>
      <c r="J33" s="596" t="inlineStr">
        <is>
          <t>Field</t>
        </is>
      </c>
    </row>
    <row r="34" ht="15" customFormat="1" customHeight="1" s="381">
      <c r="A34" s="606" t="inlineStr">
        <is>
          <t>PC Add (Brisa profile)</t>
        </is>
      </c>
      <c r="B34" s="606" t="inlineStr">
        <is>
          <t>Project Coordinator</t>
        </is>
      </c>
      <c r="C34" s="607" t="n">
        <v>90000</v>
      </c>
      <c r="D34" s="607">
        <f>C34/12</f>
        <v>7500</v>
      </c>
      <c r="E34" s="608" t="n">
        <v>10</v>
      </c>
      <c r="F34" s="609" t="inlineStr">
        <is>
          <t>GC</t>
        </is>
      </c>
      <c r="G34" s="609" t="inlineStr">
        <is>
          <t>Yes</t>
        </is>
      </c>
      <c r="H34" s="610" t="n">
        <v>0</v>
      </c>
      <c r="I34" s="610" t="n">
        <v>0</v>
      </c>
      <c r="J34" s="606" t="inlineStr">
        <is>
          <t>Field</t>
        </is>
      </c>
    </row>
    <row r="35" ht="15" customFormat="1" customHeight="1" s="381">
      <c r="A35" s="611" t="inlineStr">
        <is>
          <t>Six Peak Capital Personnel</t>
        </is>
      </c>
      <c r="B35" s="612" t="n"/>
      <c r="C35" s="613" t="n"/>
      <c r="D35" s="613" t="n"/>
      <c r="E35" s="614" t="n"/>
      <c r="F35" s="612" t="n"/>
      <c r="G35" s="612" t="n"/>
      <c r="H35" s="615" t="n"/>
      <c r="I35" s="615" t="n"/>
      <c r="J35" s="612" t="n"/>
    </row>
    <row r="36" ht="15" customFormat="1" customHeight="1" s="381">
      <c r="A36" s="596" t="inlineStr">
        <is>
          <t>Chris Aiello</t>
        </is>
      </c>
      <c r="B36" s="596" t="inlineStr">
        <is>
          <t>Partner</t>
        </is>
      </c>
      <c r="C36" s="597" t="n">
        <v>400000</v>
      </c>
      <c r="D36" s="597">
        <f>C36/12</f>
        <v>33333.3333333333</v>
      </c>
      <c r="E36" s="598" t="n">
        <v>1</v>
      </c>
      <c r="F36" s="599" t="inlineStr">
        <is>
          <t>SixPeak</t>
        </is>
      </c>
      <c r="G36" s="599" t="inlineStr">
        <is>
          <t>Yes</t>
        </is>
      </c>
      <c r="H36" s="600" t="n">
        <v>1</v>
      </c>
      <c r="I36" s="600" t="n">
        <v>0.75</v>
      </c>
      <c r="J36" s="596" t="inlineStr">
        <is>
          <t>SP</t>
        </is>
      </c>
    </row>
    <row r="37" ht="15" customFormat="1" customHeight="1" s="381">
      <c r="A37" s="601" t="inlineStr">
        <is>
          <t>Bob Kennedy</t>
        </is>
      </c>
      <c r="B37" s="601" t="inlineStr">
        <is>
          <t>Partner</t>
        </is>
      </c>
      <c r="C37" s="602" t="n">
        <v>400000</v>
      </c>
      <c r="D37" s="602">
        <f>C37/12</f>
        <v>33333.3333333333</v>
      </c>
      <c r="E37" s="603" t="n">
        <v>1</v>
      </c>
      <c r="F37" s="604" t="inlineStr">
        <is>
          <t>SixPeak</t>
        </is>
      </c>
      <c r="G37" s="604" t="inlineStr">
        <is>
          <t>Yes</t>
        </is>
      </c>
      <c r="H37" s="605" t="n">
        <v>1</v>
      </c>
      <c r="I37" s="600" t="n">
        <v>0.5</v>
      </c>
      <c r="J37" s="601" t="inlineStr">
        <is>
          <t>SP</t>
        </is>
      </c>
    </row>
    <row r="38" ht="15" customFormat="1" customHeight="1" s="381">
      <c r="A38" s="596" t="inlineStr">
        <is>
          <t>Tom Taggart</t>
        </is>
      </c>
      <c r="B38" s="596" t="inlineStr">
        <is>
          <t>Asset Mgmt/Bus Dev</t>
        </is>
      </c>
      <c r="C38" s="597" t="n">
        <v>222000</v>
      </c>
      <c r="D38" s="597">
        <f>C38/12</f>
        <v>18500</v>
      </c>
      <c r="E38" s="598" t="n">
        <v>1</v>
      </c>
      <c r="F38" s="599" t="inlineStr">
        <is>
          <t>SixPeak</t>
        </is>
      </c>
      <c r="G38" s="599" t="inlineStr">
        <is>
          <t>Yes</t>
        </is>
      </c>
      <c r="H38" s="600" t="n">
        <v>1</v>
      </c>
      <c r="I38" s="600" t="n">
        <v>1</v>
      </c>
      <c r="J38" s="596" t="inlineStr">
        <is>
          <t>SP</t>
        </is>
      </c>
    </row>
    <row r="39" ht="15" customFormat="1" customHeight="1" s="381">
      <c r="A39" s="601" t="inlineStr">
        <is>
          <t>Schuyler Dietz</t>
        </is>
      </c>
      <c r="B39" s="601" t="inlineStr">
        <is>
          <t>Associate</t>
        </is>
      </c>
      <c r="C39" s="602" t="n">
        <v>115000</v>
      </c>
      <c r="D39" s="602">
        <f>C39/12</f>
        <v>9583.33333333333</v>
      </c>
      <c r="E39" s="603" t="n">
        <v>1</v>
      </c>
      <c r="F39" s="604" t="inlineStr">
        <is>
          <t>SixPeak</t>
        </is>
      </c>
      <c r="G39" s="604" t="inlineStr">
        <is>
          <t>Yes</t>
        </is>
      </c>
      <c r="H39" s="605" t="n">
        <v>1</v>
      </c>
      <c r="I39" s="600" t="n">
        <v>0.1</v>
      </c>
      <c r="J39" s="601" t="inlineStr">
        <is>
          <t>SP</t>
        </is>
      </c>
    </row>
    <row r="40" ht="15" customFormat="1" customHeight="1" s="381">
      <c r="A40" s="596" t="inlineStr">
        <is>
          <t>Derek Sanders</t>
        </is>
      </c>
      <c r="B40" s="596" t="inlineStr">
        <is>
          <t>Director of Development</t>
        </is>
      </c>
      <c r="C40" s="597" t="n">
        <v>250000</v>
      </c>
      <c r="D40" s="597">
        <f>C40/12</f>
        <v>20833.3333333333</v>
      </c>
      <c r="E40" s="598" t="n">
        <v>1</v>
      </c>
      <c r="F40" s="599" t="inlineStr">
        <is>
          <t>SixPeak</t>
        </is>
      </c>
      <c r="G40" s="599" t="inlineStr">
        <is>
          <t>Yes</t>
        </is>
      </c>
      <c r="H40" s="600" t="n">
        <v>0</v>
      </c>
      <c r="I40" s="600" t="n">
        <v>0.5</v>
      </c>
      <c r="J40" s="596" t="inlineStr">
        <is>
          <t>SP</t>
        </is>
      </c>
    </row>
    <row r="41" ht="15" customFormat="1" customHeight="1" s="381">
      <c r="A41" s="601" t="inlineStr">
        <is>
          <t>Robert Carrega</t>
        </is>
      </c>
      <c r="B41" s="601" t="inlineStr">
        <is>
          <t>Controller</t>
        </is>
      </c>
      <c r="C41" s="602" t="n">
        <v>150000</v>
      </c>
      <c r="D41" s="602">
        <f>C41/12</f>
        <v>12500</v>
      </c>
      <c r="E41" s="603" t="n">
        <v>1</v>
      </c>
      <c r="F41" s="604" t="inlineStr">
        <is>
          <t>SixPeak</t>
        </is>
      </c>
      <c r="G41" s="604" t="inlineStr">
        <is>
          <t>Yes</t>
        </is>
      </c>
      <c r="H41" s="605" t="n">
        <v>0</v>
      </c>
      <c r="I41" s="600" t="n">
        <v>1</v>
      </c>
      <c r="J41" s="601" t="inlineStr">
        <is>
          <t>SP</t>
        </is>
      </c>
    </row>
    <row r="42" ht="15" customFormat="1" customHeight="1" s="381">
      <c r="A42" s="596" t="inlineStr">
        <is>
          <t>Chris Andresen</t>
        </is>
      </c>
      <c r="B42" s="596" t="inlineStr">
        <is>
          <t>CFO</t>
        </is>
      </c>
      <c r="C42" s="597" t="n">
        <v>250000</v>
      </c>
      <c r="D42" s="597">
        <f>C42/12</f>
        <v>20833.3333333333</v>
      </c>
      <c r="E42" s="598" t="n">
        <v>1</v>
      </c>
      <c r="F42" s="599" t="inlineStr">
        <is>
          <t>SixPeak</t>
        </is>
      </c>
      <c r="G42" s="599" t="inlineStr">
        <is>
          <t>Yes</t>
        </is>
      </c>
      <c r="H42" s="600" t="n">
        <v>0</v>
      </c>
      <c r="I42" s="600" t="n">
        <v>0.95</v>
      </c>
      <c r="J42" s="596" t="inlineStr">
        <is>
          <t>SP</t>
        </is>
      </c>
    </row>
    <row r="43" ht="15" customFormat="1" customHeight="1" s="381"/>
    <row r="44" ht="15" customFormat="1" customHeight="1" s="381">
      <c r="A44" s="381" t="inlineStr">
        <is>
          <t>Additional GC Field Staff (ALT scenario adds)</t>
        </is>
      </c>
    </row>
    <row r="45" ht="15" customFormat="1" customHeight="1" s="381">
      <c r="A45" s="381" t="inlineStr">
        <is>
          <t>Sr Super Add (HVN wave)</t>
        </is>
      </c>
      <c r="B45" s="381" t="inlineStr">
        <is>
          <t>Senior Superintendent</t>
        </is>
      </c>
      <c r="C45" s="381" t="n">
        <v>160000</v>
      </c>
      <c r="D45" s="381">
        <f>C45/12</f>
        <v>13333.3333333333</v>
      </c>
      <c r="E45" s="381">
        <v>14</v>
      </c>
      <c r="F45" s="381" t="inlineStr">
        <is>
          <t>GC</t>
        </is>
      </c>
      <c r="G45" s="381" t="inlineStr">
        <is>
          <t>Yes</t>
        </is>
      </c>
      <c r="H45" s="381" t="n">
        <v>0</v>
      </c>
      <c r="I45" s="381" t="n">
        <v>0</v>
      </c>
      <c r="J45" s="381" t="inlineStr">
        <is>
          <t>Field</t>
        </is>
      </c>
    </row>
    <row r="46" ht="15" customFormat="1" customHeight="1" s="381">
      <c r="A46" s="381" t="inlineStr">
        <is>
          <t>Sr Super Add (Troost)</t>
        </is>
      </c>
      <c r="B46" s="381" t="inlineStr">
        <is>
          <t>Senior Superintendent</t>
        </is>
      </c>
      <c r="C46" s="381" t="n">
        <v>160000</v>
      </c>
      <c r="D46" s="381">
        <f>C46/12</f>
        <v>13333.3333333333</v>
      </c>
      <c r="E46" s="381">
        <v>10</v>
      </c>
      <c r="F46" s="381" t="inlineStr">
        <is>
          <t>GC</t>
        </is>
      </c>
      <c r="G46" s="381" t="inlineStr">
        <is>
          <t>Yes</t>
        </is>
      </c>
      <c r="H46" s="381" t="n">
        <v>0</v>
      </c>
      <c r="I46" s="381" t="n">
        <v>0</v>
      </c>
      <c r="J46" s="381" t="inlineStr">
        <is>
          <t>Field</t>
        </is>
      </c>
    </row>
    <row r="47" ht="15" customFormat="1" customHeight="1" s="381">
      <c r="A47" s="381" t="inlineStr">
        <is>
          <t>Sr Super Add (Klump/Scott)</t>
        </is>
      </c>
      <c r="B47" s="381" t="inlineStr">
        <is>
          <t>Senior Superintendent</t>
        </is>
      </c>
      <c r="C47" s="381" t="n">
        <v>160000</v>
      </c>
      <c r="D47" s="381">
        <f>C47/12</f>
        <v>13333.3333333333</v>
      </c>
      <c r="E47" s="381" t="n">
        <v>10</v>
      </c>
      <c r="F47" s="381" t="inlineStr">
        <is>
          <t>GC</t>
        </is>
      </c>
      <c r="G47" s="381" t="inlineStr">
        <is>
          <t>Yes</t>
        </is>
      </c>
      <c r="H47" s="381" t="n">
        <v>0</v>
      </c>
      <c r="I47" s="381" t="n">
        <v>0</v>
      </c>
      <c r="J47" s="381" t="inlineStr">
        <is>
          <t>Field</t>
        </is>
      </c>
    </row>
    <row r="48" ht="15" customFormat="1" customHeight="1" s="381"/>
    <row r="49" ht="15" customFormat="1" customHeight="1" s="381"/>
    <row r="50" ht="15" customFormat="1" customHeight="1" s="38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CH11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40" customWidth="1" style="381" min="1" max="1"/>
    <col width="27" customWidth="1" style="381" min="2" max="86"/>
  </cols>
  <sheetData>
    <row r="1" ht="15" customFormat="1" customHeight="1" s="381">
      <c r="A1" s="480" t="inlineStr">
        <is>
          <t>Uplifters Foundation — Development Fee Program</t>
        </is>
      </c>
    </row>
    <row r="2" ht="15" customFormat="1" customHeight="1" s="381">
      <c r="A2" s="472" t="inlineStr">
        <is>
          <t>Active</t>
        </is>
      </c>
      <c r="B2" s="480" t="inlineStr">
        <is>
          <t>Yes</t>
        </is>
      </c>
    </row>
    <row r="4" ht="15" customFormat="1" customHeight="1" s="381">
      <c r="A4" s="511" t="inlineStr">
        <is>
          <t>PROGRAM OVERVIEW</t>
        </is>
      </c>
      <c r="B4" s="511" t="n"/>
      <c r="C4" s="511" t="n"/>
      <c r="D4" s="511" t="n"/>
      <c r="E4" s="511" t="n"/>
      <c r="F4" s="511" t="n"/>
      <c r="G4" s="511" t="n"/>
      <c r="H4" s="511" t="n"/>
      <c r="I4" s="511" t="n"/>
      <c r="J4" s="511" t="n"/>
      <c r="K4" s="511" t="n"/>
    </row>
    <row r="5" ht="15" customFormat="1" customHeight="1" s="381">
      <c r="A5" s="472" t="inlineStr">
        <is>
          <t>Program Name</t>
        </is>
      </c>
      <c r="B5" s="472" t="inlineStr">
        <is>
          <t>Uplifters Foundation — Development Fee Program</t>
        </is>
      </c>
    </row>
    <row r="6" ht="15" customFormat="1" customHeight="1" s="381">
      <c r="A6" s="472" t="inlineStr">
        <is>
          <t>Program Duration</t>
        </is>
      </c>
      <c r="B6" s="472" t="inlineStr">
        <is>
          <t xml:space="preserve">5 Years (Apr 2027 – Mar 2032)</t>
        </is>
      </c>
    </row>
    <row r="7" ht="15" customFormat="1" customHeight="1" s="381">
      <c r="A7" s="472" t="inlineStr">
        <is>
          <t>Total Properties</t>
        </is>
      </c>
      <c r="B7" s="616" t="n">
        <v>60</v>
      </c>
    </row>
    <row r="8" ht="15" customFormat="1" customHeight="1" s="381">
      <c r="A8" s="472" t="inlineStr">
        <is>
          <t>Property Type</t>
        </is>
      </c>
      <c r="B8" s="472" t="inlineStr">
        <is>
          <t>Single-Family Residential (no ADUs)</t>
        </is>
      </c>
    </row>
    <row r="9" ht="15" customFormat="1" customHeight="1" s="381">
      <c r="A9" s="472" t="inlineStr">
        <is>
          <t>Avg Lot Price</t>
        </is>
      </c>
      <c r="B9" s="617" t="n">
        <v>1400000</v>
      </c>
    </row>
    <row r="10" ht="15" customFormat="1" customHeight="1" s="381">
      <c r="A10" s="472" t="inlineStr">
        <is>
          <t>Avg Construction Cost</t>
        </is>
      </c>
      <c r="B10" s="617" t="n">
        <v>1609391</v>
      </c>
    </row>
    <row r="11" ht="15" customFormat="1" customHeight="1" s="381">
      <c r="A11" s="472" t="inlineStr">
        <is>
          <t>Avg Sale Price</t>
        </is>
      </c>
      <c r="B11" s="617" t="n">
        <v>3419763</v>
      </c>
    </row>
    <row r="12" ht="15" customFormat="1" customHeight="1" s="381">
      <c r="A12" s="472" t="inlineStr">
        <is>
          <t>Total Fee Revenue</t>
        </is>
      </c>
      <c r="B12" s="618">
        <f>B16</f>
        <v>9009665</v>
      </c>
    </row>
    <row r="14" ht="15" customFormat="1" customHeight="1" s="381">
      <c r="A14" s="619" t="inlineStr">
        <is>
          <t>ANNUAL P&amp;L SUMMARY</t>
        </is>
      </c>
      <c r="B14" s="619" t="n"/>
      <c r="C14" s="619" t="n"/>
      <c r="D14" s="619" t="n"/>
      <c r="E14" s="619" t="n"/>
      <c r="F14" s="619" t="n"/>
      <c r="G14" s="619" t="n"/>
      <c r="H14" s="619" t="n"/>
      <c r="I14" s="619" t="n"/>
      <c r="J14" s="619" t="n"/>
      <c r="K14" s="619" t="n"/>
    </row>
    <row r="15" ht="15" customFormat="1" customHeight="1" s="381">
      <c r="B15" s="620" t="inlineStr">
        <is>
          <t>Total</t>
        </is>
      </c>
      <c r="C15" s="620" t="inlineStr">
        <is>
          <t>FY 2026</t>
        </is>
      </c>
      <c r="D15" s="620" t="inlineStr">
        <is>
          <t>FY 2027</t>
        </is>
      </c>
      <c r="E15" s="620" t="inlineStr">
        <is>
          <t>FY 2028</t>
        </is>
      </c>
      <c r="F15" s="620" t="inlineStr">
        <is>
          <t>FY 2029</t>
        </is>
      </c>
      <c r="G15" s="620" t="inlineStr">
        <is>
          <t>FY 2030</t>
        </is>
      </c>
      <c r="H15" s="620" t="inlineStr">
        <is>
          <t>FY 2031</t>
        </is>
      </c>
      <c r="I15" s="620" t="inlineStr">
        <is>
          <t>FY 2032</t>
        </is>
      </c>
      <c r="J15" s="620" t="inlineStr">
        <is>
          <t>FY 2033</t>
        </is>
      </c>
    </row>
    <row r="16" ht="15" customFormat="1" customHeight="1" s="381">
      <c r="A16" s="472" t="inlineStr">
        <is>
          <t>Total Fee Revenue</t>
        </is>
      </c>
      <c r="B16" s="618">
        <f>C16+D16+E16+F16+G16+H16+I16+J16</f>
        <v>9009665</v>
      </c>
      <c r="C16" s="617">
        <f>SUM(C99:K99)</f>
        <v>0</v>
      </c>
      <c r="D16" s="617">
        <f>SUM(L99:W99)</f>
        <v>560818.2</v>
      </c>
      <c r="E16" s="617">
        <f>SUM(X99:AI99)</f>
        <v>3251765.36</v>
      </c>
      <c r="F16" s="617">
        <f>SUM(AJ99:AU99)</f>
        <v>2911623.7</v>
      </c>
      <c r="G16" s="617">
        <f>SUM(AV99:BG99)</f>
        <v>1523048.59</v>
      </c>
      <c r="H16" s="617">
        <f>SUM(BH99:BS99)</f>
        <v>762409.15</v>
      </c>
      <c r="I16" s="617">
        <f>SUM(BT99:CE99)</f>
        <v>0</v>
      </c>
      <c r="J16" s="617">
        <f>SUM(CF99:CH99)</f>
        <v>0</v>
      </c>
    </row>
    <row r="17" ht="15" customFormat="1" customHeight="1" s="381">
      <c r="A17" s="472" t="inlineStr">
        <is>
          <t>Staffing Cost</t>
        </is>
      </c>
      <c r="B17" s="618">
        <f>C17+D17+E17+F17+G17+H17+I17+J17</f>
        <v>-1500039</v>
      </c>
      <c r="C17" s="617">
        <f>SUM(C100:K100)</f>
        <v>0</v>
      </c>
      <c r="D17" s="617">
        <f>SUM(L100:W100)</f>
        <v>-120836</v>
      </c>
      <c r="E17" s="617">
        <f>SUM(X100:AI100)</f>
        <v>-366676</v>
      </c>
      <c r="F17" s="617">
        <f>SUM(AJ100:AU100)</f>
        <v>-450012</v>
      </c>
      <c r="G17" s="617">
        <f>SUM(AV100:BG100)</f>
        <v>-450012</v>
      </c>
      <c r="H17" s="617">
        <f>SUM(BH100:BS100)</f>
        <v>-112503</v>
      </c>
      <c r="I17" s="617">
        <f>SUM(BT100:CE100)</f>
        <v>0</v>
      </c>
      <c r="J17" s="617">
        <f>SUM(CF100:CH100)</f>
        <v>0</v>
      </c>
    </row>
    <row r="18" ht="15" customFormat="1" customHeight="1" s="381">
      <c r="A18" s="472" t="inlineStr">
        <is>
          <t>Other OpEx</t>
        </is>
      </c>
      <c r="B18" s="618">
        <f>C18+D18+E18+F18+G18+H18+I18+J18</f>
        <v>-456000</v>
      </c>
      <c r="C18" s="617">
        <f>SUM(C101:K101)</f>
        <v>0</v>
      </c>
      <c r="D18" s="617">
        <f>SUM(L101:W101)</f>
        <v>-85500</v>
      </c>
      <c r="E18" s="617">
        <f>SUM(X101:AI101)</f>
        <v>-114000</v>
      </c>
      <c r="F18" s="617">
        <f>SUM(AJ101:AU101)</f>
        <v>-114000</v>
      </c>
      <c r="G18" s="617">
        <f>SUM(AV101:BG101)</f>
        <v>-114000</v>
      </c>
      <c r="H18" s="617">
        <f>SUM(BH101:BS101)</f>
        <v>-28500</v>
      </c>
      <c r="I18" s="617">
        <f>SUM(BT101:CE101)</f>
        <v>0</v>
      </c>
      <c r="J18" s="617">
        <f>SUM(CF101:CH101)</f>
        <v>0</v>
      </c>
    </row>
    <row r="19" ht="15" customFormat="1" customHeight="1" s="381">
      <c r="A19" s="621" t="inlineStr">
        <is>
          <t>Net Fee Income</t>
        </is>
      </c>
      <c r="B19" s="622">
        <f>C19+D19+E19+F19+G19+H19+I19+J19</f>
        <v>7053626</v>
      </c>
      <c r="C19" s="622">
        <f>SUM(C102:K102)</f>
        <v>0</v>
      </c>
      <c r="D19" s="622">
        <f>SUM(L102:W102)</f>
        <v>354482.2</v>
      </c>
      <c r="E19" s="622">
        <f>SUM(X102:AI102)</f>
        <v>2771089.36</v>
      </c>
      <c r="F19" s="622">
        <f>SUM(AJ102:AU102)</f>
        <v>2347611.7</v>
      </c>
      <c r="G19" s="622">
        <f>SUM(AV102:BG102)</f>
        <v>959036.59</v>
      </c>
      <c r="H19" s="622">
        <f>SUM(BH102:BS102)</f>
        <v>621406.15</v>
      </c>
      <c r="I19" s="622">
        <f>SUM(BT102:CE102)</f>
        <v>0</v>
      </c>
      <c r="J19" s="622">
        <f>SUM(CF102:CH102)</f>
        <v>0</v>
      </c>
    </row>
    <row r="20" ht="15" customFormat="1" customHeight="1" s="381">
      <c r="A20" s="472" t="inlineStr">
        <is>
          <t>SP Overhead Fee (to Six Peak)</t>
        </is>
      </c>
      <c r="B20" s="618">
        <f>C20+D20+E20+F20+G20+H20+I20+J20</f>
        <v>563192.617</v>
      </c>
      <c r="C20" s="617">
        <f>SUM(C103:K103)</f>
        <v>0</v>
      </c>
      <c r="D20" s="617">
        <f>SUM(L103:W103)</f>
        <v>56081.82</v>
      </c>
      <c r="E20" s="617">
        <f>SUM(X103:AI103)</f>
        <v>150000</v>
      </c>
      <c r="F20" s="617">
        <f>SUM(AJ103:AU103)</f>
        <v>149030.827</v>
      </c>
      <c r="G20" s="617">
        <f>SUM(AV103:BG103)</f>
        <v>140675.254</v>
      </c>
      <c r="H20" s="617">
        <f>SUM(BH103:BS103)</f>
        <v>67404.716</v>
      </c>
      <c r="I20" s="617">
        <f>SUM(BT103:CE103)</f>
        <v>0</v>
      </c>
      <c r="J20" s="617">
        <f>SUM(CF103:CH103)</f>
        <v>0</v>
      </c>
    </row>
    <row r="21" ht="15" customFormat="1" customHeight="1" s="381">
      <c r="A21" s="621" t="inlineStr">
        <is>
          <t>Net Before Profit Share</t>
        </is>
      </c>
      <c r="B21" s="622">
        <f>C21+D21+E21+F21+G21+H21+I21+J21</f>
        <v>6490433.383</v>
      </c>
      <c r="C21" s="622">
        <f>SUM(C104:K104)</f>
        <v>0</v>
      </c>
      <c r="D21" s="622">
        <f>SUM(L104:W104)</f>
        <v>298400.38</v>
      </c>
      <c r="E21" s="622">
        <f>SUM(X104:AI104)</f>
        <v>2621089.36</v>
      </c>
      <c r="F21" s="622">
        <f>SUM(AJ104:AU104)</f>
        <v>2198580.873</v>
      </c>
      <c r="G21" s="622">
        <f>SUM(AV104:BG104)</f>
        <v>818361.336</v>
      </c>
      <c r="H21" s="622">
        <f>SUM(BH104:BS104)</f>
        <v>554001.434</v>
      </c>
      <c r="I21" s="622">
        <f>SUM(BT104:CE104)</f>
        <v>0</v>
      </c>
      <c r="J21" s="622">
        <f>SUM(CF104:CH104)</f>
        <v>0</v>
      </c>
    </row>
    <row r="22" ht="15" customFormat="1" customHeight="1" s="381">
      <c r="A22" s="472" t="inlineStr">
        <is>
          <t>Schuyler Profit Share (40/45/50%)</t>
        </is>
      </c>
      <c r="B22" s="618">
        <f>C22+D22+E22+F22+G22+H22+I22+J22</f>
        <v>2951665.926</v>
      </c>
      <c r="C22" s="617">
        <f>SUM(C105:K105)</f>
        <v>0</v>
      </c>
      <c r="D22" s="617">
        <f>SUM(L105:W105)</f>
        <v>119360.152</v>
      </c>
      <c r="E22" s="617">
        <f>SUM(X105:AI105)</f>
        <v>1130206.6955</v>
      </c>
      <c r="F22" s="617">
        <f>SUM(AJ105:AU105)</f>
        <v>1015917.6935</v>
      </c>
      <c r="G22" s="617">
        <f>SUM(AV105:BG105)</f>
        <v>409180.668</v>
      </c>
      <c r="H22" s="617">
        <f>SUM(BH105:BS105)</f>
        <v>277000.717</v>
      </c>
      <c r="I22" s="617">
        <f>SUM(BT105:CE105)</f>
        <v>0</v>
      </c>
      <c r="J22" s="617">
        <f>SUM(CF105:CH105)</f>
        <v>0</v>
      </c>
    </row>
    <row r="23" ht="15" customFormat="1" customHeight="1" s="381">
      <c r="A23" s="472" t="inlineStr">
        <is>
          <t>NI After Profit Share (to Six Peak)</t>
        </is>
      </c>
      <c r="B23" s="618">
        <f>C23+D23+E23+F23+G23+H23+I23+J23</f>
        <v>3538767.457</v>
      </c>
      <c r="C23" s="617">
        <f>SUM(C106:K106)</f>
        <v>0</v>
      </c>
      <c r="D23" s="617">
        <f>SUM(L106:W106)</f>
        <v>179040.228</v>
      </c>
      <c r="E23" s="617">
        <f>SUM(X106:AI106)</f>
        <v>1490882.6645</v>
      </c>
      <c r="F23" s="617">
        <f>SUM(AJ106:AU106)</f>
        <v>1182663.1795</v>
      </c>
      <c r="G23" s="617">
        <f>SUM(AV106:BG106)</f>
        <v>409180.668</v>
      </c>
      <c r="H23" s="617">
        <f>SUM(BH106:BS106)</f>
        <v>277000.717</v>
      </c>
      <c r="I23" s="617">
        <f>SUM(BT106:CE106)</f>
        <v>0</v>
      </c>
      <c r="J23" s="617">
        <f>SUM(CF106:CH106)</f>
        <v>0</v>
      </c>
    </row>
    <row r="24" ht="15" customFormat="1" customHeight="1" s="381">
      <c r="A24" s="623" t="inlineStr">
        <is>
          <t>Total to Six Peak</t>
        </is>
      </c>
      <c r="B24" s="624">
        <f>C24+D24+E24+F24+G24+H24+I24+J24</f>
        <v>4101960.074</v>
      </c>
      <c r="C24" s="624">
        <f>SUM(C107:K107)</f>
        <v>0</v>
      </c>
      <c r="D24" s="624">
        <f>SUM(L107:W107)</f>
        <v>235122.048</v>
      </c>
      <c r="E24" s="624">
        <f>SUM(X107:AI107)</f>
        <v>1640882.6645</v>
      </c>
      <c r="F24" s="624">
        <f>SUM(AJ107:AU107)</f>
        <v>1331694.0065</v>
      </c>
      <c r="G24" s="624">
        <f>SUM(AV107:BG107)</f>
        <v>549855.922</v>
      </c>
      <c r="H24" s="624">
        <f>SUM(BH107:BS107)</f>
        <v>344405.433</v>
      </c>
      <c r="I24" s="624">
        <f>SUM(BT107:CE107)</f>
        <v>0</v>
      </c>
      <c r="J24" s="624">
        <f>SUM(CF107:CH107)</f>
        <v>0</v>
      </c>
    </row>
    <row r="26" ht="15" customFormat="1" customHeight="1" s="381">
      <c r="A26" s="625" t="inlineStr">
        <is>
          <t>ACQUISITION SCHEDULE</t>
        </is>
      </c>
      <c r="B26" s="625" t="n"/>
      <c r="C26" s="625" t="n"/>
      <c r="D26" s="625" t="n"/>
      <c r="E26" s="625" t="n"/>
      <c r="F26" s="625" t="n"/>
      <c r="G26" s="625" t="n"/>
      <c r="H26" s="625" t="n"/>
      <c r="I26" s="625" t="n"/>
      <c r="J26" s="625" t="n"/>
      <c r="K26" s="625" t="n"/>
    </row>
    <row r="27" ht="15" customFormat="1" customHeight="1" s="381">
      <c r="A27" s="626" t="inlineStr">
        <is>
          <t>Phase</t>
        </is>
      </c>
      <c r="B27" s="626" t="inlineStr">
        <is>
          <t>Properties</t>
        </is>
      </c>
      <c r="C27" s="626" t="inlineStr">
        <is>
          <t>Timing</t>
        </is>
      </c>
      <c r="D27" s="626" t="inlineStr">
        <is>
          <t>Avg Lot Price</t>
        </is>
      </c>
      <c r="E27" s="626" t="inlineStr">
        <is>
          <t>Status</t>
        </is>
      </c>
    </row>
    <row r="28" ht="15" customFormat="1" customHeight="1" s="381">
      <c r="A28" s="472" t="inlineStr">
        <is>
          <t>Phase 1 — Initial Acquisitions</t>
        </is>
      </c>
      <c r="B28" s="616" t="n">
        <v>6</v>
      </c>
      <c r="C28" s="472" t="inlineStr">
        <is>
          <t xml:space="preserve">Apr – Sep 2027 (Mo 13-18)</t>
        </is>
      </c>
      <c r="D28" s="617" t="n">
        <v>1400000</v>
      </c>
      <c r="E28" s="627" t="inlineStr">
        <is>
          <t>Acquisition</t>
        </is>
      </c>
    </row>
    <row r="29" ht="15" customFormat="1" customHeight="1" s="381">
      <c r="A29" s="472" t="inlineStr">
        <is>
          <t>Phase 2 — Ramp Up</t>
        </is>
      </c>
      <c r="B29" s="616" t="n">
        <v>18</v>
      </c>
      <c r="C29" s="472" t="inlineStr">
        <is>
          <t xml:space="preserve">Oct 2027 – Sep 2028 (Mo 19-30)</t>
        </is>
      </c>
      <c r="D29" s="617" t="n">
        <v>1400000</v>
      </c>
      <c r="E29" s="627" t="inlineStr">
        <is>
          <t>Acquisition → Development</t>
        </is>
      </c>
    </row>
    <row r="30" ht="15" customFormat="1" customHeight="1" s="381">
      <c r="A30" s="472" t="inlineStr">
        <is>
          <t>Phase 3 — Continued Buying</t>
        </is>
      </c>
      <c r="B30" s="616" t="n">
        <v>18</v>
      </c>
      <c r="C30" s="472" t="inlineStr">
        <is>
          <t xml:space="preserve">Oct 2028 – Sep 2029 (Mo 31-42)</t>
        </is>
      </c>
      <c r="D30" s="617" t="n">
        <v>1400000</v>
      </c>
      <c r="E30" s="627" t="inlineStr">
        <is>
          <t>Development → Leasing</t>
        </is>
      </c>
    </row>
    <row r="31" ht="15" customFormat="1" customHeight="1" s="381">
      <c r="A31" s="472" t="inlineStr">
        <is>
          <t>Phase 4 — Final Batch</t>
        </is>
      </c>
      <c r="B31" s="616" t="n">
        <v>18</v>
      </c>
      <c r="C31" s="472" t="inlineStr">
        <is>
          <t xml:space="preserve">Oct 2029 – Sep 2030 (Mo 43-54)</t>
        </is>
      </c>
      <c r="D31" s="617" t="n">
        <v>1400000</v>
      </c>
      <c r="E31" s="627" t="inlineStr">
        <is>
          <t>Leasing → Exits</t>
        </is>
      </c>
    </row>
    <row r="32" ht="15" customFormat="1" customHeight="1" s="381">
      <c r="A32" s="626" t="inlineStr">
        <is>
          <t>Total</t>
        </is>
      </c>
      <c r="B32" s="628" t="n">
        <v>60</v>
      </c>
      <c r="C32" s="626" t="inlineStr">
        <is>
          <t xml:space="preserve">Apr 2027 – Sep 2030</t>
        </is>
      </c>
      <c r="D32" s="629" t="n">
        <v>1400000</v>
      </c>
    </row>
    <row r="34" ht="15" customFormat="1" customHeight="1" s="381">
      <c r="A34" s="630" t="inlineStr">
        <is>
          <t>FEE STRUCTURE</t>
        </is>
      </c>
      <c r="B34" s="630" t="n"/>
      <c r="C34" s="630" t="n"/>
      <c r="D34" s="630" t="n"/>
      <c r="E34" s="630" t="n"/>
      <c r="F34" s="630" t="n"/>
      <c r="G34" s="630" t="n"/>
      <c r="H34" s="630" t="n"/>
      <c r="I34" s="630" t="n"/>
      <c r="J34" s="630" t="n"/>
      <c r="K34" s="630" t="n"/>
    </row>
    <row r="35" ht="15" customFormat="1" customHeight="1" s="381">
      <c r="A35" s="631" t="inlineStr">
        <is>
          <t>Fee Category</t>
        </is>
      </c>
      <c r="B35" s="631" t="inlineStr">
        <is>
          <t>Rate</t>
        </is>
      </c>
      <c r="C35" s="631" t="inlineStr">
        <is>
          <t>Basis</t>
        </is>
      </c>
      <c r="D35" s="631" t="inlineStr">
        <is>
          <t>Per Property</t>
        </is>
      </c>
      <c r="E35" s="631" t="inlineStr">
        <is>
          <t>× 60</t>
        </is>
      </c>
      <c r="F35" s="631" t="inlineStr">
        <is>
          <t>Notes</t>
        </is>
      </c>
    </row>
    <row r="36" ht="15" customFormat="1" customHeight="1" s="381">
      <c r="A36" s="472" t="inlineStr">
        <is>
          <t>Acquisition Fee</t>
        </is>
      </c>
      <c r="B36" s="472" t="inlineStr">
        <is>
          <t>1%</t>
        </is>
      </c>
      <c r="C36" s="472" t="inlineStr">
        <is>
          <t>Lot Price ($1,400,000)</t>
        </is>
      </c>
      <c r="D36" s="617" t="n">
        <v>14000</v>
      </c>
      <c r="E36" s="617" t="n">
        <v>840000</v>
      </c>
      <c r="F36" s="472" t="inlineStr">
        <is>
          <t>At closing</t>
        </is>
      </c>
    </row>
    <row r="37" ht="15" customFormat="1" customHeight="1" s="381">
      <c r="A37" s="472" t="inlineStr">
        <is>
          <t>Development Mgmt Fee</t>
        </is>
      </c>
      <c r="B37" s="472" t="inlineStr">
        <is>
          <t>6%</t>
        </is>
      </c>
      <c r="C37" s="472" t="inlineStr">
        <is>
          <t>Construction ($1,609,391)</t>
        </is>
      </c>
      <c r="D37" s="617" t="n">
        <v>96563</v>
      </c>
      <c r="E37" s="617" t="n">
        <v>5793808</v>
      </c>
      <c r="F37" s="472" t="inlineStr">
        <is>
          <t>During renovation</t>
        </is>
      </c>
    </row>
    <row r="38" ht="15" customFormat="1" customHeight="1" s="381">
      <c r="A38" s="472" t="inlineStr">
        <is>
          <t>Leasing Commission</t>
        </is>
      </c>
      <c r="B38" s="472" t="inlineStr">
        <is>
          <t>3%</t>
        </is>
      </c>
      <c r="C38" s="472" t="inlineStr">
        <is>
          <t>Annual Rent ($180,000)</t>
        </is>
      </c>
      <c r="D38" s="617" t="n">
        <v>5400</v>
      </c>
      <c r="E38" s="617" t="n">
        <v>324000</v>
      </c>
      <c r="F38" s="472" t="inlineStr">
        <is>
          <t>At lease-up</t>
        </is>
      </c>
    </row>
    <row r="39" ht="15" customFormat="1" customHeight="1" s="381">
      <c r="A39" s="472" t="inlineStr">
        <is>
          <t>Exit / Disposition Fee</t>
        </is>
      </c>
      <c r="B39" s="472" t="inlineStr">
        <is>
          <t>1%</t>
        </is>
      </c>
      <c r="C39" s="472" t="inlineStr">
        <is>
          <t>Sale Price ($3,419,763)</t>
        </is>
      </c>
      <c r="D39" s="617" t="n">
        <v>34198</v>
      </c>
      <c r="E39" s="617" t="n">
        <v>2051858</v>
      </c>
      <c r="F39" s="472" t="inlineStr">
        <is>
          <t>At disposition</t>
        </is>
      </c>
    </row>
    <row r="40" ht="15" customFormat="1" customHeight="1" s="381">
      <c r="A40" s="631" t="inlineStr">
        <is>
          <t>Total Fee Revenue</t>
        </is>
      </c>
      <c r="D40" s="632" t="n">
        <v>150161</v>
      </c>
      <c r="E40" s="632" t="n">
        <v>9009665</v>
      </c>
    </row>
    <row r="42" ht="15" customFormat="1" customHeight="1" s="381">
      <c r="A42" s="633" t="inlineStr">
        <is>
          <t>STAFFING &amp; COMPENSATION</t>
        </is>
      </c>
      <c r="B42" s="633" t="n"/>
      <c r="C42" s="633" t="n"/>
      <c r="D42" s="633" t="n"/>
      <c r="E42" s="633" t="n"/>
      <c r="F42" s="633" t="n"/>
      <c r="G42" s="633" t="n"/>
      <c r="H42" s="633" t="n"/>
      <c r="I42" s="633" t="n"/>
      <c r="J42" s="633" t="n"/>
      <c r="K42" s="633" t="n"/>
    </row>
    <row r="43" ht="15" customFormat="1" customHeight="1" s="381">
      <c r="A43" s="634" t="inlineStr">
        <is>
          <t>Role</t>
        </is>
      </c>
      <c r="B43" s="634" t="inlineStr">
        <is>
          <t>Annual Comp</t>
        </is>
      </c>
      <c r="C43" s="634" t="inlineStr">
        <is>
          <t>Monthly</t>
        </is>
      </c>
      <c r="D43" s="634" t="inlineStr">
        <is>
          <t>Start</t>
        </is>
      </c>
      <c r="E43" s="634" t="inlineStr">
        <is>
          <t>End</t>
        </is>
      </c>
      <c r="F43" s="634" t="inlineStr">
        <is>
          <t>Months</t>
        </is>
      </c>
      <c r="G43" s="634" t="inlineStr">
        <is>
          <t>Total Cost</t>
        </is>
      </c>
    </row>
    <row r="44" ht="15" customFormat="1" customHeight="1" s="381">
      <c r="A44" s="472" t="inlineStr">
        <is>
          <t>Project Manager 1</t>
        </is>
      </c>
      <c r="B44" s="617" t="n">
        <v>125000</v>
      </c>
      <c r="C44" s="617" t="n">
        <v>10417</v>
      </c>
      <c r="D44" s="472" t="inlineStr">
        <is>
          <t xml:space="preserve">Mo 14</t>
        </is>
      </c>
      <c r="E44" s="472" t="inlineStr">
        <is>
          <t xml:space="preserve">Mo 60</t>
        </is>
      </c>
      <c r="F44" s="472" t="n">
        <v>47</v>
      </c>
      <c r="G44" s="617">
        <f>C44*F44</f>
        <v>489599</v>
      </c>
    </row>
    <row r="45" ht="15" customFormat="1" customHeight="1" s="381">
      <c r="A45" s="472" t="inlineStr">
        <is>
          <t>Project Coordinator</t>
        </is>
      </c>
      <c r="B45" s="617" t="n">
        <v>90000</v>
      </c>
      <c r="C45" s="617" t="n">
        <v>7500</v>
      </c>
      <c r="D45" s="472" t="inlineStr">
        <is>
          <t xml:space="preserve">Mo 17</t>
        </is>
      </c>
      <c r="E45" s="472" t="inlineStr">
        <is>
          <t xml:space="preserve">Mo 60</t>
        </is>
      </c>
      <c r="F45" s="472" t="n">
        <v>44</v>
      </c>
      <c r="G45" s="617">
        <f>C45*F45</f>
        <v>330000</v>
      </c>
    </row>
    <row r="46" ht="15" customFormat="1" customHeight="1" s="381">
      <c r="A46" s="472" t="inlineStr">
        <is>
          <t>Accountant</t>
        </is>
      </c>
      <c r="B46" s="617" t="n">
        <v>110000</v>
      </c>
      <c r="C46" s="617" t="n">
        <v>9167</v>
      </c>
      <c r="D46" s="472" t="inlineStr">
        <is>
          <t xml:space="preserve">Mo 22</t>
        </is>
      </c>
      <c r="E46" s="472" t="inlineStr">
        <is>
          <t xml:space="preserve">Mo 60</t>
        </is>
      </c>
      <c r="F46" s="472" t="n">
        <v>39</v>
      </c>
      <c r="G46" s="617">
        <f>C46*F46</f>
        <v>357513</v>
      </c>
    </row>
    <row r="47" ht="15" customFormat="1" customHeight="1" s="381">
      <c r="A47" s="472" t="inlineStr">
        <is>
          <t>Project Manager 2</t>
        </is>
      </c>
      <c r="B47" s="617" t="n">
        <v>125000</v>
      </c>
      <c r="C47" s="617" t="n">
        <v>10417</v>
      </c>
      <c r="D47" s="472" t="inlineStr">
        <is>
          <t xml:space="preserve">Mo 30</t>
        </is>
      </c>
      <c r="E47" s="472" t="inlineStr">
        <is>
          <t xml:space="preserve">Mo 60</t>
        </is>
      </c>
      <c r="F47" s="472" t="n">
        <v>31</v>
      </c>
      <c r="G47" s="617">
        <f>C47*F47</f>
        <v>322927</v>
      </c>
    </row>
    <row r="48" ht="15" customFormat="1" customHeight="1" s="381">
      <c r="A48" s="634" t="inlineStr">
        <is>
          <t>Total Staffing Cost</t>
        </is>
      </c>
      <c r="G48" s="635">
        <f>SUM(G44:G47)</f>
        <v>1500039</v>
      </c>
    </row>
    <row r="50" ht="15" customFormat="1" customHeight="1" s="381">
      <c r="A50" s="636" t="inlineStr">
        <is>
          <t>OTHER OPERATING EXPENSES</t>
        </is>
      </c>
      <c r="B50" s="636" t="n"/>
      <c r="C50" s="636" t="n"/>
      <c r="D50" s="636" t="n"/>
      <c r="E50" s="636" t="n"/>
      <c r="F50" s="636" t="n"/>
      <c r="G50" s="636" t="n"/>
      <c r="H50" s="636" t="n"/>
      <c r="I50" s="636" t="n"/>
      <c r="J50" s="636" t="n"/>
      <c r="K50" s="636" t="n"/>
    </row>
    <row r="51" ht="15" customFormat="1" customHeight="1" s="381">
      <c r="A51" s="637" t="inlineStr">
        <is>
          <t>Expense</t>
        </is>
      </c>
      <c r="B51" s="637" t="inlineStr">
        <is>
          <t>Annual</t>
        </is>
      </c>
      <c r="C51" s="637" t="inlineStr">
        <is>
          <t>Monthly</t>
        </is>
      </c>
      <c r="D51" s="637" t="inlineStr">
        <is>
          <t>Years</t>
        </is>
      </c>
      <c r="E51" s="637" t="inlineStr">
        <is>
          <t>Total</t>
        </is>
      </c>
    </row>
    <row r="52" ht="15" customFormat="1" customHeight="1" s="381">
      <c r="A52" s="472" t="inlineStr">
        <is>
          <t>Accounting / Audit / Tax</t>
        </is>
      </c>
      <c r="B52" s="617" t="n">
        <v>40000</v>
      </c>
      <c r="C52" s="617" t="n">
        <v>3333</v>
      </c>
      <c r="D52" s="472" t="n">
        <v>4</v>
      </c>
      <c r="E52" s="617" t="n">
        <v>160000</v>
      </c>
    </row>
    <row r="53" ht="15" customFormat="1" customHeight="1" s="381">
      <c r="A53" s="472" t="inlineStr">
        <is>
          <t>Insurance</t>
        </is>
      </c>
      <c r="B53" s="617" t="n">
        <v>20000</v>
      </c>
      <c r="C53" s="617" t="n">
        <v>1667</v>
      </c>
      <c r="D53" s="472" t="n">
        <v>4</v>
      </c>
      <c r="E53" s="617" t="n">
        <v>80000</v>
      </c>
    </row>
    <row r="54" ht="15" customFormat="1" customHeight="1" s="381">
      <c r="A54" s="472" t="inlineStr">
        <is>
          <t>Office Space</t>
        </is>
      </c>
      <c r="B54" s="617" t="n">
        <v>30000</v>
      </c>
      <c r="C54" s="617" t="n">
        <v>2500</v>
      </c>
      <c r="D54" s="472" t="n">
        <v>4</v>
      </c>
      <c r="E54" s="617" t="n">
        <v>120000</v>
      </c>
    </row>
    <row r="55" ht="15" customFormat="1" customHeight="1" s="381">
      <c r="A55" s="472" t="inlineStr">
        <is>
          <t>Computer / Internet</t>
        </is>
      </c>
      <c r="B55" s="617" t="n">
        <v>24000</v>
      </c>
      <c r="C55" s="617" t="n">
        <v>2000</v>
      </c>
      <c r="D55" s="472" t="n">
        <v>4</v>
      </c>
      <c r="E55" s="617" t="n">
        <v>96000</v>
      </c>
    </row>
    <row r="56" ht="15" customFormat="1" customHeight="1" s="381">
      <c r="A56" s="637" t="inlineStr">
        <is>
          <t>Total Other OpEx</t>
        </is>
      </c>
      <c r="E56" s="638" t="n">
        <v>456000</v>
      </c>
    </row>
    <row r="57" ht="15" customFormat="1" customHeight="1" s="381">
      <c r="A57" s="639" t="inlineStr">
        <is>
          <t>Note: Legal ($25K/project) is a deal cost in closing, not in P&amp;L</t>
        </is>
      </c>
    </row>
    <row r="59" ht="15" customFormat="1" customHeight="1" s="381">
      <c r="A59" s="640" t="inlineStr">
        <is>
          <t>ECONOMICS SUMMARY (CONFIRMED)</t>
        </is>
      </c>
      <c r="B59" s="640" t="n"/>
      <c r="C59" s="640" t="n"/>
      <c r="D59" s="640" t="n"/>
      <c r="E59" s="640" t="n"/>
      <c r="F59" s="640" t="n"/>
      <c r="G59" s="640" t="n"/>
      <c r="H59" s="640" t="n"/>
      <c r="I59" s="640" t="n"/>
      <c r="J59" s="640" t="n"/>
      <c r="K59" s="640" t="n"/>
    </row>
    <row r="60" ht="15" customFormat="1" customHeight="1" s="381">
      <c r="A60" s="472" t="inlineStr">
        <is>
          <t>Total Fee Revenue (60 properties)</t>
        </is>
      </c>
      <c r="B60" s="617">
        <f>B16</f>
        <v>9009665</v>
      </c>
    </row>
    <row r="61" ht="15" customFormat="1" customHeight="1" s="381">
      <c r="A61" s="472" t="inlineStr">
        <is>
          <t>Staffing Cost</t>
        </is>
      </c>
      <c r="B61" s="617">
        <f>B17</f>
        <v>-1500039</v>
      </c>
    </row>
    <row r="62" ht="15" customFormat="1" customHeight="1" s="381">
      <c r="A62" s="472" t="inlineStr">
        <is>
          <t>Other OpEx</t>
        </is>
      </c>
      <c r="B62" s="617">
        <f>B18</f>
        <v>-456000</v>
      </c>
    </row>
    <row r="63" ht="15" customFormat="1" customHeight="1" s="381">
      <c r="A63" s="626" t="inlineStr">
        <is>
          <t>Net Fee Income</t>
        </is>
      </c>
      <c r="B63" s="629">
        <f>B60+B61+B62</f>
        <v>7053626</v>
      </c>
    </row>
    <row r="64" ht="15" customFormat="1" customHeight="1" s="381">
      <c r="A64" s="472" t="inlineStr">
        <is>
          <t>SP Overhead (10% Revenue, max $150K/yr)</t>
        </is>
      </c>
      <c r="B64" s="617">
        <f>-B20</f>
        <v>-563192.617</v>
      </c>
    </row>
    <row r="65" ht="15" customFormat="1" customHeight="1" s="381">
      <c r="A65" s="626" t="inlineStr">
        <is>
          <t>Net Before Profit Share</t>
        </is>
      </c>
      <c r="B65" s="629">
        <f>B63+B64</f>
        <v>6490433.383</v>
      </c>
    </row>
    <row r="66" ht="15" customFormat="1" customHeight="1" s="381">
      <c r="A66" s="472" t="inlineStr">
        <is>
          <t>Schuyler Profit Share (40/45/50% tiered)</t>
        </is>
      </c>
      <c r="B66" s="617">
        <f>-B22</f>
        <v>-2951665.926</v>
      </c>
    </row>
    <row r="67" ht="15" customFormat="1" customHeight="1" s="381">
      <c r="A67" s="626" t="inlineStr">
        <is>
          <t>NI After Profit Share (to Six Peak)</t>
        </is>
      </c>
      <c r="B67" s="629">
        <f>B65+B66</f>
        <v>3538767.457</v>
      </c>
    </row>
    <row r="68" ht="15" customFormat="1" customHeight="1" s="381">
      <c r="A68" s="472" t="inlineStr">
        <is>
          <t>SP Overhead Fee (to Six Peak)</t>
        </is>
      </c>
      <c r="B68" s="617">
        <f>B20</f>
        <v>563192.617</v>
      </c>
    </row>
    <row r="69" ht="15" customFormat="1" customHeight="1" s="381">
      <c r="A69" s="626" t="inlineStr">
        <is>
          <t>Total to Six Peak</t>
        </is>
      </c>
      <c r="B69" s="629">
        <f>B67+B68</f>
        <v>4101960.074</v>
      </c>
    </row>
    <row r="71" ht="15" customFormat="1" customHeight="1" s="381">
      <c r="A71" s="630" t="inlineStr">
        <is>
          <t>LEADERSHIP &amp; ORGANIZATION</t>
        </is>
      </c>
      <c r="B71" s="630" t="n"/>
      <c r="C71" s="630" t="n"/>
      <c r="D71" s="630" t="n"/>
      <c r="E71" s="630" t="n"/>
      <c r="F71" s="630" t="n"/>
      <c r="G71" s="630" t="n"/>
      <c r="H71" s="630" t="n"/>
      <c r="I71" s="630" t="n"/>
      <c r="J71" s="630" t="n"/>
      <c r="K71" s="630" t="n"/>
    </row>
    <row r="72" ht="15" customFormat="1" customHeight="1" s="381">
      <c r="A72" s="631" t="inlineStr">
        <is>
          <t>Name</t>
        </is>
      </c>
      <c r="B72" s="631" t="inlineStr">
        <is>
          <t>Role</t>
        </is>
      </c>
      <c r="C72" s="631" t="inlineStr">
        <is>
          <t>Responsibility</t>
        </is>
      </c>
    </row>
    <row r="73" ht="31.5" customFormat="1" customHeight="1" s="381">
      <c r="A73" s="480" t="inlineStr">
        <is>
          <t>Schuyler Dietz</t>
        </is>
      </c>
      <c r="B73" s="472" t="inlineStr">
        <is>
          <t>Program Lead</t>
        </is>
      </c>
      <c r="C73" s="641" t="inlineStr">
        <is>
          <t>Day-to-day leadership. Manages acquisitions, development oversight, investor relations. 40% bonus on net income.</t>
        </is>
      </c>
    </row>
    <row r="74" ht="31.5" customFormat="1" customHeight="1" s="381">
      <c r="A74" s="480" t="inlineStr">
        <is>
          <t>Chris Aiello</t>
        </is>
      </c>
      <c r="B74" s="472" t="inlineStr">
        <is>
          <t>Leadership</t>
        </is>
      </c>
      <c r="C74" s="641" t="inlineStr">
        <is>
          <t>Senior leadership and strategic direction. Works directly with Schuyler on execution.</t>
        </is>
      </c>
    </row>
    <row r="75" ht="31.5" customFormat="1" customHeight="1" s="381">
      <c r="A75" s="480" t="inlineStr">
        <is>
          <t>Derek Sanders</t>
        </is>
      </c>
      <c r="B75" s="472" t="inlineStr">
        <is>
          <t>PM Advisory</t>
        </is>
      </c>
      <c r="C75" s="641" t="inlineStr">
        <is>
          <t>Advises on PM employees. Guidance on renovation scoping, contractor mgmt, PM development.</t>
        </is>
      </c>
    </row>
    <row r="76" ht="31.5" customFormat="1" customHeight="1" s="381">
      <c r="A76" s="480" t="inlineStr">
        <is>
          <t>Chris Andresen</t>
        </is>
      </c>
      <c r="B76" s="472" t="inlineStr">
        <is>
          <t>Accounting &amp; Back Office</t>
        </is>
      </c>
      <c r="C76" s="641" t="inlineStr">
        <is>
          <t>Manages accounting, financial reporting, and back office with Robert Carrega.</t>
        </is>
      </c>
    </row>
    <row r="77" ht="31.5" customFormat="1" customHeight="1" s="381">
      <c r="A77" s="480" t="inlineStr">
        <is>
          <t>Robert Carrega</t>
        </is>
      </c>
      <c r="B77" s="472" t="inlineStr">
        <is>
          <t>Accounting &amp; Back Office</t>
        </is>
      </c>
      <c r="C77" s="641" t="inlineStr">
        <is>
          <t>Supports accounting and back office processes alongside Chris Andresen.</t>
        </is>
      </c>
    </row>
    <row r="78" ht="31.5" customFormat="1" customHeight="1" s="381">
      <c r="A78" s="480" t="inlineStr">
        <is>
          <t>Tom Taggart</t>
        </is>
      </c>
      <c r="B78" s="472" t="inlineStr">
        <is>
          <t>Acquisitions &amp; Field</t>
        </is>
      </c>
      <c r="C78" s="641" t="inlineStr">
        <is>
          <t>Assists in acquisitions. Available on-the-ground resource daily for program execution.</t>
        </is>
      </c>
    </row>
    <row r="80" ht="15" customFormat="1" customHeight="1" s="381">
      <c r="A80" s="642" t="inlineStr">
        <is>
          <t>NOTES &amp; ASSUMPTIONS</t>
        </is>
      </c>
      <c r="B80" s="642" t="n"/>
      <c r="C80" s="642" t="n"/>
      <c r="D80" s="642" t="n"/>
      <c r="E80" s="642" t="n"/>
      <c r="F80" s="642" t="n"/>
      <c r="G80" s="642" t="n"/>
      <c r="H80" s="642" t="n"/>
      <c r="I80" s="642" t="n"/>
      <c r="J80" s="642" t="n"/>
      <c r="K80" s="642" t="n"/>
    </row>
    <row r="81" ht="27.75" customFormat="1" customHeight="1" s="381">
      <c r="A81" s="480" t="inlineStr">
        <is>
          <t>1.</t>
        </is>
      </c>
      <c r="B81" s="641" t="inlineStr">
        <is>
          <t>All 60 properties are single-family residential. No ADUs.</t>
        </is>
      </c>
    </row>
    <row r="82" ht="27.75" customFormat="1" customHeight="1" s="381">
      <c r="A82" s="480" t="inlineStr">
        <is>
          <t>2.</t>
        </is>
      </c>
      <c r="B82" s="641" t="inlineStr">
        <is>
          <t>Avg lot price: $1,400,000. Avg construction: $1,609,391. Avg sale: $3,419,763.</t>
        </is>
      </c>
    </row>
    <row r="83" ht="27.75" customFormat="1" customHeight="1" s="381">
      <c r="A83" s="480" t="inlineStr">
        <is>
          <t>3.</t>
        </is>
      </c>
      <c r="B83" s="641" t="inlineStr">
        <is>
          <t>Fees: 1% acquisition on lot, 6% development on construction, 3% leasing on rent ($180K/yr), 1% exit on sale.</t>
        </is>
      </c>
    </row>
    <row r="84" ht="27.75" customFormat="1" customHeight="1" s="381">
      <c r="A84" s="480" t="inlineStr">
        <is>
          <t>4.</t>
        </is>
      </c>
      <c r="B84" s="641" t="inlineStr">
        <is>
          <t>Legal ($25K/project) is a deal cost in closing, not in the Uplifters P&amp;L.</t>
        </is>
      </c>
    </row>
    <row r="85" ht="27.75" customFormat="1" customHeight="1" s="381">
      <c r="A85" s="480" t="inlineStr">
        <is>
          <t>5.</t>
        </is>
      </c>
      <c r="B85" s="641" t="inlineStr">
        <is>
          <t>SP Overhead is 10% of all fee revenue, capped at $150,000 per year, retained by Six Peak.</t>
        </is>
      </c>
    </row>
    <row r="86" ht="27.75" customFormat="1" customHeight="1" s="381">
      <c r="A86" s="480" t="inlineStr">
        <is>
          <t>6.</t>
        </is>
      </c>
      <c r="B86" s="641" t="inlineStr">
        <is>
          <t>Schuyler profit share (consultant, not an employee bonus): 40% on first 20 deals (Mo 10-24), 45% on next 20 (Mo 25-37), 50% on final 20 (Mo 38+). Paid on positive months only.</t>
        </is>
      </c>
    </row>
    <row r="87" ht="27.75" customFormat="1" customHeight="1" s="381">
      <c r="A87" s="480" t="inlineStr">
        <is>
          <t>7.</t>
        </is>
      </c>
      <c r="B87" s="641" t="inlineStr">
        <is>
          <t>Staffing: PM1 ($125K) Mo 11 (3 mo before first construction); PC ($90K) Mo 14 (after 4th acquisition); Accountant ($110K) Mo 19 (after 10th acquisition); PM2 ($125K) Mo 27 (at 24th acquisition).</t>
        </is>
      </c>
    </row>
    <row r="88" ht="27.75" customFormat="1" customHeight="1" s="381">
      <c r="A88" s="480" t="inlineStr">
        <is>
          <t>8.</t>
        </is>
      </c>
      <c r="B88" s="641" t="inlineStr">
        <is>
          <t>Other OpEx: Acctg/Audit/Tax ($40K/yr), Insurance ($20K/yr), Office ($2,500/mo), Computer ($24K/yr).</t>
        </is>
      </c>
    </row>
    <row r="89" ht="27.75" customFormat="1" customHeight="1" s="381">
      <c r="A89" s="480" t="inlineStr">
        <is>
          <t>9.</t>
        </is>
      </c>
      <c r="B89" s="641" t="inlineStr">
        <is>
          <t>Six Peak does NOT perform construction. All renovation contracted to third-party builders.</t>
        </is>
      </c>
    </row>
    <row r="90" ht="27.75" customFormat="1" customHeight="1" s="381">
      <c r="A90" s="480" t="inlineStr">
        <is>
          <t>10.</t>
        </is>
      </c>
      <c r="B90" s="641" t="inlineStr">
        <is>
          <t xml:space="preserve">Program: Apr 2027 (Mo 13) through Mar 2032. Revenue recognized as fees are earned.</t>
        </is>
      </c>
    </row>
    <row r="91" ht="15" customFormat="1" customHeight="1" s="381">
      <c r="A91" s="381" t="inlineStr">
        <is>
          <t>11.</t>
        </is>
      </c>
      <c r="B91" s="381" t="inlineStr">
        <is>
          <t>No debt will be used in the acquisition or development of the properties. All-equity structure.</t>
        </is>
      </c>
    </row>
    <row r="93" ht="15" customFormat="1" customHeight="1" s="381">
      <c r="A93" s="625" t="inlineStr">
        <is>
          <t>SP INTEGRATION ASSUMPTIONS</t>
        </is>
      </c>
      <c r="B93" s="625" t="n"/>
      <c r="C93" s="625" t="n"/>
      <c r="D93" s="625" t="n"/>
      <c r="E93" s="625" t="n"/>
      <c r="F93" s="625" t="n"/>
      <c r="G93" s="625" t="n"/>
      <c r="H93" s="625" t="n"/>
      <c r="I93" s="625" t="n"/>
      <c r="J93" s="625" t="n"/>
      <c r="K93" s="625" t="n"/>
    </row>
    <row r="94" ht="15" customFormat="1" customHeight="1" s="381">
      <c r="A94" s="472" t="inlineStr">
        <is>
          <t>SP Overhead Rate</t>
        </is>
      </c>
      <c r="B94" s="643" t="n">
        <v>0.1</v>
      </c>
    </row>
    <row r="95" ht="15" customFormat="1" customHeight="1" s="381">
      <c r="A95" s="472" t="inlineStr">
        <is>
          <t>SP Overhead Annual Cap</t>
        </is>
      </c>
      <c r="B95" s="643" t="n">
        <v>150000</v>
      </c>
    </row>
    <row r="96" ht="15" customFormat="1" customHeight="1" s="381">
      <c r="A96" s="381" t="inlineStr">
        <is>
          <t>Schuyler Profit Share Rates</t>
        </is>
      </c>
      <c r="B96" s="381" t="inlineStr">
        <is>
          <t>40% (1-20) / 45% (21-40) / 50% (41-60)</t>
        </is>
      </c>
    </row>
    <row r="97" ht="15" customFormat="1" customHeight="1" s="381">
      <c r="A97" s="640" t="inlineStr">
        <is>
          <t>MONTHLY P&amp;L</t>
        </is>
      </c>
      <c r="B97" s="640" t="n"/>
      <c r="C97" s="640" t="n"/>
      <c r="D97" s="640" t="n"/>
      <c r="E97" s="640" t="n"/>
      <c r="F97" s="640" t="n"/>
      <c r="G97" s="640" t="n"/>
      <c r="H97" s="640" t="n"/>
      <c r="I97" s="640" t="n"/>
      <c r="J97" s="640" t="n"/>
      <c r="K97" s="640" t="n"/>
    </row>
    <row r="98" ht="15" customFormat="1" customHeight="1" s="381">
      <c r="C98" s="482" t="n">
        <v>1</v>
      </c>
      <c r="D98" s="482" t="n">
        <v>2</v>
      </c>
      <c r="E98" s="482" t="n">
        <v>3</v>
      </c>
      <c r="F98" s="482" t="n">
        <v>4</v>
      </c>
      <c r="G98" s="482" t="n">
        <v>5</v>
      </c>
      <c r="H98" s="482" t="n">
        <v>6</v>
      </c>
      <c r="I98" s="482" t="n">
        <v>7</v>
      </c>
      <c r="J98" s="482" t="n">
        <v>8</v>
      </c>
      <c r="K98" s="482" t="n">
        <v>9</v>
      </c>
      <c r="L98" s="482" t="n">
        <v>10</v>
      </c>
      <c r="M98" s="482" t="n">
        <v>11</v>
      </c>
      <c r="N98" s="482" t="n">
        <v>12</v>
      </c>
      <c r="O98" s="482" t="n">
        <v>13</v>
      </c>
      <c r="P98" s="482" t="n">
        <v>14</v>
      </c>
      <c r="Q98" s="482" t="n">
        <v>15</v>
      </c>
      <c r="R98" s="482" t="n">
        <v>16</v>
      </c>
      <c r="S98" s="482" t="n">
        <v>17</v>
      </c>
      <c r="T98" s="482" t="n">
        <v>18</v>
      </c>
      <c r="U98" s="482" t="n">
        <v>19</v>
      </c>
      <c r="V98" s="482" t="n">
        <v>20</v>
      </c>
      <c r="W98" s="482" t="n">
        <v>21</v>
      </c>
      <c r="X98" s="482" t="n">
        <v>22</v>
      </c>
      <c r="Y98" s="482" t="n">
        <v>23</v>
      </c>
      <c r="Z98" s="482" t="n">
        <v>24</v>
      </c>
      <c r="AA98" s="482" t="n">
        <v>25</v>
      </c>
      <c r="AB98" s="482" t="n">
        <v>26</v>
      </c>
      <c r="AC98" s="482" t="n">
        <v>27</v>
      </c>
      <c r="AD98" s="482" t="n">
        <v>28</v>
      </c>
      <c r="AE98" s="482" t="n">
        <v>29</v>
      </c>
      <c r="AF98" s="482" t="n">
        <v>30</v>
      </c>
      <c r="AG98" s="482" t="n">
        <v>31</v>
      </c>
      <c r="AH98" s="482" t="n">
        <v>32</v>
      </c>
      <c r="AI98" s="482" t="n">
        <v>33</v>
      </c>
      <c r="AJ98" s="482" t="n">
        <v>34</v>
      </c>
      <c r="AK98" s="482" t="n">
        <v>35</v>
      </c>
      <c r="AL98" s="482" t="n">
        <v>36</v>
      </c>
      <c r="AM98" s="482" t="n">
        <v>37</v>
      </c>
      <c r="AN98" s="482" t="n">
        <v>38</v>
      </c>
      <c r="AO98" s="482" t="n">
        <v>39</v>
      </c>
      <c r="AP98" s="482" t="n">
        <v>40</v>
      </c>
      <c r="AQ98" s="482" t="n">
        <v>41</v>
      </c>
      <c r="AR98" s="482" t="n">
        <v>42</v>
      </c>
      <c r="AS98" s="482" t="n">
        <v>43</v>
      </c>
      <c r="AT98" s="482" t="n">
        <v>44</v>
      </c>
      <c r="AU98" s="482" t="n">
        <v>45</v>
      </c>
      <c r="AV98" s="482" t="n">
        <v>46</v>
      </c>
      <c r="AW98" s="482" t="n">
        <v>47</v>
      </c>
      <c r="AX98" s="482" t="n">
        <v>48</v>
      </c>
      <c r="AY98" s="482" t="n">
        <v>49</v>
      </c>
      <c r="AZ98" s="482" t="n">
        <v>50</v>
      </c>
      <c r="BA98" s="482" t="n">
        <v>51</v>
      </c>
      <c r="BB98" s="482" t="n">
        <v>52</v>
      </c>
      <c r="BC98" s="482" t="n">
        <v>53</v>
      </c>
      <c r="BD98" s="482" t="n">
        <v>54</v>
      </c>
      <c r="BE98" s="482" t="n">
        <v>55</v>
      </c>
      <c r="BF98" s="482" t="n">
        <v>56</v>
      </c>
      <c r="BG98" s="482" t="n">
        <v>57</v>
      </c>
      <c r="BH98" s="482" t="n">
        <v>58</v>
      </c>
      <c r="BI98" s="482" t="n">
        <v>59</v>
      </c>
      <c r="BJ98" s="482" t="n">
        <v>60</v>
      </c>
      <c r="BK98" s="482" t="n">
        <v>61</v>
      </c>
      <c r="BL98" s="482" t="n">
        <v>62</v>
      </c>
      <c r="BM98" s="482" t="n">
        <v>63</v>
      </c>
      <c r="BN98" s="482" t="n">
        <v>64</v>
      </c>
      <c r="BO98" s="482" t="n">
        <v>65</v>
      </c>
      <c r="BP98" s="482" t="n">
        <v>66</v>
      </c>
      <c r="BQ98" s="482" t="n">
        <v>67</v>
      </c>
      <c r="BR98" s="482" t="n">
        <v>68</v>
      </c>
      <c r="BS98" s="482" t="n">
        <v>69</v>
      </c>
      <c r="BT98" s="482" t="n">
        <v>70</v>
      </c>
      <c r="BU98" s="482" t="n">
        <v>71</v>
      </c>
      <c r="BV98" s="482" t="n">
        <v>72</v>
      </c>
      <c r="BW98" s="482" t="n">
        <v>73</v>
      </c>
      <c r="BX98" s="482" t="n">
        <v>74</v>
      </c>
      <c r="BY98" s="482" t="n">
        <v>75</v>
      </c>
      <c r="BZ98" s="482" t="n">
        <v>76</v>
      </c>
      <c r="CA98" s="482" t="n">
        <v>77</v>
      </c>
      <c r="CB98" s="482" t="n">
        <v>78</v>
      </c>
      <c r="CC98" s="482" t="n">
        <v>79</v>
      </c>
      <c r="CD98" s="482" t="n">
        <v>80</v>
      </c>
      <c r="CE98" s="482" t="n">
        <v>81</v>
      </c>
      <c r="CF98" s="482" t="n">
        <v>82</v>
      </c>
      <c r="CG98" s="482" t="n">
        <v>83</v>
      </c>
      <c r="CH98" s="482" t="n">
        <v>84</v>
      </c>
    </row>
    <row r="99" ht="15" customFormat="1" customHeight="1" s="381">
      <c r="A99" s="482" t="inlineStr">
        <is>
          <t>Total Fee Revenue</t>
        </is>
      </c>
      <c r="B99" s="644">
        <f>SUM(C99:CH99)</f>
        <v>9009665</v>
      </c>
      <c r="L99" s="645"/>
      <c r="M99" s="645"/>
      <c r="N99" s="645"/>
      <c r="O99" s="645">
        <v>45050.36</v>
      </c>
      <c r="P99" s="645">
        <v>45050.36</v>
      </c>
      <c r="Q99" s="645">
        <v>45050.36</v>
      </c>
      <c r="R99" s="645">
        <v>45050.36</v>
      </c>
      <c r="S99" s="645">
        <v>45050.36</v>
      </c>
      <c r="T99" s="645">
        <v>45050.36</v>
      </c>
      <c r="U99" s="645">
        <v>70944.52</v>
      </c>
      <c r="V99" s="645">
        <v>96838.68</v>
      </c>
      <c r="W99" s="645">
        <v>122732.84</v>
      </c>
      <c r="X99" s="645">
        <v>148626.99</v>
      </c>
      <c r="Y99" s="645">
        <v>174521.16</v>
      </c>
      <c r="Z99" s="645">
        <v>200415.31</v>
      </c>
      <c r="AA99" s="645">
        <v>226309.46</v>
      </c>
      <c r="AB99" s="645">
        <v>252203.62</v>
      </c>
      <c r="AC99" s="645">
        <v>278097.79</v>
      </c>
      <c r="AD99" s="645">
        <v>303991.94</v>
      </c>
      <c r="AE99" s="645">
        <v>329886.11</v>
      </c>
      <c r="AF99" s="645">
        <v>400830.61</v>
      </c>
      <c r="AG99" s="645">
        <v>311512.01</v>
      </c>
      <c r="AH99" s="645">
        <v>312294.13</v>
      </c>
      <c r="AI99" s="645">
        <v>313076.23</v>
      </c>
      <c r="AJ99" s="645">
        <v>313858.34</v>
      </c>
      <c r="AK99" s="645">
        <v>314640.44</v>
      </c>
      <c r="AL99" s="645">
        <v>341316.71</v>
      </c>
      <c r="AM99" s="645">
        <v>316204.67</v>
      </c>
      <c r="AN99" s="645">
        <v>291092.62</v>
      </c>
      <c r="AO99" s="645">
        <v>265980.57</v>
      </c>
      <c r="AP99" s="645">
        <v>240868.51</v>
      </c>
      <c r="AQ99" s="645">
        <v>215756.47</v>
      </c>
      <c r="AR99" s="645">
        <v>190644.42</v>
      </c>
      <c r="AS99" s="645">
        <v>165532.36</v>
      </c>
      <c r="AT99" s="645">
        <v>140420.32</v>
      </c>
      <c r="AU99" s="645">
        <v>115308.27</v>
      </c>
      <c r="AV99" s="645">
        <v>196095.1</v>
      </c>
      <c r="AW99" s="645">
        <v>170200.95</v>
      </c>
      <c r="AX99" s="645">
        <v>119194.75</v>
      </c>
      <c r="AY99" s="645">
        <v>118412.64</v>
      </c>
      <c r="AZ99" s="645">
        <v>117630.52</v>
      </c>
      <c r="BA99" s="645">
        <v>116848.42</v>
      </c>
      <c r="BB99" s="645">
        <v>116066.31</v>
      </c>
      <c r="BC99" s="645">
        <v>115284.2</v>
      </c>
      <c r="BD99" s="645">
        <v>114502.09</v>
      </c>
      <c r="BE99" s="645">
        <v>113719.98</v>
      </c>
      <c r="BF99" s="645">
        <v>112937.87</v>
      </c>
      <c r="BG99" s="645">
        <v>112155.76</v>
      </c>
      <c r="BH99" s="645">
        <v>111373.65</v>
      </c>
      <c r="BI99" s="645">
        <v>110591.54</v>
      </c>
      <c r="BJ99" s="645">
        <v>109809.44</v>
      </c>
      <c r="BK99">
        <v>109027.32</v>
      </c>
      <c r="BL99">
        <v>108245.21</v>
      </c>
      <c r="BM99">
        <v>213361.99</v>
      </c>
    </row>
    <row r="100" ht="15" customFormat="1" customHeight="1" s="381">
      <c r="A100" s="482" t="inlineStr">
        <is>
          <t>Staffing Cost</t>
        </is>
      </c>
      <c r="B100" s="644">
        <f>SUM(C100:CH100)</f>
        <v>-1500039</v>
      </c>
      <c r="C100" s="381">
        <v>0</v>
      </c>
      <c r="D100" s="381">
        <v>0</v>
      </c>
      <c r="E100" s="381">
        <v>0</v>
      </c>
      <c r="F100" s="381">
        <v>0</v>
      </c>
      <c r="G100" s="381">
        <v>0</v>
      </c>
      <c r="H100" s="381">
        <v>0</v>
      </c>
      <c r="I100" s="381">
        <v>0</v>
      </c>
      <c r="J100" s="381">
        <v>0</v>
      </c>
      <c r="K100" s="381">
        <v>0</v>
      </c>
      <c r="L100" s="645">
        <v>0</v>
      </c>
      <c r="M100" s="645">
        <v>0</v>
      </c>
      <c r="N100" s="645">
        <v>0</v>
      </c>
      <c r="O100" s="645">
        <v>0</v>
      </c>
      <c r="P100" s="645">
        <v>-10417</v>
      </c>
      <c r="Q100" s="645">
        <v>-10417</v>
      </c>
      <c r="R100" s="645">
        <v>-10417</v>
      </c>
      <c r="S100" s="645">
        <v>-17917</v>
      </c>
      <c r="T100" s="645">
        <v>-17917</v>
      </c>
      <c r="U100" s="645">
        <v>-17917</v>
      </c>
      <c r="V100" s="645">
        <v>-17917</v>
      </c>
      <c r="W100" s="645">
        <v>-17917</v>
      </c>
      <c r="X100" s="645">
        <v>-27084</v>
      </c>
      <c r="Y100" s="645">
        <v>-27084</v>
      </c>
      <c r="Z100" s="645">
        <v>-27084</v>
      </c>
      <c r="AA100" s="645">
        <v>-27084</v>
      </c>
      <c r="AB100" s="645">
        <v>-27084</v>
      </c>
      <c r="AC100" s="645">
        <v>-27084</v>
      </c>
      <c r="AD100" s="645">
        <v>-27084</v>
      </c>
      <c r="AE100" s="645">
        <v>-27084</v>
      </c>
      <c r="AF100" s="645">
        <v>-37501</v>
      </c>
      <c r="AG100" s="645">
        <v>-37501</v>
      </c>
      <c r="AH100" s="645">
        <v>-37501</v>
      </c>
      <c r="AI100" s="645">
        <v>-37501</v>
      </c>
      <c r="AJ100" s="645">
        <v>-37501</v>
      </c>
      <c r="AK100" s="645">
        <v>-37501</v>
      </c>
      <c r="AL100" s="645">
        <v>-37501</v>
      </c>
      <c r="AM100" s="645">
        <v>-37501</v>
      </c>
      <c r="AN100" s="645">
        <v>-37501</v>
      </c>
      <c r="AO100" s="645">
        <v>-37501</v>
      </c>
      <c r="AP100" s="645">
        <v>-37501</v>
      </c>
      <c r="AQ100" s="645">
        <v>-37501</v>
      </c>
      <c r="AR100" s="645">
        <v>-37501</v>
      </c>
      <c r="AS100" s="645">
        <v>-37501</v>
      </c>
      <c r="AT100" s="645">
        <v>-37501</v>
      </c>
      <c r="AU100" s="645">
        <v>-37501</v>
      </c>
      <c r="AV100" s="645">
        <v>-37501</v>
      </c>
      <c r="AW100" s="645">
        <v>-37501</v>
      </c>
      <c r="AX100" s="645">
        <v>-37501</v>
      </c>
      <c r="AY100" s="645">
        <v>-37501</v>
      </c>
      <c r="AZ100" s="645">
        <v>-37501</v>
      </c>
      <c r="BA100" s="645">
        <v>-37501</v>
      </c>
      <c r="BB100" s="645">
        <v>-37501</v>
      </c>
      <c r="BC100" s="645">
        <v>-37501</v>
      </c>
      <c r="BD100" s="645">
        <v>-37501</v>
      </c>
      <c r="BE100" s="645">
        <v>-37501</v>
      </c>
      <c r="BF100" s="645">
        <v>-37501</v>
      </c>
      <c r="BG100" s="645">
        <v>-37501</v>
      </c>
      <c r="BH100" s="381">
        <v>-37501</v>
      </c>
      <c r="BI100" s="381">
        <v>-37501</v>
      </c>
      <c r="BJ100" s="381">
        <v>-37501</v>
      </c>
      <c r="BK100" s="381">
        <v>0</v>
      </c>
      <c r="BL100" s="381">
        <v>0</v>
      </c>
      <c r="BM100" s="381">
        <v>0</v>
      </c>
      <c r="BN100" s="381">
        <v>0</v>
      </c>
      <c r="BO100" s="381">
        <v>0</v>
      </c>
      <c r="BP100" s="381">
        <v>0</v>
      </c>
      <c r="BQ100" s="381">
        <v>0</v>
      </c>
      <c r="BR100" s="381">
        <v>0</v>
      </c>
      <c r="BS100" s="381">
        <v>0</v>
      </c>
      <c r="BT100" s="381">
        <v>0</v>
      </c>
      <c r="BU100" s="381">
        <v>0</v>
      </c>
      <c r="BV100" s="381">
        <v>0</v>
      </c>
      <c r="BW100" s="381">
        <v>0</v>
      </c>
      <c r="BX100" s="381">
        <v>0</v>
      </c>
      <c r="BY100" s="381">
        <v>0</v>
      </c>
      <c r="BZ100" s="381">
        <v>0</v>
      </c>
      <c r="CA100" s="381">
        <v>0</v>
      </c>
      <c r="CB100" s="381">
        <v>0</v>
      </c>
      <c r="CC100" s="381">
        <v>0</v>
      </c>
      <c r="CD100" s="381">
        <v>0</v>
      </c>
      <c r="CE100" s="381">
        <v>0</v>
      </c>
      <c r="CF100" s="381">
        <v>0</v>
      </c>
      <c r="CG100" s="381">
        <v>0</v>
      </c>
      <c r="CH100">
        <v>0</v>
      </c>
    </row>
    <row r="101" ht="15" customFormat="1" customHeight="1" s="381">
      <c r="A101" s="482" t="inlineStr">
        <is>
          <t>Other OpEx</t>
        </is>
      </c>
      <c r="B101" s="644">
        <f>SUM(C101:CH101)</f>
        <v>-456000</v>
      </c>
      <c r="L101" s="645"/>
      <c r="M101" s="645"/>
      <c r="N101" s="645"/>
      <c r="O101" s="645">
        <v>-9500</v>
      </c>
      <c r="P101" s="645">
        <v>-9500</v>
      </c>
      <c r="Q101" s="645">
        <v>-9500</v>
      </c>
      <c r="R101" s="645">
        <v>-9500</v>
      </c>
      <c r="S101" s="645">
        <v>-9500</v>
      </c>
      <c r="T101" s="645">
        <v>-9500</v>
      </c>
      <c r="U101" s="645">
        <v>-9500</v>
      </c>
      <c r="V101" s="645">
        <v>-9500</v>
      </c>
      <c r="W101" s="645">
        <v>-9500</v>
      </c>
      <c r="X101" s="645">
        <v>-9500</v>
      </c>
      <c r="Y101" s="645">
        <v>-9500</v>
      </c>
      <c r="Z101" s="645">
        <v>-9500</v>
      </c>
      <c r="AA101" s="645">
        <v>-9500</v>
      </c>
      <c r="AB101" s="645">
        <v>-9500</v>
      </c>
      <c r="AC101" s="645">
        <v>-9500</v>
      </c>
      <c r="AD101" s="645">
        <v>-9500</v>
      </c>
      <c r="AE101" s="645">
        <v>-9500</v>
      </c>
      <c r="AF101" s="645">
        <v>-9500</v>
      </c>
      <c r="AG101" s="645">
        <v>-9500</v>
      </c>
      <c r="AH101" s="645">
        <v>-9500</v>
      </c>
      <c r="AI101" s="645">
        <v>-9500</v>
      </c>
      <c r="AJ101" s="645">
        <v>-9500</v>
      </c>
      <c r="AK101" s="645">
        <v>-9500</v>
      </c>
      <c r="AL101" s="645">
        <v>-9500</v>
      </c>
      <c r="AM101" s="645">
        <v>-9500</v>
      </c>
      <c r="AN101" s="645">
        <v>-9500</v>
      </c>
      <c r="AO101" s="645">
        <v>-9500</v>
      </c>
      <c r="AP101" s="645">
        <v>-9500</v>
      </c>
      <c r="AQ101" s="645">
        <v>-9500</v>
      </c>
      <c r="AR101" s="645">
        <v>-9500</v>
      </c>
      <c r="AS101" s="645">
        <v>-9500</v>
      </c>
      <c r="AT101" s="645">
        <v>-9500</v>
      </c>
      <c r="AU101" s="645">
        <v>-9500</v>
      </c>
      <c r="AV101" s="645">
        <v>-9500</v>
      </c>
      <c r="AW101" s="645">
        <v>-9500</v>
      </c>
      <c r="AX101" s="645">
        <v>-9500</v>
      </c>
      <c r="AY101" s="645">
        <v>-9500</v>
      </c>
      <c r="AZ101" s="645">
        <v>-9500</v>
      </c>
      <c r="BA101" s="645">
        <v>-9500</v>
      </c>
      <c r="BB101" s="645">
        <v>-9500</v>
      </c>
      <c r="BC101" s="645">
        <v>-9500</v>
      </c>
      <c r="BD101" s="645">
        <v>-9500</v>
      </c>
      <c r="BE101" s="645">
        <v>-9500</v>
      </c>
      <c r="BF101" s="645">
        <v>-9500</v>
      </c>
      <c r="BG101" s="645">
        <v>-9500</v>
      </c>
      <c r="BH101">
        <v>-9500</v>
      </c>
      <c r="BI101">
        <v>-9500</v>
      </c>
      <c r="BJ101">
        <v>-9500</v>
      </c>
    </row>
    <row r="102" ht="15" customFormat="1" customHeight="1" s="381">
      <c r="A102" s="482" t="inlineStr">
        <is>
          <t>Net Fee Income</t>
        </is>
      </c>
      <c r="B102" s="644">
        <f>SUM(C102:CH102)</f>
        <v>7053626</v>
      </c>
      <c r="C102" s="646">
        <f>C99+C100+C101</f>
        <v>0</v>
      </c>
      <c r="D102" s="646">
        <f>D99+D100+D101</f>
        <v>0</v>
      </c>
      <c r="E102" s="646">
        <f>E99+E100+E101</f>
        <v>0</v>
      </c>
      <c r="F102" s="646">
        <f>F99+F100+F101</f>
        <v>0</v>
      </c>
      <c r="G102" s="646">
        <f>G99+G100+G101</f>
        <v>0</v>
      </c>
      <c r="H102" s="646">
        <f>H99+H100+H101</f>
        <v>0</v>
      </c>
      <c r="I102" s="646">
        <f>I99+I100+I101</f>
        <v>0</v>
      </c>
      <c r="J102" s="646">
        <f>J99+J100+J101</f>
        <v>0</v>
      </c>
      <c r="K102" s="646">
        <f>K99+K100+K101</f>
        <v>0</v>
      </c>
      <c r="L102" s="646">
        <f>L99+L100+L101</f>
        <v>0</v>
      </c>
      <c r="M102" s="646">
        <f>M99+M100+M101</f>
        <v>0</v>
      </c>
      <c r="N102" s="646">
        <f>N99+N100+N101</f>
        <v>0</v>
      </c>
      <c r="O102" s="646">
        <f>O99+O100+O101</f>
        <v>35550.36</v>
      </c>
      <c r="P102" s="646">
        <f>P99+P100+P101</f>
        <v>25133.36</v>
      </c>
      <c r="Q102" s="646">
        <f>Q99+Q100+Q101</f>
        <v>25133.36</v>
      </c>
      <c r="R102" s="646">
        <f>R99+R100+R101</f>
        <v>25133.36</v>
      </c>
      <c r="S102" s="646">
        <f>S99+S100+S101</f>
        <v>17633.36</v>
      </c>
      <c r="T102" s="646">
        <f>T99+T100+T101</f>
        <v>17633.36</v>
      </c>
      <c r="U102" s="646">
        <f>U99+U100+U101</f>
        <v>43527.52</v>
      </c>
      <c r="V102" s="646">
        <f>V99+V100+V101</f>
        <v>69421.68</v>
      </c>
      <c r="W102" s="646">
        <f>W99+W100+W101</f>
        <v>95315.84</v>
      </c>
      <c r="X102" s="646">
        <f>X99+X100+X101</f>
        <v>112042.99</v>
      </c>
      <c r="Y102" s="646">
        <f>Y99+Y100+Y101</f>
        <v>137937.16</v>
      </c>
      <c r="Z102" s="646">
        <f>Z99+Z100+Z101</f>
        <v>163831.31</v>
      </c>
      <c r="AA102" s="646">
        <f>AA99+AA100+AA101</f>
        <v>189725.46</v>
      </c>
      <c r="AB102" s="646">
        <f>AB99+AB100+AB101</f>
        <v>215619.62</v>
      </c>
      <c r="AC102" s="646">
        <f>AC99+AC100+AC101</f>
        <v>241513.79</v>
      </c>
      <c r="AD102" s="646">
        <f>AD99+AD100+AD101</f>
        <v>267407.94</v>
      </c>
      <c r="AE102" s="646">
        <f>AE99+AE100+AE101</f>
        <v>293302.11</v>
      </c>
      <c r="AF102" s="646">
        <f>AF99+AF100+AF101</f>
        <v>353829.61</v>
      </c>
      <c r="AG102" s="646">
        <f>AG99+AG100+AG101</f>
        <v>264511.01</v>
      </c>
      <c r="AH102" s="646">
        <f>AH99+AH100+AH101</f>
        <v>265293.13</v>
      </c>
      <c r="AI102" s="646">
        <f>AI99+AI100+AI101</f>
        <v>266075.23</v>
      </c>
      <c r="AJ102" s="646">
        <f>AJ99+AJ100+AJ101</f>
        <v>266857.34</v>
      </c>
      <c r="AK102" s="646">
        <f>AK99+AK100+AK101</f>
        <v>267639.44</v>
      </c>
      <c r="AL102" s="646">
        <f>AL99+AL100+AL101</f>
        <v>294315.71</v>
      </c>
      <c r="AM102" s="646">
        <f>AM99+AM100+AM101</f>
        <v>269203.67</v>
      </c>
      <c r="AN102" s="646">
        <f>AN99+AN100+AN101</f>
        <v>244091.62</v>
      </c>
      <c r="AO102" s="646">
        <f>AO99+AO100+AO101</f>
        <v>218979.57</v>
      </c>
      <c r="AP102" s="646">
        <f>AP99+AP100+AP101</f>
        <v>193867.51</v>
      </c>
      <c r="AQ102" s="646">
        <f>AQ99+AQ100+AQ101</f>
        <v>168755.47</v>
      </c>
      <c r="AR102" s="646">
        <f>AR99+AR100+AR101</f>
        <v>143643.42</v>
      </c>
      <c r="AS102" s="646">
        <f>AS99+AS100+AS101</f>
        <v>118531.36</v>
      </c>
      <c r="AT102" s="646">
        <f>AT99+AT100+AT101</f>
        <v>93419.32</v>
      </c>
      <c r="AU102" s="646">
        <f>AU99+AU100+AU101</f>
        <v>68307.27</v>
      </c>
      <c r="AV102" s="646">
        <f>AV99+AV100+AV101</f>
        <v>149094.1</v>
      </c>
      <c r="AW102" s="646">
        <f>AW99+AW100+AW101</f>
        <v>123199.95</v>
      </c>
      <c r="AX102" s="646">
        <f>AX99+AX100+AX101</f>
        <v>72193.75</v>
      </c>
      <c r="AY102" s="646">
        <f>AY99+AY100+AY101</f>
        <v>71411.64</v>
      </c>
      <c r="AZ102" s="646">
        <f>AZ99+AZ100+AZ101</f>
        <v>70629.52</v>
      </c>
      <c r="BA102" s="646">
        <f>BA99+BA100+BA101</f>
        <v>69847.42</v>
      </c>
      <c r="BB102" s="646">
        <f>BB99+BB100+BB101</f>
        <v>69065.31</v>
      </c>
      <c r="BC102" s="646">
        <f>BC99+BC100+BC101</f>
        <v>68283.2</v>
      </c>
      <c r="BD102" s="646">
        <f>BD99+BD100+BD101</f>
        <v>67501.09</v>
      </c>
      <c r="BE102" s="646">
        <f>BE99+BE100+BE101</f>
        <v>66718.98</v>
      </c>
      <c r="BF102" s="646">
        <f>BF99+BF100+BF101</f>
        <v>65936.87</v>
      </c>
      <c r="BG102" s="646">
        <f>BG99+BG100+BG101</f>
        <v>65154.76</v>
      </c>
      <c r="BH102" s="646">
        <f>BH99+BH100+BH101</f>
        <v>64372.65</v>
      </c>
      <c r="BI102" s="646">
        <f>BI99+BI100+BI101</f>
        <v>63590.54</v>
      </c>
      <c r="BJ102" s="646">
        <f>BJ99+BJ100+BJ101</f>
        <v>62808.44</v>
      </c>
      <c r="BK102" s="646">
        <f>BK99+BK100+BK101</f>
        <v>109027.32</v>
      </c>
      <c r="BL102" s="646">
        <f>BL99+BL100+BL101</f>
        <v>108245.21</v>
      </c>
      <c r="BM102" s="646">
        <f>BM99+BM100+BM101</f>
        <v>213361.99</v>
      </c>
      <c r="BN102" s="646">
        <f>BN99+BN100+BN101</f>
        <v>0</v>
      </c>
      <c r="BO102" s="646">
        <f>BO99+BO100+BO101</f>
        <v>0</v>
      </c>
      <c r="BP102" s="646">
        <f>BP99+BP100+BP101</f>
        <v>0</v>
      </c>
      <c r="BQ102" s="646">
        <f>BQ99+BQ100+BQ101</f>
        <v>0</v>
      </c>
      <c r="BR102" s="646">
        <f>BR99+BR100+BR101</f>
        <v>0</v>
      </c>
      <c r="BS102" s="646">
        <f>BS99+BS100+BS101</f>
        <v>0</v>
      </c>
      <c r="BT102" s="646">
        <f>BT99+BT100+BT101</f>
        <v>0</v>
      </c>
      <c r="BU102" s="646">
        <f>BU99+BU100+BU101</f>
        <v>0</v>
      </c>
      <c r="BV102" s="646">
        <f>BV99+BV100+BV101</f>
        <v>0</v>
      </c>
      <c r="BW102" s="646">
        <f>BW99+BW100+BW101</f>
        <v>0</v>
      </c>
      <c r="BX102" s="646">
        <f>BX99+BX100+BX101</f>
        <v>0</v>
      </c>
      <c r="BY102" s="646">
        <f>BY99+BY100+BY101</f>
        <v>0</v>
      </c>
      <c r="BZ102" s="646">
        <f>BZ99+BZ100+BZ101</f>
        <v>0</v>
      </c>
      <c r="CA102" s="646">
        <f>CA99+CA100+CA101</f>
        <v>0</v>
      </c>
      <c r="CB102" s="646">
        <f>CB99+CB100+CB101</f>
        <v>0</v>
      </c>
      <c r="CC102" s="646">
        <f>CC99+CC100+CC101</f>
        <v>0</v>
      </c>
      <c r="CD102" s="646">
        <f>CD99+CD100+CD101</f>
        <v>0</v>
      </c>
      <c r="CE102" s="646">
        <f>CE99+CE100+CE101</f>
        <v>0</v>
      </c>
      <c r="CF102" s="646">
        <f>CF99+CF100+CF101</f>
        <v>0</v>
      </c>
      <c r="CG102" s="646">
        <f>CG99+CG100+CG101</f>
        <v>0</v>
      </c>
      <c r="CH102" s="646">
        <f>CH99+CH100+CH101</f>
        <v>0</v>
      </c>
    </row>
    <row r="103" ht="15" customFormat="1" customHeight="1" s="381">
      <c r="A103" s="482" t="inlineStr">
        <is>
          <t>SP Overhead Fee (to Six Peak)</t>
        </is>
      </c>
      <c r="B103" s="644">
        <f>SUM(C103:CH103)</f>
        <v>563192.617</v>
      </c>
      <c r="C103" s="646">
        <f>MIN(C99*$B$94,12500)</f>
        <v>0</v>
      </c>
      <c r="D103" s="646">
        <f>MIN(D99*$B$94,12500)</f>
        <v>0</v>
      </c>
      <c r="E103" s="646">
        <f>MIN(E99*$B$94,12500)</f>
        <v>0</v>
      </c>
      <c r="F103" s="646">
        <f>MIN(F99*$B$94,12500)</f>
        <v>0</v>
      </c>
      <c r="G103" s="646">
        <f>MIN(G99*$B$94,12500)</f>
        <v>0</v>
      </c>
      <c r="H103" s="646">
        <f>MIN(H99*$B$94,12500)</f>
        <v>0</v>
      </c>
      <c r="I103" s="646">
        <f>MIN(I99*$B$94,12500)</f>
        <v>0</v>
      </c>
      <c r="J103" s="646">
        <f>MIN(J99*$B$94,12500)</f>
        <v>0</v>
      </c>
      <c r="K103" s="646">
        <f>MIN(K99*$B$94,12500)</f>
        <v>0</v>
      </c>
      <c r="L103" s="646">
        <f>MIN(L99*$B$94,12500)</f>
        <v>0</v>
      </c>
      <c r="M103" s="646">
        <f>MIN(M99*$B$94,12500)</f>
        <v>0</v>
      </c>
      <c r="N103" s="646">
        <f>MIN(N99*$B$94,12500)</f>
        <v>0</v>
      </c>
      <c r="O103" s="646">
        <f>MIN(O99*$B$94,12500)</f>
        <v>4505.036</v>
      </c>
      <c r="P103" s="646">
        <f>MIN(P99*$B$94,12500)</f>
        <v>4505.036</v>
      </c>
      <c r="Q103" s="646">
        <f>MIN(Q99*$B$94,12500)</f>
        <v>4505.036</v>
      </c>
      <c r="R103" s="646">
        <f>MIN(R99*$B$94,12500)</f>
        <v>4505.036</v>
      </c>
      <c r="S103" s="646">
        <f>MIN(S99*$B$94,12500)</f>
        <v>4505.036</v>
      </c>
      <c r="T103" s="646">
        <f>MIN(T99*$B$94,12500)</f>
        <v>4505.036</v>
      </c>
      <c r="U103" s="646">
        <f>MIN(U99*$B$94,12500)</f>
        <v>7094.452</v>
      </c>
      <c r="V103" s="646">
        <f>MIN(V99*$B$94,12500)</f>
        <v>9683.868</v>
      </c>
      <c r="W103" s="646">
        <f>MIN(W99*$B$94,12500)</f>
        <v>12273.284</v>
      </c>
      <c r="X103" s="646">
        <f>MIN(X99*$B$94,12500)</f>
        <v>12500</v>
      </c>
      <c r="Y103" s="646">
        <f>MIN(Y99*$B$94,12500)</f>
        <v>12500</v>
      </c>
      <c r="Z103" s="646">
        <f>MIN(Z99*$B$94,12500)</f>
        <v>12500</v>
      </c>
      <c r="AA103" s="646">
        <f>MIN(AA99*$B$94,12500)</f>
        <v>12500</v>
      </c>
      <c r="AB103" s="646">
        <f>MIN(AB99*$B$94,12500)</f>
        <v>12500</v>
      </c>
      <c r="AC103" s="646">
        <f>MIN(AC99*$B$94,12500)</f>
        <v>12500</v>
      </c>
      <c r="AD103" s="646">
        <f>MIN(AD99*$B$94,12500)</f>
        <v>12500</v>
      </c>
      <c r="AE103" s="646">
        <f>MIN(AE99*$B$94,12500)</f>
        <v>12500</v>
      </c>
      <c r="AF103" s="646">
        <f>MIN(AF99*$B$94,12500)</f>
        <v>12500</v>
      </c>
      <c r="AG103" s="646">
        <f>MIN(AG99*$B$94,12500)</f>
        <v>12500</v>
      </c>
      <c r="AH103" s="646">
        <f>MIN(AH99*$B$94,12500)</f>
        <v>12500</v>
      </c>
      <c r="AI103" s="646">
        <f>MIN(AI99*$B$94,12500)</f>
        <v>12500</v>
      </c>
      <c r="AJ103" s="646">
        <f>MIN(AJ99*$B$94,12500)</f>
        <v>12500</v>
      </c>
      <c r="AK103" s="646">
        <f>MIN(AK99*$B$94,12500)</f>
        <v>12500</v>
      </c>
      <c r="AL103" s="646">
        <f>MIN(AL99*$B$94,12500)</f>
        <v>12500</v>
      </c>
      <c r="AM103" s="646">
        <f>MIN(AM99*$B$94,12500)</f>
        <v>12500</v>
      </c>
      <c r="AN103" s="646">
        <f>MIN(AN99*$B$94,12500)</f>
        <v>12500</v>
      </c>
      <c r="AO103" s="646">
        <f>MIN(AO99*$B$94,12500)</f>
        <v>12500</v>
      </c>
      <c r="AP103" s="646">
        <f>MIN(AP99*$B$94,12500)</f>
        <v>12500</v>
      </c>
      <c r="AQ103" s="646">
        <f>MIN(AQ99*$B$94,12500)</f>
        <v>12500</v>
      </c>
      <c r="AR103" s="646">
        <f>MIN(AR99*$B$94,12500)</f>
        <v>12500</v>
      </c>
      <c r="AS103" s="646">
        <f>MIN(AS99*$B$94,12500)</f>
        <v>12500</v>
      </c>
      <c r="AT103" s="646">
        <f>MIN(AT99*$B$94,12500)</f>
        <v>12500</v>
      </c>
      <c r="AU103" s="646">
        <f>MIN(AU99*$B$94,12500)</f>
        <v>11530.827</v>
      </c>
      <c r="AV103" s="646">
        <f>MIN(AV99*$B$94,12500)</f>
        <v>12500</v>
      </c>
      <c r="AW103" s="646">
        <f>MIN(AW99*$B$94,12500)</f>
        <v>12500</v>
      </c>
      <c r="AX103" s="646">
        <f>MIN(AX99*$B$94,12500)</f>
        <v>11919.475</v>
      </c>
      <c r="AY103" s="646">
        <f>MIN(AY99*$B$94,12500)</f>
        <v>11841.264</v>
      </c>
      <c r="AZ103" s="646">
        <f>MIN(AZ99*$B$94,12500)</f>
        <v>11763.052</v>
      </c>
      <c r="BA103" s="646">
        <f>MIN(BA99*$B$94,12500)</f>
        <v>11684.842</v>
      </c>
      <c r="BB103" s="646">
        <f>MIN(BB99*$B$94,12500)</f>
        <v>11606.631</v>
      </c>
      <c r="BC103" s="646">
        <f>MIN(BC99*$B$94,12500)</f>
        <v>11528.42</v>
      </c>
      <c r="BD103" s="646">
        <f>MIN(BD99*$B$94,12500)</f>
        <v>11450.209</v>
      </c>
      <c r="BE103" s="646">
        <f>MIN(BE99*$B$94,12500)</f>
        <v>11371.998</v>
      </c>
      <c r="BF103" s="646">
        <f>MIN(BF99*$B$94,12500)</f>
        <v>11293.787</v>
      </c>
      <c r="BG103" s="646">
        <f>MIN(BG99*$B$94,12500)</f>
        <v>11215.576</v>
      </c>
      <c r="BH103" s="646">
        <f>MIN(BH99*$B$94,12500)</f>
        <v>11137.365</v>
      </c>
      <c r="BI103" s="646">
        <f>MIN(BI99*$B$94,12500)</f>
        <v>11059.154</v>
      </c>
      <c r="BJ103" s="646">
        <f>MIN(BJ99*$B$94,12500)</f>
        <v>10980.944</v>
      </c>
      <c r="BK103" s="646">
        <f>MIN(BK99*$B$94,12500)</f>
        <v>10902.732</v>
      </c>
      <c r="BL103" s="646">
        <f>MIN(BL99*$B$94,12500)</f>
        <v>10824.521</v>
      </c>
      <c r="BM103" s="646">
        <f>MIN(BM99*$B$94,12500)</f>
        <v>12500</v>
      </c>
      <c r="BN103" s="646">
        <f>MIN(BN99*$B$94,12500)</f>
        <v>0</v>
      </c>
      <c r="BO103" s="646">
        <f>MIN(BO99*$B$94,12500)</f>
        <v>0</v>
      </c>
      <c r="BP103" s="646">
        <f>MIN(BP99*$B$94,12500)</f>
        <v>0</v>
      </c>
      <c r="BQ103" s="646">
        <f>MIN(BQ99*$B$94,12500)</f>
        <v>0</v>
      </c>
      <c r="BR103" s="646">
        <f>MIN(BR99*$B$94,12500)</f>
        <v>0</v>
      </c>
      <c r="BS103" s="646">
        <f>MIN(BS99*$B$94,12500)</f>
        <v>0</v>
      </c>
      <c r="BT103" s="646">
        <f>MIN(BT99*$B$94,12500)</f>
        <v>0</v>
      </c>
      <c r="BU103" s="646">
        <f>MIN(BU99*$B$94,12500)</f>
        <v>0</v>
      </c>
      <c r="BV103" s="646">
        <f>MIN(BV99*$B$94,12500)</f>
        <v>0</v>
      </c>
      <c r="BW103" s="646">
        <f>MIN(BW99*$B$94,12500)</f>
        <v>0</v>
      </c>
      <c r="BX103" s="646">
        <f>MIN(BX99*$B$94,12500)</f>
        <v>0</v>
      </c>
      <c r="BY103" s="646">
        <f>MIN(BY99*$B$94,12500)</f>
        <v>0</v>
      </c>
      <c r="BZ103" s="646">
        <f>MIN(BZ99*$B$94,12500)</f>
        <v>0</v>
      </c>
      <c r="CA103" s="646">
        <f>MIN(CA99*$B$94,12500)</f>
        <v>0</v>
      </c>
      <c r="CB103" s="646">
        <f>MIN(CB99*$B$94,12500)</f>
        <v>0</v>
      </c>
      <c r="CC103" s="646">
        <f>MIN(CC99*$B$94,12500)</f>
        <v>0</v>
      </c>
      <c r="CD103" s="646">
        <f>MIN(CD99*$B$94,12500)</f>
        <v>0</v>
      </c>
      <c r="CE103" s="646">
        <f>MIN(CE99*$B$94,12500)</f>
        <v>0</v>
      </c>
      <c r="CF103" s="646">
        <f>MIN(CF99*$B$94,12500)</f>
        <v>0</v>
      </c>
      <c r="CG103" s="646">
        <f>MIN(CG99*$B$94,12500)</f>
        <v>0</v>
      </c>
      <c r="CH103" s="646">
        <f>MIN(CH99*$B$94,12500)</f>
        <v>0</v>
      </c>
    </row>
    <row r="104" ht="15" customFormat="1" customHeight="1" s="381">
      <c r="A104" s="482" t="inlineStr">
        <is>
          <t>Net Before Profit Share</t>
        </is>
      </c>
      <c r="B104" s="644">
        <f>SUM(C104:CH104)</f>
        <v>6490433.383</v>
      </c>
      <c r="C104" s="646">
        <f>C102-C103</f>
        <v>0</v>
      </c>
      <c r="D104" s="646">
        <f>D102-D103</f>
        <v>0</v>
      </c>
      <c r="E104" s="646">
        <f>E102-E103</f>
        <v>0</v>
      </c>
      <c r="F104" s="646">
        <f>F102-F103</f>
        <v>0</v>
      </c>
      <c r="G104" s="646">
        <f>G102-G103</f>
        <v>0</v>
      </c>
      <c r="H104" s="646">
        <f>H102-H103</f>
        <v>0</v>
      </c>
      <c r="I104" s="646">
        <f>I102-I103</f>
        <v>0</v>
      </c>
      <c r="J104" s="646">
        <f>J102-J103</f>
        <v>0</v>
      </c>
      <c r="K104" s="646">
        <f>K102-K103</f>
        <v>0</v>
      </c>
      <c r="L104" s="646">
        <f>L102-L103</f>
        <v>0</v>
      </c>
      <c r="M104" s="646">
        <f>M102-M103</f>
        <v>0</v>
      </c>
      <c r="N104" s="646">
        <f>N102-N103</f>
        <v>0</v>
      </c>
      <c r="O104" s="646">
        <f>O102-O103</f>
        <v>31045.324</v>
      </c>
      <c r="P104" s="646">
        <f>P102-P103</f>
        <v>20628.324</v>
      </c>
      <c r="Q104" s="646">
        <f>Q102-Q103</f>
        <v>20628.324</v>
      </c>
      <c r="R104" s="646">
        <f>R102-R103</f>
        <v>20628.324</v>
      </c>
      <c r="S104" s="646">
        <f>S102-S103</f>
        <v>13128.324</v>
      </c>
      <c r="T104" s="646">
        <f>T102-T103</f>
        <v>13128.324</v>
      </c>
      <c r="U104" s="646">
        <f>U102-U103</f>
        <v>36433.068</v>
      </c>
      <c r="V104" s="646">
        <f>V102-V103</f>
        <v>59737.812</v>
      </c>
      <c r="W104" s="646">
        <f>W102-W103</f>
        <v>83042.556</v>
      </c>
      <c r="X104" s="646">
        <f>X102-X103</f>
        <v>99542.99</v>
      </c>
      <c r="Y104" s="646">
        <f>Y102-Y103</f>
        <v>125437.16</v>
      </c>
      <c r="Z104" s="646">
        <f>Z102-Z103</f>
        <v>151331.31</v>
      </c>
      <c r="AA104" s="646">
        <f>AA102-AA103</f>
        <v>177225.46</v>
      </c>
      <c r="AB104" s="646">
        <f>AB102-AB103</f>
        <v>203119.62</v>
      </c>
      <c r="AC104" s="646">
        <f>AC102-AC103</f>
        <v>229013.79</v>
      </c>
      <c r="AD104" s="646">
        <f>AD102-AD103</f>
        <v>254907.94</v>
      </c>
      <c r="AE104" s="646">
        <f>AE102-AE103</f>
        <v>280802.11</v>
      </c>
      <c r="AF104" s="646">
        <f>AF102-AF103</f>
        <v>341329.61</v>
      </c>
      <c r="AG104" s="646">
        <f>AG102-AG103</f>
        <v>252011.01</v>
      </c>
      <c r="AH104" s="646">
        <f>AH102-AH103</f>
        <v>252793.13</v>
      </c>
      <c r="AI104" s="646">
        <f>AI102-AI103</f>
        <v>253575.23</v>
      </c>
      <c r="AJ104" s="646">
        <f>AJ102-AJ103</f>
        <v>254357.34</v>
      </c>
      <c r="AK104" s="646">
        <f>AK102-AK103</f>
        <v>255139.44</v>
      </c>
      <c r="AL104" s="646">
        <f>AL102-AL103</f>
        <v>281815.71</v>
      </c>
      <c r="AM104" s="646">
        <f>AM102-AM103</f>
        <v>256703.67</v>
      </c>
      <c r="AN104" s="646">
        <f>AN102-AN103</f>
        <v>231591.62</v>
      </c>
      <c r="AO104" s="646">
        <f>AO102-AO103</f>
        <v>206479.57</v>
      </c>
      <c r="AP104" s="646">
        <f>AP102-AP103</f>
        <v>181367.51</v>
      </c>
      <c r="AQ104" s="646">
        <f>AQ102-AQ103</f>
        <v>156255.47</v>
      </c>
      <c r="AR104" s="646">
        <f>AR102-AR103</f>
        <v>131143.42</v>
      </c>
      <c r="AS104" s="646">
        <f>AS102-AS103</f>
        <v>106031.36</v>
      </c>
      <c r="AT104" s="646">
        <f>AT102-AT103</f>
        <v>80919.32</v>
      </c>
      <c r="AU104" s="646">
        <f>AU102-AU103</f>
        <v>56776.443</v>
      </c>
      <c r="AV104" s="646">
        <f>AV102-AV103</f>
        <v>136594.1</v>
      </c>
      <c r="AW104" s="646">
        <f>AW102-AW103</f>
        <v>110699.95</v>
      </c>
      <c r="AX104" s="646">
        <f>AX102-AX103</f>
        <v>60274.275</v>
      </c>
      <c r="AY104" s="646">
        <f>AY102-AY103</f>
        <v>59570.376</v>
      </c>
      <c r="AZ104" s="646">
        <f>AZ102-AZ103</f>
        <v>58866.468</v>
      </c>
      <c r="BA104" s="646">
        <f>BA102-BA103</f>
        <v>58162.578</v>
      </c>
      <c r="BB104" s="646">
        <f>BB102-BB103</f>
        <v>57458.679</v>
      </c>
      <c r="BC104" s="646">
        <f>BC102-BC103</f>
        <v>56754.78</v>
      </c>
      <c r="BD104" s="646">
        <f>BD102-BD103</f>
        <v>56050.881</v>
      </c>
      <c r="BE104" s="646">
        <f>BE102-BE103</f>
        <v>55346.982</v>
      </c>
      <c r="BF104" s="646">
        <f>BF102-BF103</f>
        <v>54643.083</v>
      </c>
      <c r="BG104" s="646">
        <f>BG102-BG103</f>
        <v>53939.184</v>
      </c>
      <c r="BH104" s="646">
        <f>BH102-BH103</f>
        <v>53235.285</v>
      </c>
      <c r="BI104" s="646">
        <f>BI102-BI103</f>
        <v>52531.386</v>
      </c>
      <c r="BJ104" s="646">
        <f>BJ102-BJ103</f>
        <v>51827.496</v>
      </c>
      <c r="BK104" s="646">
        <f>BK102-BK103</f>
        <v>98124.588</v>
      </c>
      <c r="BL104" s="646">
        <f>BL102-BL103</f>
        <v>97420.689</v>
      </c>
      <c r="BM104" s="646">
        <f>BM102-BM103</f>
        <v>200861.99</v>
      </c>
      <c r="BN104" s="646">
        <f>BN102-BN103</f>
        <v>0</v>
      </c>
      <c r="BO104" s="646">
        <f>BO102-BO103</f>
        <v>0</v>
      </c>
      <c r="BP104" s="646">
        <f>BP102-BP103</f>
        <v>0</v>
      </c>
      <c r="BQ104" s="646">
        <f>BQ102-BQ103</f>
        <v>0</v>
      </c>
      <c r="BR104" s="646">
        <f>BR102-BR103</f>
        <v>0</v>
      </c>
      <c r="BS104" s="646">
        <f>BS102-BS103</f>
        <v>0</v>
      </c>
      <c r="BT104" s="646">
        <f>BT102-BT103</f>
        <v>0</v>
      </c>
      <c r="BU104" s="646">
        <f>BU102-BU103</f>
        <v>0</v>
      </c>
      <c r="BV104" s="646">
        <f>BV102-BV103</f>
        <v>0</v>
      </c>
      <c r="BW104" s="646">
        <f>BW102-BW103</f>
        <v>0</v>
      </c>
      <c r="BX104" s="646">
        <f>BX102-BX103</f>
        <v>0</v>
      </c>
      <c r="BY104" s="646">
        <f>BY102-BY103</f>
        <v>0</v>
      </c>
      <c r="BZ104" s="646">
        <f>BZ102-BZ103</f>
        <v>0</v>
      </c>
      <c r="CA104" s="646">
        <f>CA102-CA103</f>
        <v>0</v>
      </c>
      <c r="CB104" s="646">
        <f>CB102-CB103</f>
        <v>0</v>
      </c>
      <c r="CC104" s="646">
        <f>CC102-CC103</f>
        <v>0</v>
      </c>
      <c r="CD104" s="646">
        <f>CD102-CD103</f>
        <v>0</v>
      </c>
      <c r="CE104" s="646">
        <f>CE102-CE103</f>
        <v>0</v>
      </c>
      <c r="CF104" s="646">
        <f>CF102-CF103</f>
        <v>0</v>
      </c>
      <c r="CG104" s="646">
        <f>CG102-CG103</f>
        <v>0</v>
      </c>
      <c r="CH104" s="646">
        <f>CH102-CH103</f>
        <v>0</v>
      </c>
    </row>
    <row r="105" ht="15" customFormat="1" customHeight="1" s="381">
      <c r="A105" s="482" t="inlineStr">
        <is>
          <t>Schuyler Profit Share (40/45/50%)</t>
        </is>
      </c>
      <c r="B105" s="644">
        <f>SUM(C105:CH105)</f>
        <v>2951665.926</v>
      </c>
      <c r="C105" s="646">
        <v>0</v>
      </c>
      <c r="D105" s="646">
        <v>0</v>
      </c>
      <c r="E105" s="646">
        <v>0</v>
      </c>
      <c r="F105" s="646">
        <v>0</v>
      </c>
      <c r="G105" s="646">
        <v>0</v>
      </c>
      <c r="H105" s="646">
        <v>0</v>
      </c>
      <c r="I105" s="646">
        <v>0</v>
      </c>
      <c r="J105" s="646">
        <v>0</v>
      </c>
      <c r="K105" s="646">
        <v>0</v>
      </c>
      <c r="L105" s="646">
        <v>0</v>
      </c>
      <c r="M105" s="646">
        <v>0</v>
      </c>
      <c r="N105" s="646">
        <v>0</v>
      </c>
      <c r="O105" s="646">
        <f>MAX(0,O104)*0.4</f>
        <v>12418.1296</v>
      </c>
      <c r="P105" s="646">
        <f>MAX(0,P104)*0.4</f>
        <v>8251.3296</v>
      </c>
      <c r="Q105" s="646">
        <f>MAX(0,Q104)*0.4</f>
        <v>8251.3296</v>
      </c>
      <c r="R105" s="646">
        <f>MAX(0,R104)*0.4</f>
        <v>8251.3296</v>
      </c>
      <c r="S105" s="646">
        <f>MAX(0,S104)*0.4</f>
        <v>5251.3296</v>
      </c>
      <c r="T105" s="646">
        <f>MAX(0,T104)*0.4</f>
        <v>5251.3296</v>
      </c>
      <c r="U105" s="646">
        <f>MAX(0,U104)*0.4</f>
        <v>14573.2272</v>
      </c>
      <c r="V105" s="646">
        <f>MAX(0,V104)*0.4</f>
        <v>23895.1248</v>
      </c>
      <c r="W105" s="646">
        <f>MAX(0,W104)*0.4</f>
        <v>33217.0224</v>
      </c>
      <c r="X105" s="646">
        <f>MAX(0,X104)*0.4</f>
        <v>39817.196</v>
      </c>
      <c r="Y105" s="646">
        <f>MAX(0,Y104)*0.4</f>
        <v>50174.864</v>
      </c>
      <c r="Z105" s="646">
        <f>MAX(0,Z104)*0.4</f>
        <v>60532.524</v>
      </c>
      <c r="AA105" s="646">
        <f>MAX(0,AA104)*0.4</f>
        <v>70890.184</v>
      </c>
      <c r="AB105" s="646">
        <f>MAX(0,AB104)*0.4</f>
        <v>81247.848</v>
      </c>
      <c r="AC105" s="646">
        <f>MAX(0,AC104)*0.4</f>
        <v>91605.516</v>
      </c>
      <c r="AD105" s="646">
        <f>MAX(0,AD104)*0.45</f>
        <v>114708.573</v>
      </c>
      <c r="AE105" s="646">
        <f>MAX(0,AE104)*0.45</f>
        <v>126360.9495</v>
      </c>
      <c r="AF105" s="646">
        <f>MAX(0,AF104)*0.45</f>
        <v>153598.3245</v>
      </c>
      <c r="AG105" s="646">
        <f>MAX(0,AG104)*0.45</f>
        <v>113404.9545</v>
      </c>
      <c r="AH105" s="646">
        <f>MAX(0,AH104)*0.45</f>
        <v>113756.9085</v>
      </c>
      <c r="AI105" s="646">
        <f>MAX(0,AI104)*0.45</f>
        <v>114108.8535</v>
      </c>
      <c r="AJ105" s="646">
        <f>MAX(0,AJ104)*0.45</f>
        <v>114460.803</v>
      </c>
      <c r="AK105" s="646">
        <f>MAX(0,AK104)*0.45</f>
        <v>114812.748</v>
      </c>
      <c r="AL105" s="646">
        <f>MAX(0,AL104)*0.45</f>
        <v>126817.0695</v>
      </c>
      <c r="AM105" s="646">
        <f>MAX(0,AM104)*0.45</f>
        <v>115516.6515</v>
      </c>
      <c r="AN105" s="646">
        <f>MAX(0,AN104)*0.45</f>
        <v>104216.229</v>
      </c>
      <c r="AO105" s="646">
        <f>MAX(0,AO104)*0.45</f>
        <v>92915.8065</v>
      </c>
      <c r="AP105" s="646">
        <f>MAX(0,AP104)*0.45</f>
        <v>81615.3795</v>
      </c>
      <c r="AQ105" s="646">
        <f>MAX(0,AQ104)*0.5</f>
        <v>78127.735</v>
      </c>
      <c r="AR105" s="646">
        <f>MAX(0,AR104)*0.5</f>
        <v>65571.71</v>
      </c>
      <c r="AS105" s="646">
        <f>MAX(0,AS104)*0.5</f>
        <v>53015.68</v>
      </c>
      <c r="AT105" s="646">
        <f>MAX(0,AT104)*0.5</f>
        <v>40459.66</v>
      </c>
      <c r="AU105" s="646">
        <f>MAX(0,AU104)*0.5</f>
        <v>28388.2215</v>
      </c>
      <c r="AV105" s="646">
        <f>MAX(0,AV104)*0.5</f>
        <v>68297.05</v>
      </c>
      <c r="AW105" s="646">
        <f>MAX(0,AW104)*0.5</f>
        <v>55349.975</v>
      </c>
      <c r="AX105" s="646">
        <f>MAX(0,AX104)*0.5</f>
        <v>30137.1375</v>
      </c>
      <c r="AY105" s="646">
        <f>MAX(0,AY104)*0.5</f>
        <v>29785.188</v>
      </c>
      <c r="AZ105" s="646">
        <f>MAX(0,AZ104)*0.5</f>
        <v>29433.234</v>
      </c>
      <c r="BA105" s="646">
        <f>MAX(0,BA104)*0.5</f>
        <v>29081.289</v>
      </c>
      <c r="BB105" s="646">
        <f>MAX(0,BB104)*0.5</f>
        <v>28729.3395</v>
      </c>
      <c r="BC105" s="646">
        <f>MAX(0,BC104)*0.5</f>
        <v>28377.39</v>
      </c>
      <c r="BD105" s="646">
        <f>MAX(0,BD104)*0.5</f>
        <v>28025.4405</v>
      </c>
      <c r="BE105" s="646">
        <f>MAX(0,BE104)*0.5</f>
        <v>27673.491</v>
      </c>
      <c r="BF105" s="646">
        <f>MAX(0,BF104)*0.5</f>
        <v>27321.5415</v>
      </c>
      <c r="BG105" s="646">
        <f>MAX(0,BG104)*0.5</f>
        <v>26969.592</v>
      </c>
      <c r="BH105" s="646">
        <f>MAX(0,BH104)*0.5</f>
        <v>26617.6425</v>
      </c>
      <c r="BI105" s="646">
        <f>MAX(0,BI104)*0.5</f>
        <v>26265.693</v>
      </c>
      <c r="BJ105" s="646">
        <f>MAX(0,BJ104)*0.5</f>
        <v>25913.748</v>
      </c>
      <c r="BK105" s="646">
        <f>MAX(0,BK104)*0.5</f>
        <v>49062.294</v>
      </c>
      <c r="BL105" s="646">
        <f>MAX(0,BL104)*0.5</f>
        <v>48710.3445</v>
      </c>
      <c r="BM105" s="646">
        <f>MAX(0,BM104)*0.5</f>
        <v>100430.995</v>
      </c>
      <c r="BN105" s="646">
        <f>MAX(0,BN104)*0.5</f>
        <v>0</v>
      </c>
      <c r="BO105" s="646">
        <f>MAX(0,BO104)*0.5</f>
        <v>0</v>
      </c>
      <c r="BP105" s="646">
        <f>MAX(0,BP104)*0.5</f>
        <v>0</v>
      </c>
      <c r="BQ105" s="646">
        <f>MAX(0,BQ104)*0.5</f>
        <v>0</v>
      </c>
      <c r="BR105" s="646">
        <f>MAX(0,BR104)*0.5</f>
        <v>0</v>
      </c>
      <c r="BS105" s="646">
        <f>MAX(0,BS104)*0.5</f>
        <v>0</v>
      </c>
      <c r="BT105" s="646">
        <f>MAX(0,BT104)*0.5</f>
        <v>0</v>
      </c>
      <c r="BU105" s="646">
        <f>MAX(0,BU104)*0.5</f>
        <v>0</v>
      </c>
      <c r="BV105" s="646">
        <f>MAX(0,BV104)*0.5</f>
        <v>0</v>
      </c>
      <c r="BW105" s="646">
        <f>MAX(0,BW104)*0.5</f>
        <v>0</v>
      </c>
      <c r="BX105" s="646">
        <f>MAX(0,BX104)*0.5</f>
        <v>0</v>
      </c>
      <c r="BY105" s="646">
        <f>MAX(0,BY104)*0.5</f>
        <v>0</v>
      </c>
      <c r="BZ105" s="646">
        <f>MAX(0,BZ104)*0.5</f>
        <v>0</v>
      </c>
      <c r="CA105" s="646">
        <f>MAX(0,CA104)*0.5</f>
        <v>0</v>
      </c>
      <c r="CB105" s="646">
        <f>MAX(0,CB104)*0.5</f>
        <v>0</v>
      </c>
      <c r="CC105" s="646">
        <f>MAX(0,CC104)*0.5</f>
        <v>0</v>
      </c>
      <c r="CD105" s="646">
        <f>MAX(0,CD104)*0.5</f>
        <v>0</v>
      </c>
      <c r="CE105" s="646">
        <f>MAX(0,CE104)*0.5</f>
        <v>0</v>
      </c>
      <c r="CF105" s="646">
        <f>MAX(0,CF104)*0.5</f>
        <v>0</v>
      </c>
      <c r="CG105" s="646">
        <f>MAX(0,CG104)*0.5</f>
        <v>0</v>
      </c>
      <c r="CH105" s="646">
        <f>MAX(0,CH104)*$B$95</f>
        <v>0</v>
      </c>
    </row>
    <row r="106" ht="15" customFormat="1" customHeight="1" s="381">
      <c r="A106" s="482" t="inlineStr">
        <is>
          <t>NI After Profit Share (to Six Peak)</t>
        </is>
      </c>
      <c r="B106" s="644">
        <f>B104-B105</f>
        <v>3538767.457</v>
      </c>
      <c r="C106" s="646">
        <f>C104-C105</f>
        <v>0</v>
      </c>
      <c r="D106" s="646">
        <f>D104-D105</f>
        <v>0</v>
      </c>
      <c r="E106" s="646">
        <f>E104-E105</f>
        <v>0</v>
      </c>
      <c r="F106" s="646">
        <f>F104-F105</f>
        <v>0</v>
      </c>
      <c r="G106" s="646">
        <f>G104-G105</f>
        <v>0</v>
      </c>
      <c r="H106" s="646">
        <f>H104-H105</f>
        <v>0</v>
      </c>
      <c r="I106" s="646">
        <f>I104-I105</f>
        <v>0</v>
      </c>
      <c r="J106" s="646">
        <f>J104-J105</f>
        <v>0</v>
      </c>
      <c r="K106" s="646">
        <f>K104-K105</f>
        <v>0</v>
      </c>
      <c r="L106" s="646">
        <f>L104-L105</f>
        <v>0</v>
      </c>
      <c r="M106" s="646">
        <f>M104-M105</f>
        <v>0</v>
      </c>
      <c r="N106" s="646">
        <f>N104-N105</f>
        <v>0</v>
      </c>
      <c r="O106" s="646">
        <f>O104-O105</f>
        <v>18627.1944</v>
      </c>
      <c r="P106" s="646">
        <f>P104-P105</f>
        <v>12376.9944</v>
      </c>
      <c r="Q106" s="646">
        <f>Q104-Q105</f>
        <v>12376.9944</v>
      </c>
      <c r="R106" s="646">
        <f>R104-R105</f>
        <v>12376.9944</v>
      </c>
      <c r="S106" s="646">
        <f>S104-S105</f>
        <v>7876.9944</v>
      </c>
      <c r="T106" s="646">
        <f>T104-T105</f>
        <v>7876.9944</v>
      </c>
      <c r="U106" s="646">
        <f>U104-U105</f>
        <v>21859.8408</v>
      </c>
      <c r="V106" s="646">
        <f>V104-V105</f>
        <v>35842.6872</v>
      </c>
      <c r="W106" s="646">
        <f>W104-W105</f>
        <v>49825.5336</v>
      </c>
      <c r="X106" s="646">
        <f>X104-X105</f>
        <v>59725.794</v>
      </c>
      <c r="Y106" s="646">
        <f>Y104-Y105</f>
        <v>75262.296</v>
      </c>
      <c r="Z106" s="646">
        <f>Z104-Z105</f>
        <v>90798.786</v>
      </c>
      <c r="AA106" s="646">
        <f>AA104-AA105</f>
        <v>106335.276</v>
      </c>
      <c r="AB106" s="646">
        <f>AB104-AB105</f>
        <v>121871.772</v>
      </c>
      <c r="AC106" s="646">
        <f>AC104-AC105</f>
        <v>137408.274</v>
      </c>
      <c r="AD106" s="646">
        <f>AD104-AD105</f>
        <v>140199.367</v>
      </c>
      <c r="AE106" s="646">
        <f>AE104-AE105</f>
        <v>154441.1605</v>
      </c>
      <c r="AF106" s="646">
        <f>AF104-AF105</f>
        <v>187731.2855</v>
      </c>
      <c r="AG106" s="646">
        <f>AG104-AG105</f>
        <v>138606.0555</v>
      </c>
      <c r="AH106" s="646">
        <f>AH104-AH105</f>
        <v>139036.2215</v>
      </c>
      <c r="AI106" s="646">
        <f>AI104-AI105</f>
        <v>139466.3765</v>
      </c>
      <c r="AJ106" s="646">
        <f>AJ104-AJ105</f>
        <v>139896.537</v>
      </c>
      <c r="AK106" s="646">
        <f>AK104-AK105</f>
        <v>140326.692</v>
      </c>
      <c r="AL106" s="646">
        <f>AL104-AL105</f>
        <v>154998.6405</v>
      </c>
      <c r="AM106" s="646">
        <f>AM104-AM105</f>
        <v>141187.0185</v>
      </c>
      <c r="AN106" s="646">
        <f>AN104-AN105</f>
        <v>127375.391</v>
      </c>
      <c r="AO106" s="646">
        <f>AO104-AO105</f>
        <v>113563.7635</v>
      </c>
      <c r="AP106" s="646">
        <f>AP104-AP105</f>
        <v>99752.1305</v>
      </c>
      <c r="AQ106" s="646">
        <f>AQ104-AQ105</f>
        <v>78127.735</v>
      </c>
      <c r="AR106" s="646">
        <f>AR104-AR105</f>
        <v>65571.71</v>
      </c>
      <c r="AS106" s="646">
        <f>AS104-AS105</f>
        <v>53015.68</v>
      </c>
      <c r="AT106" s="646">
        <f>AT104-AT105</f>
        <v>40459.66</v>
      </c>
      <c r="AU106" s="646">
        <f>AU104-AU105</f>
        <v>28388.2215</v>
      </c>
      <c r="AV106" s="646">
        <f>AV104-AV105</f>
        <v>68297.05</v>
      </c>
      <c r="AW106" s="646">
        <f>AW104-AW105</f>
        <v>55349.975</v>
      </c>
      <c r="AX106" s="646">
        <f>AX104-AX105</f>
        <v>30137.1375</v>
      </c>
      <c r="AY106" s="646">
        <f>AY104-AY105</f>
        <v>29785.188</v>
      </c>
      <c r="AZ106" s="646">
        <f>AZ104-AZ105</f>
        <v>29433.234</v>
      </c>
      <c r="BA106" s="646">
        <f>BA104-BA105</f>
        <v>29081.289</v>
      </c>
      <c r="BB106" s="646">
        <f>BB104-BB105</f>
        <v>28729.3395</v>
      </c>
      <c r="BC106" s="646">
        <f>BC104-BC105</f>
        <v>28377.39</v>
      </c>
      <c r="BD106" s="646">
        <f>BD104-BD105</f>
        <v>28025.4405</v>
      </c>
      <c r="BE106" s="646">
        <f>BE104-BE105</f>
        <v>27673.491</v>
      </c>
      <c r="BF106" s="646">
        <f>BF104-BF105</f>
        <v>27321.5415</v>
      </c>
      <c r="BG106" s="646">
        <f>BG104-BG105</f>
        <v>26969.592</v>
      </c>
      <c r="BH106" s="646">
        <f>BH104-BH105</f>
        <v>26617.6425</v>
      </c>
      <c r="BI106" s="646">
        <f>BI104-BI105</f>
        <v>26265.693</v>
      </c>
      <c r="BJ106" s="646">
        <f>BJ104-BJ105</f>
        <v>25913.748</v>
      </c>
      <c r="BK106" s="646">
        <f>BK104-BK105</f>
        <v>49062.294</v>
      </c>
      <c r="BL106" s="646">
        <f>BL104-BL105</f>
        <v>48710.3445</v>
      </c>
      <c r="BM106" s="646">
        <f>BM104-BM105</f>
        <v>100430.995</v>
      </c>
      <c r="BN106" s="646">
        <f>BN104-BN105</f>
        <v>0</v>
      </c>
      <c r="BO106" s="646">
        <f>BO104-BO105</f>
        <v>0</v>
      </c>
      <c r="BP106" s="646">
        <f>BP104-BP105</f>
        <v>0</v>
      </c>
      <c r="BQ106" s="646">
        <f>BQ104-BQ105</f>
        <v>0</v>
      </c>
      <c r="BR106" s="646">
        <f>BR104-BR105</f>
        <v>0</v>
      </c>
      <c r="BS106" s="646">
        <f>BS104-BS105</f>
        <v>0</v>
      </c>
      <c r="BT106" s="646">
        <f>BT104-BT105</f>
        <v>0</v>
      </c>
      <c r="BU106" s="646">
        <f>BU104-BU105</f>
        <v>0</v>
      </c>
      <c r="BV106" s="646">
        <f>BV104-BV105</f>
        <v>0</v>
      </c>
      <c r="BW106" s="646">
        <f>BW104-BW105</f>
        <v>0</v>
      </c>
      <c r="BX106" s="646">
        <f>BX104-BX105</f>
        <v>0</v>
      </c>
      <c r="BY106" s="646">
        <f>BY104-BY105</f>
        <v>0</v>
      </c>
      <c r="BZ106" s="646">
        <f>BZ104-BZ105</f>
        <v>0</v>
      </c>
      <c r="CA106" s="646">
        <f>CA104-CA105</f>
        <v>0</v>
      </c>
      <c r="CB106" s="646">
        <f>CB104-CB105</f>
        <v>0</v>
      </c>
      <c r="CC106" s="646">
        <f>CC104-CC105</f>
        <v>0</v>
      </c>
      <c r="CD106" s="646">
        <f>CD104-CD105</f>
        <v>0</v>
      </c>
      <c r="CE106" s="646">
        <f>CE104-CE105</f>
        <v>0</v>
      </c>
      <c r="CF106" s="646">
        <f>CF104-CF105</f>
        <v>0</v>
      </c>
      <c r="CG106" s="646">
        <f>CG104-CG105</f>
        <v>0</v>
      </c>
      <c r="CH106" s="646">
        <f>CH104-CH105</f>
        <v>0</v>
      </c>
    </row>
    <row r="107" ht="15" customFormat="1" customHeight="1" s="381">
      <c r="A107" s="482" t="inlineStr">
        <is>
          <t>Total to Six Peak</t>
        </is>
      </c>
      <c r="B107" s="644">
        <f>B103+B106</f>
        <v>4101960.074</v>
      </c>
      <c r="C107" s="646">
        <f>C103+C106</f>
        <v>0</v>
      </c>
      <c r="D107" s="646">
        <f>D103+D106</f>
        <v>0</v>
      </c>
      <c r="E107" s="646">
        <f>E103+E106</f>
        <v>0</v>
      </c>
      <c r="F107" s="646">
        <f>F103+F106</f>
        <v>0</v>
      </c>
      <c r="G107" s="646">
        <f>G103+G106</f>
        <v>0</v>
      </c>
      <c r="H107" s="646">
        <f>H103+H106</f>
        <v>0</v>
      </c>
      <c r="I107" s="646">
        <f>I103+I106</f>
        <v>0</v>
      </c>
      <c r="J107" s="646">
        <f>J103+J106</f>
        <v>0</v>
      </c>
      <c r="K107" s="646">
        <f>K103+K106</f>
        <v>0</v>
      </c>
      <c r="L107" s="646">
        <f>L103+L106</f>
        <v>0</v>
      </c>
      <c r="M107" s="646">
        <f>M103+M106</f>
        <v>0</v>
      </c>
      <c r="N107" s="646">
        <f>N103+N106</f>
        <v>0</v>
      </c>
      <c r="O107" s="646">
        <f>O103+O106</f>
        <v>23132.2304</v>
      </c>
      <c r="P107" s="646">
        <f>P103+P106</f>
        <v>16882.0304</v>
      </c>
      <c r="Q107" s="646">
        <f>Q103+Q106</f>
        <v>16882.0304</v>
      </c>
      <c r="R107" s="646">
        <f>R103+R106</f>
        <v>16882.0304</v>
      </c>
      <c r="S107" s="646">
        <f>S103+S106</f>
        <v>12382.0304</v>
      </c>
      <c r="T107" s="646">
        <f>T103+T106</f>
        <v>12382.0304</v>
      </c>
      <c r="U107" s="646">
        <f>U103+U106</f>
        <v>28954.2928</v>
      </c>
      <c r="V107" s="646">
        <f>V103+V106</f>
        <v>45526.5552</v>
      </c>
      <c r="W107" s="646">
        <f>W103+W106</f>
        <v>62098.8176</v>
      </c>
      <c r="X107" s="646">
        <f>X103+X106</f>
        <v>72225.794</v>
      </c>
      <c r="Y107" s="646">
        <f>Y103+Y106</f>
        <v>87762.296</v>
      </c>
      <c r="Z107" s="646">
        <f>Z103+Z106</f>
        <v>103298.786</v>
      </c>
      <c r="AA107" s="646">
        <f>AA103+AA106</f>
        <v>118835.276</v>
      </c>
      <c r="AB107" s="646">
        <f>AB103+AB106</f>
        <v>134371.772</v>
      </c>
      <c r="AC107" s="646">
        <f>AC103+AC106</f>
        <v>149908.274</v>
      </c>
      <c r="AD107" s="646">
        <f>AD103+AD106</f>
        <v>152699.367</v>
      </c>
      <c r="AE107" s="646">
        <f>AE103+AE106</f>
        <v>166941.1605</v>
      </c>
      <c r="AF107" s="646">
        <f>AF103+AF106</f>
        <v>200231.2855</v>
      </c>
      <c r="AG107" s="646">
        <f>AG103+AG106</f>
        <v>151106.0555</v>
      </c>
      <c r="AH107" s="646">
        <f>AH103+AH106</f>
        <v>151536.2215</v>
      </c>
      <c r="AI107" s="646">
        <f>AI103+AI106</f>
        <v>151966.3765</v>
      </c>
      <c r="AJ107" s="646">
        <f>AJ103+AJ106</f>
        <v>152396.537</v>
      </c>
      <c r="AK107" s="646">
        <f>AK103+AK106</f>
        <v>152826.692</v>
      </c>
      <c r="AL107" s="646">
        <f>AL103+AL106</f>
        <v>167498.6405</v>
      </c>
      <c r="AM107" s="646">
        <f>AM103+AM106</f>
        <v>153687.0185</v>
      </c>
      <c r="AN107" s="646">
        <f>AN103+AN106</f>
        <v>139875.391</v>
      </c>
      <c r="AO107" s="646">
        <f>AO103+AO106</f>
        <v>126063.7635</v>
      </c>
      <c r="AP107" s="646">
        <f>AP103+AP106</f>
        <v>112252.1305</v>
      </c>
      <c r="AQ107" s="646">
        <f>AQ103+AQ106</f>
        <v>90627.735</v>
      </c>
      <c r="AR107" s="646">
        <f>AR103+AR106</f>
        <v>78071.71</v>
      </c>
      <c r="AS107" s="646">
        <f>AS103+AS106</f>
        <v>65515.68</v>
      </c>
      <c r="AT107" s="646">
        <f>AT103+AT106</f>
        <v>52959.66</v>
      </c>
      <c r="AU107" s="646">
        <f>AU103+AU106</f>
        <v>39919.0485</v>
      </c>
      <c r="AV107" s="646">
        <f>AV103+AV106</f>
        <v>80797.05</v>
      </c>
      <c r="AW107" s="646">
        <f>AW103+AW106</f>
        <v>67849.975</v>
      </c>
      <c r="AX107" s="646">
        <f>AX103+AX106</f>
        <v>42056.6125</v>
      </c>
      <c r="AY107" s="646">
        <f>AY103+AY106</f>
        <v>41626.452</v>
      </c>
      <c r="AZ107" s="646">
        <f>AZ103+AZ106</f>
        <v>41196.286</v>
      </c>
      <c r="BA107" s="646">
        <f>BA103+BA106</f>
        <v>40766.131</v>
      </c>
      <c r="BB107" s="646">
        <f>BB103+BB106</f>
        <v>40335.9705</v>
      </c>
      <c r="BC107" s="646">
        <f>BC103+BC106</f>
        <v>39905.81</v>
      </c>
      <c r="BD107" s="646">
        <f>BD103+BD106</f>
        <v>39475.6495</v>
      </c>
      <c r="BE107" s="646">
        <f>BE103+BE106</f>
        <v>39045.489</v>
      </c>
      <c r="BF107" s="646">
        <f>BF103+BF106</f>
        <v>38615.3285</v>
      </c>
      <c r="BG107" s="646">
        <f>BG103+BG106</f>
        <v>38185.168</v>
      </c>
      <c r="BH107" s="646">
        <f>BH103+BH106</f>
        <v>37755.0075</v>
      </c>
      <c r="BI107" s="646">
        <f>BI103+BI106</f>
        <v>37324.847</v>
      </c>
      <c r="BJ107" s="646">
        <f>BJ103+BJ106</f>
        <v>36894.692</v>
      </c>
      <c r="BK107" s="646">
        <f>BK103+BK106</f>
        <v>59965.026</v>
      </c>
      <c r="BL107" s="646">
        <f>BL103+BL106</f>
        <v>59534.8655</v>
      </c>
      <c r="BM107" s="646">
        <f>BM103+BM106</f>
        <v>112930.995</v>
      </c>
      <c r="BN107" s="646">
        <f>BN103+BN106</f>
        <v>0</v>
      </c>
      <c r="BO107" s="646">
        <f>BO103+BO106</f>
        <v>0</v>
      </c>
      <c r="BP107" s="646">
        <f>BP103+BP106</f>
        <v>0</v>
      </c>
      <c r="BQ107" s="646">
        <f>BQ103+BQ106</f>
        <v>0</v>
      </c>
      <c r="BR107" s="646">
        <f>BR103+BR106</f>
        <v>0</v>
      </c>
      <c r="BS107" s="646">
        <f>BS103+BS106</f>
        <v>0</v>
      </c>
      <c r="BT107" s="646">
        <f>BT103+BT106</f>
        <v>0</v>
      </c>
      <c r="BU107" s="646">
        <f>BU103+BU106</f>
        <v>0</v>
      </c>
      <c r="BV107" s="646">
        <f>BV103+BV106</f>
        <v>0</v>
      </c>
      <c r="BW107" s="646">
        <f>BW103+BW106</f>
        <v>0</v>
      </c>
      <c r="BX107" s="646">
        <f>BX103+BX106</f>
        <v>0</v>
      </c>
      <c r="BY107" s="646">
        <f>BY103+BY106</f>
        <v>0</v>
      </c>
      <c r="BZ107" s="646">
        <f>BZ103+BZ106</f>
        <v>0</v>
      </c>
      <c r="CA107" s="646">
        <f>CA103+CA106</f>
        <v>0</v>
      </c>
      <c r="CB107" s="646">
        <f>CB103+CB106</f>
        <v>0</v>
      </c>
      <c r="CC107" s="646">
        <f>CC103+CC106</f>
        <v>0</v>
      </c>
      <c r="CD107" s="646">
        <f>CD103+CD106</f>
        <v>0</v>
      </c>
      <c r="CE107" s="646">
        <f>CE103+CE106</f>
        <v>0</v>
      </c>
      <c r="CF107" s="646">
        <f>CF103+CF106</f>
        <v>0</v>
      </c>
      <c r="CG107" s="646">
        <f>CG103+CG106</f>
        <v>0</v>
      </c>
      <c r="CH107" s="646">
        <f>CH103+CH106</f>
        <v>0</v>
      </c>
    </row>
    <row r="112" ht="15" customHeight="1" s="467">
      <c r="A112" s="381" t="inlineStr">
        <is>
          <t>TREATMENT: Schuyler Dietz is engaged as a CONSULTANT. His 40/45/50% tiered participation is a</t>
        </is>
      </c>
    </row>
    <row r="113" ht="15" customHeight="1" s="467">
      <c r="A113" s="381" t="inlineStr">
        <is>
          <t xml:space="preserve">   PROFIT SHARE on program net income, not an employee bonus. It is not W2 payroll and carries no</t>
        </is>
      </c>
    </row>
    <row r="114" ht="15" customHeight="1" s="467">
      <c r="A114" s="381" t="inlineStr">
        <is>
          <t xml:space="preserve">   payroll burden. Personnel row 39 already flags him Consult% = 1, so he is excluded from the W2</t>
        </is>
      </c>
    </row>
    <row r="115" ht="15" customHeight="1" s="467">
      <c r="A115" s="381" t="inlineStr">
        <is>
          <t xml:space="preserve">   basis (Helpers r4 / Model r111) and expensed via Model r186, 5500-1004 Consultants and Other</t>
        </is>
      </c>
    </row>
    <row r="116" ht="15" customHeight="1" s="467">
      <c r="A116" s="381" t="inlineStr">
        <is>
          <t xml:space="preserve">   Professional Expenses. Relabelled 15 Aug 2026.</t>
        </is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CH57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71875" defaultRowHeight="15" zeroHeight="0" outlineLevelRow="0"/>
  <cols>
    <col width="28" customWidth="1" style="381" min="1" max="1"/>
    <col width="14" customWidth="1" style="381" min="2" max="86"/>
  </cols>
  <sheetData>
    <row r="1" ht="17.25" customFormat="1" customHeight="1" s="381">
      <c r="A1" s="382" t="inlineStr">
        <is>
          <t>Six Peak Capital - GC + Developer Deal Profitability (Net of Steyn Fees)</t>
        </is>
      </c>
      <c r="G1" s="383" t="n"/>
      <c r="H1" s="383" t="n"/>
      <c r="I1" s="383" t="n"/>
      <c r="J1" s="383" t="n"/>
      <c r="K1" s="383" t="n"/>
      <c r="L1" s="383" t="n"/>
      <c r="M1" s="383" t="n"/>
      <c r="N1" s="383" t="n"/>
      <c r="O1" s="383" t="n"/>
      <c r="P1" s="383" t="n"/>
      <c r="Q1" s="383" t="n"/>
      <c r="R1" s="383" t="n"/>
      <c r="S1" s="383" t="n"/>
      <c r="T1" s="383" t="n"/>
      <c r="U1" s="383" t="n"/>
      <c r="V1" s="383" t="n"/>
      <c r="W1" s="383" t="n"/>
      <c r="X1" s="383" t="n"/>
      <c r="Y1" s="383" t="n"/>
      <c r="Z1" s="383" t="n"/>
      <c r="AA1" s="383" t="n"/>
      <c r="AB1" s="383" t="n"/>
      <c r="AC1" s="383" t="n"/>
      <c r="AD1" s="383" t="n"/>
      <c r="AE1" s="383" t="n"/>
      <c r="AF1" s="383" t="n"/>
      <c r="AG1" s="383" t="n"/>
      <c r="AH1" s="383" t="n"/>
      <c r="AI1" s="383" t="n"/>
      <c r="AJ1" s="383" t="n"/>
      <c r="AK1" s="383" t="n"/>
      <c r="AL1" s="383" t="n"/>
      <c r="AM1" s="383" t="n"/>
      <c r="AN1" s="383" t="n"/>
      <c r="AO1" s="383" t="n"/>
      <c r="AP1" s="383" t="n"/>
      <c r="AQ1" s="383" t="n"/>
      <c r="AR1" s="383" t="n"/>
      <c r="AS1" s="383" t="n"/>
      <c r="AT1" s="383" t="n"/>
      <c r="AU1" s="383" t="n"/>
      <c r="AV1" s="383" t="n"/>
      <c r="AW1" s="383" t="n"/>
      <c r="AX1" s="383" t="n"/>
      <c r="AY1" s="383" t="n"/>
      <c r="AZ1" s="383" t="n"/>
      <c r="BA1" s="383" t="n"/>
      <c r="BB1" s="383" t="n"/>
      <c r="BC1" s="383" t="n"/>
      <c r="BD1" s="383" t="n"/>
      <c r="BE1" s="383" t="n"/>
      <c r="BF1" s="383" t="n"/>
      <c r="BG1" s="383" t="n"/>
      <c r="BH1" s="383" t="n"/>
      <c r="BI1" s="383" t="n"/>
      <c r="BJ1" s="383" t="n"/>
      <c r="BK1" s="383" t="n"/>
      <c r="BL1" s="383" t="n"/>
      <c r="BM1" s="383" t="n"/>
      <c r="BN1" s="383" t="n"/>
      <c r="BO1" s="383" t="n"/>
      <c r="BP1" s="383" t="n"/>
      <c r="BQ1" s="383" t="n"/>
      <c r="BR1" s="383" t="n"/>
      <c r="BS1" s="383" t="n"/>
      <c r="BT1" s="383" t="n"/>
      <c r="BU1" s="383" t="n"/>
      <c r="BV1" s="383" t="n"/>
      <c r="BW1" s="383" t="n"/>
      <c r="BX1" s="383" t="n"/>
      <c r="BY1" s="383" t="n"/>
      <c r="BZ1" s="383" t="n"/>
      <c r="CA1" s="383" t="n"/>
      <c r="CB1" s="383" t="n"/>
      <c r="CC1" s="383" t="n"/>
      <c r="CD1" s="383" t="n"/>
      <c r="CE1" s="383" t="n"/>
      <c r="CF1" s="383" t="n"/>
      <c r="CG1" s="383" t="n"/>
      <c r="CH1" s="383" t="n"/>
    </row>
    <row r="2" ht="15" customFormat="1" customHeight="1" s="381">
      <c r="A2" s="384" t="n"/>
      <c r="B2" s="384" t="n"/>
      <c r="C2" s="385" t="n">
        <v>46113</v>
      </c>
      <c r="D2" s="385" t="n">
        <v>46143</v>
      </c>
      <c r="E2" s="385" t="n">
        <v>46174</v>
      </c>
      <c r="F2" s="385" t="n">
        <v>46204</v>
      </c>
      <c r="G2" s="385" t="n">
        <v>46235</v>
      </c>
      <c r="H2" s="385" t="n">
        <v>46266</v>
      </c>
      <c r="I2" s="385" t="n">
        <v>46296</v>
      </c>
      <c r="J2" s="385" t="n">
        <v>46327</v>
      </c>
      <c r="K2" s="385" t="n">
        <v>46357</v>
      </c>
      <c r="L2" s="385" t="n">
        <v>46388</v>
      </c>
      <c r="M2" s="385" t="n">
        <v>46419</v>
      </c>
      <c r="N2" s="385" t="n">
        <v>46447</v>
      </c>
      <c r="O2" s="385" t="n">
        <v>46478</v>
      </c>
      <c r="P2" s="385" t="n">
        <v>46508</v>
      </c>
      <c r="Q2" s="385" t="n">
        <v>46539</v>
      </c>
      <c r="R2" s="385" t="n">
        <v>46569</v>
      </c>
      <c r="S2" s="385" t="n">
        <v>46600</v>
      </c>
      <c r="T2" s="385" t="n">
        <v>46631</v>
      </c>
      <c r="U2" s="385" t="n">
        <v>46661</v>
      </c>
      <c r="V2" s="385" t="n">
        <v>46692</v>
      </c>
      <c r="W2" s="385" t="n">
        <v>46722</v>
      </c>
      <c r="X2" s="385" t="n">
        <v>46753</v>
      </c>
      <c r="Y2" s="385" t="n">
        <v>46784</v>
      </c>
      <c r="Z2" s="385" t="n">
        <v>46813</v>
      </c>
      <c r="AA2" s="385" t="n">
        <v>46844</v>
      </c>
      <c r="AB2" s="385" t="n">
        <v>46874</v>
      </c>
      <c r="AC2" s="385" t="n">
        <v>46905</v>
      </c>
      <c r="AD2" s="385" t="n">
        <v>46935</v>
      </c>
      <c r="AE2" s="385" t="n">
        <v>46966</v>
      </c>
      <c r="AF2" s="385" t="n">
        <v>46997</v>
      </c>
      <c r="AG2" s="385" t="n">
        <v>47027</v>
      </c>
      <c r="AH2" s="385" t="n">
        <v>47058</v>
      </c>
      <c r="AI2" s="385" t="n">
        <v>47088</v>
      </c>
      <c r="AJ2" s="385" t="n">
        <v>47119</v>
      </c>
      <c r="AK2" s="385" t="n">
        <v>47150</v>
      </c>
      <c r="AL2" s="385" t="n">
        <v>47178</v>
      </c>
      <c r="AM2" s="385" t="n">
        <v>47209</v>
      </c>
      <c r="AN2" s="385" t="n">
        <v>47239</v>
      </c>
      <c r="AO2" s="385" t="n">
        <v>47270</v>
      </c>
      <c r="AP2" s="385" t="n">
        <v>47300</v>
      </c>
      <c r="AQ2" s="385" t="n">
        <v>47331</v>
      </c>
      <c r="AR2" s="385" t="n">
        <v>47362</v>
      </c>
      <c r="AS2" s="385" t="n">
        <v>47392</v>
      </c>
      <c r="AT2" s="385" t="n">
        <v>47423</v>
      </c>
      <c r="AU2" s="385" t="n">
        <v>47453</v>
      </c>
      <c r="AV2" s="385" t="n">
        <v>47484</v>
      </c>
      <c r="AW2" s="385" t="n">
        <v>47515</v>
      </c>
      <c r="AX2" s="385" t="n">
        <v>47543</v>
      </c>
      <c r="AY2" s="385" t="n">
        <v>47574</v>
      </c>
      <c r="AZ2" s="385" t="n">
        <v>47604</v>
      </c>
      <c r="BA2" s="385" t="n">
        <v>47635</v>
      </c>
      <c r="BB2" s="385" t="n">
        <v>47665</v>
      </c>
      <c r="BC2" s="385" t="n">
        <v>47696</v>
      </c>
      <c r="BD2" s="385" t="n">
        <v>47727</v>
      </c>
      <c r="BE2" s="385" t="n">
        <v>47757</v>
      </c>
      <c r="BF2" s="385" t="n">
        <v>47788</v>
      </c>
      <c r="BG2" s="385" t="n">
        <v>47818</v>
      </c>
      <c r="BH2" s="385" t="n">
        <v>47849</v>
      </c>
      <c r="BI2" s="385" t="n">
        <v>47880</v>
      </c>
      <c r="BJ2" s="385" t="n">
        <v>47908</v>
      </c>
      <c r="BK2" s="385" t="n">
        <v>47939</v>
      </c>
      <c r="BL2" s="385" t="n">
        <v>47969</v>
      </c>
      <c r="BM2" s="385" t="n">
        <v>48000</v>
      </c>
      <c r="BN2" s="385" t="n">
        <v>48030</v>
      </c>
      <c r="BO2" s="385" t="n">
        <v>48061</v>
      </c>
      <c r="BP2" s="385" t="n">
        <v>48092</v>
      </c>
      <c r="BQ2" s="385" t="n">
        <v>48122</v>
      </c>
      <c r="BR2" s="385" t="n">
        <v>48153</v>
      </c>
      <c r="BS2" s="385" t="n">
        <v>48183</v>
      </c>
      <c r="BT2" s="385" t="n">
        <v>48214</v>
      </c>
      <c r="BU2" s="385" t="n">
        <v>48245</v>
      </c>
      <c r="BV2" s="385" t="n">
        <v>48274</v>
      </c>
      <c r="BW2" s="385" t="n">
        <v>48305</v>
      </c>
      <c r="BX2" s="385" t="n">
        <v>48335</v>
      </c>
      <c r="BY2" s="385" t="n">
        <v>48366</v>
      </c>
      <c r="BZ2" s="385" t="n">
        <v>48396</v>
      </c>
      <c r="CA2" s="385" t="n">
        <v>48427</v>
      </c>
      <c r="CB2" s="385" t="n">
        <v>48458</v>
      </c>
      <c r="CC2" s="385" t="n">
        <v>48488</v>
      </c>
      <c r="CD2" s="385" t="n">
        <v>48519</v>
      </c>
      <c r="CE2" s="385" t="n">
        <v>48549</v>
      </c>
      <c r="CF2" s="385" t="n">
        <v>48580</v>
      </c>
      <c r="CG2" s="385" t="n">
        <v>48611</v>
      </c>
      <c r="CH2" s="385" t="n">
        <v>48639</v>
      </c>
    </row>
    <row r="3" ht="15" customFormat="1" customHeight="1" s="381">
      <c r="A3" s="403" t="inlineStr">
        <is>
          <t>Crenshaw</t>
        </is>
      </c>
      <c r="B3" s="403" t="n"/>
      <c r="C3" s="403" t="n"/>
      <c r="D3" s="403" t="n"/>
      <c r="E3" s="403" t="n"/>
      <c r="F3" s="403" t="n"/>
      <c r="G3" s="403" t="n"/>
      <c r="H3" s="403" t="n"/>
      <c r="I3" s="403" t="n"/>
      <c r="J3" s="403" t="n"/>
      <c r="K3" s="403" t="n"/>
      <c r="L3" s="403" t="n"/>
      <c r="M3" s="403" t="n"/>
      <c r="N3" s="403" t="n"/>
      <c r="O3" s="403" t="n"/>
      <c r="P3" s="403" t="n"/>
      <c r="Q3" s="403" t="n"/>
      <c r="R3" s="403" t="n"/>
      <c r="S3" s="403" t="n"/>
      <c r="T3" s="403" t="n"/>
      <c r="U3" s="403" t="n"/>
      <c r="V3" s="403" t="n"/>
      <c r="W3" s="403" t="n"/>
      <c r="X3" s="403" t="n"/>
      <c r="Y3" s="403" t="n"/>
      <c r="Z3" s="403" t="n"/>
      <c r="AA3" s="403" t="n"/>
      <c r="AB3" s="403" t="n"/>
      <c r="AC3" s="403" t="n"/>
      <c r="AD3" s="403" t="n"/>
      <c r="AE3" s="403" t="n"/>
      <c r="AF3" s="403" t="n"/>
      <c r="AG3" s="403" t="n"/>
      <c r="AH3" s="403" t="n"/>
      <c r="AI3" s="403" t="n"/>
      <c r="AJ3" s="403" t="n"/>
      <c r="AK3" s="403" t="n"/>
      <c r="AL3" s="403" t="n"/>
      <c r="AM3" s="403" t="n"/>
      <c r="AN3" s="403" t="n"/>
      <c r="AO3" s="403" t="n"/>
      <c r="AP3" s="403" t="n"/>
      <c r="AQ3" s="403" t="n"/>
      <c r="AR3" s="403" t="n"/>
      <c r="AS3" s="403" t="n"/>
      <c r="AT3" s="403" t="n"/>
      <c r="AU3" s="403" t="n"/>
      <c r="AV3" s="403" t="n"/>
      <c r="AW3" s="403" t="n"/>
      <c r="AX3" s="403" t="n"/>
      <c r="AY3" s="403" t="n"/>
      <c r="AZ3" s="403" t="n"/>
      <c r="BA3" s="403" t="n"/>
      <c r="BB3" s="403" t="n"/>
      <c r="BC3" s="403" t="n"/>
      <c r="BD3" s="403" t="n"/>
      <c r="BE3" s="403" t="n"/>
      <c r="BF3" s="403" t="n"/>
      <c r="BG3" s="403" t="n"/>
      <c r="BH3" s="403" t="n"/>
      <c r="BI3" s="403" t="n"/>
      <c r="BJ3" s="403" t="n"/>
      <c r="BK3" s="403" t="n"/>
      <c r="BL3" s="403" t="n"/>
      <c r="BM3" s="403" t="n"/>
      <c r="BN3" s="403" t="n"/>
      <c r="BO3" s="403" t="n"/>
      <c r="BP3" s="403" t="n"/>
      <c r="BQ3" s="403" t="n"/>
      <c r="BR3" s="403" t="n"/>
      <c r="BS3" s="403" t="n"/>
      <c r="BT3" s="403" t="n"/>
      <c r="BU3" s="403" t="n"/>
      <c r="BV3" s="403" t="n"/>
      <c r="BW3" s="403" t="n"/>
      <c r="BX3" s="403" t="n"/>
      <c r="BY3" s="403" t="n"/>
      <c r="BZ3" s="403" t="n"/>
      <c r="CA3" s="403" t="n"/>
      <c r="CB3" s="403" t="n"/>
      <c r="CC3" s="403" t="n"/>
      <c r="CD3" s="403" t="n"/>
      <c r="CE3" s="403" t="n"/>
      <c r="CF3" s="403" t="n"/>
      <c r="CG3" s="403" t="n"/>
      <c r="CH3" s="403" t="n"/>
    </row>
    <row r="4" ht="15" customFormat="1" customHeight="1" s="381">
      <c r="A4" s="461" t="inlineStr">
        <is>
          <t xml:space="preserve">  Revenue</t>
        </is>
      </c>
      <c r="B4" s="383" t="n"/>
      <c r="C4" s="647">
        <f>Model!E154</f>
        <v>9375</v>
      </c>
      <c r="D4" s="647">
        <f>Model!F154</f>
        <v>9375</v>
      </c>
      <c r="E4" s="647">
        <f>Model!G154</f>
        <v>9375</v>
      </c>
      <c r="F4" s="647">
        <f>Model!H154</f>
        <v>9375</v>
      </c>
      <c r="G4" s="647">
        <f>Model!I154</f>
        <v>9375</v>
      </c>
      <c r="H4" s="647">
        <f>Model!J154</f>
        <v>9375</v>
      </c>
      <c r="I4" s="647">
        <f>Model!K154</f>
        <v>9375</v>
      </c>
      <c r="J4" s="647">
        <f>Model!L154</f>
        <v>0</v>
      </c>
      <c r="K4" s="647">
        <f>Model!M154</f>
        <v>0</v>
      </c>
      <c r="L4" s="647">
        <f>Model!N154</f>
        <v>0</v>
      </c>
      <c r="M4" s="647">
        <f>Model!O154</f>
        <v>0</v>
      </c>
      <c r="N4" s="647">
        <f>Model!P154</f>
        <v>0</v>
      </c>
      <c r="O4" s="647">
        <f>Model!Q154</f>
        <v>0</v>
      </c>
      <c r="P4" s="647">
        <f>Model!R154</f>
        <v>0</v>
      </c>
      <c r="Q4" s="647">
        <f>Model!S154</f>
        <v>0</v>
      </c>
      <c r="R4" s="647">
        <f>Model!T154</f>
        <v>0</v>
      </c>
      <c r="S4" s="647">
        <f>Model!U154</f>
        <v>0</v>
      </c>
      <c r="T4" s="647">
        <f>Model!V154</f>
        <v>0</v>
      </c>
      <c r="U4" s="647">
        <f>Model!W154</f>
        <v>0</v>
      </c>
      <c r="V4" s="647">
        <f>Model!X154</f>
        <v>0</v>
      </c>
      <c r="W4" s="647">
        <f>Model!Y154</f>
        <v>0</v>
      </c>
      <c r="X4" s="647">
        <f>Model!Z154</f>
        <v>0</v>
      </c>
      <c r="Y4" s="647">
        <f>Model!AA154</f>
        <v>0</v>
      </c>
      <c r="Z4" s="647">
        <f>Model!AB154</f>
        <v>0</v>
      </c>
      <c r="AA4" s="647">
        <f>Model!AC154</f>
        <v>0</v>
      </c>
      <c r="AB4" s="647">
        <f>Model!AD154</f>
        <v>0</v>
      </c>
      <c r="AC4" s="647">
        <f>Model!AE154</f>
        <v>0</v>
      </c>
      <c r="AD4" s="647">
        <f>Model!AF154</f>
        <v>0</v>
      </c>
      <c r="AE4" s="647">
        <f>Model!AG154</f>
        <v>0</v>
      </c>
      <c r="AF4" s="647">
        <f>Model!AH154</f>
        <v>0</v>
      </c>
      <c r="AG4" s="647">
        <f>Model!AI154</f>
        <v>0</v>
      </c>
      <c r="AH4" s="647">
        <f>Model!AJ154</f>
        <v>0</v>
      </c>
      <c r="AI4" s="647">
        <f>Model!AK154</f>
        <v>0</v>
      </c>
      <c r="AJ4" s="647">
        <f>Model!AL154</f>
        <v>0</v>
      </c>
      <c r="AK4" s="647">
        <f>Model!AM154</f>
        <v>0</v>
      </c>
      <c r="AL4" s="647">
        <f>Model!AN154</f>
        <v>0</v>
      </c>
      <c r="AM4" s="647">
        <f>Model!AO154</f>
        <v>0</v>
      </c>
      <c r="AN4" s="647">
        <f>Model!AP154</f>
        <v>0</v>
      </c>
      <c r="AO4" s="647">
        <f>Model!AQ154</f>
        <v>0</v>
      </c>
      <c r="AP4" s="647">
        <f>Model!AR154</f>
        <v>0</v>
      </c>
      <c r="AQ4" s="647">
        <f>Model!AS154</f>
        <v>0</v>
      </c>
      <c r="AR4" s="647">
        <f>Model!AT154</f>
        <v>0</v>
      </c>
      <c r="AS4" s="647">
        <f>Model!AU154</f>
        <v>0</v>
      </c>
      <c r="AT4" s="647">
        <f>Model!AV154</f>
        <v>0</v>
      </c>
      <c r="AU4" s="647">
        <f>Model!AW154</f>
        <v>0</v>
      </c>
      <c r="AV4" s="647">
        <f>Model!AX154</f>
        <v>0</v>
      </c>
      <c r="AW4" s="647">
        <f>Model!AY154</f>
        <v>0</v>
      </c>
      <c r="AX4" s="647">
        <f>Model!AZ154</f>
        <v>0</v>
      </c>
      <c r="AY4" s="647">
        <f>Model!BA154</f>
        <v>0</v>
      </c>
      <c r="AZ4" s="647">
        <f>Model!BB154</f>
        <v>0</v>
      </c>
      <c r="BA4" s="647">
        <f>Model!BC154</f>
        <v>0</v>
      </c>
      <c r="BB4" s="647">
        <f>Model!BD154</f>
        <v>0</v>
      </c>
      <c r="BC4" s="647">
        <f>Model!BE154</f>
        <v>0</v>
      </c>
      <c r="BD4" s="647">
        <f>Model!BF154</f>
        <v>0</v>
      </c>
      <c r="BE4" s="647">
        <f>Model!BG154</f>
        <v>0</v>
      </c>
      <c r="BF4" s="647">
        <f>Model!BH154</f>
        <v>0</v>
      </c>
      <c r="BG4" s="647">
        <f>Model!BI154</f>
        <v>0</v>
      </c>
      <c r="BH4" s="647">
        <f>Model!BJ154</f>
        <v>0</v>
      </c>
      <c r="BI4" s="647">
        <f>Model!BK154</f>
        <v>0</v>
      </c>
      <c r="BJ4" s="647">
        <f>Model!BL154</f>
        <v>0</v>
      </c>
      <c r="BK4" s="647">
        <f>Model!BM154</f>
        <v>0</v>
      </c>
      <c r="BL4" s="647">
        <f>Model!BN154</f>
        <v>0</v>
      </c>
      <c r="BM4" s="647">
        <f>Model!BO154</f>
        <v>0</v>
      </c>
      <c r="BN4" s="647">
        <f>Model!BP154</f>
        <v>0</v>
      </c>
      <c r="BO4" s="647">
        <f>Model!BQ154</f>
        <v>0</v>
      </c>
      <c r="BP4" s="647">
        <f>Model!BR154</f>
        <v>0</v>
      </c>
      <c r="BQ4" s="647">
        <f>Model!BS154</f>
        <v>0</v>
      </c>
      <c r="BR4" s="647">
        <f>Model!BT154</f>
        <v>0</v>
      </c>
      <c r="BS4" s="647">
        <f>Model!BU154</f>
        <v>0</v>
      </c>
      <c r="BT4" s="647">
        <f>Model!BV154</f>
        <v>0</v>
      </c>
      <c r="BU4" s="647">
        <f>Model!BW154</f>
        <v>0</v>
      </c>
      <c r="BV4" s="647">
        <f>Model!BX154</f>
        <v>0</v>
      </c>
      <c r="BW4" s="647">
        <f>Model!BY154</f>
        <v>0</v>
      </c>
      <c r="BX4" s="647">
        <f>Model!BZ154</f>
        <v>0</v>
      </c>
      <c r="BY4" s="647">
        <f>Model!CA154</f>
        <v>0</v>
      </c>
      <c r="BZ4" s="647">
        <f>Model!CB154</f>
        <v>0</v>
      </c>
      <c r="CA4" s="647">
        <f>Model!CC154</f>
        <v>0</v>
      </c>
      <c r="CB4" s="647">
        <f>Model!CD154</f>
        <v>0</v>
      </c>
      <c r="CC4" s="647">
        <f>Model!CE154</f>
        <v>0</v>
      </c>
      <c r="CD4" s="647">
        <f>Model!CF154</f>
        <v>0</v>
      </c>
      <c r="CE4" s="647">
        <f>Model!CG154</f>
        <v>0</v>
      </c>
      <c r="CF4" s="647">
        <f>Model!CH154</f>
        <v>0</v>
      </c>
      <c r="CG4" s="647">
        <f>Model!CI154</f>
        <v>0</v>
      </c>
      <c r="CH4" s="647">
        <f>Model!CJ154</f>
        <v>0</v>
      </c>
    </row>
    <row r="5" ht="15" customFormat="1" customHeight="1" s="381">
      <c r="A5" s="648" t="inlineStr">
        <is>
          <t xml:space="preserve">  Net to Six Peak</t>
        </is>
      </c>
      <c r="B5" s="648" t="n"/>
      <c r="C5" s="649">
        <f>C4</f>
        <v>9375</v>
      </c>
      <c r="D5" s="649">
        <f>D4</f>
        <v>9375</v>
      </c>
      <c r="E5" s="649">
        <f>E4</f>
        <v>9375</v>
      </c>
      <c r="F5" s="649">
        <f>F4</f>
        <v>9375</v>
      </c>
      <c r="G5" s="649">
        <f>G4</f>
        <v>9375</v>
      </c>
      <c r="H5" s="649">
        <f>H4</f>
        <v>9375</v>
      </c>
      <c r="I5" s="649">
        <f>I4</f>
        <v>9375</v>
      </c>
      <c r="J5" s="649">
        <f>J4</f>
        <v>0</v>
      </c>
      <c r="K5" s="649">
        <f>K4</f>
        <v>0</v>
      </c>
      <c r="L5" s="649">
        <f>L4</f>
        <v>0</v>
      </c>
      <c r="M5" s="649">
        <f>M4</f>
        <v>0</v>
      </c>
      <c r="N5" s="649">
        <f>N4</f>
        <v>0</v>
      </c>
      <c r="O5" s="649">
        <f>O4</f>
        <v>0</v>
      </c>
      <c r="P5" s="649">
        <f>P4</f>
        <v>0</v>
      </c>
      <c r="Q5" s="649">
        <f>Q4</f>
        <v>0</v>
      </c>
      <c r="R5" s="649">
        <f>R4</f>
        <v>0</v>
      </c>
      <c r="S5" s="649">
        <f>S4</f>
        <v>0</v>
      </c>
      <c r="T5" s="649">
        <f>T4</f>
        <v>0</v>
      </c>
      <c r="U5" s="649">
        <f>U4</f>
        <v>0</v>
      </c>
      <c r="V5" s="649">
        <f>V4</f>
        <v>0</v>
      </c>
      <c r="W5" s="649">
        <f>W4</f>
        <v>0</v>
      </c>
      <c r="X5" s="649">
        <f>X4</f>
        <v>0</v>
      </c>
      <c r="Y5" s="649">
        <f>Y4</f>
        <v>0</v>
      </c>
      <c r="Z5" s="649">
        <f>Z4</f>
        <v>0</v>
      </c>
      <c r="AA5" s="649">
        <f>AA4</f>
        <v>0</v>
      </c>
      <c r="AB5" s="649">
        <f>AB4</f>
        <v>0</v>
      </c>
      <c r="AC5" s="649">
        <f>AC4</f>
        <v>0</v>
      </c>
      <c r="AD5" s="649">
        <f>AD4</f>
        <v>0</v>
      </c>
      <c r="AE5" s="649">
        <f>AE4</f>
        <v>0</v>
      </c>
      <c r="AF5" s="649">
        <f>AF4</f>
        <v>0</v>
      </c>
      <c r="AG5" s="649">
        <f>AG4</f>
        <v>0</v>
      </c>
      <c r="AH5" s="649">
        <f>AH4</f>
        <v>0</v>
      </c>
      <c r="AI5" s="649">
        <f>AI4</f>
        <v>0</v>
      </c>
      <c r="AJ5" s="649">
        <f>AJ4</f>
        <v>0</v>
      </c>
      <c r="AK5" s="649">
        <f>AK4</f>
        <v>0</v>
      </c>
      <c r="AL5" s="649">
        <f>AL4</f>
        <v>0</v>
      </c>
      <c r="AM5" s="649">
        <f>AM4</f>
        <v>0</v>
      </c>
      <c r="AN5" s="649">
        <f>AN4</f>
        <v>0</v>
      </c>
      <c r="AO5" s="649">
        <f>AO4</f>
        <v>0</v>
      </c>
      <c r="AP5" s="649">
        <f>AP4</f>
        <v>0</v>
      </c>
      <c r="AQ5" s="649">
        <f>AQ4</f>
        <v>0</v>
      </c>
      <c r="AR5" s="649">
        <f>AR4</f>
        <v>0</v>
      </c>
      <c r="AS5" s="649">
        <f>AS4</f>
        <v>0</v>
      </c>
      <c r="AT5" s="649">
        <f>AT4</f>
        <v>0</v>
      </c>
      <c r="AU5" s="649">
        <f>AU4</f>
        <v>0</v>
      </c>
      <c r="AV5" s="649">
        <f>AV4</f>
        <v>0</v>
      </c>
      <c r="AW5" s="649">
        <f>AW4</f>
        <v>0</v>
      </c>
      <c r="AX5" s="649">
        <f>AX4</f>
        <v>0</v>
      </c>
      <c r="AY5" s="649">
        <f>AY4</f>
        <v>0</v>
      </c>
      <c r="AZ5" s="649">
        <f>AZ4</f>
        <v>0</v>
      </c>
      <c r="BA5" s="649">
        <f>BA4</f>
        <v>0</v>
      </c>
      <c r="BB5" s="649">
        <f>BB4</f>
        <v>0</v>
      </c>
      <c r="BC5" s="649">
        <f>BC4</f>
        <v>0</v>
      </c>
      <c r="BD5" s="649">
        <f>BD4</f>
        <v>0</v>
      </c>
      <c r="BE5" s="649">
        <f>BE4</f>
        <v>0</v>
      </c>
      <c r="BF5" s="649">
        <f>BF4</f>
        <v>0</v>
      </c>
      <c r="BG5" s="649">
        <f>BG4</f>
        <v>0</v>
      </c>
      <c r="BH5" s="649">
        <f>BH4</f>
        <v>0</v>
      </c>
      <c r="BI5" s="649">
        <f>BI4</f>
        <v>0</v>
      </c>
      <c r="BJ5" s="649">
        <f>BJ4</f>
        <v>0</v>
      </c>
      <c r="BK5" s="649">
        <f>BK4</f>
        <v>0</v>
      </c>
      <c r="BL5" s="649">
        <f>BL4</f>
        <v>0</v>
      </c>
      <c r="BM5" s="649">
        <f>BM4</f>
        <v>0</v>
      </c>
      <c r="BN5" s="649">
        <f>BN4</f>
        <v>0</v>
      </c>
      <c r="BO5" s="649">
        <f>BO4</f>
        <v>0</v>
      </c>
      <c r="BP5" s="649">
        <f>BP4</f>
        <v>0</v>
      </c>
      <c r="BQ5" s="649">
        <f>BQ4</f>
        <v>0</v>
      </c>
      <c r="BR5" s="649">
        <f>BR4</f>
        <v>0</v>
      </c>
      <c r="BS5" s="649">
        <f>BS4</f>
        <v>0</v>
      </c>
      <c r="BT5" s="649">
        <f>BT4</f>
        <v>0</v>
      </c>
      <c r="BU5" s="649">
        <f>BU4</f>
        <v>0</v>
      </c>
      <c r="BV5" s="649">
        <f>BV4</f>
        <v>0</v>
      </c>
      <c r="BW5" s="649">
        <f>BW4</f>
        <v>0</v>
      </c>
      <c r="BX5" s="649">
        <f>BX4</f>
        <v>0</v>
      </c>
      <c r="BY5" s="649">
        <f>BY4</f>
        <v>0</v>
      </c>
      <c r="BZ5" s="649">
        <f>BZ4</f>
        <v>0</v>
      </c>
      <c r="CA5" s="649">
        <f>CA4</f>
        <v>0</v>
      </c>
      <c r="CB5" s="649">
        <f>CB4</f>
        <v>0</v>
      </c>
      <c r="CC5" s="649">
        <f>CC4</f>
        <v>0</v>
      </c>
      <c r="CD5" s="649">
        <f>CD4</f>
        <v>0</v>
      </c>
      <c r="CE5" s="649">
        <f>CE4</f>
        <v>0</v>
      </c>
      <c r="CF5" s="649">
        <f>CF4</f>
        <v>0</v>
      </c>
      <c r="CG5" s="649">
        <f>CG4</f>
        <v>0</v>
      </c>
      <c r="CH5" s="649">
        <f>CH4</f>
        <v>0</v>
      </c>
    </row>
    <row r="6" ht="15" customFormat="1" customHeight="1" s="381">
      <c r="A6" s="382" t="inlineStr">
        <is>
          <t xml:space="preserve">  Cumulative Net</t>
        </is>
      </c>
      <c r="B6" s="383" t="n"/>
      <c r="C6" s="650">
        <f>C5</f>
        <v>9375</v>
      </c>
      <c r="D6" s="650">
        <f>C6+D5</f>
        <v>18750</v>
      </c>
      <c r="E6" s="650">
        <f>D6+E5</f>
        <v>28125</v>
      </c>
      <c r="F6" s="650">
        <f>E6+F5</f>
        <v>37500</v>
      </c>
      <c r="G6" s="650">
        <f>F6+G5</f>
        <v>46875</v>
      </c>
      <c r="H6" s="650">
        <f>G6+H5</f>
        <v>56250</v>
      </c>
      <c r="I6" s="650">
        <f>H6+I5</f>
        <v>65625</v>
      </c>
      <c r="J6" s="650">
        <f>I6+J5</f>
        <v>65625</v>
      </c>
      <c r="K6" s="650">
        <f>J6+K5</f>
        <v>65625</v>
      </c>
      <c r="L6" s="650">
        <f>K6+L5</f>
        <v>65625</v>
      </c>
      <c r="M6" s="650">
        <f>L6+M5</f>
        <v>65625</v>
      </c>
      <c r="N6" s="650">
        <f>M6+N5</f>
        <v>65625</v>
      </c>
      <c r="O6" s="650">
        <f>N6+O5</f>
        <v>65625</v>
      </c>
      <c r="P6" s="650">
        <f>O6+P5</f>
        <v>65625</v>
      </c>
      <c r="Q6" s="650">
        <f>P6+Q5</f>
        <v>65625</v>
      </c>
      <c r="R6" s="650">
        <f>Q6+R5</f>
        <v>65625</v>
      </c>
      <c r="S6" s="650">
        <f>R6+S5</f>
        <v>65625</v>
      </c>
      <c r="T6" s="650">
        <f>S6+T5</f>
        <v>65625</v>
      </c>
      <c r="U6" s="650">
        <f>T6+U5</f>
        <v>65625</v>
      </c>
      <c r="V6" s="650">
        <f>U6+V5</f>
        <v>65625</v>
      </c>
      <c r="W6" s="650">
        <f>V6+W5</f>
        <v>65625</v>
      </c>
      <c r="X6" s="650">
        <f>W6+X5</f>
        <v>65625</v>
      </c>
      <c r="Y6" s="650">
        <f>X6+Y5</f>
        <v>65625</v>
      </c>
      <c r="Z6" s="650">
        <f>Y6+Z5</f>
        <v>65625</v>
      </c>
      <c r="AA6" s="650">
        <f>Z6+AA5</f>
        <v>65625</v>
      </c>
      <c r="AB6" s="650">
        <f>AA6+AB5</f>
        <v>65625</v>
      </c>
      <c r="AC6" s="650">
        <f>AB6+AC5</f>
        <v>65625</v>
      </c>
      <c r="AD6" s="650">
        <f>AC6+AD5</f>
        <v>65625</v>
      </c>
      <c r="AE6" s="650">
        <f>AD6+AE5</f>
        <v>65625</v>
      </c>
      <c r="AF6" s="650">
        <f>AE6+AF5</f>
        <v>65625</v>
      </c>
      <c r="AG6" s="650">
        <f>AF6+AG5</f>
        <v>65625</v>
      </c>
      <c r="AH6" s="650">
        <f>AG6+AH5</f>
        <v>65625</v>
      </c>
      <c r="AI6" s="650">
        <f>AH6+AI5</f>
        <v>65625</v>
      </c>
      <c r="AJ6" s="650">
        <f>AI6+AJ5</f>
        <v>65625</v>
      </c>
      <c r="AK6" s="650">
        <f>AJ6+AK5</f>
        <v>65625</v>
      </c>
      <c r="AL6" s="650">
        <f>AK6+AL5</f>
        <v>65625</v>
      </c>
      <c r="AM6" s="650">
        <f>AL6+AM5</f>
        <v>65625</v>
      </c>
      <c r="AN6" s="650">
        <f>AM6+AN5</f>
        <v>65625</v>
      </c>
      <c r="AO6" s="650">
        <f>AN6+AO5</f>
        <v>65625</v>
      </c>
      <c r="AP6" s="650">
        <f>AO6+AP5</f>
        <v>65625</v>
      </c>
      <c r="AQ6" s="650">
        <f>AP6+AQ5</f>
        <v>65625</v>
      </c>
      <c r="AR6" s="650">
        <f>AQ6+AR5</f>
        <v>65625</v>
      </c>
      <c r="AS6" s="650">
        <f>AR6+AS5</f>
        <v>65625</v>
      </c>
      <c r="AT6" s="650">
        <f>AS6+AT5</f>
        <v>65625</v>
      </c>
      <c r="AU6" s="650">
        <f>AT6+AU5</f>
        <v>65625</v>
      </c>
      <c r="AV6" s="650">
        <f>AU6+AV5</f>
        <v>65625</v>
      </c>
      <c r="AW6" s="650">
        <f>AV6+AW5</f>
        <v>65625</v>
      </c>
      <c r="AX6" s="650">
        <f>AW6+AX5</f>
        <v>65625</v>
      </c>
      <c r="AY6" s="650">
        <f>AX6+AY5</f>
        <v>65625</v>
      </c>
      <c r="AZ6" s="650">
        <f>AY6+AZ5</f>
        <v>65625</v>
      </c>
      <c r="BA6" s="650">
        <f>AZ6+BA5</f>
        <v>65625</v>
      </c>
      <c r="BB6" s="650">
        <f>BA6+BB5</f>
        <v>65625</v>
      </c>
      <c r="BC6" s="650">
        <f>BB6+BC5</f>
        <v>65625</v>
      </c>
      <c r="BD6" s="650">
        <f>BC6+BD5</f>
        <v>65625</v>
      </c>
      <c r="BE6" s="650">
        <f>BD6+BE5</f>
        <v>65625</v>
      </c>
      <c r="BF6" s="650">
        <f>BE6+BF5</f>
        <v>65625</v>
      </c>
      <c r="BG6" s="650">
        <f>BF6+BG5</f>
        <v>65625</v>
      </c>
      <c r="BH6" s="650">
        <f>BG6+BH5</f>
        <v>65625</v>
      </c>
      <c r="BI6" s="650">
        <f>BH6+BI5</f>
        <v>65625</v>
      </c>
      <c r="BJ6" s="650">
        <f>BI6+BJ5</f>
        <v>65625</v>
      </c>
      <c r="BK6" s="650">
        <f>BJ6+BK5</f>
        <v>65625</v>
      </c>
      <c r="BL6" s="650">
        <f>BK6+BL5</f>
        <v>65625</v>
      </c>
      <c r="BM6" s="650">
        <f>BL6+BM5</f>
        <v>65625</v>
      </c>
      <c r="BN6" s="650">
        <f>BM6+BN5</f>
        <v>65625</v>
      </c>
      <c r="BO6" s="650">
        <f>BN6+BO5</f>
        <v>65625</v>
      </c>
      <c r="BP6" s="650">
        <f>BO6+BP5</f>
        <v>65625</v>
      </c>
      <c r="BQ6" s="650">
        <f>BP6+BQ5</f>
        <v>65625</v>
      </c>
      <c r="BR6" s="650">
        <f>BQ6+BR5</f>
        <v>65625</v>
      </c>
      <c r="BS6" s="650">
        <f>BR6+BS5</f>
        <v>65625</v>
      </c>
      <c r="BT6" s="650">
        <f>BS6+BT5</f>
        <v>65625</v>
      </c>
      <c r="BU6" s="650">
        <f>BT6+BU5</f>
        <v>65625</v>
      </c>
      <c r="BV6" s="650">
        <f>BU6+BV5</f>
        <v>65625</v>
      </c>
      <c r="BW6" s="650">
        <f>BV6+BW5</f>
        <v>65625</v>
      </c>
      <c r="BX6" s="650">
        <f>BW6+BX5</f>
        <v>65625</v>
      </c>
      <c r="BY6" s="650">
        <f>BX6+BY5</f>
        <v>65625</v>
      </c>
      <c r="BZ6" s="650">
        <f>BY6+BZ5</f>
        <v>65625</v>
      </c>
      <c r="CA6" s="650">
        <f>BZ6+CA5</f>
        <v>65625</v>
      </c>
      <c r="CB6" s="650">
        <f>CA6+CB5</f>
        <v>65625</v>
      </c>
      <c r="CC6" s="650">
        <f>CB6+CC5</f>
        <v>65625</v>
      </c>
      <c r="CD6" s="650">
        <f>CC6+CD5</f>
        <v>65625</v>
      </c>
      <c r="CE6" s="650">
        <f>CD6+CE5</f>
        <v>65625</v>
      </c>
      <c r="CF6" s="650">
        <f>CE6+CF5</f>
        <v>65625</v>
      </c>
      <c r="CG6" s="650">
        <f>CF6+CG5</f>
        <v>65625</v>
      </c>
      <c r="CH6" s="650">
        <f>CG6+CH5</f>
        <v>65625</v>
      </c>
    </row>
    <row r="7" ht="15" customFormat="1" customHeight="1" s="381">
      <c r="A7" s="383" t="n"/>
      <c r="B7" s="383" t="n"/>
      <c r="C7" s="383" t="n"/>
      <c r="D7" s="383" t="n"/>
      <c r="E7" s="383" t="n"/>
      <c r="F7" s="383" t="n"/>
      <c r="G7" s="383" t="n"/>
      <c r="H7" s="383" t="n"/>
      <c r="I7" s="383" t="n"/>
      <c r="J7" s="383" t="n"/>
      <c r="K7" s="383" t="n"/>
      <c r="L7" s="383" t="n"/>
      <c r="M7" s="383" t="n"/>
      <c r="N7" s="383" t="n"/>
      <c r="O7" s="383" t="n"/>
      <c r="P7" s="383" t="n"/>
      <c r="Q7" s="383" t="n"/>
      <c r="R7" s="383" t="n"/>
      <c r="S7" s="383" t="n"/>
      <c r="T7" s="383" t="n"/>
      <c r="U7" s="383" t="n"/>
      <c r="V7" s="383" t="n"/>
      <c r="W7" s="383" t="n"/>
      <c r="X7" s="383" t="n"/>
      <c r="Y7" s="383" t="n"/>
      <c r="Z7" s="383" t="n"/>
      <c r="AA7" s="383" t="n"/>
      <c r="AB7" s="383" t="n"/>
      <c r="AC7" s="383" t="n"/>
      <c r="AD7" s="383" t="n"/>
      <c r="AE7" s="383" t="n"/>
      <c r="AF7" s="383" t="n"/>
      <c r="AG7" s="383" t="n"/>
      <c r="AH7" s="383" t="n"/>
      <c r="AI7" s="383" t="n"/>
      <c r="AJ7" s="383" t="n"/>
      <c r="AK7" s="383" t="n"/>
      <c r="AL7" s="383" t="n"/>
      <c r="AM7" s="383" t="n"/>
      <c r="AN7" s="383" t="n"/>
      <c r="AO7" s="383" t="n"/>
      <c r="AP7" s="383" t="n"/>
      <c r="AQ7" s="383" t="n"/>
      <c r="AR7" s="383" t="n"/>
      <c r="AS7" s="383" t="n"/>
      <c r="AT7" s="383" t="n"/>
      <c r="AU7" s="383" t="n"/>
      <c r="AV7" s="383" t="n"/>
      <c r="AW7" s="383" t="n"/>
      <c r="AX7" s="383" t="n"/>
      <c r="AY7" s="383" t="n"/>
      <c r="AZ7" s="383" t="n"/>
      <c r="BA7" s="383" t="n"/>
      <c r="BB7" s="383" t="n"/>
      <c r="BC7" s="383" t="n"/>
      <c r="BD7" s="383" t="n"/>
      <c r="BE7" s="383" t="n"/>
      <c r="BF7" s="383" t="n"/>
      <c r="BG7" s="383" t="n"/>
      <c r="BH7" s="383" t="n"/>
      <c r="BI7" s="383" t="n"/>
      <c r="BJ7" s="383" t="n"/>
      <c r="BK7" s="383" t="n"/>
      <c r="BL7" s="383" t="n"/>
      <c r="BM7" s="383" t="n"/>
      <c r="BN7" s="383" t="n"/>
      <c r="BO7" s="383" t="n"/>
      <c r="BP7" s="383" t="n"/>
      <c r="BQ7" s="383" t="n"/>
      <c r="BR7" s="383" t="n"/>
      <c r="BS7" s="383" t="n"/>
      <c r="BT7" s="383" t="n"/>
      <c r="BU7" s="383" t="n"/>
      <c r="BV7" s="383" t="n"/>
      <c r="BW7" s="383" t="n"/>
      <c r="BX7" s="383" t="n"/>
      <c r="BY7" s="383" t="n"/>
      <c r="BZ7" s="383" t="n"/>
      <c r="CA7" s="383" t="n"/>
      <c r="CB7" s="383" t="n"/>
      <c r="CC7" s="383" t="n"/>
      <c r="CD7" s="383" t="n"/>
      <c r="CE7" s="383" t="n"/>
      <c r="CF7" s="383" t="n"/>
      <c r="CG7" s="383" t="n"/>
      <c r="CH7" s="383" t="n"/>
    </row>
    <row r="8" ht="15" customFormat="1" customHeight="1" s="381">
      <c r="A8" s="403" t="inlineStr">
        <is>
          <t>Ramsgate</t>
        </is>
      </c>
      <c r="B8" s="403" t="n"/>
      <c r="C8" s="403" t="n"/>
      <c r="D8" s="403" t="n"/>
      <c r="E8" s="403" t="n"/>
      <c r="F8" s="403" t="n"/>
      <c r="G8" s="403" t="n"/>
      <c r="H8" s="403" t="n"/>
      <c r="I8" s="403" t="n"/>
      <c r="J8" s="403" t="n"/>
      <c r="K8" s="403" t="n"/>
      <c r="L8" s="403" t="n"/>
      <c r="M8" s="403" t="n"/>
      <c r="N8" s="403" t="n"/>
      <c r="O8" s="403" t="n"/>
      <c r="P8" s="403" t="n"/>
      <c r="Q8" s="403" t="n"/>
      <c r="R8" s="403" t="n"/>
      <c r="S8" s="403" t="n"/>
      <c r="T8" s="403" t="n"/>
      <c r="U8" s="403" t="n"/>
      <c r="V8" s="403" t="n"/>
      <c r="W8" s="403" t="n"/>
      <c r="X8" s="403" t="n"/>
      <c r="Y8" s="403" t="n"/>
      <c r="Z8" s="403" t="n"/>
      <c r="AA8" s="403" t="n"/>
      <c r="AB8" s="403" t="n"/>
      <c r="AC8" s="403" t="n"/>
      <c r="AD8" s="403" t="n"/>
      <c r="AE8" s="403" t="n"/>
      <c r="AF8" s="403" t="n"/>
      <c r="AG8" s="403" t="n"/>
      <c r="AH8" s="403" t="n"/>
      <c r="AI8" s="403" t="n"/>
      <c r="AJ8" s="403" t="n"/>
      <c r="AK8" s="403" t="n"/>
      <c r="AL8" s="403" t="n"/>
      <c r="AM8" s="403" t="n"/>
      <c r="AN8" s="403" t="n"/>
      <c r="AO8" s="403" t="n"/>
      <c r="AP8" s="403" t="n"/>
      <c r="AQ8" s="403" t="n"/>
      <c r="AR8" s="403" t="n"/>
      <c r="AS8" s="403" t="n"/>
      <c r="AT8" s="403" t="n"/>
      <c r="AU8" s="403" t="n"/>
      <c r="AV8" s="403" t="n"/>
      <c r="AW8" s="403" t="n"/>
      <c r="AX8" s="403" t="n"/>
      <c r="AY8" s="403" t="n"/>
      <c r="AZ8" s="403" t="n"/>
      <c r="BA8" s="403" t="n"/>
      <c r="BB8" s="403" t="n"/>
      <c r="BC8" s="403" t="n"/>
      <c r="BD8" s="403" t="n"/>
      <c r="BE8" s="403" t="n"/>
      <c r="BF8" s="403" t="n"/>
      <c r="BG8" s="403" t="n"/>
      <c r="BH8" s="403" t="n"/>
      <c r="BI8" s="403" t="n"/>
      <c r="BJ8" s="403" t="n"/>
      <c r="BK8" s="403" t="n"/>
      <c r="BL8" s="403" t="n"/>
      <c r="BM8" s="403" t="n"/>
      <c r="BN8" s="403" t="n"/>
      <c r="BO8" s="403" t="n"/>
      <c r="BP8" s="403" t="n"/>
      <c r="BQ8" s="403" t="n"/>
      <c r="BR8" s="403" t="n"/>
      <c r="BS8" s="403" t="n"/>
      <c r="BT8" s="403" t="n"/>
      <c r="BU8" s="403" t="n"/>
      <c r="BV8" s="403" t="n"/>
      <c r="BW8" s="403" t="n"/>
      <c r="BX8" s="403" t="n"/>
      <c r="BY8" s="403" t="n"/>
      <c r="BZ8" s="403" t="n"/>
      <c r="CA8" s="403" t="n"/>
      <c r="CB8" s="403" t="n"/>
      <c r="CC8" s="403" t="n"/>
      <c r="CD8" s="403" t="n"/>
      <c r="CE8" s="403" t="n"/>
      <c r="CF8" s="403" t="n"/>
      <c r="CG8" s="403" t="n"/>
      <c r="CH8" s="403" t="n"/>
    </row>
    <row r="9" ht="15" customFormat="1" customHeight="1" s="381">
      <c r="A9" s="461" t="inlineStr">
        <is>
          <t xml:space="preserve">  Revenue</t>
        </is>
      </c>
      <c r="B9" s="383" t="n"/>
      <c r="C9" s="647">
        <f>Model!E150+Model!E151+Model!E152+Model!E153</f>
        <v>23906.25</v>
      </c>
      <c r="D9" s="647">
        <f>Model!F150+Model!F151+Model!F152+Model!F153</f>
        <v>23906.25</v>
      </c>
      <c r="E9" s="647">
        <f>Model!G150+Model!G151+Model!G152+Model!G153</f>
        <v>23906.25</v>
      </c>
      <c r="F9" s="647">
        <f>Model!H150+Model!H151+Model!H152+Model!H153</f>
        <v>23906.25</v>
      </c>
      <c r="G9" s="647">
        <f>Model!I150+Model!I151+Model!I152+Model!I153</f>
        <v>23906.25</v>
      </c>
      <c r="H9" s="647">
        <f>Model!J150+Model!J151+Model!J152+Model!J153</f>
        <v>23906.25</v>
      </c>
      <c r="I9" s="647">
        <f>Model!K150+Model!K151+Model!K152+Model!K153</f>
        <v>23906.25</v>
      </c>
      <c r="J9" s="647">
        <f>Model!L150+Model!L151+Model!L152+Model!L153</f>
        <v>23906.25</v>
      </c>
      <c r="K9" s="647">
        <f>Model!M150+Model!M151+Model!M152+Model!M153</f>
        <v>23906.25</v>
      </c>
      <c r="L9" s="647">
        <f>Model!N150+Model!N151+Model!N152+Model!N153</f>
        <v>23906.25</v>
      </c>
      <c r="M9" s="647">
        <f>Model!O150+Model!O151+Model!O152+Model!O153</f>
        <v>23906.25</v>
      </c>
      <c r="N9" s="647">
        <f>Model!P150+Model!P151+Model!P152+Model!P153</f>
        <v>23906.25</v>
      </c>
      <c r="O9" s="647">
        <f>Model!Q150+Model!Q151+Model!Q152+Model!Q153</f>
        <v>23906.25</v>
      </c>
      <c r="P9" s="647">
        <f>Model!R150+Model!R151+Model!R152+Model!R153</f>
        <v>23906.25</v>
      </c>
      <c r="Q9" s="647">
        <f>Model!S150+Model!S151+Model!S152+Model!S153</f>
        <v>23906.25</v>
      </c>
      <c r="R9" s="647">
        <f>Model!T150+Model!T151+Model!T152+Model!T153</f>
        <v>0</v>
      </c>
      <c r="S9" s="647">
        <f>Model!U150+Model!U151+Model!U152+Model!U153</f>
        <v>0</v>
      </c>
      <c r="T9" s="647">
        <f>Model!V150+Model!V151+Model!V152+Model!V153</f>
        <v>0</v>
      </c>
      <c r="U9" s="647">
        <f>Model!W150+Model!W151+Model!W152+Model!W153</f>
        <v>0</v>
      </c>
      <c r="V9" s="647">
        <f>Model!X150+Model!X151+Model!X152+Model!X153</f>
        <v>0</v>
      </c>
      <c r="W9" s="647">
        <f>Model!Y150+Model!Y151+Model!Y152+Model!Y153</f>
        <v>57375</v>
      </c>
      <c r="X9" s="647">
        <f>Model!Z150+Model!Z151+Model!Z152+Model!Z153</f>
        <v>0</v>
      </c>
      <c r="Y9" s="647">
        <f>Model!AA150+Model!AA151+Model!AA152+Model!AA153</f>
        <v>0</v>
      </c>
      <c r="Z9" s="647">
        <f>Model!AB150+Model!AB151+Model!AB152+Model!AB153</f>
        <v>57375</v>
      </c>
      <c r="AA9" s="647">
        <f>Model!AC150+Model!AC151+Model!AC152+Model!AC153</f>
        <v>0</v>
      </c>
      <c r="AB9" s="647">
        <f>Model!AD150+Model!AD151+Model!AD152+Model!AD153</f>
        <v>0</v>
      </c>
      <c r="AC9" s="647">
        <f>Model!AE150+Model!AE151+Model!AE152+Model!AE153</f>
        <v>57375</v>
      </c>
      <c r="AD9" s="647">
        <f>Model!AF150+Model!AF151+Model!AF152+Model!AF153</f>
        <v>0</v>
      </c>
      <c r="AE9" s="647">
        <f>Model!AG150+Model!AG151+Model!AG152+Model!AG153</f>
        <v>0</v>
      </c>
      <c r="AF9" s="647">
        <f>Model!AH150+Model!AH151+Model!AH152+Model!AH153</f>
        <v>0</v>
      </c>
      <c r="AG9" s="647">
        <f>Model!AI150+Model!AI151+Model!AI152+Model!AI153</f>
        <v>0</v>
      </c>
      <c r="AH9" s="647">
        <f>Model!AJ150+Model!AJ151+Model!AJ152+Model!AJ153</f>
        <v>0</v>
      </c>
      <c r="AI9" s="647">
        <f>Model!AK150+Model!AK151+Model!AK152+Model!AK153</f>
        <v>0</v>
      </c>
      <c r="AJ9" s="647">
        <f>Model!AL150+Model!AL151+Model!AL152+Model!AL153</f>
        <v>0</v>
      </c>
      <c r="AK9" s="647">
        <f>Model!AM150+Model!AM151+Model!AM152+Model!AM153</f>
        <v>0</v>
      </c>
      <c r="AL9" s="647">
        <f>Model!AN150+Model!AN151+Model!AN152+Model!AN153</f>
        <v>0</v>
      </c>
      <c r="AM9" s="647">
        <f>Model!AO150+Model!AO151+Model!AO152+Model!AO153</f>
        <v>0</v>
      </c>
      <c r="AN9" s="647">
        <f>Model!AP150+Model!AP151+Model!AP152+Model!AP153</f>
        <v>0</v>
      </c>
      <c r="AO9" s="647">
        <f>Model!AQ150+Model!AQ151+Model!AQ152+Model!AQ153</f>
        <v>0</v>
      </c>
      <c r="AP9" s="647">
        <f>Model!AR150+Model!AR151+Model!AR152+Model!AR153</f>
        <v>0</v>
      </c>
      <c r="AQ9" s="647">
        <f>Model!AS150+Model!AS151+Model!AS152+Model!AS153</f>
        <v>0</v>
      </c>
      <c r="AR9" s="647">
        <f>Model!AT150+Model!AT151+Model!AT152+Model!AT153</f>
        <v>0</v>
      </c>
      <c r="AS9" s="647">
        <f>Model!AU150+Model!AU151+Model!AU152+Model!AU153</f>
        <v>0</v>
      </c>
      <c r="AT9" s="647">
        <f>Model!AV150+Model!AV151+Model!AV152+Model!AV153</f>
        <v>0</v>
      </c>
      <c r="AU9" s="647">
        <f>Model!AW150+Model!AW151+Model!AW152+Model!AW153</f>
        <v>0</v>
      </c>
      <c r="AV9" s="647">
        <f>Model!AX150+Model!AX151+Model!AX152+Model!AX153</f>
        <v>0</v>
      </c>
      <c r="AW9" s="647">
        <f>Model!AY150+Model!AY151+Model!AY152+Model!AY153</f>
        <v>0</v>
      </c>
      <c r="AX9" s="647">
        <f>Model!AZ150+Model!AZ151+Model!AZ152+Model!AZ153</f>
        <v>0</v>
      </c>
      <c r="AY9" s="647">
        <f>Model!BA150+Model!BA151+Model!BA152+Model!BA153</f>
        <v>0</v>
      </c>
      <c r="AZ9" s="647">
        <f>Model!BB150+Model!BB151+Model!BB152+Model!BB153</f>
        <v>0</v>
      </c>
      <c r="BA9" s="647">
        <f>Model!BC150+Model!BC151+Model!BC152+Model!BC153</f>
        <v>0</v>
      </c>
      <c r="BB9" s="647">
        <f>Model!BD150+Model!BD151+Model!BD152+Model!BD153</f>
        <v>0</v>
      </c>
      <c r="BC9" s="647">
        <f>Model!BE150+Model!BE151+Model!BE152+Model!BE153</f>
        <v>0</v>
      </c>
      <c r="BD9" s="647">
        <f>Model!BF150+Model!BF151+Model!BF152+Model!BF153</f>
        <v>0</v>
      </c>
      <c r="BE9" s="647">
        <f>Model!BG150+Model!BG151+Model!BG152+Model!BG153</f>
        <v>0</v>
      </c>
      <c r="BF9" s="647">
        <f>Model!BH150+Model!BH151+Model!BH152+Model!BH153</f>
        <v>0</v>
      </c>
      <c r="BG9" s="647">
        <f>Model!BI150+Model!BI151+Model!BI152+Model!BI153</f>
        <v>0</v>
      </c>
      <c r="BH9" s="647">
        <f>Model!BJ150+Model!BJ151+Model!BJ152+Model!BJ153</f>
        <v>0</v>
      </c>
      <c r="BI9" s="647">
        <f>Model!BK150+Model!BK151+Model!BK152+Model!BK153</f>
        <v>0</v>
      </c>
      <c r="BJ9" s="647">
        <f>Model!BL150+Model!BL151+Model!BL152+Model!BL153</f>
        <v>0</v>
      </c>
      <c r="BK9" s="647">
        <f>Model!BM150+Model!BM151+Model!BM152+Model!BM153</f>
        <v>0</v>
      </c>
      <c r="BL9" s="647">
        <f>Model!BN150+Model!BN151+Model!BN152+Model!BN153</f>
        <v>0</v>
      </c>
      <c r="BM9" s="647">
        <f>Model!BO150+Model!BO151+Model!BO152+Model!BO153</f>
        <v>0</v>
      </c>
      <c r="BN9" s="647">
        <f>Model!BP150+Model!BP151+Model!BP152+Model!BP153</f>
        <v>0</v>
      </c>
      <c r="BO9" s="647">
        <f>Model!BQ150+Model!BQ151+Model!BQ152+Model!BQ153</f>
        <v>0</v>
      </c>
      <c r="BP9" s="647">
        <f>Model!BR150+Model!BR151+Model!BR152+Model!BR153</f>
        <v>0</v>
      </c>
      <c r="BQ9" s="647">
        <f>Model!BS150+Model!BS151+Model!BS152+Model!BS153</f>
        <v>0</v>
      </c>
      <c r="BR9" s="647">
        <f>Model!BT150+Model!BT151+Model!BT152+Model!BT153</f>
        <v>0</v>
      </c>
      <c r="BS9" s="647">
        <f>Model!BU150+Model!BU151+Model!BU152+Model!BU153</f>
        <v>0</v>
      </c>
      <c r="BT9" s="647">
        <f>Model!BV150+Model!BV151+Model!BV152+Model!BV153</f>
        <v>0</v>
      </c>
      <c r="BU9" s="647">
        <f>Model!BW150+Model!BW151+Model!BW152+Model!BW153</f>
        <v>0</v>
      </c>
      <c r="BV9" s="647">
        <f>Model!BX150+Model!BX151+Model!BX152+Model!BX153</f>
        <v>0</v>
      </c>
      <c r="BW9" s="647">
        <f>Model!BY150+Model!BY151+Model!BY152+Model!BY153</f>
        <v>0</v>
      </c>
      <c r="BX9" s="647">
        <f>Model!BZ150+Model!BZ151+Model!BZ152+Model!BZ153</f>
        <v>0</v>
      </c>
      <c r="BY9" s="647">
        <f>Model!CA150+Model!CA151+Model!CA152+Model!CA153</f>
        <v>0</v>
      </c>
      <c r="BZ9" s="647">
        <f>Model!CB150+Model!CB151+Model!CB152+Model!CB153</f>
        <v>0</v>
      </c>
      <c r="CA9" s="647">
        <f>Model!CC150+Model!CC151+Model!CC152+Model!CC153</f>
        <v>0</v>
      </c>
      <c r="CB9" s="647">
        <f>Model!CD150+Model!CD151+Model!CD152+Model!CD153</f>
        <v>0</v>
      </c>
      <c r="CC9" s="647">
        <f>Model!CE150+Model!CE151+Model!CE152+Model!CE153</f>
        <v>0</v>
      </c>
      <c r="CD9" s="647">
        <f>Model!CF150+Model!CF151+Model!CF152+Model!CF153</f>
        <v>0</v>
      </c>
      <c r="CE9" s="647">
        <f>Model!CG150+Model!CG151+Model!CG152+Model!CG153</f>
        <v>0</v>
      </c>
      <c r="CF9" s="647">
        <f>Model!CH150+Model!CH151+Model!CH152+Model!CH153</f>
        <v>0</v>
      </c>
      <c r="CG9" s="647">
        <f>Model!CI150+Model!CI151+Model!CI152+Model!CI153</f>
        <v>0</v>
      </c>
      <c r="CH9" s="647">
        <f>Model!CJ150+Model!CJ151+Model!CJ152+Model!CJ153</f>
        <v>0</v>
      </c>
    </row>
    <row r="10" ht="15" customFormat="1" customHeight="1" s="381">
      <c r="A10" s="648" t="inlineStr">
        <is>
          <t xml:space="preserve">  Net to Six Peak</t>
        </is>
      </c>
      <c r="B10" s="648" t="n"/>
      <c r="C10" s="649">
        <f>C9</f>
        <v>23906.25</v>
      </c>
      <c r="D10" s="649">
        <f>D9</f>
        <v>23906.25</v>
      </c>
      <c r="E10" s="649">
        <f>E9</f>
        <v>23906.25</v>
      </c>
      <c r="F10" s="649">
        <f>F9</f>
        <v>23906.25</v>
      </c>
      <c r="G10" s="649">
        <f>G9</f>
        <v>23906.25</v>
      </c>
      <c r="H10" s="649">
        <f>H9</f>
        <v>23906.25</v>
      </c>
      <c r="I10" s="649">
        <f>I9</f>
        <v>23906.25</v>
      </c>
      <c r="J10" s="649">
        <f>J9</f>
        <v>23906.25</v>
      </c>
      <c r="K10" s="649">
        <f>K9</f>
        <v>23906.25</v>
      </c>
      <c r="L10" s="649">
        <f>L9</f>
        <v>23906.25</v>
      </c>
      <c r="M10" s="649">
        <f>M9</f>
        <v>23906.25</v>
      </c>
      <c r="N10" s="649">
        <f>N9</f>
        <v>23906.25</v>
      </c>
      <c r="O10" s="649">
        <f>O9</f>
        <v>23906.25</v>
      </c>
      <c r="P10" s="649">
        <f>P9</f>
        <v>23906.25</v>
      </c>
      <c r="Q10" s="649">
        <f>Q9</f>
        <v>23906.25</v>
      </c>
      <c r="R10" s="649">
        <f>R9</f>
        <v>0</v>
      </c>
      <c r="S10" s="649">
        <f>S9</f>
        <v>0</v>
      </c>
      <c r="T10" s="649">
        <f>T9</f>
        <v>0</v>
      </c>
      <c r="U10" s="649">
        <f>U9</f>
        <v>0</v>
      </c>
      <c r="V10" s="649">
        <f>V9</f>
        <v>0</v>
      </c>
      <c r="W10" s="649">
        <f>W9</f>
        <v>57375</v>
      </c>
      <c r="X10" s="649">
        <f>X9</f>
        <v>0</v>
      </c>
      <c r="Y10" s="649">
        <f>Y9</f>
        <v>0</v>
      </c>
      <c r="Z10" s="649">
        <f>Z9</f>
        <v>57375</v>
      </c>
      <c r="AA10" s="649">
        <f>AA9</f>
        <v>0</v>
      </c>
      <c r="AB10" s="649">
        <f>AB9</f>
        <v>0</v>
      </c>
      <c r="AC10" s="649">
        <f>AC9</f>
        <v>57375</v>
      </c>
      <c r="AD10" s="649">
        <f>AD9</f>
        <v>0</v>
      </c>
      <c r="AE10" s="649">
        <f>AE9</f>
        <v>0</v>
      </c>
      <c r="AF10" s="649">
        <f>AF9</f>
        <v>0</v>
      </c>
      <c r="AG10" s="649">
        <f>AG9</f>
        <v>0</v>
      </c>
      <c r="AH10" s="649">
        <f>AH9</f>
        <v>0</v>
      </c>
      <c r="AI10" s="649">
        <f>AI9</f>
        <v>0</v>
      </c>
      <c r="AJ10" s="649">
        <f>AJ9</f>
        <v>0</v>
      </c>
      <c r="AK10" s="649">
        <f>AK9</f>
        <v>0</v>
      </c>
      <c r="AL10" s="649">
        <f>AL9</f>
        <v>0</v>
      </c>
      <c r="AM10" s="649">
        <f>AM9</f>
        <v>0</v>
      </c>
      <c r="AN10" s="649">
        <f>AN9</f>
        <v>0</v>
      </c>
      <c r="AO10" s="649">
        <f>AO9</f>
        <v>0</v>
      </c>
      <c r="AP10" s="649">
        <f>AP9</f>
        <v>0</v>
      </c>
      <c r="AQ10" s="649">
        <f>AQ9</f>
        <v>0</v>
      </c>
      <c r="AR10" s="649">
        <f>AR9</f>
        <v>0</v>
      </c>
      <c r="AS10" s="649">
        <f>AS9</f>
        <v>0</v>
      </c>
      <c r="AT10" s="649">
        <f>AT9</f>
        <v>0</v>
      </c>
      <c r="AU10" s="649">
        <f>AU9</f>
        <v>0</v>
      </c>
      <c r="AV10" s="649">
        <f>AV9</f>
        <v>0</v>
      </c>
      <c r="AW10" s="649">
        <f>AW9</f>
        <v>0</v>
      </c>
      <c r="AX10" s="649">
        <f>AX9</f>
        <v>0</v>
      </c>
      <c r="AY10" s="649">
        <f>AY9</f>
        <v>0</v>
      </c>
      <c r="AZ10" s="649">
        <f>AZ9</f>
        <v>0</v>
      </c>
      <c r="BA10" s="649">
        <f>BA9</f>
        <v>0</v>
      </c>
      <c r="BB10" s="649">
        <f>BB9</f>
        <v>0</v>
      </c>
      <c r="BC10" s="649">
        <f>BC9</f>
        <v>0</v>
      </c>
      <c r="BD10" s="649">
        <f>BD9</f>
        <v>0</v>
      </c>
      <c r="BE10" s="649">
        <f>BE9</f>
        <v>0</v>
      </c>
      <c r="BF10" s="649">
        <f>BF9</f>
        <v>0</v>
      </c>
      <c r="BG10" s="649">
        <f>BG9</f>
        <v>0</v>
      </c>
      <c r="BH10" s="649">
        <f>BH9</f>
        <v>0</v>
      </c>
      <c r="BI10" s="649">
        <f>BI9</f>
        <v>0</v>
      </c>
      <c r="BJ10" s="649">
        <f>BJ9</f>
        <v>0</v>
      </c>
      <c r="BK10" s="649">
        <f>BK9</f>
        <v>0</v>
      </c>
      <c r="BL10" s="649">
        <f>BL9</f>
        <v>0</v>
      </c>
      <c r="BM10" s="649">
        <f>BM9</f>
        <v>0</v>
      </c>
      <c r="BN10" s="649">
        <f>BN9</f>
        <v>0</v>
      </c>
      <c r="BO10" s="649">
        <f>BO9</f>
        <v>0</v>
      </c>
      <c r="BP10" s="649">
        <f>BP9</f>
        <v>0</v>
      </c>
      <c r="BQ10" s="649">
        <f>BQ9</f>
        <v>0</v>
      </c>
      <c r="BR10" s="649">
        <f>BR9</f>
        <v>0</v>
      </c>
      <c r="BS10" s="649">
        <f>BS9</f>
        <v>0</v>
      </c>
      <c r="BT10" s="649">
        <f>BT9</f>
        <v>0</v>
      </c>
      <c r="BU10" s="649">
        <f>BU9</f>
        <v>0</v>
      </c>
      <c r="BV10" s="649">
        <f>BV9</f>
        <v>0</v>
      </c>
      <c r="BW10" s="649">
        <f>BW9</f>
        <v>0</v>
      </c>
      <c r="BX10" s="649">
        <f>BX9</f>
        <v>0</v>
      </c>
      <c r="BY10" s="649">
        <f>BY9</f>
        <v>0</v>
      </c>
      <c r="BZ10" s="649">
        <f>BZ9</f>
        <v>0</v>
      </c>
      <c r="CA10" s="649">
        <f>CA9</f>
        <v>0</v>
      </c>
      <c r="CB10" s="649">
        <f>CB9</f>
        <v>0</v>
      </c>
      <c r="CC10" s="649">
        <f>CC9</f>
        <v>0</v>
      </c>
      <c r="CD10" s="649">
        <f>CD9</f>
        <v>0</v>
      </c>
      <c r="CE10" s="649">
        <f>CE9</f>
        <v>0</v>
      </c>
      <c r="CF10" s="649">
        <f>CF9</f>
        <v>0</v>
      </c>
      <c r="CG10" s="649">
        <f>CG9</f>
        <v>0</v>
      </c>
      <c r="CH10" s="649">
        <f>CH9</f>
        <v>0</v>
      </c>
    </row>
    <row r="11" ht="15" customFormat="1" customHeight="1" s="381">
      <c r="A11" s="382" t="inlineStr">
        <is>
          <t xml:space="preserve">  Cumulative Net</t>
        </is>
      </c>
      <c r="B11" s="383" t="n"/>
      <c r="C11" s="650">
        <f>C10</f>
        <v>23906.25</v>
      </c>
      <c r="D11" s="650">
        <f>C11+D10</f>
        <v>47812.5</v>
      </c>
      <c r="E11" s="650">
        <f>D11+E10</f>
        <v>71718.75</v>
      </c>
      <c r="F11" s="650">
        <f>E11+F10</f>
        <v>95625</v>
      </c>
      <c r="G11" s="650">
        <f>F11+G10</f>
        <v>119531.25</v>
      </c>
      <c r="H11" s="650">
        <f>G11+H10</f>
        <v>143437.5</v>
      </c>
      <c r="I11" s="650">
        <f>H11+I10</f>
        <v>167343.75</v>
      </c>
      <c r="J11" s="650">
        <f>I11+J10</f>
        <v>191250</v>
      </c>
      <c r="K11" s="650">
        <f>J11+K10</f>
        <v>215156.25</v>
      </c>
      <c r="L11" s="650">
        <f>K11+L10</f>
        <v>239062.5</v>
      </c>
      <c r="M11" s="650">
        <f>L11+M10</f>
        <v>262968.75</v>
      </c>
      <c r="N11" s="650">
        <f>M11+N10</f>
        <v>286875</v>
      </c>
      <c r="O11" s="650">
        <f>N11+O10</f>
        <v>310781.25</v>
      </c>
      <c r="P11" s="650">
        <f>O11+P10</f>
        <v>334687.5</v>
      </c>
      <c r="Q11" s="650">
        <f>P11+Q10</f>
        <v>358593.75</v>
      </c>
      <c r="R11" s="650">
        <f>Q11+R10</f>
        <v>358593.75</v>
      </c>
      <c r="S11" s="650">
        <f>R11+S10</f>
        <v>358593.75</v>
      </c>
      <c r="T11" s="650">
        <f>S11+T10</f>
        <v>358593.75</v>
      </c>
      <c r="U11" s="650">
        <f>T11+U10</f>
        <v>358593.75</v>
      </c>
      <c r="V11" s="650">
        <f>U11+V10</f>
        <v>358593.75</v>
      </c>
      <c r="W11" s="650">
        <f>V11+W10</f>
        <v>415968.75</v>
      </c>
      <c r="X11" s="650">
        <f>W11+X10</f>
        <v>415968.75</v>
      </c>
      <c r="Y11" s="650">
        <f>X11+Y10</f>
        <v>415968.75</v>
      </c>
      <c r="Z11" s="650">
        <f>Y11+Z10</f>
        <v>473343.75</v>
      </c>
      <c r="AA11" s="650">
        <f>Z11+AA10</f>
        <v>473343.75</v>
      </c>
      <c r="AB11" s="650">
        <f>AA11+AB10</f>
        <v>473343.75</v>
      </c>
      <c r="AC11" s="650">
        <f>AB11+AC10</f>
        <v>530718.75</v>
      </c>
      <c r="AD11" s="650">
        <f>AC11+AD10</f>
        <v>530718.75</v>
      </c>
      <c r="AE11" s="650">
        <f>AD11+AE10</f>
        <v>530718.75</v>
      </c>
      <c r="AF11" s="650">
        <f>AE11+AF10</f>
        <v>530718.75</v>
      </c>
      <c r="AG11" s="650">
        <f>AF11+AG10</f>
        <v>530718.75</v>
      </c>
      <c r="AH11" s="650">
        <f>AG11+AH10</f>
        <v>530718.75</v>
      </c>
      <c r="AI11" s="650">
        <f>AH11+AI10</f>
        <v>530718.75</v>
      </c>
      <c r="AJ11" s="650">
        <f>AI11+AJ10</f>
        <v>530718.75</v>
      </c>
      <c r="AK11" s="650">
        <f>AJ11+AK10</f>
        <v>530718.75</v>
      </c>
      <c r="AL11" s="650">
        <f>AK11+AL10</f>
        <v>530718.75</v>
      </c>
      <c r="AM11" s="650">
        <f>AL11+AM10</f>
        <v>530718.75</v>
      </c>
      <c r="AN11" s="650">
        <f>AM11+AN10</f>
        <v>530718.75</v>
      </c>
      <c r="AO11" s="650">
        <f>AN11+AO10</f>
        <v>530718.75</v>
      </c>
      <c r="AP11" s="650">
        <f>AO11+AP10</f>
        <v>530718.75</v>
      </c>
      <c r="AQ11" s="650">
        <f>AP11+AQ10</f>
        <v>530718.75</v>
      </c>
      <c r="AR11" s="650">
        <f>AQ11+AR10</f>
        <v>530718.75</v>
      </c>
      <c r="AS11" s="650">
        <f>AR11+AS10</f>
        <v>530718.75</v>
      </c>
      <c r="AT11" s="650">
        <f>AS11+AT10</f>
        <v>530718.75</v>
      </c>
      <c r="AU11" s="650">
        <f>AT11+AU10</f>
        <v>530718.75</v>
      </c>
      <c r="AV11" s="650">
        <f>AU11+AV10</f>
        <v>530718.75</v>
      </c>
      <c r="AW11" s="650">
        <f>AV11+AW10</f>
        <v>530718.75</v>
      </c>
      <c r="AX11" s="650">
        <f>AW11+AX10</f>
        <v>530718.75</v>
      </c>
      <c r="AY11" s="650">
        <f>AX11+AY10</f>
        <v>530718.75</v>
      </c>
      <c r="AZ11" s="650">
        <f>AY11+AZ10</f>
        <v>530718.75</v>
      </c>
      <c r="BA11" s="650">
        <f>AZ11+BA10</f>
        <v>530718.75</v>
      </c>
      <c r="BB11" s="650">
        <f>BA11+BB10</f>
        <v>530718.75</v>
      </c>
      <c r="BC11" s="650">
        <f>BB11+BC10</f>
        <v>530718.75</v>
      </c>
      <c r="BD11" s="650">
        <f>BC11+BD10</f>
        <v>530718.75</v>
      </c>
      <c r="BE11" s="650">
        <f>BD11+BE10</f>
        <v>530718.75</v>
      </c>
      <c r="BF11" s="650">
        <f>BE11+BF10</f>
        <v>530718.75</v>
      </c>
      <c r="BG11" s="650">
        <f>BF11+BG10</f>
        <v>530718.75</v>
      </c>
      <c r="BH11" s="650">
        <f>BG11+BH10</f>
        <v>530718.75</v>
      </c>
      <c r="BI11" s="650">
        <f>BH11+BI10</f>
        <v>530718.75</v>
      </c>
      <c r="BJ11" s="650">
        <f>BI11+BJ10</f>
        <v>530718.75</v>
      </c>
      <c r="BK11" s="650">
        <f>BJ11+BK10</f>
        <v>530718.75</v>
      </c>
      <c r="BL11" s="650">
        <f>BK11+BL10</f>
        <v>530718.75</v>
      </c>
      <c r="BM11" s="650">
        <f>BL11+BM10</f>
        <v>530718.75</v>
      </c>
      <c r="BN11" s="650">
        <f>BM11+BN10</f>
        <v>530718.75</v>
      </c>
      <c r="BO11" s="650">
        <f>BN11+BO10</f>
        <v>530718.75</v>
      </c>
      <c r="BP11" s="650">
        <f>BO11+BP10</f>
        <v>530718.75</v>
      </c>
      <c r="BQ11" s="650">
        <f>BP11+BQ10</f>
        <v>530718.75</v>
      </c>
      <c r="BR11" s="650">
        <f>BQ11+BR10</f>
        <v>530718.75</v>
      </c>
      <c r="BS11" s="650">
        <f>BR11+BS10</f>
        <v>530718.75</v>
      </c>
      <c r="BT11" s="650">
        <f>BS11+BT10</f>
        <v>530718.75</v>
      </c>
      <c r="BU11" s="650">
        <f>BT11+BU10</f>
        <v>530718.75</v>
      </c>
      <c r="BV11" s="650">
        <f>BU11+BV10</f>
        <v>530718.75</v>
      </c>
      <c r="BW11" s="650">
        <f>BV11+BW10</f>
        <v>530718.75</v>
      </c>
      <c r="BX11" s="650">
        <f>BW11+BX10</f>
        <v>530718.75</v>
      </c>
      <c r="BY11" s="650">
        <f>BX11+BY10</f>
        <v>530718.75</v>
      </c>
      <c r="BZ11" s="650">
        <f>BY11+BZ10</f>
        <v>530718.75</v>
      </c>
      <c r="CA11" s="650">
        <f>BZ11+CA10</f>
        <v>530718.75</v>
      </c>
      <c r="CB11" s="650">
        <f>CA11+CB10</f>
        <v>530718.75</v>
      </c>
      <c r="CC11" s="650">
        <f>CB11+CC10</f>
        <v>530718.75</v>
      </c>
      <c r="CD11" s="650">
        <f>CC11+CD10</f>
        <v>530718.75</v>
      </c>
      <c r="CE11" s="650">
        <f>CD11+CE10</f>
        <v>530718.75</v>
      </c>
      <c r="CF11" s="650">
        <f>CE11+CF10</f>
        <v>530718.75</v>
      </c>
      <c r="CG11" s="650">
        <f>CF11+CG10</f>
        <v>530718.75</v>
      </c>
      <c r="CH11" s="650">
        <f>CG11+CH10</f>
        <v>530718.75</v>
      </c>
    </row>
    <row r="12" ht="15" customFormat="1" customHeight="1" s="381">
      <c r="A12" s="383" t="n"/>
      <c r="B12" s="383" t="n"/>
      <c r="C12" s="383" t="n"/>
      <c r="D12" s="383" t="n"/>
      <c r="E12" s="383" t="n"/>
      <c r="F12" s="383" t="n"/>
      <c r="G12" s="383" t="n"/>
      <c r="H12" s="383" t="n"/>
      <c r="I12" s="383" t="n"/>
      <c r="J12" s="383" t="n"/>
      <c r="K12" s="383" t="n"/>
      <c r="L12" s="383" t="n"/>
      <c r="M12" s="383" t="n"/>
      <c r="N12" s="383" t="n"/>
      <c r="O12" s="383" t="n"/>
      <c r="P12" s="383" t="n"/>
      <c r="Q12" s="383" t="n"/>
      <c r="R12" s="383" t="n"/>
      <c r="S12" s="383" t="n"/>
      <c r="T12" s="383" t="n"/>
      <c r="U12" s="383" t="n"/>
      <c r="V12" s="383" t="n"/>
      <c r="W12" s="383" t="n"/>
      <c r="X12" s="383" t="n"/>
      <c r="Y12" s="383" t="n"/>
      <c r="Z12" s="383" t="n"/>
      <c r="AA12" s="383" t="n"/>
      <c r="AB12" s="383" t="n"/>
      <c r="AC12" s="383" t="n"/>
      <c r="AD12" s="383" t="n"/>
      <c r="AE12" s="383" t="n"/>
      <c r="AF12" s="383" t="n"/>
      <c r="AG12" s="383" t="n"/>
      <c r="AH12" s="383" t="n"/>
      <c r="AI12" s="383" t="n"/>
      <c r="AJ12" s="383" t="n"/>
      <c r="AK12" s="383" t="n"/>
      <c r="AL12" s="383" t="n"/>
      <c r="AM12" s="383" t="n"/>
      <c r="AN12" s="383" t="n"/>
      <c r="AO12" s="383" t="n"/>
      <c r="AP12" s="383" t="n"/>
      <c r="AQ12" s="383" t="n"/>
      <c r="AR12" s="383" t="n"/>
      <c r="AS12" s="383" t="n"/>
      <c r="AT12" s="383" t="n"/>
      <c r="AU12" s="383" t="n"/>
      <c r="AV12" s="383" t="n"/>
      <c r="AW12" s="383" t="n"/>
      <c r="AX12" s="383" t="n"/>
      <c r="AY12" s="383" t="n"/>
      <c r="AZ12" s="383" t="n"/>
      <c r="BA12" s="383" t="n"/>
      <c r="BB12" s="383" t="n"/>
      <c r="BC12" s="383" t="n"/>
      <c r="BD12" s="383" t="n"/>
      <c r="BE12" s="383" t="n"/>
      <c r="BF12" s="383" t="n"/>
      <c r="BG12" s="383" t="n"/>
      <c r="BH12" s="383" t="n"/>
      <c r="BI12" s="383" t="n"/>
      <c r="BJ12" s="383" t="n"/>
      <c r="BK12" s="383" t="n"/>
      <c r="BL12" s="383" t="n"/>
      <c r="BM12" s="383" t="n"/>
      <c r="BN12" s="383" t="n"/>
      <c r="BO12" s="383" t="n"/>
      <c r="BP12" s="383" t="n"/>
      <c r="BQ12" s="383" t="n"/>
      <c r="BR12" s="383" t="n"/>
      <c r="BS12" s="383" t="n"/>
      <c r="BT12" s="383" t="n"/>
      <c r="BU12" s="383" t="n"/>
      <c r="BV12" s="383" t="n"/>
      <c r="BW12" s="383" t="n"/>
      <c r="BX12" s="383" t="n"/>
      <c r="BY12" s="383" t="n"/>
      <c r="BZ12" s="383" t="n"/>
      <c r="CA12" s="383" t="n"/>
      <c r="CB12" s="383" t="n"/>
      <c r="CC12" s="383" t="n"/>
      <c r="CD12" s="383" t="n"/>
      <c r="CE12" s="383" t="n"/>
      <c r="CF12" s="383" t="n"/>
      <c r="CG12" s="383" t="n"/>
      <c r="CH12" s="383" t="n"/>
    </row>
    <row r="13" ht="15" customFormat="1" customHeight="1" s="381">
      <c r="A13" s="403" t="inlineStr">
        <is>
          <t>Klump</t>
        </is>
      </c>
      <c r="B13" s="403" t="n"/>
      <c r="C13" s="403" t="n"/>
      <c r="D13" s="403" t="n"/>
      <c r="E13" s="403" t="n"/>
      <c r="F13" s="403" t="n"/>
      <c r="G13" s="403" t="n"/>
      <c r="H13" s="403" t="n"/>
      <c r="I13" s="403" t="n"/>
      <c r="J13" s="403" t="n"/>
      <c r="K13" s="403" t="n"/>
      <c r="L13" s="403" t="n"/>
      <c r="M13" s="403" t="n"/>
      <c r="N13" s="403" t="n"/>
      <c r="O13" s="403" t="n"/>
      <c r="P13" s="403" t="n"/>
      <c r="Q13" s="403" t="n"/>
      <c r="R13" s="403" t="n"/>
      <c r="S13" s="403" t="n"/>
      <c r="T13" s="403" t="n"/>
      <c r="U13" s="403" t="n"/>
      <c r="V13" s="403" t="n"/>
      <c r="W13" s="403" t="n"/>
      <c r="X13" s="403" t="n"/>
      <c r="Y13" s="403" t="n"/>
      <c r="Z13" s="403" t="n"/>
      <c r="AA13" s="403" t="n"/>
      <c r="AB13" s="403" t="n"/>
      <c r="AC13" s="403" t="n"/>
      <c r="AD13" s="403" t="n"/>
      <c r="AE13" s="403" t="n"/>
      <c r="AF13" s="403" t="n"/>
      <c r="AG13" s="403" t="n"/>
      <c r="AH13" s="403" t="n"/>
      <c r="AI13" s="403" t="n"/>
      <c r="AJ13" s="403" t="n"/>
      <c r="AK13" s="403" t="n"/>
      <c r="AL13" s="403" t="n"/>
      <c r="AM13" s="403" t="n"/>
      <c r="AN13" s="403" t="n"/>
      <c r="AO13" s="403" t="n"/>
      <c r="AP13" s="403" t="n"/>
      <c r="AQ13" s="403" t="n"/>
      <c r="AR13" s="403" t="n"/>
      <c r="AS13" s="403" t="n"/>
      <c r="AT13" s="403" t="n"/>
      <c r="AU13" s="403" t="n"/>
      <c r="AV13" s="403" t="n"/>
      <c r="AW13" s="403" t="n"/>
      <c r="AX13" s="403" t="n"/>
      <c r="AY13" s="403" t="n"/>
      <c r="AZ13" s="403" t="n"/>
      <c r="BA13" s="403" t="n"/>
      <c r="BB13" s="403" t="n"/>
      <c r="BC13" s="403" t="n"/>
      <c r="BD13" s="403" t="n"/>
      <c r="BE13" s="403" t="n"/>
      <c r="BF13" s="403" t="n"/>
      <c r="BG13" s="403" t="n"/>
      <c r="BH13" s="403" t="n"/>
      <c r="BI13" s="403" t="n"/>
      <c r="BJ13" s="403" t="n"/>
      <c r="BK13" s="403" t="n"/>
      <c r="BL13" s="403" t="n"/>
      <c r="BM13" s="403" t="n"/>
      <c r="BN13" s="403" t="n"/>
      <c r="BO13" s="403" t="n"/>
      <c r="BP13" s="403" t="n"/>
      <c r="BQ13" s="403" t="n"/>
      <c r="BR13" s="403" t="n"/>
      <c r="BS13" s="403" t="n"/>
      <c r="BT13" s="403" t="n"/>
      <c r="BU13" s="403" t="n"/>
      <c r="BV13" s="403" t="n"/>
      <c r="BW13" s="403" t="n"/>
      <c r="BX13" s="403" t="n"/>
      <c r="BY13" s="403" t="n"/>
      <c r="BZ13" s="403" t="n"/>
      <c r="CA13" s="403" t="n"/>
      <c r="CB13" s="403" t="n"/>
      <c r="CC13" s="403" t="n"/>
      <c r="CD13" s="403" t="n"/>
      <c r="CE13" s="403" t="n"/>
      <c r="CF13" s="403" t="n"/>
      <c r="CG13" s="403" t="n"/>
      <c r="CH13" s="403" t="n"/>
    </row>
    <row r="14" ht="15" customFormat="1" customHeight="1" s="381">
      <c r="A14" s="461" t="inlineStr">
        <is>
          <t xml:space="preserve">  Revenue</t>
        </is>
      </c>
      <c r="B14" s="383" t="n"/>
      <c r="C14" s="647">
        <f>Model!E156+Model!E157+Model!E158</f>
        <v>0</v>
      </c>
      <c r="D14" s="647">
        <f>Model!F156+Model!F157+Model!F158</f>
        <v>0</v>
      </c>
      <c r="E14" s="647">
        <f>Model!G156+Model!G157+Model!G158</f>
        <v>0</v>
      </c>
      <c r="F14" s="647">
        <f>Model!H156+Model!H157+Model!H158</f>
        <v>0</v>
      </c>
      <c r="G14" s="647">
        <f>Model!I156+Model!I157+Model!I158</f>
        <v>0</v>
      </c>
      <c r="H14" s="647">
        <f>Model!J156+Model!J157+Model!J158</f>
        <v>0</v>
      </c>
      <c r="I14" s="647">
        <f>Model!K156+Model!K157+Model!K158</f>
        <v>0</v>
      </c>
      <c r="J14" s="647">
        <f>Model!L156+Model!L157+Model!L158</f>
        <v>0</v>
      </c>
      <c r="K14" s="647">
        <f>Model!M156+Model!M157+Model!M158</f>
        <v>0</v>
      </c>
      <c r="L14" s="647">
        <f>Model!N156+Model!N157+Model!N158</f>
        <v>266611.58</v>
      </c>
      <c r="M14" s="647">
        <f>Model!O156+Model!O157+Model!O158</f>
        <v>12631.58</v>
      </c>
      <c r="N14" s="647">
        <f>Model!P156+Model!P157+Model!P158</f>
        <v>12631.58</v>
      </c>
      <c r="O14" s="647">
        <f>Model!Q156+Model!Q157+Model!Q158</f>
        <v>12631.58</v>
      </c>
      <c r="P14" s="647">
        <f>Model!R156+Model!R157+Model!R158</f>
        <v>12631.58</v>
      </c>
      <c r="Q14" s="647">
        <f>Model!S156+Model!S157+Model!S158</f>
        <v>12631.58</v>
      </c>
      <c r="R14" s="647">
        <f>Model!T156+Model!T157+Model!T158</f>
        <v>12631.58</v>
      </c>
      <c r="S14" s="647">
        <f>Model!U156+Model!U157+Model!U158</f>
        <v>12631.58</v>
      </c>
      <c r="T14" s="647">
        <f>Model!V156+Model!V157+Model!V158</f>
        <v>12631.58</v>
      </c>
      <c r="U14" s="647">
        <f>Model!W156+Model!W157+Model!W158</f>
        <v>12631.58</v>
      </c>
      <c r="V14" s="647">
        <f>Model!X156+Model!X157+Model!X158</f>
        <v>12631.58</v>
      </c>
      <c r="W14" s="647">
        <f>Model!Y156+Model!Y157+Model!Y158</f>
        <v>12631.58</v>
      </c>
      <c r="X14" s="647">
        <f>Model!Z156+Model!Z157+Model!Z158</f>
        <v>12631.58</v>
      </c>
      <c r="Y14" s="647">
        <f>Model!AA156+Model!AA157+Model!AA158</f>
        <v>12631.58</v>
      </c>
      <c r="Z14" s="647">
        <f>Model!AB156+Model!AB157+Model!AB158</f>
        <v>12631.58</v>
      </c>
      <c r="AA14" s="647">
        <f>Model!AC156+Model!AC157+Model!AC158</f>
        <v>12631.58</v>
      </c>
      <c r="AB14" s="647">
        <f>Model!AD156+Model!AD157+Model!AD158</f>
        <v>12631.58</v>
      </c>
      <c r="AC14" s="647">
        <f>Model!AE156+Model!AE157+Model!AE158</f>
        <v>12631.58</v>
      </c>
      <c r="AD14" s="647">
        <f>Model!AF156+Model!AF157+Model!AF158</f>
        <v>12631.58</v>
      </c>
      <c r="AE14" s="647">
        <f>Model!AG156+Model!AG157+Model!AG158</f>
        <v>0</v>
      </c>
      <c r="AF14" s="647">
        <f>Model!AH156+Model!AH157+Model!AH158</f>
        <v>0</v>
      </c>
      <c r="AG14" s="647">
        <f>Model!AI156+Model!AI157+Model!AI158</f>
        <v>0</v>
      </c>
      <c r="AH14" s="647">
        <f>Model!AJ156+Model!AJ157+Model!AJ158</f>
        <v>0</v>
      </c>
      <c r="AI14" s="647">
        <f>Model!AK156+Model!AK157+Model!AK158</f>
        <v>0</v>
      </c>
      <c r="AJ14" s="647">
        <f>Model!AL156+Model!AL157+Model!AL158</f>
        <v>0</v>
      </c>
      <c r="AK14" s="647">
        <f>Model!AM156+Model!AM157+Model!AM158</f>
        <v>0</v>
      </c>
      <c r="AL14" s="647">
        <f>Model!AN156+Model!AN157+Model!AN158</f>
        <v>0</v>
      </c>
      <c r="AM14" s="647">
        <f>Model!AO156+Model!AO157+Model!AO158</f>
        <v>0</v>
      </c>
      <c r="AN14" s="647">
        <f>Model!AP156+Model!AP157+Model!AP158</f>
        <v>0</v>
      </c>
      <c r="AO14" s="647">
        <f>Model!AQ156+Model!AQ157+Model!AQ158</f>
        <v>0</v>
      </c>
      <c r="AP14" s="647">
        <f>Model!AR156+Model!AR157+Model!AR158</f>
        <v>0</v>
      </c>
      <c r="AQ14" s="647">
        <f>Model!AS156+Model!AS157+Model!AS158</f>
        <v>0</v>
      </c>
      <c r="AR14" s="647">
        <f>Model!AT156+Model!AT157+Model!AT158</f>
        <v>0</v>
      </c>
      <c r="AS14" s="647">
        <f>Model!AU156+Model!AU157+Model!AU158</f>
        <v>0</v>
      </c>
      <c r="AT14" s="647">
        <f>Model!AV156+Model!AV157+Model!AV158</f>
        <v>0</v>
      </c>
      <c r="AU14" s="647">
        <f>Model!AW156+Model!AW157+Model!AW158</f>
        <v>0</v>
      </c>
      <c r="AV14" s="647">
        <f>Model!AX156+Model!AX157+Model!AX158</f>
        <v>0</v>
      </c>
      <c r="AW14" s="647">
        <f>Model!AY156+Model!AY157+Model!AY158</f>
        <v>0</v>
      </c>
      <c r="AX14" s="647">
        <f>Model!AZ156+Model!AZ157+Model!AZ158</f>
        <v>0</v>
      </c>
      <c r="AY14" s="647">
        <f>Model!BA156+Model!BA157+Model!BA158</f>
        <v>0</v>
      </c>
      <c r="AZ14" s="647">
        <f>Model!BB156+Model!BB157+Model!BB158</f>
        <v>0</v>
      </c>
      <c r="BA14" s="647">
        <f>Model!BC156+Model!BC157+Model!BC158</f>
        <v>0</v>
      </c>
      <c r="BB14" s="647">
        <f>Model!BD156+Model!BD157+Model!BD158</f>
        <v>0</v>
      </c>
      <c r="BC14" s="647">
        <f>Model!BE156+Model!BE157+Model!BE158</f>
        <v>0</v>
      </c>
      <c r="BD14" s="647">
        <f>Model!BF156+Model!BF157+Model!BF158</f>
        <v>0</v>
      </c>
      <c r="BE14" s="647">
        <f>Model!BG156+Model!BG157+Model!BG158</f>
        <v>0</v>
      </c>
      <c r="BF14" s="647">
        <f>Model!BH156+Model!BH157+Model!BH158</f>
        <v>0</v>
      </c>
      <c r="BG14" s="647">
        <f>Model!BI156+Model!BI157+Model!BI158</f>
        <v>0</v>
      </c>
      <c r="BH14" s="647">
        <f>Model!BJ156+Model!BJ157+Model!BJ158</f>
        <v>0</v>
      </c>
      <c r="BI14" s="647">
        <f>Model!BK156+Model!BK157+Model!BK158</f>
        <v>0</v>
      </c>
      <c r="BJ14" s="647">
        <f>Model!BL156+Model!BL157+Model!BL158</f>
        <v>0</v>
      </c>
      <c r="BK14" s="647">
        <f>Model!BM156+Model!BM157+Model!BM158</f>
        <v>0</v>
      </c>
      <c r="BL14" s="647">
        <f>Model!BN156+Model!BN157+Model!BN158</f>
        <v>0</v>
      </c>
      <c r="BM14" s="647">
        <f>Model!BO156+Model!BO157+Model!BO158</f>
        <v>0</v>
      </c>
      <c r="BN14" s="647">
        <f>Model!BP156+Model!BP157+Model!BP158</f>
        <v>0</v>
      </c>
      <c r="BO14" s="647">
        <f>Model!BQ156+Model!BQ157+Model!BQ158</f>
        <v>0</v>
      </c>
      <c r="BP14" s="647">
        <f>Model!BR156+Model!BR157+Model!BR158</f>
        <v>0</v>
      </c>
      <c r="BQ14" s="647">
        <f>Model!BS156+Model!BS157+Model!BS158</f>
        <v>0</v>
      </c>
      <c r="BR14" s="647">
        <f>Model!BT156+Model!BT157+Model!BT158</f>
        <v>0</v>
      </c>
      <c r="BS14" s="647">
        <f>Model!BU156+Model!BU157+Model!BU158</f>
        <v>0</v>
      </c>
      <c r="BT14" s="647">
        <f>Model!BV156+Model!BV157+Model!BV158</f>
        <v>0</v>
      </c>
      <c r="BU14" s="647">
        <f>Model!BW156+Model!BW157+Model!BW158</f>
        <v>0</v>
      </c>
      <c r="BV14" s="647">
        <f>Model!BX156+Model!BX157+Model!BX158</f>
        <v>0</v>
      </c>
      <c r="BW14" s="647">
        <f>Model!BY156+Model!BY157+Model!BY158</f>
        <v>0</v>
      </c>
      <c r="BX14" s="647">
        <f>Model!BZ156+Model!BZ157+Model!BZ158</f>
        <v>0</v>
      </c>
      <c r="BY14" s="647">
        <f>Model!CA156+Model!CA157+Model!CA158</f>
        <v>0</v>
      </c>
      <c r="BZ14" s="647">
        <f>Model!CB156+Model!CB157+Model!CB158</f>
        <v>0</v>
      </c>
      <c r="CA14" s="647">
        <f>Model!CC156+Model!CC157+Model!CC158</f>
        <v>0</v>
      </c>
      <c r="CB14" s="647">
        <f>Model!CD156+Model!CD157+Model!CD158</f>
        <v>0</v>
      </c>
      <c r="CC14" s="647">
        <f>Model!CE156+Model!CE157+Model!CE158</f>
        <v>0</v>
      </c>
      <c r="CD14" s="647">
        <f>Model!CF156+Model!CF157+Model!CF158</f>
        <v>0</v>
      </c>
      <c r="CE14" s="647">
        <f>Model!CG156+Model!CG157+Model!CG158</f>
        <v>0</v>
      </c>
      <c r="CF14" s="647">
        <f>Model!CH156+Model!CH157+Model!CH158</f>
        <v>0</v>
      </c>
      <c r="CG14" s="647">
        <f>Model!CI156+Model!CI157+Model!CI158</f>
        <v>0</v>
      </c>
      <c r="CH14" s="647">
        <f>Model!CJ156+Model!CJ157+Model!CJ158</f>
        <v>0</v>
      </c>
    </row>
    <row r="15" ht="15" customFormat="1" customHeight="1" s="381">
      <c r="A15" s="651" t="inlineStr">
        <is>
          <t xml:space="preserve">  Steyn Fees</t>
        </is>
      </c>
      <c r="B15" s="383" t="n"/>
      <c r="C15" s="652">
        <f>IF(AND(Projects!$G$11="Yes",1=Projects!$C$11),-155771,0)</f>
        <v>0</v>
      </c>
      <c r="D15" s="652">
        <f>IF(AND(Projects!$G$11="Yes",2=Projects!$C$11),-155771,0)</f>
        <v>0</v>
      </c>
      <c r="E15" s="652">
        <f>IF(AND(Projects!$G$11="Yes",3=Projects!$C$11),-155771,0)</f>
        <v>0</v>
      </c>
      <c r="F15" s="652">
        <f>IF(AND(Projects!$G$11="Yes",4=Projects!$C$11),-155771,0)</f>
        <v>0</v>
      </c>
      <c r="G15" s="652">
        <f>IF(AND(Projects!$G$11="Yes",5=Projects!$C$11),-155771,0)</f>
        <v>0</v>
      </c>
      <c r="H15" s="652">
        <f>IF(AND(Projects!$G$11="Yes",6=Projects!$C$11),-155771,0)</f>
        <v>0</v>
      </c>
      <c r="I15" s="652">
        <f>IF(AND(Projects!$G$11="Yes",7=Projects!$C$11),-155771,0)</f>
        <v>0</v>
      </c>
      <c r="J15" s="652">
        <f>IF(AND(Projects!$G$11="Yes",8=Projects!$C$11),-155771,0)</f>
        <v>0</v>
      </c>
      <c r="K15" s="652">
        <f>IF(AND(Projects!$G$11="Yes",9=Projects!$C$11),-155771,0)</f>
        <v>0</v>
      </c>
      <c r="L15" s="652">
        <f>IF(AND(Projects!$G$11="Yes",10=Projects!$C$11),-155771,0)</f>
        <v>-155771</v>
      </c>
      <c r="M15" s="652">
        <f>IF(AND(Projects!$G$11="Yes",11=Projects!$C$11),-155771,0)</f>
        <v>0</v>
      </c>
      <c r="N15" s="652">
        <f>IF(AND(Projects!$G$11="Yes",12=Projects!$C$11),-155771,0)</f>
        <v>0</v>
      </c>
      <c r="O15" s="652">
        <f>IF(AND(Projects!$G$11="Yes",13=Projects!$C$11),-155771,0)</f>
        <v>0</v>
      </c>
      <c r="P15" s="652">
        <f>IF(AND(Projects!$G$11="Yes",14=Projects!$C$11),-155771,0)</f>
        <v>0</v>
      </c>
      <c r="Q15" s="652">
        <f>IF(AND(Projects!$G$11="Yes",15=Projects!$C$11),-155771,0)</f>
        <v>0</v>
      </c>
      <c r="R15" s="652">
        <f>IF(AND(Projects!$G$11="Yes",16=Projects!$C$11),-155771,0)</f>
        <v>0</v>
      </c>
      <c r="S15" s="652">
        <f>IF(AND(Projects!$G$11="Yes",17=Projects!$C$11),-155771,0)</f>
        <v>0</v>
      </c>
      <c r="T15" s="652">
        <f>IF(AND(Projects!$G$11="Yes",18=Projects!$C$11),-155771,0)</f>
        <v>0</v>
      </c>
      <c r="U15" s="652">
        <f>IF(AND(Projects!$G$11="Yes",19=Projects!$C$11),-155771,0)</f>
        <v>0</v>
      </c>
      <c r="V15" s="652">
        <f>IF(AND(Projects!$G$11="Yes",20=Projects!$C$11),-155771,0)</f>
        <v>0</v>
      </c>
      <c r="W15" s="652">
        <f>IF(AND(Projects!$G$11="Yes",21=Projects!$C$11),-155771,0)</f>
        <v>0</v>
      </c>
      <c r="X15" s="652">
        <f>IF(AND(Projects!$G$11="Yes",22=Projects!$C$11),-155771,0)</f>
        <v>0</v>
      </c>
      <c r="Y15" s="652">
        <f>IF(AND(Projects!$G$11="Yes",23=Projects!$C$11),-155771,0)</f>
        <v>0</v>
      </c>
      <c r="Z15" s="652">
        <f>IF(AND(Projects!$G$11="Yes",24=Projects!$C$11),-155771,0)</f>
        <v>0</v>
      </c>
      <c r="AA15" s="652">
        <f>IF(AND(Projects!$G$11="Yes",25=Projects!$C$11),-155771,0)</f>
        <v>0</v>
      </c>
      <c r="AB15" s="652">
        <f>IF(AND(Projects!$G$11="Yes",26=Projects!$C$11),-155771,0)</f>
        <v>0</v>
      </c>
      <c r="AC15" s="652">
        <f>IF(AND(Projects!$G$11="Yes",27=Projects!$C$11),-155771,0)</f>
        <v>0</v>
      </c>
      <c r="AD15" s="652">
        <f>IF(AND(Projects!$G$11="Yes",28=Projects!$C$11),-155771,0)</f>
        <v>0</v>
      </c>
      <c r="AE15" s="652">
        <f>IF(AND(Projects!$G$11="Yes",29=Projects!$C$11),-155771,0)</f>
        <v>0</v>
      </c>
      <c r="AF15" s="652">
        <f>IF(AND(Projects!$G$11="Yes",30=Projects!$C$11),-155771,0)</f>
        <v>0</v>
      </c>
      <c r="AG15" s="652">
        <f>IF(AND(Projects!$G$11="Yes",31=Projects!$C$11),-155771,0)</f>
        <v>0</v>
      </c>
      <c r="AH15" s="652">
        <f>IF(AND(Projects!$G$11="Yes",32=Projects!$C$11),-155771,0)</f>
        <v>0</v>
      </c>
      <c r="AI15" s="652">
        <f>IF(AND(Projects!$G$11="Yes",33=Projects!$C$11),-155771,0)</f>
        <v>0</v>
      </c>
      <c r="AJ15" s="652">
        <f>IF(AND(Projects!$G$11="Yes",34=Projects!$C$11),-155771,0)</f>
        <v>0</v>
      </c>
      <c r="AK15" s="652">
        <f>IF(AND(Projects!$G$11="Yes",35=Projects!$C$11),-155771,0)</f>
        <v>0</v>
      </c>
      <c r="AL15" s="652">
        <f>IF(AND(Projects!$G$11="Yes",36=Projects!$C$11),-155771,0)</f>
        <v>0</v>
      </c>
      <c r="AM15" s="652">
        <f>IF(AND(Projects!$G$11="Yes",37=Projects!$C$11),-155771,0)</f>
        <v>0</v>
      </c>
      <c r="AN15" s="652">
        <f>IF(AND(Projects!$G$11="Yes",38=Projects!$C$11),-155771,0)</f>
        <v>0</v>
      </c>
      <c r="AO15" s="652">
        <f>IF(AND(Projects!$G$11="Yes",39=Projects!$C$11),-155771,0)</f>
        <v>0</v>
      </c>
      <c r="AP15" s="652">
        <f>IF(AND(Projects!$G$11="Yes",40=Projects!$C$11),-155771,0)</f>
        <v>0</v>
      </c>
      <c r="AQ15" s="652">
        <f>IF(AND(Projects!$G$11="Yes",41=Projects!$C$11),-155771,0)</f>
        <v>0</v>
      </c>
      <c r="AR15" s="652">
        <f>IF(AND(Projects!$G$11="Yes",42=Projects!$C$11),-155771,0)</f>
        <v>0</v>
      </c>
      <c r="AS15" s="652">
        <f>IF(AND(Projects!$G$11="Yes",43=Projects!$C$11),-155771,0)</f>
        <v>0</v>
      </c>
      <c r="AT15" s="652">
        <f>IF(AND(Projects!$G$11="Yes",44=Projects!$C$11),-155771,0)</f>
        <v>0</v>
      </c>
      <c r="AU15" s="652">
        <f>IF(AND(Projects!$G$11="Yes",45=Projects!$C$11),-155771,0)</f>
        <v>0</v>
      </c>
      <c r="AV15" s="652">
        <f>IF(AND(Projects!$G$11="Yes",46=Projects!$C$11),-155771,0)</f>
        <v>0</v>
      </c>
      <c r="AW15" s="652">
        <f>IF(AND(Projects!$G$11="Yes",47=Projects!$C$11),-155771,0)</f>
        <v>0</v>
      </c>
      <c r="AX15" s="652">
        <f>IF(AND(Projects!$G$11="Yes",48=Projects!$C$11),-155771,0)</f>
        <v>0</v>
      </c>
      <c r="AY15" s="652">
        <f>IF(AND(Projects!$G$11="Yes",49=Projects!$C$11),-155771,0)</f>
        <v>0</v>
      </c>
      <c r="AZ15" s="652">
        <f>IF(AND(Projects!$G$11="Yes",50=Projects!$C$11),-155771,0)</f>
        <v>0</v>
      </c>
      <c r="BA15" s="652">
        <f>IF(AND(Projects!$G$11="Yes",51=Projects!$C$11),-155771,0)</f>
        <v>0</v>
      </c>
      <c r="BB15" s="652">
        <f>IF(AND(Projects!$G$11="Yes",52=Projects!$C$11),-155771,0)</f>
        <v>0</v>
      </c>
      <c r="BC15" s="652">
        <f>IF(AND(Projects!$G$11="Yes",53=Projects!$C$11),-155771,0)</f>
        <v>0</v>
      </c>
      <c r="BD15" s="652">
        <f>IF(AND(Projects!$G$11="Yes",54=Projects!$C$11),-155771,0)</f>
        <v>0</v>
      </c>
      <c r="BE15" s="652">
        <f>IF(AND(Projects!$G$11="Yes",55=Projects!$C$11),-155771,0)</f>
        <v>0</v>
      </c>
      <c r="BF15" s="652">
        <f>IF(AND(Projects!$G$11="Yes",56=Projects!$C$11),-155771,0)</f>
        <v>0</v>
      </c>
      <c r="BG15" s="652">
        <f>IF(AND(Projects!$G$11="Yes",57=Projects!$C$11),-155771,0)</f>
        <v>0</v>
      </c>
      <c r="BH15" s="652">
        <f>IF(AND(Projects!$G$11="Yes",58=Projects!$C$11),-155771,0)</f>
        <v>0</v>
      </c>
      <c r="BI15" s="652">
        <f>IF(AND(Projects!$G$11="Yes",59=Projects!$C$11),-155771,0)</f>
        <v>0</v>
      </c>
      <c r="BJ15" s="652">
        <f>IF(AND(Projects!$G$11="Yes",60=Projects!$C$11),-155771,0)</f>
        <v>0</v>
      </c>
      <c r="BK15" s="652">
        <f>IF(AND(Projects!$G$11="Yes",61=Projects!$C$11),-155771,0)</f>
        <v>0</v>
      </c>
      <c r="BL15" s="652">
        <f>IF(AND(Projects!$G$11="Yes",62=Projects!$C$11),-155771,0)</f>
        <v>0</v>
      </c>
      <c r="BM15" s="652">
        <f>IF(AND(Projects!$G$11="Yes",63=Projects!$C$11),-155771,0)</f>
        <v>0</v>
      </c>
      <c r="BN15" s="652">
        <f>IF(AND(Projects!$G$11="Yes",64=Projects!$C$11),-155771,0)</f>
        <v>0</v>
      </c>
      <c r="BO15" s="652">
        <f>IF(AND(Projects!$G$11="Yes",65=Projects!$C$11),-155771,0)</f>
        <v>0</v>
      </c>
      <c r="BP15" s="652">
        <f>IF(AND(Projects!$G$11="Yes",66=Projects!$C$11),-155771,0)</f>
        <v>0</v>
      </c>
      <c r="BQ15" s="652">
        <f>IF(AND(Projects!$G$11="Yes",67=Projects!$C$11),-155771,0)</f>
        <v>0</v>
      </c>
      <c r="BR15" s="652">
        <f>IF(AND(Projects!$G$11="Yes",68=Projects!$C$11),-155771,0)</f>
        <v>0</v>
      </c>
      <c r="BS15" s="652">
        <f>IF(AND(Projects!$G$11="Yes",69=Projects!$C$11),-155771,0)</f>
        <v>0</v>
      </c>
      <c r="BT15" s="652">
        <f>IF(AND(Projects!$G$11="Yes",70=Projects!$C$11),-155771,0)</f>
        <v>0</v>
      </c>
      <c r="BU15" s="652">
        <f>IF(AND(Projects!$G$11="Yes",71=Projects!$C$11),-155771,0)</f>
        <v>0</v>
      </c>
      <c r="BV15" s="652">
        <f>IF(AND(Projects!$G$11="Yes",72=Projects!$C$11),-155771,0)</f>
        <v>0</v>
      </c>
      <c r="BW15" s="652">
        <f>IF(AND(Projects!$G$11="Yes",73=Projects!$C$11),-155771,0)</f>
        <v>0</v>
      </c>
      <c r="BX15" s="652">
        <f>IF(AND(Projects!$G$11="Yes",74=Projects!$C$11),-155771,0)</f>
        <v>0</v>
      </c>
      <c r="BY15" s="652">
        <f>IF(AND(Projects!$G$11="Yes",75=Projects!$C$11),-155771,0)</f>
        <v>0</v>
      </c>
      <c r="BZ15" s="652">
        <f>IF(AND(Projects!$G$11="Yes",76=Projects!$C$11),-155771,0)</f>
        <v>0</v>
      </c>
      <c r="CA15" s="652">
        <f>IF(AND(Projects!$G$11="Yes",77=Projects!$C$11),-155771,0)</f>
        <v>0</v>
      </c>
      <c r="CB15" s="652">
        <f>IF(AND(Projects!$G$11="Yes",78=Projects!$C$11),-155771,0)</f>
        <v>0</v>
      </c>
      <c r="CC15" s="652">
        <f>IF(AND(Projects!$G$11="Yes",79=Projects!$C$11),-155771,0)</f>
        <v>0</v>
      </c>
      <c r="CD15" s="652">
        <f>IF(AND(Projects!$G$11="Yes",80=Projects!$C$11),-155771,0)</f>
        <v>0</v>
      </c>
      <c r="CE15" s="652">
        <f>IF(AND(Projects!$G$11="Yes",81=Projects!$C$11),-155771,0)</f>
        <v>0</v>
      </c>
      <c r="CF15" s="652">
        <f>IF(AND(Projects!$G$11="Yes",82=Projects!$C$11),-155771,0)</f>
        <v>0</v>
      </c>
      <c r="CG15" s="652">
        <f>IF(AND(Projects!$G$11="Yes",83=Projects!$C$11),-155771,0)</f>
        <v>0</v>
      </c>
      <c r="CH15" s="652">
        <f>IF(AND(Projects!$G$11="Yes",84=Projects!$C$11),-155771,0)</f>
        <v>0</v>
      </c>
    </row>
    <row r="16" ht="15" customFormat="1" customHeight="1" s="381">
      <c r="A16" s="648" t="inlineStr">
        <is>
          <t xml:space="preserve">  Net to Six Peak</t>
        </is>
      </c>
      <c r="B16" s="648" t="n"/>
      <c r="C16" s="649">
        <f>C14+C15</f>
        <v>0</v>
      </c>
      <c r="D16" s="649">
        <f>D14+D15</f>
        <v>0</v>
      </c>
      <c r="E16" s="649">
        <f>E14+E15</f>
        <v>0</v>
      </c>
      <c r="F16" s="649">
        <f>F14+F15</f>
        <v>0</v>
      </c>
      <c r="G16" s="649">
        <f>G14+G15</f>
        <v>0</v>
      </c>
      <c r="H16" s="649">
        <f>H14+H15</f>
        <v>0</v>
      </c>
      <c r="I16" s="649">
        <f>I14+I15</f>
        <v>0</v>
      </c>
      <c r="J16" s="649">
        <f>J14+J15</f>
        <v>0</v>
      </c>
      <c r="K16" s="649">
        <f>K14+K15</f>
        <v>0</v>
      </c>
      <c r="L16" s="649">
        <f>L14+L15</f>
        <v>110840.58</v>
      </c>
      <c r="M16" s="649">
        <f>M14+M15</f>
        <v>12631.58</v>
      </c>
      <c r="N16" s="649">
        <f>N14+N15</f>
        <v>12631.58</v>
      </c>
      <c r="O16" s="649">
        <f>O14+O15</f>
        <v>12631.58</v>
      </c>
      <c r="P16" s="649">
        <f>P14+P15</f>
        <v>12631.58</v>
      </c>
      <c r="Q16" s="649">
        <f>Q14+Q15</f>
        <v>12631.58</v>
      </c>
      <c r="R16" s="649">
        <f>R14+R15</f>
        <v>12631.58</v>
      </c>
      <c r="S16" s="649">
        <f>S14+S15</f>
        <v>12631.58</v>
      </c>
      <c r="T16" s="649">
        <f>T14+T15</f>
        <v>12631.58</v>
      </c>
      <c r="U16" s="649">
        <f>U14+U15</f>
        <v>12631.58</v>
      </c>
      <c r="V16" s="649">
        <f>V14+V15</f>
        <v>12631.58</v>
      </c>
      <c r="W16" s="649">
        <f>W14+W15</f>
        <v>12631.58</v>
      </c>
      <c r="X16" s="649">
        <f>X14+X15</f>
        <v>12631.58</v>
      </c>
      <c r="Y16" s="649">
        <f>Y14+Y15</f>
        <v>12631.58</v>
      </c>
      <c r="Z16" s="649">
        <f>Z14+Z15</f>
        <v>12631.58</v>
      </c>
      <c r="AA16" s="649">
        <f>AA14+AA15</f>
        <v>12631.58</v>
      </c>
      <c r="AB16" s="649">
        <f>AB14+AB15</f>
        <v>12631.58</v>
      </c>
      <c r="AC16" s="649">
        <f>AC14+AC15</f>
        <v>12631.58</v>
      </c>
      <c r="AD16" s="649">
        <f>AD14+AD15</f>
        <v>12631.58</v>
      </c>
      <c r="AE16" s="649">
        <f>AE14+AE15</f>
        <v>0</v>
      </c>
      <c r="AF16" s="649">
        <f>AF14+AF15</f>
        <v>0</v>
      </c>
      <c r="AG16" s="649">
        <f>AG14+AG15</f>
        <v>0</v>
      </c>
      <c r="AH16" s="649">
        <f>AH14+AH15</f>
        <v>0</v>
      </c>
      <c r="AI16" s="649">
        <f>AI14+AI15</f>
        <v>0</v>
      </c>
      <c r="AJ16" s="649">
        <f>AJ14+AJ15</f>
        <v>0</v>
      </c>
      <c r="AK16" s="649">
        <f>AK14+AK15</f>
        <v>0</v>
      </c>
      <c r="AL16" s="649">
        <f>AL14+AL15</f>
        <v>0</v>
      </c>
      <c r="AM16" s="649">
        <f>AM14+AM15</f>
        <v>0</v>
      </c>
      <c r="AN16" s="649">
        <f>AN14+AN15</f>
        <v>0</v>
      </c>
      <c r="AO16" s="649">
        <f>AO14+AO15</f>
        <v>0</v>
      </c>
      <c r="AP16" s="649">
        <f>AP14+AP15</f>
        <v>0</v>
      </c>
      <c r="AQ16" s="649">
        <f>AQ14+AQ15</f>
        <v>0</v>
      </c>
      <c r="AR16" s="649">
        <f>AR14+AR15</f>
        <v>0</v>
      </c>
      <c r="AS16" s="649">
        <f>AS14+AS15</f>
        <v>0</v>
      </c>
      <c r="AT16" s="649">
        <f>AT14+AT15</f>
        <v>0</v>
      </c>
      <c r="AU16" s="649">
        <f>AU14+AU15</f>
        <v>0</v>
      </c>
      <c r="AV16" s="649">
        <f>AV14+AV15</f>
        <v>0</v>
      </c>
      <c r="AW16" s="649">
        <f>AW14+AW15</f>
        <v>0</v>
      </c>
      <c r="AX16" s="649">
        <f>AX14+AX15</f>
        <v>0</v>
      </c>
      <c r="AY16" s="649">
        <f>AY14+AY15</f>
        <v>0</v>
      </c>
      <c r="AZ16" s="649">
        <f>AZ14+AZ15</f>
        <v>0</v>
      </c>
      <c r="BA16" s="649">
        <f>BA14+BA15</f>
        <v>0</v>
      </c>
      <c r="BB16" s="649">
        <f>BB14+BB15</f>
        <v>0</v>
      </c>
      <c r="BC16" s="649">
        <f>BC14+BC15</f>
        <v>0</v>
      </c>
      <c r="BD16" s="649">
        <f>BD14+BD15</f>
        <v>0</v>
      </c>
      <c r="BE16" s="649">
        <f>BE14+BE15</f>
        <v>0</v>
      </c>
      <c r="BF16" s="649">
        <f>BF14+BF15</f>
        <v>0</v>
      </c>
      <c r="BG16" s="649">
        <f>BG14+BG15</f>
        <v>0</v>
      </c>
      <c r="BH16" s="649">
        <f>BH14+BH15</f>
        <v>0</v>
      </c>
      <c r="BI16" s="649">
        <f>BI14+BI15</f>
        <v>0</v>
      </c>
      <c r="BJ16" s="649">
        <f>BJ14+BJ15</f>
        <v>0</v>
      </c>
      <c r="BK16" s="649">
        <f>BK14+BK15</f>
        <v>0</v>
      </c>
      <c r="BL16" s="649">
        <f>BL14+BL15</f>
        <v>0</v>
      </c>
      <c r="BM16" s="649">
        <f>BM14+BM15</f>
        <v>0</v>
      </c>
      <c r="BN16" s="649">
        <f>BN14+BN15</f>
        <v>0</v>
      </c>
      <c r="BO16" s="649">
        <f>BO14+BO15</f>
        <v>0</v>
      </c>
      <c r="BP16" s="649">
        <f>BP14+BP15</f>
        <v>0</v>
      </c>
      <c r="BQ16" s="649">
        <f>BQ14+BQ15</f>
        <v>0</v>
      </c>
      <c r="BR16" s="649">
        <f>BR14+BR15</f>
        <v>0</v>
      </c>
      <c r="BS16" s="649">
        <f>BS14+BS15</f>
        <v>0</v>
      </c>
      <c r="BT16" s="649">
        <f>BT14+BT15</f>
        <v>0</v>
      </c>
      <c r="BU16" s="649">
        <f>BU14+BU15</f>
        <v>0</v>
      </c>
      <c r="BV16" s="649">
        <f>BV14+BV15</f>
        <v>0</v>
      </c>
      <c r="BW16" s="649">
        <f>BW14+BW15</f>
        <v>0</v>
      </c>
      <c r="BX16" s="649">
        <f>BX14+BX15</f>
        <v>0</v>
      </c>
      <c r="BY16" s="649">
        <f>BY14+BY15</f>
        <v>0</v>
      </c>
      <c r="BZ16" s="649">
        <f>BZ14+BZ15</f>
        <v>0</v>
      </c>
      <c r="CA16" s="649">
        <f>CA14+CA15</f>
        <v>0</v>
      </c>
      <c r="CB16" s="649">
        <f>CB14+CB15</f>
        <v>0</v>
      </c>
      <c r="CC16" s="649">
        <f>CC14+CC15</f>
        <v>0</v>
      </c>
      <c r="CD16" s="649">
        <f>CD14+CD15</f>
        <v>0</v>
      </c>
      <c r="CE16" s="649">
        <f>CE14+CE15</f>
        <v>0</v>
      </c>
      <c r="CF16" s="649">
        <f>CF14+CF15</f>
        <v>0</v>
      </c>
      <c r="CG16" s="649">
        <f>CG14+CG15</f>
        <v>0</v>
      </c>
      <c r="CH16" s="649">
        <f>CH14+CH15</f>
        <v>0</v>
      </c>
    </row>
    <row r="17" ht="15" customFormat="1" customHeight="1" s="381">
      <c r="A17" s="382" t="inlineStr">
        <is>
          <t xml:space="preserve">  Cumulative Net</t>
        </is>
      </c>
      <c r="B17" s="383" t="n"/>
      <c r="C17" s="650">
        <f>C16</f>
        <v>0</v>
      </c>
      <c r="D17" s="650">
        <f>C17+D16</f>
        <v>0</v>
      </c>
      <c r="E17" s="650">
        <f>D17+E16</f>
        <v>0</v>
      </c>
      <c r="F17" s="650">
        <f>E17+F16</f>
        <v>0</v>
      </c>
      <c r="G17" s="650">
        <f>F17+G16</f>
        <v>0</v>
      </c>
      <c r="H17" s="650">
        <f>G17+H16</f>
        <v>0</v>
      </c>
      <c r="I17" s="650">
        <f>H17+I16</f>
        <v>0</v>
      </c>
      <c r="J17" s="650">
        <f>I17+J16</f>
        <v>0</v>
      </c>
      <c r="K17" s="650">
        <f>J17+K16</f>
        <v>0</v>
      </c>
      <c r="L17" s="650">
        <f>K17+L16</f>
        <v>110840.58</v>
      </c>
      <c r="M17" s="650">
        <f>L17+M16</f>
        <v>123472.16</v>
      </c>
      <c r="N17" s="650">
        <f>M17+N16</f>
        <v>136103.74</v>
      </c>
      <c r="O17" s="650">
        <f>N17+O16</f>
        <v>148735.32</v>
      </c>
      <c r="P17" s="650">
        <f>O17+P16</f>
        <v>161366.9</v>
      </c>
      <c r="Q17" s="650">
        <f>P17+Q16</f>
        <v>173998.48</v>
      </c>
      <c r="R17" s="650">
        <f>Q17+R16</f>
        <v>186630.06</v>
      </c>
      <c r="S17" s="650">
        <f>R17+S16</f>
        <v>199261.64</v>
      </c>
      <c r="T17" s="650">
        <f>S17+T16</f>
        <v>211893.22</v>
      </c>
      <c r="U17" s="650">
        <f>T17+U16</f>
        <v>224524.8</v>
      </c>
      <c r="V17" s="650">
        <f>U17+V16</f>
        <v>237156.38</v>
      </c>
      <c r="W17" s="650">
        <f>V17+W16</f>
        <v>249787.96</v>
      </c>
      <c r="X17" s="650">
        <f>W17+X16</f>
        <v>262419.54</v>
      </c>
      <c r="Y17" s="650">
        <f>X17+Y16</f>
        <v>275051.12</v>
      </c>
      <c r="Z17" s="650">
        <f>Y17+Z16</f>
        <v>287682.7</v>
      </c>
      <c r="AA17" s="650">
        <f>Z17+AA16</f>
        <v>300314.28</v>
      </c>
      <c r="AB17" s="650">
        <f>AA17+AB16</f>
        <v>312945.86</v>
      </c>
      <c r="AC17" s="650">
        <f>AB17+AC16</f>
        <v>325577.44</v>
      </c>
      <c r="AD17" s="650">
        <f>AC17+AD16</f>
        <v>338209.02</v>
      </c>
      <c r="AE17" s="650">
        <f>AD17+AE16</f>
        <v>338209.02</v>
      </c>
      <c r="AF17" s="650">
        <f>AE17+AF16</f>
        <v>338209.02</v>
      </c>
      <c r="AG17" s="650">
        <f>AF17+AG16</f>
        <v>338209.02</v>
      </c>
      <c r="AH17" s="650">
        <f>AG17+AH16</f>
        <v>338209.02</v>
      </c>
      <c r="AI17" s="650">
        <f>AH17+AI16</f>
        <v>338209.02</v>
      </c>
      <c r="AJ17" s="650">
        <f>AI17+AJ16</f>
        <v>338209.02</v>
      </c>
      <c r="AK17" s="650">
        <f>AJ17+AK16</f>
        <v>338209.02</v>
      </c>
      <c r="AL17" s="650">
        <f>AK17+AL16</f>
        <v>338209.02</v>
      </c>
      <c r="AM17" s="650">
        <f>AL17+AM16</f>
        <v>338209.02</v>
      </c>
      <c r="AN17" s="650">
        <f>AM17+AN16</f>
        <v>338209.02</v>
      </c>
      <c r="AO17" s="650">
        <f>AN17+AO16</f>
        <v>338209.02</v>
      </c>
      <c r="AP17" s="650">
        <f>AO17+AP16</f>
        <v>338209.02</v>
      </c>
      <c r="AQ17" s="650">
        <f>AP17+AQ16</f>
        <v>338209.02</v>
      </c>
      <c r="AR17" s="650">
        <f>AQ17+AR16</f>
        <v>338209.02</v>
      </c>
      <c r="AS17" s="650">
        <f>AR17+AS16</f>
        <v>338209.02</v>
      </c>
      <c r="AT17" s="650">
        <f>AS17+AT16</f>
        <v>338209.02</v>
      </c>
      <c r="AU17" s="650">
        <f>AT17+AU16</f>
        <v>338209.02</v>
      </c>
      <c r="AV17" s="650">
        <f>AU17+AV16</f>
        <v>338209.02</v>
      </c>
      <c r="AW17" s="650">
        <f>AV17+AW16</f>
        <v>338209.02</v>
      </c>
      <c r="AX17" s="650">
        <f>AW17+AX16</f>
        <v>338209.02</v>
      </c>
      <c r="AY17" s="650">
        <f>AX17+AY16</f>
        <v>338209.02</v>
      </c>
      <c r="AZ17" s="650">
        <f>AY17+AZ16</f>
        <v>338209.02</v>
      </c>
      <c r="BA17" s="650">
        <f>AZ17+BA16</f>
        <v>338209.02</v>
      </c>
      <c r="BB17" s="650">
        <f>BA17+BB16</f>
        <v>338209.02</v>
      </c>
      <c r="BC17" s="650">
        <f>BB17+BC16</f>
        <v>338209.02</v>
      </c>
      <c r="BD17" s="650">
        <f>BC17+BD16</f>
        <v>338209.02</v>
      </c>
      <c r="BE17" s="650">
        <f>BD17+BE16</f>
        <v>338209.02</v>
      </c>
      <c r="BF17" s="650">
        <f>BE17+BF16</f>
        <v>338209.02</v>
      </c>
      <c r="BG17" s="650">
        <f>BF17+BG16</f>
        <v>338209.02</v>
      </c>
      <c r="BH17" s="650">
        <f>BG17+BH16</f>
        <v>338209.02</v>
      </c>
      <c r="BI17" s="650">
        <f>BH17+BI16</f>
        <v>338209.02</v>
      </c>
      <c r="BJ17" s="650">
        <f>BI17+BJ16</f>
        <v>338209.02</v>
      </c>
      <c r="BK17" s="650">
        <f>BJ17+BK16</f>
        <v>338209.02</v>
      </c>
      <c r="BL17" s="650">
        <f>BK17+BL16</f>
        <v>338209.02</v>
      </c>
      <c r="BM17" s="650">
        <f>BL17+BM16</f>
        <v>338209.02</v>
      </c>
      <c r="BN17" s="650">
        <f>BM17+BN16</f>
        <v>338209.02</v>
      </c>
      <c r="BO17" s="650">
        <f>BN17+BO16</f>
        <v>338209.02</v>
      </c>
      <c r="BP17" s="650">
        <f>BO17+BP16</f>
        <v>338209.02</v>
      </c>
      <c r="BQ17" s="650">
        <f>BP17+BQ16</f>
        <v>338209.02</v>
      </c>
      <c r="BR17" s="650">
        <f>BQ17+BR16</f>
        <v>338209.02</v>
      </c>
      <c r="BS17" s="650">
        <f>BR17+BS16</f>
        <v>338209.02</v>
      </c>
      <c r="BT17" s="650">
        <f>BS17+BT16</f>
        <v>338209.02</v>
      </c>
      <c r="BU17" s="650">
        <f>BT17+BU16</f>
        <v>338209.02</v>
      </c>
      <c r="BV17" s="650">
        <f>BU17+BV16</f>
        <v>338209.02</v>
      </c>
      <c r="BW17" s="650">
        <f>BV17+BW16</f>
        <v>338209.02</v>
      </c>
      <c r="BX17" s="650">
        <f>BW17+BX16</f>
        <v>338209.02</v>
      </c>
      <c r="BY17" s="650">
        <f>BX17+BY16</f>
        <v>338209.02</v>
      </c>
      <c r="BZ17" s="650">
        <f>BY17+BZ16</f>
        <v>338209.02</v>
      </c>
      <c r="CA17" s="650">
        <f>BZ17+CA16</f>
        <v>338209.02</v>
      </c>
      <c r="CB17" s="650">
        <f>CA17+CB16</f>
        <v>338209.02</v>
      </c>
      <c r="CC17" s="650">
        <f>CB17+CC16</f>
        <v>338209.02</v>
      </c>
      <c r="CD17" s="650">
        <f>CC17+CD16</f>
        <v>338209.02</v>
      </c>
      <c r="CE17" s="650">
        <f>CD17+CE16</f>
        <v>338209.02</v>
      </c>
      <c r="CF17" s="650">
        <f>CE17+CF16</f>
        <v>338209.02</v>
      </c>
      <c r="CG17" s="650">
        <f>CF17+CG16</f>
        <v>338209.02</v>
      </c>
      <c r="CH17" s="650">
        <f>CG17+CH16</f>
        <v>338209.02</v>
      </c>
    </row>
    <row r="18" ht="15" customFormat="1" customHeight="1" s="381">
      <c r="A18" s="383" t="n"/>
      <c r="B18" s="383" t="n"/>
      <c r="C18" s="383" t="n"/>
      <c r="D18" s="383" t="n"/>
      <c r="E18" s="383" t="n"/>
      <c r="F18" s="383" t="n"/>
      <c r="G18" s="383" t="n"/>
      <c r="H18" s="383" t="n"/>
      <c r="I18" s="383" t="n"/>
      <c r="J18" s="383" t="n"/>
      <c r="K18" s="383" t="n"/>
      <c r="L18" s="383" t="n"/>
      <c r="M18" s="383" t="n"/>
      <c r="N18" s="383" t="n"/>
      <c r="O18" s="383" t="n"/>
      <c r="P18" s="383" t="n"/>
      <c r="Q18" s="383" t="n"/>
      <c r="R18" s="383" t="n"/>
      <c r="S18" s="383" t="n"/>
      <c r="T18" s="383" t="n"/>
      <c r="U18" s="383" t="n"/>
      <c r="V18" s="383" t="n"/>
      <c r="W18" s="383" t="n"/>
      <c r="X18" s="383" t="n"/>
      <c r="Y18" s="383" t="n"/>
      <c r="Z18" s="383" t="n"/>
      <c r="AA18" s="383" t="n"/>
      <c r="AB18" s="383" t="n"/>
      <c r="AC18" s="383" t="n"/>
      <c r="AD18" s="383" t="n"/>
      <c r="AE18" s="383" t="n"/>
      <c r="AF18" s="383" t="n"/>
      <c r="AG18" s="383" t="n"/>
      <c r="AH18" s="383" t="n"/>
      <c r="AI18" s="383" t="n"/>
      <c r="AJ18" s="383" t="n"/>
      <c r="AK18" s="383" t="n"/>
      <c r="AL18" s="383" t="n"/>
      <c r="AM18" s="383" t="n"/>
      <c r="AN18" s="383" t="n"/>
      <c r="AO18" s="383" t="n"/>
      <c r="AP18" s="383" t="n"/>
      <c r="AQ18" s="383" t="n"/>
      <c r="AR18" s="383" t="n"/>
      <c r="AS18" s="383" t="n"/>
      <c r="AT18" s="383" t="n"/>
      <c r="AU18" s="383" t="n"/>
      <c r="AV18" s="383" t="n"/>
      <c r="AW18" s="383" t="n"/>
      <c r="AX18" s="383" t="n"/>
      <c r="AY18" s="383" t="n"/>
      <c r="AZ18" s="383" t="n"/>
      <c r="BA18" s="383" t="n"/>
      <c r="BB18" s="383" t="n"/>
      <c r="BC18" s="383" t="n"/>
      <c r="BD18" s="383" t="n"/>
      <c r="BE18" s="383" t="n"/>
      <c r="BF18" s="383" t="n"/>
      <c r="BG18" s="383" t="n"/>
      <c r="BH18" s="383" t="n"/>
      <c r="BI18" s="383" t="n"/>
      <c r="BJ18" s="383" t="n"/>
      <c r="BK18" s="383" t="n"/>
      <c r="BL18" s="383" t="n"/>
      <c r="BM18" s="383" t="n"/>
      <c r="BN18" s="383" t="n"/>
      <c r="BO18" s="383" t="n"/>
      <c r="BP18" s="383" t="n"/>
      <c r="BQ18" s="383" t="n"/>
      <c r="BR18" s="383" t="n"/>
      <c r="BS18" s="383" t="n"/>
      <c r="BT18" s="383" t="n"/>
      <c r="BU18" s="383" t="n"/>
      <c r="BV18" s="383" t="n"/>
      <c r="BW18" s="383" t="n"/>
      <c r="BX18" s="383" t="n"/>
      <c r="BY18" s="383" t="n"/>
      <c r="BZ18" s="383" t="n"/>
      <c r="CA18" s="383" t="n"/>
      <c r="CB18" s="383" t="n"/>
      <c r="CC18" s="383" t="n"/>
      <c r="CD18" s="383" t="n"/>
      <c r="CE18" s="383" t="n"/>
      <c r="CF18" s="383" t="n"/>
      <c r="CG18" s="383" t="n"/>
      <c r="CH18" s="383" t="n"/>
    </row>
    <row r="19" ht="15" customFormat="1" customHeight="1" s="381">
      <c r="A19" s="403" t="inlineStr">
        <is>
          <t>Scott</t>
        </is>
      </c>
      <c r="B19" s="403" t="n"/>
      <c r="C19" s="403" t="n"/>
      <c r="D19" s="403" t="n"/>
      <c r="E19" s="403" t="n"/>
      <c r="F19" s="403" t="n"/>
      <c r="G19" s="403" t="n"/>
      <c r="H19" s="403" t="n"/>
      <c r="I19" s="403" t="n"/>
      <c r="J19" s="403" t="n"/>
      <c r="K19" s="403" t="n"/>
      <c r="L19" s="403" t="n"/>
      <c r="M19" s="403" t="n"/>
      <c r="N19" s="403" t="n"/>
      <c r="O19" s="403" t="n"/>
      <c r="P19" s="403" t="n"/>
      <c r="Q19" s="403" t="n"/>
      <c r="R19" s="403" t="n"/>
      <c r="S19" s="403" t="n"/>
      <c r="T19" s="403" t="n"/>
      <c r="U19" s="403" t="n"/>
      <c r="V19" s="403" t="n"/>
      <c r="W19" s="403" t="n"/>
      <c r="X19" s="403" t="n"/>
      <c r="Y19" s="403" t="n"/>
      <c r="Z19" s="403" t="n"/>
      <c r="AA19" s="403" t="n"/>
      <c r="AB19" s="403" t="n"/>
      <c r="AC19" s="403" t="n"/>
      <c r="AD19" s="403" t="n"/>
      <c r="AE19" s="403" t="n"/>
      <c r="AF19" s="403" t="n"/>
      <c r="AG19" s="403" t="n"/>
      <c r="AH19" s="403" t="n"/>
      <c r="AI19" s="403" t="n"/>
      <c r="AJ19" s="403" t="n"/>
      <c r="AK19" s="403" t="n"/>
      <c r="AL19" s="403" t="n"/>
      <c r="AM19" s="403" t="n"/>
      <c r="AN19" s="403" t="n"/>
      <c r="AO19" s="403" t="n"/>
      <c r="AP19" s="403" t="n"/>
      <c r="AQ19" s="403" t="n"/>
      <c r="AR19" s="403" t="n"/>
      <c r="AS19" s="403" t="n"/>
      <c r="AT19" s="403" t="n"/>
      <c r="AU19" s="403" t="n"/>
      <c r="AV19" s="403" t="n"/>
      <c r="AW19" s="403" t="n"/>
      <c r="AX19" s="403" t="n"/>
      <c r="AY19" s="403" t="n"/>
      <c r="AZ19" s="403" t="n"/>
      <c r="BA19" s="403" t="n"/>
      <c r="BB19" s="403" t="n"/>
      <c r="BC19" s="403" t="n"/>
      <c r="BD19" s="403" t="n"/>
      <c r="BE19" s="403" t="n"/>
      <c r="BF19" s="403" t="n"/>
      <c r="BG19" s="403" t="n"/>
      <c r="BH19" s="403" t="n"/>
      <c r="BI19" s="403" t="n"/>
      <c r="BJ19" s="403" t="n"/>
      <c r="BK19" s="403" t="n"/>
      <c r="BL19" s="403" t="n"/>
      <c r="BM19" s="403" t="n"/>
      <c r="BN19" s="403" t="n"/>
      <c r="BO19" s="403" t="n"/>
      <c r="BP19" s="403" t="n"/>
      <c r="BQ19" s="403" t="n"/>
      <c r="BR19" s="403" t="n"/>
      <c r="BS19" s="403" t="n"/>
      <c r="BT19" s="403" t="n"/>
      <c r="BU19" s="403" t="n"/>
      <c r="BV19" s="403" t="n"/>
      <c r="BW19" s="403" t="n"/>
      <c r="BX19" s="403" t="n"/>
      <c r="BY19" s="403" t="n"/>
      <c r="BZ19" s="403" t="n"/>
      <c r="CA19" s="403" t="n"/>
      <c r="CB19" s="403" t="n"/>
      <c r="CC19" s="403" t="n"/>
      <c r="CD19" s="403" t="n"/>
      <c r="CE19" s="403" t="n"/>
      <c r="CF19" s="403" t="n"/>
      <c r="CG19" s="403" t="n"/>
      <c r="CH19" s="403" t="n"/>
    </row>
    <row r="20" ht="15" customFormat="1" customHeight="1" s="381">
      <c r="A20" s="461" t="inlineStr">
        <is>
          <t xml:space="preserve">  Revenue</t>
        </is>
      </c>
      <c r="B20" s="383" t="n"/>
      <c r="C20" s="647">
        <f>Model!E159+Model!E160+Model!E161</f>
        <v>0</v>
      </c>
      <c r="D20" s="647">
        <f>Model!F159+Model!F160+Model!F161</f>
        <v>0</v>
      </c>
      <c r="E20" s="647">
        <f>Model!G159+Model!G160+Model!G161</f>
        <v>0</v>
      </c>
      <c r="F20" s="647">
        <f>Model!H159+Model!H160+Model!H161</f>
        <v>0</v>
      </c>
      <c r="G20" s="647">
        <f>Model!I159+Model!I160+Model!I161</f>
        <v>0</v>
      </c>
      <c r="H20" s="647">
        <f>Model!J159+Model!J160+Model!J161</f>
        <v>0</v>
      </c>
      <c r="I20" s="647">
        <f>Model!K159+Model!K160+Model!K161</f>
        <v>0</v>
      </c>
      <c r="J20" s="647">
        <f>Model!L159+Model!L160+Model!L161</f>
        <v>0</v>
      </c>
      <c r="K20" s="647">
        <f>Model!M159+Model!M160+Model!M161</f>
        <v>0</v>
      </c>
      <c r="L20" s="647">
        <f>Model!N159+Model!N160+Model!N161</f>
        <v>192797.63</v>
      </c>
      <c r="M20" s="647">
        <f>Model!O159+Model!O160+Model!O161</f>
        <v>11052.63</v>
      </c>
      <c r="N20" s="647">
        <f>Model!P159+Model!P160+Model!P161</f>
        <v>11052.63</v>
      </c>
      <c r="O20" s="647">
        <f>Model!Q159+Model!Q160+Model!Q161</f>
        <v>11052.63</v>
      </c>
      <c r="P20" s="647">
        <f>Model!R159+Model!R160+Model!R161</f>
        <v>11052.63</v>
      </c>
      <c r="Q20" s="647">
        <f>Model!S159+Model!S160+Model!S161</f>
        <v>11052.63</v>
      </c>
      <c r="R20" s="647">
        <f>Model!T159+Model!T160+Model!T161</f>
        <v>11052.63</v>
      </c>
      <c r="S20" s="647">
        <f>Model!U159+Model!U160+Model!U161</f>
        <v>11052.63</v>
      </c>
      <c r="T20" s="647">
        <f>Model!V159+Model!V160+Model!V161</f>
        <v>11052.63</v>
      </c>
      <c r="U20" s="647">
        <f>Model!W159+Model!W160+Model!W161</f>
        <v>11052.63</v>
      </c>
      <c r="V20" s="647">
        <f>Model!X159+Model!X160+Model!X161</f>
        <v>11052.63</v>
      </c>
      <c r="W20" s="647">
        <f>Model!Y159+Model!Y160+Model!Y161</f>
        <v>11052.63</v>
      </c>
      <c r="X20" s="647">
        <f>Model!Z159+Model!Z160+Model!Z161</f>
        <v>11052.63</v>
      </c>
      <c r="Y20" s="647">
        <f>Model!AA159+Model!AA160+Model!AA161</f>
        <v>11052.63</v>
      </c>
      <c r="Z20" s="647">
        <f>Model!AB159+Model!AB160+Model!AB161</f>
        <v>11052.63</v>
      </c>
      <c r="AA20" s="647">
        <f>Model!AC159+Model!AC160+Model!AC161</f>
        <v>11052.63</v>
      </c>
      <c r="AB20" s="647">
        <f>Model!AD159+Model!AD160+Model!AD161</f>
        <v>11052.63</v>
      </c>
      <c r="AC20" s="647">
        <f>Model!AE159+Model!AE160+Model!AE161</f>
        <v>11052.63</v>
      </c>
      <c r="AD20" s="647">
        <f>Model!AF159+Model!AF160+Model!AF161</f>
        <v>11052.63</v>
      </c>
      <c r="AE20" s="647">
        <f>Model!AG159+Model!AG160+Model!AG161</f>
        <v>0</v>
      </c>
      <c r="AF20" s="647">
        <f>Model!AH159+Model!AH160+Model!AH161</f>
        <v>0</v>
      </c>
      <c r="AG20" s="647">
        <f>Model!AI159+Model!AI160+Model!AI161</f>
        <v>0</v>
      </c>
      <c r="AH20" s="647">
        <f>Model!AJ159+Model!AJ160+Model!AJ161</f>
        <v>0</v>
      </c>
      <c r="AI20" s="647">
        <f>Model!AK159+Model!AK160+Model!AK161</f>
        <v>0</v>
      </c>
      <c r="AJ20" s="647">
        <f>Model!AL159+Model!AL160+Model!AL161</f>
        <v>0</v>
      </c>
      <c r="AK20" s="647">
        <f>Model!AM159+Model!AM160+Model!AM161</f>
        <v>0</v>
      </c>
      <c r="AL20" s="647">
        <f>Model!AN159+Model!AN160+Model!AN161</f>
        <v>0</v>
      </c>
      <c r="AM20" s="647">
        <f>Model!AO159+Model!AO160+Model!AO161</f>
        <v>0</v>
      </c>
      <c r="AN20" s="647">
        <f>Model!AP159+Model!AP160+Model!AP161</f>
        <v>0</v>
      </c>
      <c r="AO20" s="647">
        <f>Model!AQ159+Model!AQ160+Model!AQ161</f>
        <v>0</v>
      </c>
      <c r="AP20" s="647">
        <f>Model!AR159+Model!AR160+Model!AR161</f>
        <v>0</v>
      </c>
      <c r="AQ20" s="647">
        <f>Model!AS159+Model!AS160+Model!AS161</f>
        <v>0</v>
      </c>
      <c r="AR20" s="647">
        <f>Model!AT159+Model!AT160+Model!AT161</f>
        <v>0</v>
      </c>
      <c r="AS20" s="647">
        <f>Model!AU159+Model!AU160+Model!AU161</f>
        <v>0</v>
      </c>
      <c r="AT20" s="647">
        <f>Model!AV159+Model!AV160+Model!AV161</f>
        <v>0</v>
      </c>
      <c r="AU20" s="647">
        <f>Model!AW159+Model!AW160+Model!AW161</f>
        <v>0</v>
      </c>
      <c r="AV20" s="647">
        <f>Model!AX159+Model!AX160+Model!AX161</f>
        <v>0</v>
      </c>
      <c r="AW20" s="647">
        <f>Model!AY159+Model!AY160+Model!AY161</f>
        <v>0</v>
      </c>
      <c r="AX20" s="647">
        <f>Model!AZ159+Model!AZ160+Model!AZ161</f>
        <v>0</v>
      </c>
      <c r="AY20" s="647">
        <f>Model!BA159+Model!BA160+Model!BA161</f>
        <v>0</v>
      </c>
      <c r="AZ20" s="647">
        <f>Model!BB159+Model!BB160+Model!BB161</f>
        <v>0</v>
      </c>
      <c r="BA20" s="647">
        <f>Model!BC159+Model!BC160+Model!BC161</f>
        <v>0</v>
      </c>
      <c r="BB20" s="647">
        <f>Model!BD159+Model!BD160+Model!BD161</f>
        <v>0</v>
      </c>
      <c r="BC20" s="647">
        <f>Model!BE159+Model!BE160+Model!BE161</f>
        <v>0</v>
      </c>
      <c r="BD20" s="647">
        <f>Model!BF159+Model!BF160+Model!BF161</f>
        <v>0</v>
      </c>
      <c r="BE20" s="647">
        <f>Model!BG159+Model!BG160+Model!BG161</f>
        <v>0</v>
      </c>
      <c r="BF20" s="647">
        <f>Model!BH159+Model!BH160+Model!BH161</f>
        <v>0</v>
      </c>
      <c r="BG20" s="647">
        <f>Model!BI159+Model!BI160+Model!BI161</f>
        <v>0</v>
      </c>
      <c r="BH20" s="647">
        <f>Model!BJ159+Model!BJ160+Model!BJ161</f>
        <v>0</v>
      </c>
      <c r="BI20" s="647">
        <f>Model!BK159+Model!BK160+Model!BK161</f>
        <v>0</v>
      </c>
      <c r="BJ20" s="647">
        <f>Model!BL159+Model!BL160+Model!BL161</f>
        <v>0</v>
      </c>
      <c r="BK20" s="647">
        <f>Model!BM159+Model!BM160+Model!BM161</f>
        <v>0</v>
      </c>
      <c r="BL20" s="647">
        <f>Model!BN159+Model!BN160+Model!BN161</f>
        <v>0</v>
      </c>
      <c r="BM20" s="647">
        <f>Model!BO159+Model!BO160+Model!BO161</f>
        <v>0</v>
      </c>
      <c r="BN20" s="647">
        <f>Model!BP159+Model!BP160+Model!BP161</f>
        <v>0</v>
      </c>
      <c r="BO20" s="647">
        <f>Model!BQ159+Model!BQ160+Model!BQ161</f>
        <v>0</v>
      </c>
      <c r="BP20" s="647">
        <f>Model!BR159+Model!BR160+Model!BR161</f>
        <v>0</v>
      </c>
      <c r="BQ20" s="647">
        <f>Model!BS159+Model!BS160+Model!BS161</f>
        <v>0</v>
      </c>
      <c r="BR20" s="647">
        <f>Model!BT159+Model!BT160+Model!BT161</f>
        <v>0</v>
      </c>
      <c r="BS20" s="647">
        <f>Model!BU159+Model!BU160+Model!BU161</f>
        <v>0</v>
      </c>
      <c r="BT20" s="647">
        <f>Model!BV159+Model!BV160+Model!BV161</f>
        <v>0</v>
      </c>
      <c r="BU20" s="647">
        <f>Model!BW159+Model!BW160+Model!BW161</f>
        <v>0</v>
      </c>
      <c r="BV20" s="647">
        <f>Model!BX159+Model!BX160+Model!BX161</f>
        <v>0</v>
      </c>
      <c r="BW20" s="647">
        <f>Model!BY159+Model!BY160+Model!BY161</f>
        <v>0</v>
      </c>
      <c r="BX20" s="647">
        <f>Model!BZ159+Model!BZ160+Model!BZ161</f>
        <v>0</v>
      </c>
      <c r="BY20" s="647">
        <f>Model!CA159+Model!CA160+Model!CA161</f>
        <v>0</v>
      </c>
      <c r="BZ20" s="647">
        <f>Model!CB159+Model!CB160+Model!CB161</f>
        <v>0</v>
      </c>
      <c r="CA20" s="647">
        <f>Model!CC159+Model!CC160+Model!CC161</f>
        <v>0</v>
      </c>
      <c r="CB20" s="647">
        <f>Model!CD159+Model!CD160+Model!CD161</f>
        <v>0</v>
      </c>
      <c r="CC20" s="647">
        <f>Model!CE159+Model!CE160+Model!CE161</f>
        <v>0</v>
      </c>
      <c r="CD20" s="647">
        <f>Model!CF159+Model!CF160+Model!CF161</f>
        <v>0</v>
      </c>
      <c r="CE20" s="647">
        <f>Model!CG159+Model!CG160+Model!CG161</f>
        <v>0</v>
      </c>
      <c r="CF20" s="647">
        <f>Model!CH159+Model!CH160+Model!CH161</f>
        <v>0</v>
      </c>
      <c r="CG20" s="647">
        <f>Model!CI159+Model!CI160+Model!CI161</f>
        <v>0</v>
      </c>
      <c r="CH20" s="647">
        <f>Model!CJ159+Model!CJ160+Model!CJ161</f>
        <v>0</v>
      </c>
    </row>
    <row r="21" ht="15" customFormat="1" customHeight="1" s="381">
      <c r="A21" s="651" t="inlineStr">
        <is>
          <t xml:space="preserve">  Steyn Fees</t>
        </is>
      </c>
      <c r="B21" s="383" t="n"/>
      <c r="C21" s="652">
        <f>IF(AND(Projects!$G$12="Yes",1=Projects!$C$12),-135452,0)</f>
        <v>0</v>
      </c>
      <c r="D21" s="652">
        <f>IF(AND(Projects!$G$12="Yes",2=Projects!$C$12),-135452,0)</f>
        <v>0</v>
      </c>
      <c r="E21" s="652">
        <f>IF(AND(Projects!$G$12="Yes",3=Projects!$C$12),-135452,0)</f>
        <v>0</v>
      </c>
      <c r="F21" s="652">
        <f>IF(AND(Projects!$G$12="Yes",4=Projects!$C$12),-135452,0)</f>
        <v>0</v>
      </c>
      <c r="G21" s="652">
        <f>IF(AND(Projects!$G$12="Yes",5=Projects!$C$12),-135452,0)</f>
        <v>0</v>
      </c>
      <c r="H21" s="652">
        <f>IF(AND(Projects!$G$12="Yes",6=Projects!$C$12),-135452,0)</f>
        <v>0</v>
      </c>
      <c r="I21" s="652">
        <f>IF(AND(Projects!$G$12="Yes",7=Projects!$C$12),-135452,0)</f>
        <v>0</v>
      </c>
      <c r="J21" s="652">
        <f>IF(AND(Projects!$G$12="Yes",8=Projects!$C$12),-135452,0)</f>
        <v>0</v>
      </c>
      <c r="K21" s="652">
        <f>IF(AND(Projects!$G$12="Yes",9=Projects!$C$12),-135452,0)</f>
        <v>0</v>
      </c>
      <c r="L21" s="652">
        <f>IF(AND(Projects!$G$12="Yes",10=Projects!$C$12),-135452,0)</f>
        <v>-135452</v>
      </c>
      <c r="M21" s="652">
        <f>IF(AND(Projects!$G$12="Yes",11=Projects!$C$12),-135452,0)</f>
        <v>0</v>
      </c>
      <c r="N21" s="652">
        <f>IF(AND(Projects!$G$12="Yes",12=Projects!$C$12),-135452,0)</f>
        <v>0</v>
      </c>
      <c r="O21" s="652">
        <f>IF(AND(Projects!$G$12="Yes",13=Projects!$C$12),-135452,0)</f>
        <v>0</v>
      </c>
      <c r="P21" s="652">
        <f>IF(AND(Projects!$G$12="Yes",14=Projects!$C$12),-135452,0)</f>
        <v>0</v>
      </c>
      <c r="Q21" s="652">
        <f>IF(AND(Projects!$G$12="Yes",15=Projects!$C$12),-135452,0)</f>
        <v>0</v>
      </c>
      <c r="R21" s="652">
        <f>IF(AND(Projects!$G$12="Yes",16=Projects!$C$12),-135452,0)</f>
        <v>0</v>
      </c>
      <c r="S21" s="652">
        <f>IF(AND(Projects!$G$12="Yes",17=Projects!$C$12),-135452,0)</f>
        <v>0</v>
      </c>
      <c r="T21" s="652">
        <f>IF(AND(Projects!$G$12="Yes",18=Projects!$C$12),-135452,0)</f>
        <v>0</v>
      </c>
      <c r="U21" s="652">
        <f>IF(AND(Projects!$G$12="Yes",19=Projects!$C$12),-135452,0)</f>
        <v>0</v>
      </c>
      <c r="V21" s="652">
        <f>IF(AND(Projects!$G$12="Yes",20=Projects!$C$12),-135452,0)</f>
        <v>0</v>
      </c>
      <c r="W21" s="652">
        <f>IF(AND(Projects!$G$12="Yes",21=Projects!$C$12),-135452,0)</f>
        <v>0</v>
      </c>
      <c r="X21" s="652">
        <f>IF(AND(Projects!$G$12="Yes",22=Projects!$C$12),-135452,0)</f>
        <v>0</v>
      </c>
      <c r="Y21" s="652">
        <f>IF(AND(Projects!$G$12="Yes",23=Projects!$C$12),-135452,0)</f>
        <v>0</v>
      </c>
      <c r="Z21" s="652">
        <f>IF(AND(Projects!$G$12="Yes",24=Projects!$C$12),-135452,0)</f>
        <v>0</v>
      </c>
      <c r="AA21" s="652">
        <f>IF(AND(Projects!$G$12="Yes",25=Projects!$C$12),-135452,0)</f>
        <v>0</v>
      </c>
      <c r="AB21" s="652">
        <f>IF(AND(Projects!$G$12="Yes",26=Projects!$C$12),-135452,0)</f>
        <v>0</v>
      </c>
      <c r="AC21" s="652">
        <f>IF(AND(Projects!$G$12="Yes",27=Projects!$C$12),-135452,0)</f>
        <v>0</v>
      </c>
      <c r="AD21" s="652">
        <f>IF(AND(Projects!$G$12="Yes",28=Projects!$C$12),-135452,0)</f>
        <v>0</v>
      </c>
      <c r="AE21" s="652">
        <f>IF(AND(Projects!$G$12="Yes",29=Projects!$C$12),-135452,0)</f>
        <v>0</v>
      </c>
      <c r="AF21" s="652">
        <f>IF(AND(Projects!$G$12="Yes",30=Projects!$C$12),-135452,0)</f>
        <v>0</v>
      </c>
      <c r="AG21" s="652">
        <f>IF(AND(Projects!$G$12="Yes",31=Projects!$C$12),-135452,0)</f>
        <v>0</v>
      </c>
      <c r="AH21" s="652">
        <f>IF(AND(Projects!$G$12="Yes",32=Projects!$C$12),-135452,0)</f>
        <v>0</v>
      </c>
      <c r="AI21" s="652">
        <f>IF(AND(Projects!$G$12="Yes",33=Projects!$C$12),-135452,0)</f>
        <v>0</v>
      </c>
      <c r="AJ21" s="652">
        <f>IF(AND(Projects!$G$12="Yes",34=Projects!$C$12),-135452,0)</f>
        <v>0</v>
      </c>
      <c r="AK21" s="652">
        <f>IF(AND(Projects!$G$12="Yes",35=Projects!$C$12),-135452,0)</f>
        <v>0</v>
      </c>
      <c r="AL21" s="652">
        <f>IF(AND(Projects!$G$12="Yes",36=Projects!$C$12),-135452,0)</f>
        <v>0</v>
      </c>
      <c r="AM21" s="652">
        <f>IF(AND(Projects!$G$12="Yes",37=Projects!$C$12),-135452,0)</f>
        <v>0</v>
      </c>
      <c r="AN21" s="652">
        <f>IF(AND(Projects!$G$12="Yes",38=Projects!$C$12),-135452,0)</f>
        <v>0</v>
      </c>
      <c r="AO21" s="652">
        <f>IF(AND(Projects!$G$12="Yes",39=Projects!$C$12),-135452,0)</f>
        <v>0</v>
      </c>
      <c r="AP21" s="652">
        <f>IF(AND(Projects!$G$12="Yes",40=Projects!$C$12),-135452,0)</f>
        <v>0</v>
      </c>
      <c r="AQ21" s="652">
        <f>IF(AND(Projects!$G$12="Yes",41=Projects!$C$12),-135452,0)</f>
        <v>0</v>
      </c>
      <c r="AR21" s="652">
        <f>IF(AND(Projects!$G$12="Yes",42=Projects!$C$12),-135452,0)</f>
        <v>0</v>
      </c>
      <c r="AS21" s="652">
        <f>IF(AND(Projects!$G$12="Yes",43=Projects!$C$12),-135452,0)</f>
        <v>0</v>
      </c>
      <c r="AT21" s="652">
        <f>IF(AND(Projects!$G$12="Yes",44=Projects!$C$12),-135452,0)</f>
        <v>0</v>
      </c>
      <c r="AU21" s="652">
        <f>IF(AND(Projects!$G$12="Yes",45=Projects!$C$12),-135452,0)</f>
        <v>0</v>
      </c>
      <c r="AV21" s="652">
        <f>IF(AND(Projects!$G$12="Yes",46=Projects!$C$12),-135452,0)</f>
        <v>0</v>
      </c>
      <c r="AW21" s="652">
        <f>IF(AND(Projects!$G$12="Yes",47=Projects!$C$12),-135452,0)</f>
        <v>0</v>
      </c>
      <c r="AX21" s="652">
        <f>IF(AND(Projects!$G$12="Yes",48=Projects!$C$12),-135452,0)</f>
        <v>0</v>
      </c>
      <c r="AY21" s="652">
        <f>IF(AND(Projects!$G$12="Yes",49=Projects!$C$12),-135452,0)</f>
        <v>0</v>
      </c>
      <c r="AZ21" s="652">
        <f>IF(AND(Projects!$G$12="Yes",50=Projects!$C$12),-135452,0)</f>
        <v>0</v>
      </c>
      <c r="BA21" s="652">
        <f>IF(AND(Projects!$G$12="Yes",51=Projects!$C$12),-135452,0)</f>
        <v>0</v>
      </c>
      <c r="BB21" s="652">
        <f>IF(AND(Projects!$G$12="Yes",52=Projects!$C$12),-135452,0)</f>
        <v>0</v>
      </c>
      <c r="BC21" s="652">
        <f>IF(AND(Projects!$G$12="Yes",53=Projects!$C$12),-135452,0)</f>
        <v>0</v>
      </c>
      <c r="BD21" s="652">
        <f>IF(AND(Projects!$G$12="Yes",54=Projects!$C$12),-135452,0)</f>
        <v>0</v>
      </c>
      <c r="BE21" s="652">
        <f>IF(AND(Projects!$G$12="Yes",55=Projects!$C$12),-135452,0)</f>
        <v>0</v>
      </c>
      <c r="BF21" s="652">
        <f>IF(AND(Projects!$G$12="Yes",56=Projects!$C$12),-135452,0)</f>
        <v>0</v>
      </c>
      <c r="BG21" s="652">
        <f>IF(AND(Projects!$G$12="Yes",57=Projects!$C$12),-135452,0)</f>
        <v>0</v>
      </c>
      <c r="BH21" s="652">
        <f>IF(AND(Projects!$G$12="Yes",58=Projects!$C$12),-135452,0)</f>
        <v>0</v>
      </c>
      <c r="BI21" s="652">
        <f>IF(AND(Projects!$G$12="Yes",59=Projects!$C$12),-135452,0)</f>
        <v>0</v>
      </c>
      <c r="BJ21" s="652">
        <f>IF(AND(Projects!$G$12="Yes",60=Projects!$C$12),-135452,0)</f>
        <v>0</v>
      </c>
      <c r="BK21" s="652">
        <f>IF(AND(Projects!$G$12="Yes",61=Projects!$C$12),-135452,0)</f>
        <v>0</v>
      </c>
      <c r="BL21" s="652">
        <f>IF(AND(Projects!$G$12="Yes",62=Projects!$C$12),-135452,0)</f>
        <v>0</v>
      </c>
      <c r="BM21" s="652">
        <f>IF(AND(Projects!$G$12="Yes",63=Projects!$C$12),-135452,0)</f>
        <v>0</v>
      </c>
      <c r="BN21" s="652">
        <f>IF(AND(Projects!$G$12="Yes",64=Projects!$C$12),-135452,0)</f>
        <v>0</v>
      </c>
      <c r="BO21" s="652">
        <f>IF(AND(Projects!$G$12="Yes",65=Projects!$C$12),-135452,0)</f>
        <v>0</v>
      </c>
      <c r="BP21" s="652">
        <f>IF(AND(Projects!$G$12="Yes",66=Projects!$C$12),-135452,0)</f>
        <v>0</v>
      </c>
      <c r="BQ21" s="652">
        <f>IF(AND(Projects!$G$12="Yes",67=Projects!$C$12),-135452,0)</f>
        <v>0</v>
      </c>
      <c r="BR21" s="652">
        <f>IF(AND(Projects!$G$12="Yes",68=Projects!$C$12),-135452,0)</f>
        <v>0</v>
      </c>
      <c r="BS21" s="652">
        <f>IF(AND(Projects!$G$12="Yes",69=Projects!$C$12),-135452,0)</f>
        <v>0</v>
      </c>
      <c r="BT21" s="652">
        <f>IF(AND(Projects!$G$12="Yes",70=Projects!$C$12),-135452,0)</f>
        <v>0</v>
      </c>
      <c r="BU21" s="652">
        <f>IF(AND(Projects!$G$12="Yes",71=Projects!$C$12),-135452,0)</f>
        <v>0</v>
      </c>
      <c r="BV21" s="652">
        <f>IF(AND(Projects!$G$12="Yes",72=Projects!$C$12),-135452,0)</f>
        <v>0</v>
      </c>
      <c r="BW21" s="652">
        <f>IF(AND(Projects!$G$12="Yes",73=Projects!$C$12),-135452,0)</f>
        <v>0</v>
      </c>
      <c r="BX21" s="652">
        <f>IF(AND(Projects!$G$12="Yes",74=Projects!$C$12),-135452,0)</f>
        <v>0</v>
      </c>
      <c r="BY21" s="652">
        <f>IF(AND(Projects!$G$12="Yes",75=Projects!$C$12),-135452,0)</f>
        <v>0</v>
      </c>
      <c r="BZ21" s="652">
        <f>IF(AND(Projects!$G$12="Yes",76=Projects!$C$12),-135452,0)</f>
        <v>0</v>
      </c>
      <c r="CA21" s="652">
        <f>IF(AND(Projects!$G$12="Yes",77=Projects!$C$12),-135452,0)</f>
        <v>0</v>
      </c>
      <c r="CB21" s="652">
        <f>IF(AND(Projects!$G$12="Yes",78=Projects!$C$12),-135452,0)</f>
        <v>0</v>
      </c>
      <c r="CC21" s="652">
        <f>IF(AND(Projects!$G$12="Yes",79=Projects!$C$12),-135452,0)</f>
        <v>0</v>
      </c>
      <c r="CD21" s="652">
        <f>IF(AND(Projects!$G$12="Yes",80=Projects!$C$12),-135452,0)</f>
        <v>0</v>
      </c>
      <c r="CE21" s="652">
        <f>IF(AND(Projects!$G$12="Yes",81=Projects!$C$12),-135452,0)</f>
        <v>0</v>
      </c>
      <c r="CF21" s="652">
        <f>IF(AND(Projects!$G$12="Yes",82=Projects!$C$12),-135452,0)</f>
        <v>0</v>
      </c>
      <c r="CG21" s="652">
        <f>IF(AND(Projects!$G$12="Yes",83=Projects!$C$12),-135452,0)</f>
        <v>0</v>
      </c>
      <c r="CH21" s="652">
        <f>IF(AND(Projects!$G$12="Yes",84=Projects!$C$12),-135452,0)</f>
        <v>0</v>
      </c>
    </row>
    <row r="22" ht="15" customFormat="1" customHeight="1" s="381">
      <c r="A22" s="648" t="inlineStr">
        <is>
          <t xml:space="preserve">  Net to Six Peak</t>
        </is>
      </c>
      <c r="B22" s="648" t="n"/>
      <c r="C22" s="649">
        <f>C20+C21</f>
        <v>0</v>
      </c>
      <c r="D22" s="649">
        <f>D20+D21</f>
        <v>0</v>
      </c>
      <c r="E22" s="649">
        <f>E20+E21</f>
        <v>0</v>
      </c>
      <c r="F22" s="649">
        <f>F20+F21</f>
        <v>0</v>
      </c>
      <c r="G22" s="649">
        <f>G20+G21</f>
        <v>0</v>
      </c>
      <c r="H22" s="649">
        <f>H20+H21</f>
        <v>0</v>
      </c>
      <c r="I22" s="649">
        <f>I20+I21</f>
        <v>0</v>
      </c>
      <c r="J22" s="649">
        <f>J20+J21</f>
        <v>0</v>
      </c>
      <c r="K22" s="649">
        <f>K20+K21</f>
        <v>0</v>
      </c>
      <c r="L22" s="649">
        <f>L20+L21</f>
        <v>57345.63</v>
      </c>
      <c r="M22" s="649">
        <f>M20+M21</f>
        <v>11052.63</v>
      </c>
      <c r="N22" s="649">
        <f>N20+N21</f>
        <v>11052.63</v>
      </c>
      <c r="O22" s="649">
        <f>O20+O21</f>
        <v>11052.63</v>
      </c>
      <c r="P22" s="649">
        <f>P20+P21</f>
        <v>11052.63</v>
      </c>
      <c r="Q22" s="649">
        <f>Q20+Q21</f>
        <v>11052.63</v>
      </c>
      <c r="R22" s="649">
        <f>R20+R21</f>
        <v>11052.63</v>
      </c>
      <c r="S22" s="649">
        <f>S20+S21</f>
        <v>11052.63</v>
      </c>
      <c r="T22" s="649">
        <f>T20+T21</f>
        <v>11052.63</v>
      </c>
      <c r="U22" s="649">
        <f>U20+U21</f>
        <v>11052.63</v>
      </c>
      <c r="V22" s="649">
        <f>V20+V21</f>
        <v>11052.63</v>
      </c>
      <c r="W22" s="649">
        <f>W20+W21</f>
        <v>11052.63</v>
      </c>
      <c r="X22" s="649">
        <f>X20+X21</f>
        <v>11052.63</v>
      </c>
      <c r="Y22" s="649">
        <f>Y20+Y21</f>
        <v>11052.63</v>
      </c>
      <c r="Z22" s="649">
        <f>Z20+Z21</f>
        <v>11052.63</v>
      </c>
      <c r="AA22" s="649">
        <f>AA20+AA21</f>
        <v>11052.63</v>
      </c>
      <c r="AB22" s="649">
        <f>AB20+AB21</f>
        <v>11052.63</v>
      </c>
      <c r="AC22" s="649">
        <f>AC20+AC21</f>
        <v>11052.63</v>
      </c>
      <c r="AD22" s="649">
        <f>AD20+AD21</f>
        <v>11052.63</v>
      </c>
      <c r="AE22" s="649">
        <f>AE20+AE21</f>
        <v>0</v>
      </c>
      <c r="AF22" s="649">
        <f>AF20+AF21</f>
        <v>0</v>
      </c>
      <c r="AG22" s="649">
        <f>AG20+AG21</f>
        <v>0</v>
      </c>
      <c r="AH22" s="649">
        <f>AH20+AH21</f>
        <v>0</v>
      </c>
      <c r="AI22" s="649">
        <f>AI20+AI21</f>
        <v>0</v>
      </c>
      <c r="AJ22" s="649">
        <f>AJ20+AJ21</f>
        <v>0</v>
      </c>
      <c r="AK22" s="649">
        <f>AK20+AK21</f>
        <v>0</v>
      </c>
      <c r="AL22" s="649">
        <f>AL20+AL21</f>
        <v>0</v>
      </c>
      <c r="AM22" s="649">
        <f>AM20+AM21</f>
        <v>0</v>
      </c>
      <c r="AN22" s="649">
        <f>AN20+AN21</f>
        <v>0</v>
      </c>
      <c r="AO22" s="649">
        <f>AO20+AO21</f>
        <v>0</v>
      </c>
      <c r="AP22" s="649">
        <f>AP20+AP21</f>
        <v>0</v>
      </c>
      <c r="AQ22" s="649">
        <f>AQ20+AQ21</f>
        <v>0</v>
      </c>
      <c r="AR22" s="649">
        <f>AR20+AR21</f>
        <v>0</v>
      </c>
      <c r="AS22" s="649">
        <f>AS20+AS21</f>
        <v>0</v>
      </c>
      <c r="AT22" s="649">
        <f>AT20+AT21</f>
        <v>0</v>
      </c>
      <c r="AU22" s="649">
        <f>AU20+AU21</f>
        <v>0</v>
      </c>
      <c r="AV22" s="649">
        <f>AV20+AV21</f>
        <v>0</v>
      </c>
      <c r="AW22" s="649">
        <f>AW20+AW21</f>
        <v>0</v>
      </c>
      <c r="AX22" s="649">
        <f>AX20+AX21</f>
        <v>0</v>
      </c>
      <c r="AY22" s="649">
        <f>AY20+AY21</f>
        <v>0</v>
      </c>
      <c r="AZ22" s="649">
        <f>AZ20+AZ21</f>
        <v>0</v>
      </c>
      <c r="BA22" s="649">
        <f>BA20+BA21</f>
        <v>0</v>
      </c>
      <c r="BB22" s="649">
        <f>BB20+BB21</f>
        <v>0</v>
      </c>
      <c r="BC22" s="649">
        <f>BC20+BC21</f>
        <v>0</v>
      </c>
      <c r="BD22" s="649">
        <f>BD20+BD21</f>
        <v>0</v>
      </c>
      <c r="BE22" s="649">
        <f>BE20+BE21</f>
        <v>0</v>
      </c>
      <c r="BF22" s="649">
        <f>BF20+BF21</f>
        <v>0</v>
      </c>
      <c r="BG22" s="649">
        <f>BG20+BG21</f>
        <v>0</v>
      </c>
      <c r="BH22" s="649">
        <f>BH20+BH21</f>
        <v>0</v>
      </c>
      <c r="BI22" s="649">
        <f>BI20+BI21</f>
        <v>0</v>
      </c>
      <c r="BJ22" s="649">
        <f>BJ20+BJ21</f>
        <v>0</v>
      </c>
      <c r="BK22" s="649">
        <f>BK20+BK21</f>
        <v>0</v>
      </c>
      <c r="BL22" s="649">
        <f>BL20+BL21</f>
        <v>0</v>
      </c>
      <c r="BM22" s="649">
        <f>BM20+BM21</f>
        <v>0</v>
      </c>
      <c r="BN22" s="649">
        <f>BN20+BN21</f>
        <v>0</v>
      </c>
      <c r="BO22" s="649">
        <f>BO20+BO21</f>
        <v>0</v>
      </c>
      <c r="BP22" s="649">
        <f>BP20+BP21</f>
        <v>0</v>
      </c>
      <c r="BQ22" s="649">
        <f>BQ20+BQ21</f>
        <v>0</v>
      </c>
      <c r="BR22" s="649">
        <f>BR20+BR21</f>
        <v>0</v>
      </c>
      <c r="BS22" s="649">
        <f>BS20+BS21</f>
        <v>0</v>
      </c>
      <c r="BT22" s="649">
        <f>BT20+BT21</f>
        <v>0</v>
      </c>
      <c r="BU22" s="649">
        <f>BU20+BU21</f>
        <v>0</v>
      </c>
      <c r="BV22" s="649">
        <f>BV20+BV21</f>
        <v>0</v>
      </c>
      <c r="BW22" s="649">
        <f>BW20+BW21</f>
        <v>0</v>
      </c>
      <c r="BX22" s="649">
        <f>BX20+BX21</f>
        <v>0</v>
      </c>
      <c r="BY22" s="649">
        <f>BY20+BY21</f>
        <v>0</v>
      </c>
      <c r="BZ22" s="649">
        <f>BZ20+BZ21</f>
        <v>0</v>
      </c>
      <c r="CA22" s="649">
        <f>CA20+CA21</f>
        <v>0</v>
      </c>
      <c r="CB22" s="649">
        <f>CB20+CB21</f>
        <v>0</v>
      </c>
      <c r="CC22" s="649">
        <f>CC20+CC21</f>
        <v>0</v>
      </c>
      <c r="CD22" s="649">
        <f>CD20+CD21</f>
        <v>0</v>
      </c>
      <c r="CE22" s="649">
        <f>CE20+CE21</f>
        <v>0</v>
      </c>
      <c r="CF22" s="649">
        <f>CF20+CF21</f>
        <v>0</v>
      </c>
      <c r="CG22" s="649">
        <f>CG20+CG21</f>
        <v>0</v>
      </c>
      <c r="CH22" s="649">
        <f>CH20+CH21</f>
        <v>0</v>
      </c>
    </row>
    <row r="23" ht="15" customFormat="1" customHeight="1" s="381">
      <c r="A23" s="382" t="inlineStr">
        <is>
          <t xml:space="preserve">  Cumulative Net</t>
        </is>
      </c>
      <c r="B23" s="383" t="n"/>
      <c r="C23" s="650">
        <f>C22</f>
        <v>0</v>
      </c>
      <c r="D23" s="650">
        <f>C23+D22</f>
        <v>0</v>
      </c>
      <c r="E23" s="650">
        <f>D23+E22</f>
        <v>0</v>
      </c>
      <c r="F23" s="650">
        <f>E23+F22</f>
        <v>0</v>
      </c>
      <c r="G23" s="650">
        <f>F23+G22</f>
        <v>0</v>
      </c>
      <c r="H23" s="650">
        <f>G23+H22</f>
        <v>0</v>
      </c>
      <c r="I23" s="650">
        <f>H23+I22</f>
        <v>0</v>
      </c>
      <c r="J23" s="650">
        <f>I23+J22</f>
        <v>0</v>
      </c>
      <c r="K23" s="650">
        <f>J23+K22</f>
        <v>0</v>
      </c>
      <c r="L23" s="650">
        <f>K23+L22</f>
        <v>57345.63</v>
      </c>
      <c r="M23" s="650">
        <f>L23+M22</f>
        <v>68398.26</v>
      </c>
      <c r="N23" s="650">
        <f>M23+N22</f>
        <v>79450.89</v>
      </c>
      <c r="O23" s="650">
        <f>N23+O22</f>
        <v>90503.52</v>
      </c>
      <c r="P23" s="650">
        <f>O23+P22</f>
        <v>101556.15</v>
      </c>
      <c r="Q23" s="650">
        <f>P23+Q22</f>
        <v>112608.78</v>
      </c>
      <c r="R23" s="650">
        <f>Q23+R22</f>
        <v>123661.41</v>
      </c>
      <c r="S23" s="650">
        <f>R23+S22</f>
        <v>134714.04</v>
      </c>
      <c r="T23" s="650">
        <f>S23+T22</f>
        <v>145766.67</v>
      </c>
      <c r="U23" s="650">
        <f>T23+U22</f>
        <v>156819.3</v>
      </c>
      <c r="V23" s="650">
        <f>U23+V22</f>
        <v>167871.93</v>
      </c>
      <c r="W23" s="650">
        <f>V23+W22</f>
        <v>178924.56</v>
      </c>
      <c r="X23" s="650">
        <f>W23+X22</f>
        <v>189977.19</v>
      </c>
      <c r="Y23" s="650">
        <f>X23+Y22</f>
        <v>201029.82</v>
      </c>
      <c r="Z23" s="650">
        <f>Y23+Z22</f>
        <v>212082.45</v>
      </c>
      <c r="AA23" s="650">
        <f>Z23+AA22</f>
        <v>223135.08</v>
      </c>
      <c r="AB23" s="650">
        <f>AA23+AB22</f>
        <v>234187.71</v>
      </c>
      <c r="AC23" s="650">
        <f>AB23+AC22</f>
        <v>245240.34</v>
      </c>
      <c r="AD23" s="650">
        <f>AC23+AD22</f>
        <v>256292.97</v>
      </c>
      <c r="AE23" s="650">
        <f>AD23+AE22</f>
        <v>256292.97</v>
      </c>
      <c r="AF23" s="650">
        <f>AE23+AF22</f>
        <v>256292.97</v>
      </c>
      <c r="AG23" s="650">
        <f>AF23+AG22</f>
        <v>256292.97</v>
      </c>
      <c r="AH23" s="650">
        <f>AG23+AH22</f>
        <v>256292.97</v>
      </c>
      <c r="AI23" s="650">
        <f>AH23+AI22</f>
        <v>256292.97</v>
      </c>
      <c r="AJ23" s="650">
        <f>AI23+AJ22</f>
        <v>256292.97</v>
      </c>
      <c r="AK23" s="650">
        <f>AJ23+AK22</f>
        <v>256292.97</v>
      </c>
      <c r="AL23" s="650">
        <f>AK23+AL22</f>
        <v>256292.97</v>
      </c>
      <c r="AM23" s="650">
        <f>AL23+AM22</f>
        <v>256292.97</v>
      </c>
      <c r="AN23" s="650">
        <f>AM23+AN22</f>
        <v>256292.97</v>
      </c>
      <c r="AO23" s="650">
        <f>AN23+AO22</f>
        <v>256292.97</v>
      </c>
      <c r="AP23" s="650">
        <f>AO23+AP22</f>
        <v>256292.97</v>
      </c>
      <c r="AQ23" s="650">
        <f>AP23+AQ22</f>
        <v>256292.97</v>
      </c>
      <c r="AR23" s="650">
        <f>AQ23+AR22</f>
        <v>256292.97</v>
      </c>
      <c r="AS23" s="650">
        <f>AR23+AS22</f>
        <v>256292.97</v>
      </c>
      <c r="AT23" s="650">
        <f>AS23+AT22</f>
        <v>256292.97</v>
      </c>
      <c r="AU23" s="650">
        <f>AT23+AU22</f>
        <v>256292.97</v>
      </c>
      <c r="AV23" s="650">
        <f>AU23+AV22</f>
        <v>256292.97</v>
      </c>
      <c r="AW23" s="650">
        <f>AV23+AW22</f>
        <v>256292.97</v>
      </c>
      <c r="AX23" s="650">
        <f>AW23+AX22</f>
        <v>256292.97</v>
      </c>
      <c r="AY23" s="650">
        <f>AX23+AY22</f>
        <v>256292.97</v>
      </c>
      <c r="AZ23" s="650">
        <f>AY23+AZ22</f>
        <v>256292.97</v>
      </c>
      <c r="BA23" s="650">
        <f>AZ23+BA22</f>
        <v>256292.97</v>
      </c>
      <c r="BB23" s="650">
        <f>BA23+BB22</f>
        <v>256292.97</v>
      </c>
      <c r="BC23" s="650">
        <f>BB23+BC22</f>
        <v>256292.97</v>
      </c>
      <c r="BD23" s="650">
        <f>BC23+BD22</f>
        <v>256292.97</v>
      </c>
      <c r="BE23" s="650">
        <f>BD23+BE22</f>
        <v>256292.97</v>
      </c>
      <c r="BF23" s="650">
        <f>BE23+BF22</f>
        <v>256292.97</v>
      </c>
      <c r="BG23" s="650">
        <f>BF23+BG22</f>
        <v>256292.97</v>
      </c>
      <c r="BH23" s="650">
        <f>BG23+BH22</f>
        <v>256292.97</v>
      </c>
      <c r="BI23" s="650">
        <f>BH23+BI22</f>
        <v>256292.97</v>
      </c>
      <c r="BJ23" s="650">
        <f>BI23+BJ22</f>
        <v>256292.97</v>
      </c>
      <c r="BK23" s="650">
        <f>BJ23+BK22</f>
        <v>256292.97</v>
      </c>
      <c r="BL23" s="650">
        <f>BK23+BL22</f>
        <v>256292.97</v>
      </c>
      <c r="BM23" s="650">
        <f>BL23+BM22</f>
        <v>256292.97</v>
      </c>
      <c r="BN23" s="650">
        <f>BM23+BN22</f>
        <v>256292.97</v>
      </c>
      <c r="BO23" s="650">
        <f>BN23+BO22</f>
        <v>256292.97</v>
      </c>
      <c r="BP23" s="650">
        <f>BO23+BP22</f>
        <v>256292.97</v>
      </c>
      <c r="BQ23" s="650">
        <f>BP23+BQ22</f>
        <v>256292.97</v>
      </c>
      <c r="BR23" s="650">
        <f>BQ23+BR22</f>
        <v>256292.97</v>
      </c>
      <c r="BS23" s="650">
        <f>BR23+BS22</f>
        <v>256292.97</v>
      </c>
      <c r="BT23" s="650">
        <f>BS23+BT22</f>
        <v>256292.97</v>
      </c>
      <c r="BU23" s="650">
        <f>BT23+BU22</f>
        <v>256292.97</v>
      </c>
      <c r="BV23" s="650">
        <f>BU23+BV22</f>
        <v>256292.97</v>
      </c>
      <c r="BW23" s="650">
        <f>BV23+BW22</f>
        <v>256292.97</v>
      </c>
      <c r="BX23" s="650">
        <f>BW23+BX22</f>
        <v>256292.97</v>
      </c>
      <c r="BY23" s="650">
        <f>BX23+BY22</f>
        <v>256292.97</v>
      </c>
      <c r="BZ23" s="650">
        <f>BY23+BZ22</f>
        <v>256292.97</v>
      </c>
      <c r="CA23" s="650">
        <f>BZ23+CA22</f>
        <v>256292.97</v>
      </c>
      <c r="CB23" s="650">
        <f>CA23+CB22</f>
        <v>256292.97</v>
      </c>
      <c r="CC23" s="650">
        <f>CB23+CC22</f>
        <v>256292.97</v>
      </c>
      <c r="CD23" s="650">
        <f>CC23+CD22</f>
        <v>256292.97</v>
      </c>
      <c r="CE23" s="650">
        <f>CD23+CE22</f>
        <v>256292.97</v>
      </c>
      <c r="CF23" s="650">
        <f>CE23+CF22</f>
        <v>256292.97</v>
      </c>
      <c r="CG23" s="650">
        <f>CF23+CG22</f>
        <v>256292.97</v>
      </c>
      <c r="CH23" s="650">
        <f>CG23+CH22</f>
        <v>256292.97</v>
      </c>
    </row>
    <row r="24" ht="15" customFormat="1" customHeight="1" s="381">
      <c r="A24" s="383" t="n"/>
      <c r="B24" s="383" t="n"/>
      <c r="C24" s="383" t="n"/>
      <c r="D24" s="383" t="n"/>
      <c r="E24" s="383" t="n"/>
      <c r="F24" s="383" t="n"/>
      <c r="G24" s="383" t="n"/>
      <c r="H24" s="383" t="n"/>
      <c r="I24" s="383" t="n"/>
      <c r="J24" s="383" t="n"/>
      <c r="K24" s="383" t="n"/>
      <c r="L24" s="383" t="n"/>
      <c r="M24" s="383" t="n"/>
      <c r="N24" s="383" t="n"/>
      <c r="O24" s="383" t="n"/>
      <c r="P24" s="383" t="n"/>
      <c r="Q24" s="383" t="n"/>
      <c r="R24" s="383" t="n"/>
      <c r="S24" s="383" t="n"/>
      <c r="T24" s="383" t="n"/>
      <c r="U24" s="383" t="n"/>
      <c r="V24" s="383" t="n"/>
      <c r="W24" s="383" t="n"/>
      <c r="X24" s="383" t="n"/>
      <c r="Y24" s="383" t="n"/>
      <c r="Z24" s="383" t="n"/>
      <c r="AA24" s="383" t="n"/>
      <c r="AB24" s="383" t="n"/>
      <c r="AC24" s="383" t="n"/>
      <c r="AD24" s="383" t="n"/>
      <c r="AE24" s="383" t="n"/>
      <c r="AF24" s="383" t="n"/>
      <c r="AG24" s="383" t="n"/>
      <c r="AH24" s="383" t="n"/>
      <c r="AI24" s="383" t="n"/>
      <c r="AJ24" s="383" t="n"/>
      <c r="AK24" s="383" t="n"/>
      <c r="AL24" s="383" t="n"/>
      <c r="AM24" s="383" t="n"/>
      <c r="AN24" s="383" t="n"/>
      <c r="AO24" s="383" t="n"/>
      <c r="AP24" s="383" t="n"/>
      <c r="AQ24" s="383" t="n"/>
      <c r="AR24" s="383" t="n"/>
      <c r="AS24" s="383" t="n"/>
      <c r="AT24" s="383" t="n"/>
      <c r="AU24" s="383" t="n"/>
      <c r="AV24" s="383" t="n"/>
      <c r="AW24" s="383" t="n"/>
      <c r="AX24" s="383" t="n"/>
      <c r="AY24" s="383" t="n"/>
      <c r="AZ24" s="383" t="n"/>
      <c r="BA24" s="383" t="n"/>
      <c r="BB24" s="383" t="n"/>
      <c r="BC24" s="383" t="n"/>
      <c r="BD24" s="383" t="n"/>
      <c r="BE24" s="383" t="n"/>
      <c r="BF24" s="383" t="n"/>
      <c r="BG24" s="383" t="n"/>
      <c r="BH24" s="383" t="n"/>
      <c r="BI24" s="383" t="n"/>
      <c r="BJ24" s="383" t="n"/>
      <c r="BK24" s="383" t="n"/>
      <c r="BL24" s="383" t="n"/>
      <c r="BM24" s="383" t="n"/>
      <c r="BN24" s="383" t="n"/>
      <c r="BO24" s="383" t="n"/>
      <c r="BP24" s="383" t="n"/>
      <c r="BQ24" s="383" t="n"/>
      <c r="BR24" s="383" t="n"/>
      <c r="BS24" s="383" t="n"/>
      <c r="BT24" s="383" t="n"/>
      <c r="BU24" s="383" t="n"/>
      <c r="BV24" s="383" t="n"/>
      <c r="BW24" s="383" t="n"/>
      <c r="BX24" s="383" t="n"/>
      <c r="BY24" s="383" t="n"/>
      <c r="BZ24" s="383" t="n"/>
      <c r="CA24" s="383" t="n"/>
      <c r="CB24" s="383" t="n"/>
      <c r="CC24" s="383" t="n"/>
      <c r="CD24" s="383" t="n"/>
      <c r="CE24" s="383" t="n"/>
      <c r="CF24" s="383" t="n"/>
      <c r="CG24" s="383" t="n"/>
      <c r="CH24" s="383" t="n"/>
    </row>
    <row r="25" ht="15" customFormat="1" customHeight="1" s="381">
      <c r="A25" s="403" t="inlineStr">
        <is>
          <t>Francis</t>
        </is>
      </c>
      <c r="B25" s="403" t="n"/>
      <c r="C25" s="403" t="n"/>
      <c r="D25" s="403" t="n"/>
      <c r="E25" s="403" t="n"/>
      <c r="F25" s="403" t="n"/>
      <c r="G25" s="403" t="n"/>
      <c r="H25" s="403" t="n"/>
      <c r="I25" s="403" t="n"/>
      <c r="J25" s="403" t="n"/>
      <c r="K25" s="403" t="n"/>
      <c r="L25" s="403" t="n"/>
      <c r="M25" s="403" t="n"/>
      <c r="N25" s="403" t="n"/>
      <c r="O25" s="403" t="n"/>
      <c r="P25" s="403" t="n"/>
      <c r="Q25" s="403" t="n"/>
      <c r="R25" s="403" t="n"/>
      <c r="S25" s="403" t="n"/>
      <c r="T25" s="403" t="n"/>
      <c r="U25" s="403" t="n"/>
      <c r="V25" s="403" t="n"/>
      <c r="W25" s="403" t="n"/>
      <c r="X25" s="403" t="n"/>
      <c r="Y25" s="403" t="n"/>
      <c r="Z25" s="403" t="n"/>
      <c r="AA25" s="403" t="n"/>
      <c r="AB25" s="403" t="n"/>
      <c r="AC25" s="403" t="n"/>
      <c r="AD25" s="403" t="n"/>
      <c r="AE25" s="403" t="n"/>
      <c r="AF25" s="403" t="n"/>
      <c r="AG25" s="403" t="n"/>
      <c r="AH25" s="403" t="n"/>
      <c r="AI25" s="403" t="n"/>
      <c r="AJ25" s="403" t="n"/>
      <c r="AK25" s="403" t="n"/>
      <c r="AL25" s="403" t="n"/>
      <c r="AM25" s="403" t="n"/>
      <c r="AN25" s="403" t="n"/>
      <c r="AO25" s="403" t="n"/>
      <c r="AP25" s="403" t="n"/>
      <c r="AQ25" s="403" t="n"/>
      <c r="AR25" s="403" t="n"/>
      <c r="AS25" s="403" t="n"/>
      <c r="AT25" s="403" t="n"/>
      <c r="AU25" s="403" t="n"/>
      <c r="AV25" s="403" t="n"/>
      <c r="AW25" s="403" t="n"/>
      <c r="AX25" s="403" t="n"/>
      <c r="AY25" s="403" t="n"/>
      <c r="AZ25" s="403" t="n"/>
      <c r="BA25" s="403" t="n"/>
      <c r="BB25" s="403" t="n"/>
      <c r="BC25" s="403" t="n"/>
      <c r="BD25" s="403" t="n"/>
      <c r="BE25" s="403" t="n"/>
      <c r="BF25" s="403" t="n"/>
      <c r="BG25" s="403" t="n"/>
      <c r="BH25" s="403" t="n"/>
      <c r="BI25" s="403" t="n"/>
      <c r="BJ25" s="403" t="n"/>
      <c r="BK25" s="403" t="n"/>
      <c r="BL25" s="403" t="n"/>
      <c r="BM25" s="403" t="n"/>
      <c r="BN25" s="403" t="n"/>
      <c r="BO25" s="403" t="n"/>
      <c r="BP25" s="403" t="n"/>
      <c r="BQ25" s="403" t="n"/>
      <c r="BR25" s="403" t="n"/>
      <c r="BS25" s="403" t="n"/>
      <c r="BT25" s="403" t="n"/>
      <c r="BU25" s="403" t="n"/>
      <c r="BV25" s="403" t="n"/>
      <c r="BW25" s="403" t="n"/>
      <c r="BX25" s="403" t="n"/>
      <c r="BY25" s="403" t="n"/>
      <c r="BZ25" s="403" t="n"/>
      <c r="CA25" s="403" t="n"/>
      <c r="CB25" s="403" t="n"/>
      <c r="CC25" s="403" t="n"/>
      <c r="CD25" s="403" t="n"/>
      <c r="CE25" s="403" t="n"/>
      <c r="CF25" s="403" t="n"/>
      <c r="CG25" s="403" t="n"/>
      <c r="CH25" s="403" t="n"/>
    </row>
    <row r="26" ht="15" customFormat="1" customHeight="1" s="381">
      <c r="A26" s="461" t="inlineStr">
        <is>
          <t xml:space="preserve">  Revenue</t>
        </is>
      </c>
      <c r="B26" s="383" t="n"/>
      <c r="C26" s="647">
        <f>Model!E162</f>
        <v>0</v>
      </c>
      <c r="D26" s="647">
        <f>Model!F162</f>
        <v>0</v>
      </c>
      <c r="E26" s="647">
        <f>Model!G162</f>
        <v>0</v>
      </c>
      <c r="F26" s="647">
        <f>Model!H162</f>
        <v>0</v>
      </c>
      <c r="G26" s="647">
        <f>Model!I162</f>
        <v>0</v>
      </c>
      <c r="H26" s="647">
        <f>Model!J162</f>
        <v>0</v>
      </c>
      <c r="I26" s="647">
        <f>Model!K162</f>
        <v>0</v>
      </c>
      <c r="J26" s="647">
        <f>Model!L162</f>
        <v>0</v>
      </c>
      <c r="K26" s="647">
        <f>Model!M162</f>
        <v>0</v>
      </c>
      <c r="L26" s="647">
        <f>Model!N162</f>
        <v>0</v>
      </c>
      <c r="M26" s="647">
        <f>Model!O162</f>
        <v>0</v>
      </c>
      <c r="N26" s="647">
        <f>Model!P162</f>
        <v>0</v>
      </c>
      <c r="O26" s="647">
        <f>Model!Q162</f>
        <v>0</v>
      </c>
      <c r="P26" s="647">
        <f>Model!R162</f>
        <v>0</v>
      </c>
      <c r="Q26" s="647">
        <f>Model!S162</f>
        <v>0</v>
      </c>
      <c r="R26" s="647">
        <f>Model!T162</f>
        <v>0</v>
      </c>
      <c r="S26" s="647">
        <f>Model!U162</f>
        <v>0</v>
      </c>
      <c r="T26" s="647">
        <f>Model!V162</f>
        <v>0</v>
      </c>
      <c r="U26" s="647">
        <f>Model!W162</f>
        <v>0</v>
      </c>
      <c r="V26" s="647">
        <f>Model!X162</f>
        <v>0</v>
      </c>
      <c r="W26" s="647">
        <f>Model!Y162</f>
        <v>0</v>
      </c>
      <c r="X26" s="647">
        <f>Model!Z162</f>
        <v>0</v>
      </c>
      <c r="Y26" s="647">
        <f>Model!AA162</f>
        <v>0</v>
      </c>
      <c r="Z26" s="647">
        <f>Model!AB162</f>
        <v>0</v>
      </c>
      <c r="AA26" s="647">
        <f>Model!AC162</f>
        <v>0</v>
      </c>
      <c r="AB26" s="647">
        <f>Model!AD162</f>
        <v>0</v>
      </c>
      <c r="AC26" s="647">
        <f>Model!AE162</f>
        <v>0</v>
      </c>
      <c r="AD26" s="647">
        <f>Model!AF162</f>
        <v>0</v>
      </c>
      <c r="AE26" s="647">
        <f>Model!AG162</f>
        <v>0</v>
      </c>
      <c r="AF26" s="647">
        <f>Model!AH162</f>
        <v>0</v>
      </c>
      <c r="AG26" s="647">
        <f>Model!AI162</f>
        <v>0</v>
      </c>
      <c r="AH26" s="647">
        <f>Model!AJ162</f>
        <v>0</v>
      </c>
      <c r="AI26" s="647">
        <f>Model!AK162</f>
        <v>0</v>
      </c>
      <c r="AJ26" s="647">
        <f>Model!AL162</f>
        <v>0</v>
      </c>
      <c r="AK26" s="647">
        <f>Model!AM162</f>
        <v>0</v>
      </c>
      <c r="AL26" s="647">
        <f>Model!AN162</f>
        <v>0</v>
      </c>
      <c r="AM26" s="647">
        <f>Model!AO162</f>
        <v>0</v>
      </c>
      <c r="AN26" s="647">
        <f>Model!AP162</f>
        <v>0</v>
      </c>
      <c r="AO26" s="647">
        <f>Model!AQ162</f>
        <v>0</v>
      </c>
      <c r="AP26" s="647">
        <f>Model!AR162</f>
        <v>0</v>
      </c>
      <c r="AQ26" s="647">
        <f>Model!AS162</f>
        <v>0</v>
      </c>
      <c r="AR26" s="647">
        <f>Model!AT162</f>
        <v>81683</v>
      </c>
      <c r="AS26" s="647">
        <f>Model!AU162</f>
        <v>0</v>
      </c>
      <c r="AT26" s="647">
        <f>Model!AV162</f>
        <v>0</v>
      </c>
      <c r="AU26" s="647">
        <f>Model!AW162</f>
        <v>81682</v>
      </c>
      <c r="AV26" s="647">
        <f>Model!AX162</f>
        <v>0</v>
      </c>
      <c r="AW26" s="647">
        <f>Model!AY162</f>
        <v>0</v>
      </c>
      <c r="AX26" s="647">
        <f>Model!AZ162</f>
        <v>81682</v>
      </c>
      <c r="AY26" s="647">
        <f>Model!BA162</f>
        <v>0</v>
      </c>
      <c r="AZ26" s="647">
        <f>Model!BB162</f>
        <v>0</v>
      </c>
      <c r="BA26" s="647">
        <f>Model!BC162</f>
        <v>81682</v>
      </c>
      <c r="BB26" s="647">
        <f>Model!BD162</f>
        <v>0</v>
      </c>
      <c r="BC26" s="647">
        <f>Model!BE162</f>
        <v>0</v>
      </c>
      <c r="BD26" s="647">
        <f>Model!BF162</f>
        <v>59178</v>
      </c>
      <c r="BE26" s="647">
        <f>Model!BG162</f>
        <v>0</v>
      </c>
      <c r="BF26" s="647">
        <f>Model!BH162</f>
        <v>0</v>
      </c>
      <c r="BG26" s="647">
        <f>Model!BI162</f>
        <v>59176</v>
      </c>
      <c r="BH26" s="647">
        <f>Model!BJ162</f>
        <v>0</v>
      </c>
      <c r="BI26" s="647">
        <f>Model!BK162</f>
        <v>0</v>
      </c>
      <c r="BJ26" s="647">
        <f>Model!BL162</f>
        <v>59176</v>
      </c>
      <c r="BK26" s="647">
        <f>Model!BM162</f>
        <v>0</v>
      </c>
      <c r="BL26" s="647">
        <f>Model!BN162</f>
        <v>0</v>
      </c>
      <c r="BM26" s="647">
        <f>Model!BO162</f>
        <v>59176</v>
      </c>
      <c r="BN26" s="647">
        <f>Model!BP162</f>
        <v>0</v>
      </c>
      <c r="BO26" s="647">
        <f>Model!BQ162</f>
        <v>0</v>
      </c>
      <c r="BP26" s="647">
        <f>Model!BR162</f>
        <v>67763</v>
      </c>
      <c r="BQ26" s="647">
        <f>Model!BS162</f>
        <v>0</v>
      </c>
      <c r="BR26" s="647">
        <f>Model!BT162</f>
        <v>0</v>
      </c>
      <c r="BS26" s="647">
        <f>Model!BU162</f>
        <v>67762</v>
      </c>
      <c r="BT26" s="647">
        <f>Model!BV162</f>
        <v>0</v>
      </c>
      <c r="BU26" s="647">
        <f>Model!BW162</f>
        <v>0</v>
      </c>
      <c r="BV26" s="647">
        <f>Model!BX162</f>
        <v>67762</v>
      </c>
      <c r="BW26" s="647">
        <f>Model!BY162</f>
        <v>0</v>
      </c>
      <c r="BX26" s="647">
        <f>Model!BZ162</f>
        <v>0</v>
      </c>
      <c r="BY26" s="647">
        <f>Model!CA162</f>
        <v>67762</v>
      </c>
      <c r="BZ26" s="647">
        <f>Model!CB162</f>
        <v>0</v>
      </c>
      <c r="CA26" s="647">
        <f>Model!CC162</f>
        <v>0</v>
      </c>
      <c r="CB26" s="647">
        <f>Model!CD162</f>
        <v>76499</v>
      </c>
      <c r="CC26" s="647">
        <f>Model!CE162</f>
        <v>0</v>
      </c>
      <c r="CD26" s="647">
        <f>Model!CF162</f>
        <v>0</v>
      </c>
      <c r="CE26" s="647">
        <f>Model!CG162</f>
        <v>76499</v>
      </c>
      <c r="CF26" s="647">
        <f>Model!CH162</f>
        <v>0</v>
      </c>
      <c r="CG26" s="647">
        <f>Model!CI162</f>
        <v>0</v>
      </c>
      <c r="CH26" s="647">
        <f>Model!CJ162</f>
        <v>76499</v>
      </c>
    </row>
    <row r="27" ht="15" customFormat="1" customHeight="1" s="381">
      <c r="A27" s="651" t="inlineStr">
        <is>
          <t xml:space="preserve">  Steyn Fees</t>
        </is>
      </c>
      <c r="B27" s="383" t="n"/>
      <c r="C27" s="652">
        <f>Model!E196</f>
        <v>0</v>
      </c>
      <c r="D27" s="652">
        <f>Model!F196</f>
        <v>0</v>
      </c>
      <c r="E27" s="652">
        <f>Model!G196</f>
        <v>0</v>
      </c>
      <c r="F27" s="652">
        <f>Model!H196</f>
        <v>0</v>
      </c>
      <c r="G27" s="652">
        <f>Model!I196</f>
        <v>0</v>
      </c>
      <c r="H27" s="652">
        <f>Model!J196</f>
        <v>0</v>
      </c>
      <c r="I27" s="652">
        <f>Model!K196</f>
        <v>0</v>
      </c>
      <c r="J27" s="652">
        <f>Model!L196</f>
        <v>0</v>
      </c>
      <c r="K27" s="652">
        <f>Model!M196</f>
        <v>0</v>
      </c>
      <c r="L27" s="652">
        <f>Model!N196</f>
        <v>0</v>
      </c>
      <c r="M27" s="652">
        <f>Model!O196</f>
        <v>0</v>
      </c>
      <c r="N27" s="652">
        <f>Model!P196</f>
        <v>0</v>
      </c>
      <c r="O27" s="652">
        <f>Model!Q196</f>
        <v>0</v>
      </c>
      <c r="P27" s="652">
        <f>Model!R196</f>
        <v>0</v>
      </c>
      <c r="Q27" s="652">
        <f>Model!S196</f>
        <v>0</v>
      </c>
      <c r="R27" s="652">
        <f>Model!T196</f>
        <v>0</v>
      </c>
      <c r="S27" s="652">
        <f>Model!U196</f>
        <v>0</v>
      </c>
      <c r="T27" s="652">
        <f>Model!V196</f>
        <v>0</v>
      </c>
      <c r="U27" s="652">
        <f>Model!W196</f>
        <v>0</v>
      </c>
      <c r="V27" s="652">
        <f>Model!X196</f>
        <v>0</v>
      </c>
      <c r="W27" s="652">
        <f>Model!Y196</f>
        <v>0</v>
      </c>
      <c r="X27" s="652">
        <f>Model!Z196</f>
        <v>0</v>
      </c>
      <c r="Y27" s="652">
        <f>Model!AA196</f>
        <v>0</v>
      </c>
      <c r="Z27" s="652">
        <f>Model!AB196</f>
        <v>0</v>
      </c>
      <c r="AA27" s="652">
        <f>Model!AC196</f>
        <v>0</v>
      </c>
      <c r="AB27" s="652">
        <f>Model!AD196</f>
        <v>0</v>
      </c>
      <c r="AC27" s="652">
        <f>Model!AE196</f>
        <v>0</v>
      </c>
      <c r="AD27" s="652">
        <f>Model!AF196</f>
        <v>0</v>
      </c>
      <c r="AE27" s="652">
        <f>Model!AG196</f>
        <v>0</v>
      </c>
      <c r="AF27" s="652">
        <f>Model!AH196</f>
        <v>0</v>
      </c>
      <c r="AG27" s="652">
        <f>Model!AI196</f>
        <v>0</v>
      </c>
      <c r="AH27" s="652">
        <f>Model!AJ196</f>
        <v>0</v>
      </c>
      <c r="AI27" s="652">
        <f>Model!AK196</f>
        <v>0</v>
      </c>
      <c r="AJ27" s="652">
        <f>Model!AL196</f>
        <v>0</v>
      </c>
      <c r="AK27" s="652">
        <f>Model!AM196</f>
        <v>0</v>
      </c>
      <c r="AL27" s="652">
        <f>Model!AN196</f>
        <v>0</v>
      </c>
      <c r="AM27" s="652">
        <f>Model!AO196</f>
        <v>0</v>
      </c>
      <c r="AN27" s="652">
        <f>Model!AP196</f>
        <v>0</v>
      </c>
      <c r="AO27" s="652">
        <f>Model!AQ196</f>
        <v>0</v>
      </c>
      <c r="AP27" s="652">
        <f>Model!AR196</f>
        <v>0</v>
      </c>
      <c r="AQ27" s="652">
        <f>Model!AS196</f>
        <v>0</v>
      </c>
      <c r="AR27" s="652">
        <f>Model!AT196</f>
        <v>-81683</v>
      </c>
      <c r="AS27" s="652">
        <f>Model!AU196</f>
        <v>0</v>
      </c>
      <c r="AT27" s="652">
        <f>Model!AV196</f>
        <v>0</v>
      </c>
      <c r="AU27" s="652">
        <f>Model!AW196</f>
        <v>-81682</v>
      </c>
      <c r="AV27" s="652">
        <f>Model!AX196</f>
        <v>0</v>
      </c>
      <c r="AW27" s="652">
        <f>Model!AY196</f>
        <v>0</v>
      </c>
      <c r="AX27" s="652">
        <f>Model!AZ196</f>
        <v>-81682</v>
      </c>
      <c r="AY27" s="652">
        <f>Model!BA196</f>
        <v>0</v>
      </c>
      <c r="AZ27" s="652">
        <f>Model!BB196</f>
        <v>0</v>
      </c>
      <c r="BA27" s="652">
        <f>Model!BC196</f>
        <v>-81682</v>
      </c>
      <c r="BB27" s="652">
        <f>Model!BD196</f>
        <v>0</v>
      </c>
      <c r="BC27" s="652">
        <f>Model!BE196</f>
        <v>0</v>
      </c>
      <c r="BD27" s="652">
        <f>Model!BF196</f>
        <v>-59178</v>
      </c>
      <c r="BE27" s="652">
        <f>Model!BG196</f>
        <v>0</v>
      </c>
      <c r="BF27" s="652">
        <f>Model!BH196</f>
        <v>0</v>
      </c>
      <c r="BG27" s="652">
        <f>Model!BI196</f>
        <v>-59176</v>
      </c>
      <c r="BH27" s="652">
        <f>Model!BJ196</f>
        <v>0</v>
      </c>
      <c r="BI27" s="652">
        <f>Model!BK196</f>
        <v>0</v>
      </c>
      <c r="BJ27" s="652">
        <f>Model!BL196</f>
        <v>-59176</v>
      </c>
      <c r="BK27" s="652">
        <f>Model!BM196</f>
        <v>0</v>
      </c>
      <c r="BL27" s="652">
        <f>Model!BN196</f>
        <v>0</v>
      </c>
      <c r="BM27" s="652">
        <f>Model!BO196</f>
        <v>-59176</v>
      </c>
      <c r="BN27" s="652">
        <f>Model!BP196</f>
        <v>0</v>
      </c>
      <c r="BO27" s="652">
        <f>Model!BQ196</f>
        <v>0</v>
      </c>
      <c r="BP27" s="652">
        <f>Model!BR196</f>
        <v>-14512.65</v>
      </c>
      <c r="BQ27" s="652">
        <f>Model!BS196</f>
        <v>0</v>
      </c>
      <c r="BR27" s="652">
        <f>Model!BT196</f>
        <v>0</v>
      </c>
      <c r="BS27" s="652">
        <f>Model!BU196</f>
        <v>0</v>
      </c>
      <c r="BT27" s="652">
        <f>Model!BV196</f>
        <v>0</v>
      </c>
      <c r="BU27" s="652">
        <f>Model!BW196</f>
        <v>0</v>
      </c>
      <c r="BV27" s="652">
        <f>Model!BX196</f>
        <v>0</v>
      </c>
      <c r="BW27" s="652">
        <f>Model!BY196</f>
        <v>0</v>
      </c>
      <c r="BX27" s="652">
        <f>Model!BZ196</f>
        <v>0</v>
      </c>
      <c r="BY27" s="652">
        <f>Model!CA196</f>
        <v>0</v>
      </c>
      <c r="BZ27" s="652">
        <f>Model!CB196</f>
        <v>0</v>
      </c>
      <c r="CA27" s="652">
        <f>Model!CC196</f>
        <v>0</v>
      </c>
      <c r="CB27" s="652">
        <f>Model!CD196</f>
        <v>0</v>
      </c>
      <c r="CC27" s="652">
        <f>Model!CE196</f>
        <v>0</v>
      </c>
      <c r="CD27" s="652">
        <f>Model!CF196</f>
        <v>0</v>
      </c>
      <c r="CE27" s="652">
        <f>Model!CG196</f>
        <v>0</v>
      </c>
      <c r="CF27" s="652">
        <f>Model!CH196</f>
        <v>0</v>
      </c>
      <c r="CG27" s="652">
        <f>Model!CI196</f>
        <v>0</v>
      </c>
      <c r="CH27" s="652">
        <f>Model!CJ196</f>
        <v>0</v>
      </c>
    </row>
    <row r="28" ht="15" customFormat="1" customHeight="1" s="381">
      <c r="A28" s="648" t="inlineStr">
        <is>
          <t xml:space="preserve">  Net to Six Peak</t>
        </is>
      </c>
      <c r="B28" s="648" t="n"/>
      <c r="C28" s="649">
        <f>C26+C27</f>
        <v>0</v>
      </c>
      <c r="D28" s="649">
        <f>D26+D27</f>
        <v>0</v>
      </c>
      <c r="E28" s="649">
        <f>E26+E27</f>
        <v>0</v>
      </c>
      <c r="F28" s="649">
        <f>F26+F27</f>
        <v>0</v>
      </c>
      <c r="G28" s="649">
        <f>G26+G27</f>
        <v>0</v>
      </c>
      <c r="H28" s="649">
        <f>H26+H27</f>
        <v>0</v>
      </c>
      <c r="I28" s="649">
        <f>I26+I27</f>
        <v>0</v>
      </c>
      <c r="J28" s="649">
        <f>J26+J27</f>
        <v>0</v>
      </c>
      <c r="K28" s="649">
        <f>K26+K27</f>
        <v>0</v>
      </c>
      <c r="L28" s="649">
        <f>L26+L27</f>
        <v>0</v>
      </c>
      <c r="M28" s="649">
        <f>M26+M27</f>
        <v>0</v>
      </c>
      <c r="N28" s="649">
        <f>N26+N27</f>
        <v>0</v>
      </c>
      <c r="O28" s="649">
        <f>O26+O27</f>
        <v>0</v>
      </c>
      <c r="P28" s="649">
        <f>P26+P27</f>
        <v>0</v>
      </c>
      <c r="Q28" s="649">
        <f>Q26+Q27</f>
        <v>0</v>
      </c>
      <c r="R28" s="649">
        <f>R26+R27</f>
        <v>0</v>
      </c>
      <c r="S28" s="649">
        <f>S26+S27</f>
        <v>0</v>
      </c>
      <c r="T28" s="649">
        <f>T26+T27</f>
        <v>0</v>
      </c>
      <c r="U28" s="649">
        <f>U26+U27</f>
        <v>0</v>
      </c>
      <c r="V28" s="649">
        <f>V26+V27</f>
        <v>0</v>
      </c>
      <c r="W28" s="649">
        <f>W26+W27</f>
        <v>0</v>
      </c>
      <c r="X28" s="649">
        <f>X26+X27</f>
        <v>0</v>
      </c>
      <c r="Y28" s="649">
        <f>Y26+Y27</f>
        <v>0</v>
      </c>
      <c r="Z28" s="649">
        <f>Z26+Z27</f>
        <v>0</v>
      </c>
      <c r="AA28" s="649">
        <f>AA26+AA27</f>
        <v>0</v>
      </c>
      <c r="AB28" s="649">
        <f>AB26+AB27</f>
        <v>0</v>
      </c>
      <c r="AC28" s="649">
        <f>AC26+AC27</f>
        <v>0</v>
      </c>
      <c r="AD28" s="649">
        <f>AD26+AD27</f>
        <v>0</v>
      </c>
      <c r="AE28" s="649">
        <f>AE26+AE27</f>
        <v>0</v>
      </c>
      <c r="AF28" s="649">
        <f>AF26+AF27</f>
        <v>0</v>
      </c>
      <c r="AG28" s="649">
        <f>AG26+AG27</f>
        <v>0</v>
      </c>
      <c r="AH28" s="649">
        <f>AH26+AH27</f>
        <v>0</v>
      </c>
      <c r="AI28" s="649">
        <f>AI26+AI27</f>
        <v>0</v>
      </c>
      <c r="AJ28" s="649">
        <f>AJ26+AJ27</f>
        <v>0</v>
      </c>
      <c r="AK28" s="649">
        <f>AK26+AK27</f>
        <v>0</v>
      </c>
      <c r="AL28" s="649">
        <f>AL26+AL27</f>
        <v>0</v>
      </c>
      <c r="AM28" s="649">
        <f>AM26+AM27</f>
        <v>0</v>
      </c>
      <c r="AN28" s="649">
        <f>AN26+AN27</f>
        <v>0</v>
      </c>
      <c r="AO28" s="649">
        <f>AO26+AO27</f>
        <v>0</v>
      </c>
      <c r="AP28" s="649">
        <f>AP26+AP27</f>
        <v>0</v>
      </c>
      <c r="AQ28" s="649">
        <f>AQ26+AQ27</f>
        <v>0</v>
      </c>
      <c r="AR28" s="649">
        <f>AR26+AR27</f>
        <v>0</v>
      </c>
      <c r="AS28" s="649">
        <f>AS26+AS27</f>
        <v>0</v>
      </c>
      <c r="AT28" s="649">
        <f>AT26+AT27</f>
        <v>0</v>
      </c>
      <c r="AU28" s="649">
        <f>AU26+AU27</f>
        <v>0</v>
      </c>
      <c r="AV28" s="649">
        <f>AV26+AV27</f>
        <v>0</v>
      </c>
      <c r="AW28" s="649">
        <f>AW26+AW27</f>
        <v>0</v>
      </c>
      <c r="AX28" s="649">
        <f>AX26+AX27</f>
        <v>0</v>
      </c>
      <c r="AY28" s="649">
        <f>AY26+AY27</f>
        <v>0</v>
      </c>
      <c r="AZ28" s="649">
        <f>AZ26+AZ27</f>
        <v>0</v>
      </c>
      <c r="BA28" s="649">
        <f>BA26+BA27</f>
        <v>0</v>
      </c>
      <c r="BB28" s="649">
        <f>BB26+BB27</f>
        <v>0</v>
      </c>
      <c r="BC28" s="649">
        <f>BC26+BC27</f>
        <v>0</v>
      </c>
      <c r="BD28" s="649">
        <f>BD26+BD27</f>
        <v>0</v>
      </c>
      <c r="BE28" s="649">
        <f>BE26+BE27</f>
        <v>0</v>
      </c>
      <c r="BF28" s="649">
        <f>BF26+BF27</f>
        <v>0</v>
      </c>
      <c r="BG28" s="649">
        <f>BG26+BG27</f>
        <v>0</v>
      </c>
      <c r="BH28" s="649">
        <f>BH26+BH27</f>
        <v>0</v>
      </c>
      <c r="BI28" s="649">
        <f>BI26+BI27</f>
        <v>0</v>
      </c>
      <c r="BJ28" s="649">
        <f>BJ26+BJ27</f>
        <v>0</v>
      </c>
      <c r="BK28" s="649">
        <f>BK26+BK27</f>
        <v>0</v>
      </c>
      <c r="BL28" s="649">
        <f>BL26+BL27</f>
        <v>0</v>
      </c>
      <c r="BM28" s="649">
        <f>BM26+BM27</f>
        <v>0</v>
      </c>
      <c r="BN28" s="649">
        <f>BN26+BN27</f>
        <v>0</v>
      </c>
      <c r="BO28" s="649">
        <f>BO26+BO27</f>
        <v>0</v>
      </c>
      <c r="BP28" s="649">
        <f>BP26+BP27</f>
        <v>53250.35</v>
      </c>
      <c r="BQ28" s="649">
        <f>BQ26+BQ27</f>
        <v>0</v>
      </c>
      <c r="BR28" s="649">
        <f>BR26+BR27</f>
        <v>0</v>
      </c>
      <c r="BS28" s="649">
        <f>BS26+BS27</f>
        <v>67762</v>
      </c>
      <c r="BT28" s="649">
        <f>BT26+BT27</f>
        <v>0</v>
      </c>
      <c r="BU28" s="649">
        <f>BU26+BU27</f>
        <v>0</v>
      </c>
      <c r="BV28" s="649">
        <f>BV26+BV27</f>
        <v>67762</v>
      </c>
      <c r="BW28" s="649">
        <f>BW26+BW27</f>
        <v>0</v>
      </c>
      <c r="BX28" s="649">
        <f>BX26+BX27</f>
        <v>0</v>
      </c>
      <c r="BY28" s="649">
        <f>BY26+BY27</f>
        <v>67762</v>
      </c>
      <c r="BZ28" s="649">
        <f>BZ26+BZ27</f>
        <v>0</v>
      </c>
      <c r="CA28" s="649">
        <f>CA26+CA27</f>
        <v>0</v>
      </c>
      <c r="CB28" s="649">
        <f>CB26+CB27</f>
        <v>76499</v>
      </c>
      <c r="CC28" s="649">
        <f>CC26+CC27</f>
        <v>0</v>
      </c>
      <c r="CD28" s="649">
        <f>CD26+CD27</f>
        <v>0</v>
      </c>
      <c r="CE28" s="649">
        <f>CE26+CE27</f>
        <v>76499</v>
      </c>
      <c r="CF28" s="649">
        <f>CF26+CF27</f>
        <v>0</v>
      </c>
      <c r="CG28" s="649">
        <f>CG26+CG27</f>
        <v>0</v>
      </c>
      <c r="CH28" s="649">
        <f>CH26+CH27</f>
        <v>76499</v>
      </c>
    </row>
    <row r="29" ht="15" customFormat="1" customHeight="1" s="381">
      <c r="A29" s="382" t="inlineStr">
        <is>
          <t xml:space="preserve">  Cumulative Net</t>
        </is>
      </c>
      <c r="B29" s="383" t="n"/>
      <c r="C29" s="650">
        <f>C28</f>
        <v>0</v>
      </c>
      <c r="D29" s="650">
        <f>C29+D28</f>
        <v>0</v>
      </c>
      <c r="E29" s="650">
        <f>D29+E28</f>
        <v>0</v>
      </c>
      <c r="F29" s="650">
        <f>E29+F28</f>
        <v>0</v>
      </c>
      <c r="G29" s="650">
        <f>F29+G28</f>
        <v>0</v>
      </c>
      <c r="H29" s="650">
        <f>G29+H28</f>
        <v>0</v>
      </c>
      <c r="I29" s="650">
        <f>H29+I28</f>
        <v>0</v>
      </c>
      <c r="J29" s="650">
        <f>I29+J28</f>
        <v>0</v>
      </c>
      <c r="K29" s="650">
        <f>J29+K28</f>
        <v>0</v>
      </c>
      <c r="L29" s="650">
        <f>K29+L28</f>
        <v>0</v>
      </c>
      <c r="M29" s="650">
        <f>L29+M28</f>
        <v>0</v>
      </c>
      <c r="N29" s="650">
        <f>M29+N28</f>
        <v>0</v>
      </c>
      <c r="O29" s="650">
        <f>N29+O28</f>
        <v>0</v>
      </c>
      <c r="P29" s="650">
        <f>O29+P28</f>
        <v>0</v>
      </c>
      <c r="Q29" s="650">
        <f>P29+Q28</f>
        <v>0</v>
      </c>
      <c r="R29" s="650">
        <f>Q29+R28</f>
        <v>0</v>
      </c>
      <c r="S29" s="650">
        <f>R29+S28</f>
        <v>0</v>
      </c>
      <c r="T29" s="650">
        <f>S29+T28</f>
        <v>0</v>
      </c>
      <c r="U29" s="650">
        <f>T29+U28</f>
        <v>0</v>
      </c>
      <c r="V29" s="650">
        <f>U29+V28</f>
        <v>0</v>
      </c>
      <c r="W29" s="650">
        <f>V29+W28</f>
        <v>0</v>
      </c>
      <c r="X29" s="650">
        <f>W29+X28</f>
        <v>0</v>
      </c>
      <c r="Y29" s="650">
        <f>X29+Y28</f>
        <v>0</v>
      </c>
      <c r="Z29" s="650">
        <f>Y29+Z28</f>
        <v>0</v>
      </c>
      <c r="AA29" s="650">
        <f>Z29+AA28</f>
        <v>0</v>
      </c>
      <c r="AB29" s="650">
        <f>AA29+AB28</f>
        <v>0</v>
      </c>
      <c r="AC29" s="650">
        <f>AB29+AC28</f>
        <v>0</v>
      </c>
      <c r="AD29" s="650">
        <f>AC29+AD28</f>
        <v>0</v>
      </c>
      <c r="AE29" s="650">
        <f>AD29+AE28</f>
        <v>0</v>
      </c>
      <c r="AF29" s="650">
        <f>AE29+AF28</f>
        <v>0</v>
      </c>
      <c r="AG29" s="650">
        <f>AF29+AG28</f>
        <v>0</v>
      </c>
      <c r="AH29" s="650">
        <f>AG29+AH28</f>
        <v>0</v>
      </c>
      <c r="AI29" s="650">
        <f>AH29+AI28</f>
        <v>0</v>
      </c>
      <c r="AJ29" s="650">
        <f>AI29+AJ28</f>
        <v>0</v>
      </c>
      <c r="AK29" s="650">
        <f>AJ29+AK28</f>
        <v>0</v>
      </c>
      <c r="AL29" s="650">
        <f>AK29+AL28</f>
        <v>0</v>
      </c>
      <c r="AM29" s="650">
        <f>AL29+AM28</f>
        <v>0</v>
      </c>
      <c r="AN29" s="650">
        <f>AM29+AN28</f>
        <v>0</v>
      </c>
      <c r="AO29" s="650">
        <f>AN29+AO28</f>
        <v>0</v>
      </c>
      <c r="AP29" s="650">
        <f>AO29+AP28</f>
        <v>0</v>
      </c>
      <c r="AQ29" s="650">
        <f>AP29+AQ28</f>
        <v>0</v>
      </c>
      <c r="AR29" s="650">
        <f>AQ29+AR28</f>
        <v>0</v>
      </c>
      <c r="AS29" s="650">
        <f>AR29+AS28</f>
        <v>0</v>
      </c>
      <c r="AT29" s="650">
        <f>AS29+AT28</f>
        <v>0</v>
      </c>
      <c r="AU29" s="650">
        <f>AT29+AU28</f>
        <v>0</v>
      </c>
      <c r="AV29" s="650">
        <f>AU29+AV28</f>
        <v>0</v>
      </c>
      <c r="AW29" s="650">
        <f>AV29+AW28</f>
        <v>0</v>
      </c>
      <c r="AX29" s="650">
        <f>AW29+AX28</f>
        <v>0</v>
      </c>
      <c r="AY29" s="650">
        <f>AX29+AY28</f>
        <v>0</v>
      </c>
      <c r="AZ29" s="650">
        <f>AY29+AZ28</f>
        <v>0</v>
      </c>
      <c r="BA29" s="650">
        <f>AZ29+BA28</f>
        <v>0</v>
      </c>
      <c r="BB29" s="650">
        <f>BA29+BB28</f>
        <v>0</v>
      </c>
      <c r="BC29" s="650">
        <f>BB29+BC28</f>
        <v>0</v>
      </c>
      <c r="BD29" s="650">
        <f>BC29+BD28</f>
        <v>0</v>
      </c>
      <c r="BE29" s="650">
        <f>BD29+BE28</f>
        <v>0</v>
      </c>
      <c r="BF29" s="650">
        <f>BE29+BF28</f>
        <v>0</v>
      </c>
      <c r="BG29" s="650">
        <f>BF29+BG28</f>
        <v>0</v>
      </c>
      <c r="BH29" s="650">
        <f>BG29+BH28</f>
        <v>0</v>
      </c>
      <c r="BI29" s="650">
        <f>BH29+BI28</f>
        <v>0</v>
      </c>
      <c r="BJ29" s="650">
        <f>BI29+BJ28</f>
        <v>0</v>
      </c>
      <c r="BK29" s="650">
        <f>BJ29+BK28</f>
        <v>0</v>
      </c>
      <c r="BL29" s="650">
        <f>BK29+BL28</f>
        <v>0</v>
      </c>
      <c r="BM29" s="650">
        <f>BL29+BM28</f>
        <v>0</v>
      </c>
      <c r="BN29" s="650">
        <f>BM29+BN28</f>
        <v>0</v>
      </c>
      <c r="BO29" s="650">
        <f>BN29+BO28</f>
        <v>0</v>
      </c>
      <c r="BP29" s="650">
        <f>BO29+BP28</f>
        <v>53250.35</v>
      </c>
      <c r="BQ29" s="650">
        <f>BP29+BQ28</f>
        <v>53250.35</v>
      </c>
      <c r="BR29" s="650">
        <f>BQ29+BR28</f>
        <v>53250.35</v>
      </c>
      <c r="BS29" s="650">
        <f>BR29+BS28</f>
        <v>121012.35</v>
      </c>
      <c r="BT29" s="650">
        <f>BS29+BT28</f>
        <v>121012.35</v>
      </c>
      <c r="BU29" s="650">
        <f>BT29+BU28</f>
        <v>121012.35</v>
      </c>
      <c r="BV29" s="650">
        <f>BU29+BV28</f>
        <v>188774.35</v>
      </c>
      <c r="BW29" s="650">
        <f>BV29+BW28</f>
        <v>188774.35</v>
      </c>
      <c r="BX29" s="650">
        <f>BW29+BX28</f>
        <v>188774.35</v>
      </c>
      <c r="BY29" s="650">
        <f>BX29+BY28</f>
        <v>256536.35</v>
      </c>
      <c r="BZ29" s="650">
        <f>BY29+BZ28</f>
        <v>256536.35</v>
      </c>
      <c r="CA29" s="650">
        <f>BZ29+CA28</f>
        <v>256536.35</v>
      </c>
      <c r="CB29" s="650">
        <f>CA29+CB28</f>
        <v>333035.35</v>
      </c>
      <c r="CC29" s="650">
        <f>CB29+CC28</f>
        <v>333035.35</v>
      </c>
      <c r="CD29" s="650">
        <f>CC29+CD28</f>
        <v>333035.35</v>
      </c>
      <c r="CE29" s="650">
        <f>CD29+CE28</f>
        <v>409534.35</v>
      </c>
      <c r="CF29" s="650">
        <f>CE29+CF28</f>
        <v>409534.35</v>
      </c>
      <c r="CG29" s="650">
        <f>CF29+CG28</f>
        <v>409534.35</v>
      </c>
      <c r="CH29" s="650">
        <f>CG29+CH28</f>
        <v>486033.35</v>
      </c>
    </row>
    <row r="30" ht="15" customFormat="1" customHeight="1" s="381">
      <c r="A30" s="383" t="n"/>
      <c r="B30" s="383" t="n"/>
      <c r="C30" s="383" t="n"/>
      <c r="D30" s="383" t="n"/>
      <c r="E30" s="383" t="n"/>
      <c r="F30" s="383" t="n"/>
      <c r="G30" s="383" t="n"/>
      <c r="H30" s="383" t="n"/>
      <c r="I30" s="383" t="n"/>
      <c r="J30" s="383" t="n"/>
      <c r="K30" s="383" t="n"/>
      <c r="L30" s="383" t="n"/>
      <c r="M30" s="383" t="n"/>
      <c r="N30" s="383" t="n"/>
      <c r="O30" s="383" t="n"/>
      <c r="P30" s="383" t="n"/>
      <c r="Q30" s="383" t="n"/>
      <c r="R30" s="383" t="n"/>
      <c r="S30" s="383" t="n"/>
      <c r="T30" s="383" t="n"/>
      <c r="U30" s="383" t="n"/>
      <c r="V30" s="383" t="n"/>
      <c r="W30" s="383" t="n"/>
      <c r="X30" s="383" t="n"/>
      <c r="Y30" s="383" t="n"/>
      <c r="Z30" s="383" t="n"/>
      <c r="AA30" s="383" t="n"/>
      <c r="AB30" s="383" t="n"/>
      <c r="AC30" s="383" t="n"/>
      <c r="AD30" s="383" t="n"/>
      <c r="AE30" s="383" t="n"/>
      <c r="AF30" s="383" t="n"/>
      <c r="AG30" s="383" t="n"/>
      <c r="AH30" s="383" t="n"/>
      <c r="AI30" s="383" t="n"/>
      <c r="AJ30" s="383" t="n"/>
      <c r="AK30" s="383" t="n"/>
      <c r="AL30" s="383" t="n"/>
      <c r="AM30" s="383" t="n"/>
      <c r="AN30" s="383" t="n"/>
      <c r="AO30" s="383" t="n"/>
      <c r="AP30" s="383" t="n"/>
      <c r="AQ30" s="383" t="n"/>
      <c r="AR30" s="383" t="n"/>
      <c r="AS30" s="383" t="n"/>
      <c r="AT30" s="383" t="n"/>
      <c r="AU30" s="383" t="n"/>
      <c r="AV30" s="383" t="n"/>
      <c r="AW30" s="383" t="n"/>
      <c r="AX30" s="383" t="n"/>
      <c r="AY30" s="383" t="n"/>
      <c r="AZ30" s="383" t="n"/>
      <c r="BA30" s="383" t="n"/>
      <c r="BB30" s="383" t="n"/>
      <c r="BC30" s="383" t="n"/>
      <c r="BD30" s="383" t="n"/>
      <c r="BE30" s="383" t="n"/>
      <c r="BF30" s="383" t="n"/>
      <c r="BG30" s="383" t="n"/>
      <c r="BH30" s="383" t="n"/>
      <c r="BI30" s="383" t="n"/>
      <c r="BJ30" s="383" t="n"/>
      <c r="BK30" s="383" t="n"/>
      <c r="BL30" s="383" t="n"/>
      <c r="BM30" s="383" t="n"/>
      <c r="BN30" s="383" t="n"/>
      <c r="BO30" s="383" t="n"/>
      <c r="BP30" s="383" t="n"/>
      <c r="BQ30" s="383" t="n"/>
      <c r="BR30" s="383" t="n"/>
      <c r="BS30" s="383" t="n"/>
      <c r="BT30" s="383" t="n"/>
      <c r="BU30" s="383" t="n"/>
      <c r="BV30" s="383" t="n"/>
      <c r="BW30" s="383" t="n"/>
      <c r="BX30" s="383" t="n"/>
      <c r="BY30" s="383" t="n"/>
      <c r="BZ30" s="383" t="n"/>
      <c r="CA30" s="383" t="n"/>
      <c r="CB30" s="383" t="n"/>
      <c r="CC30" s="383" t="n"/>
      <c r="CD30" s="383" t="n"/>
      <c r="CE30" s="383" t="n"/>
      <c r="CF30" s="383" t="n"/>
      <c r="CG30" s="383" t="n"/>
      <c r="CH30" s="383" t="n"/>
    </row>
    <row r="31" ht="15" customFormat="1" customHeight="1" s="381">
      <c r="A31" s="403" t="inlineStr">
        <is>
          <t>Reseda</t>
        </is>
      </c>
      <c r="B31" s="403" t="n"/>
      <c r="C31" s="403" t="n"/>
      <c r="D31" s="403" t="n"/>
      <c r="E31" s="403" t="n"/>
      <c r="F31" s="403" t="n"/>
      <c r="G31" s="403" t="n"/>
      <c r="H31" s="403" t="n"/>
      <c r="I31" s="403" t="n"/>
      <c r="J31" s="403" t="n"/>
      <c r="K31" s="403" t="n"/>
      <c r="L31" s="403" t="n"/>
      <c r="M31" s="403" t="n"/>
      <c r="N31" s="403" t="n"/>
      <c r="O31" s="403" t="n"/>
      <c r="P31" s="403" t="n"/>
      <c r="Q31" s="403" t="n"/>
      <c r="R31" s="403" t="n"/>
      <c r="S31" s="403" t="n"/>
      <c r="T31" s="403" t="n"/>
      <c r="U31" s="403" t="n"/>
      <c r="V31" s="403" t="n"/>
      <c r="W31" s="403" t="n"/>
      <c r="X31" s="403" t="n"/>
      <c r="Y31" s="403" t="n"/>
      <c r="Z31" s="403" t="n"/>
      <c r="AA31" s="403" t="n"/>
      <c r="AB31" s="403" t="n"/>
      <c r="AC31" s="403" t="n"/>
      <c r="AD31" s="403" t="n"/>
      <c r="AE31" s="403" t="n"/>
      <c r="AF31" s="403" t="n"/>
      <c r="AG31" s="403" t="n"/>
      <c r="AH31" s="403" t="n"/>
      <c r="AI31" s="403" t="n"/>
      <c r="AJ31" s="403" t="n"/>
      <c r="AK31" s="403" t="n"/>
      <c r="AL31" s="403" t="n"/>
      <c r="AM31" s="403" t="n"/>
      <c r="AN31" s="403" t="n"/>
      <c r="AO31" s="403" t="n"/>
      <c r="AP31" s="403" t="n"/>
      <c r="AQ31" s="403" t="n"/>
      <c r="AR31" s="403" t="n"/>
      <c r="AS31" s="403" t="n"/>
      <c r="AT31" s="403" t="n"/>
      <c r="AU31" s="403" t="n"/>
      <c r="AV31" s="403" t="n"/>
      <c r="AW31" s="403" t="n"/>
      <c r="AX31" s="403" t="n"/>
      <c r="AY31" s="403" t="n"/>
      <c r="AZ31" s="403" t="n"/>
      <c r="BA31" s="403" t="n"/>
      <c r="BB31" s="403" t="n"/>
      <c r="BC31" s="403" t="n"/>
      <c r="BD31" s="403" t="n"/>
      <c r="BE31" s="403" t="n"/>
      <c r="BF31" s="403" t="n"/>
      <c r="BG31" s="403" t="n"/>
      <c r="BH31" s="403" t="n"/>
      <c r="BI31" s="403" t="n"/>
      <c r="BJ31" s="403" t="n"/>
      <c r="BK31" s="403" t="n"/>
      <c r="BL31" s="403" t="n"/>
      <c r="BM31" s="403" t="n"/>
      <c r="BN31" s="403" t="n"/>
      <c r="BO31" s="403" t="n"/>
      <c r="BP31" s="403" t="n"/>
      <c r="BQ31" s="403" t="n"/>
      <c r="BR31" s="403" t="n"/>
      <c r="BS31" s="403" t="n"/>
      <c r="BT31" s="403" t="n"/>
      <c r="BU31" s="403" t="n"/>
      <c r="BV31" s="403" t="n"/>
      <c r="BW31" s="403" t="n"/>
      <c r="BX31" s="403" t="n"/>
      <c r="BY31" s="403" t="n"/>
      <c r="BZ31" s="403" t="n"/>
      <c r="CA31" s="403" t="n"/>
      <c r="CB31" s="403" t="n"/>
      <c r="CC31" s="403" t="n"/>
      <c r="CD31" s="403" t="n"/>
      <c r="CE31" s="403" t="n"/>
      <c r="CF31" s="403" t="n"/>
      <c r="CG31" s="403" t="n"/>
      <c r="CH31" s="403" t="n"/>
    </row>
    <row r="32" ht="15" customFormat="1" customHeight="1" s="381">
      <c r="A32" s="461" t="inlineStr">
        <is>
          <t xml:space="preserve">  Revenue</t>
        </is>
      </c>
      <c r="B32" s="383" t="n"/>
      <c r="C32" s="647">
        <f>Model!E163</f>
        <v>0</v>
      </c>
      <c r="D32" s="647">
        <f>Model!F163</f>
        <v>0</v>
      </c>
      <c r="E32" s="647">
        <f>Model!G163</f>
        <v>0</v>
      </c>
      <c r="F32" s="647">
        <f>Model!H163</f>
        <v>0</v>
      </c>
      <c r="G32" s="647">
        <f>Model!I163</f>
        <v>0</v>
      </c>
      <c r="H32" s="647">
        <f>Model!J163</f>
        <v>0</v>
      </c>
      <c r="I32" s="647">
        <f>Model!K163</f>
        <v>0</v>
      </c>
      <c r="J32" s="647">
        <f>Model!L163</f>
        <v>0</v>
      </c>
      <c r="K32" s="647">
        <f>Model!M163</f>
        <v>0</v>
      </c>
      <c r="L32" s="647">
        <f>Model!N163</f>
        <v>0</v>
      </c>
      <c r="M32" s="647">
        <f>Model!O163</f>
        <v>0</v>
      </c>
      <c r="N32" s="647">
        <f>Model!P163</f>
        <v>0</v>
      </c>
      <c r="O32" s="647">
        <f>Model!Q163</f>
        <v>0</v>
      </c>
      <c r="P32" s="647">
        <f>Model!R163</f>
        <v>0</v>
      </c>
      <c r="Q32" s="647">
        <f>Model!S163</f>
        <v>0</v>
      </c>
      <c r="R32" s="647">
        <f>Model!T163</f>
        <v>0</v>
      </c>
      <c r="S32" s="647">
        <f>Model!U163</f>
        <v>0</v>
      </c>
      <c r="T32" s="647">
        <f>Model!V163</f>
        <v>0</v>
      </c>
      <c r="U32" s="647">
        <f>Model!W163</f>
        <v>0</v>
      </c>
      <c r="V32" s="647">
        <f>Model!X163</f>
        <v>0</v>
      </c>
      <c r="W32" s="647">
        <f>Model!Y163</f>
        <v>0</v>
      </c>
      <c r="X32" s="647">
        <f>Model!Z163</f>
        <v>0</v>
      </c>
      <c r="Y32" s="647">
        <f>Model!AA163</f>
        <v>0</v>
      </c>
      <c r="Z32" s="647">
        <f>Model!AB163</f>
        <v>0</v>
      </c>
      <c r="AA32" s="647">
        <f>Model!AC163</f>
        <v>0</v>
      </c>
      <c r="AB32" s="647">
        <f>Model!AD163</f>
        <v>0</v>
      </c>
      <c r="AC32" s="647">
        <f>Model!AE163</f>
        <v>0</v>
      </c>
      <c r="AD32" s="647">
        <f>Model!AF163</f>
        <v>0</v>
      </c>
      <c r="AE32" s="647">
        <f>Model!AG163</f>
        <v>0</v>
      </c>
      <c r="AF32" s="647">
        <f>Model!AH163</f>
        <v>0</v>
      </c>
      <c r="AG32" s="647">
        <f>Model!AI163</f>
        <v>0</v>
      </c>
      <c r="AH32" s="647">
        <f>Model!AJ163</f>
        <v>0</v>
      </c>
      <c r="AI32" s="647">
        <f>Model!AK163</f>
        <v>0</v>
      </c>
      <c r="AJ32" s="647">
        <f>Model!AL163</f>
        <v>0</v>
      </c>
      <c r="AK32" s="647">
        <f>Model!AM163</f>
        <v>0</v>
      </c>
      <c r="AL32" s="647">
        <f>Model!AN163</f>
        <v>0</v>
      </c>
      <c r="AM32" s="647">
        <f>Model!AO163</f>
        <v>0</v>
      </c>
      <c r="AN32" s="647">
        <f>Model!AP163</f>
        <v>0</v>
      </c>
      <c r="AO32" s="647">
        <f>Model!AQ163</f>
        <v>0</v>
      </c>
      <c r="AP32" s="647">
        <f>Model!AR163</f>
        <v>0</v>
      </c>
      <c r="AQ32" s="647">
        <f>Model!AS163</f>
        <v>0</v>
      </c>
      <c r="AR32" s="647">
        <f>Model!AT163</f>
        <v>0</v>
      </c>
      <c r="AS32" s="647">
        <f>Model!AU163</f>
        <v>0</v>
      </c>
      <c r="AT32" s="647">
        <f>Model!AV163</f>
        <v>0</v>
      </c>
      <c r="AU32" s="647">
        <f>Model!AW163</f>
        <v>0</v>
      </c>
      <c r="AV32" s="647">
        <f>Model!AX163</f>
        <v>0</v>
      </c>
      <c r="AW32" s="647">
        <f>Model!AY163</f>
        <v>0</v>
      </c>
      <c r="AX32" s="647">
        <f>Model!AZ163</f>
        <v>0</v>
      </c>
      <c r="AY32" s="647">
        <f>Model!BA163</f>
        <v>0</v>
      </c>
      <c r="AZ32" s="647">
        <f>Model!BB163</f>
        <v>0</v>
      </c>
      <c r="BA32" s="647">
        <f>Model!BC163</f>
        <v>851839</v>
      </c>
      <c r="BB32" s="647">
        <f>Model!BD163</f>
        <v>0</v>
      </c>
      <c r="BC32" s="647">
        <f>Model!BE163</f>
        <v>0</v>
      </c>
      <c r="BD32" s="647">
        <f>Model!BF163</f>
        <v>71700</v>
      </c>
      <c r="BE32" s="647">
        <f>Model!BG163</f>
        <v>0</v>
      </c>
      <c r="BF32" s="647">
        <f>Model!BH163</f>
        <v>0</v>
      </c>
      <c r="BG32" s="647">
        <f>Model!BI163</f>
        <v>71700</v>
      </c>
      <c r="BH32" s="647">
        <f>Model!BJ163</f>
        <v>0</v>
      </c>
      <c r="BI32" s="647">
        <f>Model!BK163</f>
        <v>0</v>
      </c>
      <c r="BJ32" s="647">
        <f>Model!BL163</f>
        <v>71700</v>
      </c>
      <c r="BK32" s="647">
        <f>Model!BM163</f>
        <v>0</v>
      </c>
      <c r="BL32" s="647">
        <f>Model!BN163</f>
        <v>0</v>
      </c>
      <c r="BM32" s="647">
        <f>Model!BO163</f>
        <v>71700</v>
      </c>
      <c r="BN32" s="647">
        <f>Model!BP163</f>
        <v>0</v>
      </c>
      <c r="BO32" s="647">
        <f>Model!BQ163</f>
        <v>0</v>
      </c>
      <c r="BP32" s="647">
        <f>Model!BR163</f>
        <v>74643</v>
      </c>
      <c r="BQ32" s="647">
        <f>Model!BS163</f>
        <v>0</v>
      </c>
      <c r="BR32" s="647">
        <f>Model!BT163</f>
        <v>0</v>
      </c>
      <c r="BS32" s="647">
        <f>Model!BU163</f>
        <v>74640</v>
      </c>
      <c r="BT32" s="647">
        <f>Model!BV163</f>
        <v>0</v>
      </c>
      <c r="BU32" s="647">
        <f>Model!BW163</f>
        <v>0</v>
      </c>
      <c r="BV32" s="647">
        <f>Model!BX163</f>
        <v>74640</v>
      </c>
      <c r="BW32" s="647">
        <f>Model!BY163</f>
        <v>0</v>
      </c>
      <c r="BX32" s="647">
        <f>Model!BZ163</f>
        <v>0</v>
      </c>
      <c r="BY32" s="647">
        <f>Model!CA163</f>
        <v>74640</v>
      </c>
      <c r="BZ32" s="647">
        <f>Model!CB163</f>
        <v>0</v>
      </c>
      <c r="CA32" s="647">
        <f>Model!CC163</f>
        <v>0</v>
      </c>
      <c r="CB32" s="647">
        <f>Model!CD163</f>
        <v>81363</v>
      </c>
      <c r="CC32" s="647">
        <f>Model!CE163</f>
        <v>0</v>
      </c>
      <c r="CD32" s="647">
        <f>Model!CF163</f>
        <v>0</v>
      </c>
      <c r="CE32" s="647">
        <f>Model!CG163</f>
        <v>81362</v>
      </c>
      <c r="CF32" s="647">
        <f>Model!CH163</f>
        <v>0</v>
      </c>
      <c r="CG32" s="647">
        <f>Model!CI163</f>
        <v>0</v>
      </c>
      <c r="CH32" s="647">
        <f>Model!CJ163</f>
        <v>81362</v>
      </c>
    </row>
    <row r="33" ht="15" customFormat="1" customHeight="1" s="381">
      <c r="A33" s="651" t="inlineStr">
        <is>
          <t xml:space="preserve">  Steyn Fees</t>
        </is>
      </c>
      <c r="B33" s="383" t="n"/>
      <c r="C33" s="652">
        <f>Model!E197</f>
        <v>0</v>
      </c>
      <c r="D33" s="652">
        <f>Model!F197</f>
        <v>0</v>
      </c>
      <c r="E33" s="652">
        <f>Model!G197</f>
        <v>0</v>
      </c>
      <c r="F33" s="652">
        <f>Model!H197</f>
        <v>0</v>
      </c>
      <c r="G33" s="652">
        <f>Model!I197</f>
        <v>0</v>
      </c>
      <c r="H33" s="652">
        <f>Model!J197</f>
        <v>0</v>
      </c>
      <c r="I33" s="652">
        <f>Model!K197</f>
        <v>0</v>
      </c>
      <c r="J33" s="652">
        <f>Model!L197</f>
        <v>0</v>
      </c>
      <c r="K33" s="652">
        <f>Model!M197</f>
        <v>0</v>
      </c>
      <c r="L33" s="652">
        <f>Model!N197</f>
        <v>0</v>
      </c>
      <c r="M33" s="652">
        <f>Model!O197</f>
        <v>0</v>
      </c>
      <c r="N33" s="652">
        <f>Model!P197</f>
        <v>0</v>
      </c>
      <c r="O33" s="652">
        <f>Model!Q197</f>
        <v>0</v>
      </c>
      <c r="P33" s="652">
        <f>Model!R197</f>
        <v>0</v>
      </c>
      <c r="Q33" s="652">
        <f>Model!S197</f>
        <v>0</v>
      </c>
      <c r="R33" s="652">
        <f>Model!T197</f>
        <v>0</v>
      </c>
      <c r="S33" s="652">
        <f>Model!U197</f>
        <v>0</v>
      </c>
      <c r="T33" s="652">
        <f>Model!V197</f>
        <v>0</v>
      </c>
      <c r="U33" s="652">
        <f>Model!W197</f>
        <v>0</v>
      </c>
      <c r="V33" s="652">
        <f>Model!X197</f>
        <v>0</v>
      </c>
      <c r="W33" s="652">
        <f>Model!Y197</f>
        <v>0</v>
      </c>
      <c r="X33" s="652">
        <f>Model!Z197</f>
        <v>0</v>
      </c>
      <c r="Y33" s="652">
        <f>Model!AA197</f>
        <v>0</v>
      </c>
      <c r="Z33" s="652">
        <f>Model!AB197</f>
        <v>0</v>
      </c>
      <c r="AA33" s="652">
        <f>Model!AC197</f>
        <v>0</v>
      </c>
      <c r="AB33" s="652">
        <f>Model!AD197</f>
        <v>0</v>
      </c>
      <c r="AC33" s="652">
        <f>Model!AE197</f>
        <v>0</v>
      </c>
      <c r="AD33" s="652">
        <f>Model!AF197</f>
        <v>0</v>
      </c>
      <c r="AE33" s="652">
        <f>Model!AG197</f>
        <v>0</v>
      </c>
      <c r="AF33" s="652">
        <f>Model!AH197</f>
        <v>0</v>
      </c>
      <c r="AG33" s="652">
        <f>Model!AI197</f>
        <v>0</v>
      </c>
      <c r="AH33" s="652">
        <f>Model!AJ197</f>
        <v>0</v>
      </c>
      <c r="AI33" s="652">
        <f>Model!AK197</f>
        <v>0</v>
      </c>
      <c r="AJ33" s="652">
        <f>Model!AL197</f>
        <v>0</v>
      </c>
      <c r="AK33" s="652">
        <f>Model!AM197</f>
        <v>0</v>
      </c>
      <c r="AL33" s="652">
        <f>Model!AN197</f>
        <v>0</v>
      </c>
      <c r="AM33" s="652">
        <f>Model!AO197</f>
        <v>0</v>
      </c>
      <c r="AN33" s="652">
        <f>Model!AP197</f>
        <v>0</v>
      </c>
      <c r="AO33" s="652">
        <f>Model!AQ197</f>
        <v>0</v>
      </c>
      <c r="AP33" s="652">
        <f>Model!AR197</f>
        <v>0</v>
      </c>
      <c r="AQ33" s="652">
        <f>Model!AS197</f>
        <v>0</v>
      </c>
      <c r="AR33" s="652">
        <f>Model!AT197</f>
        <v>0</v>
      </c>
      <c r="AS33" s="652">
        <f>Model!AU197</f>
        <v>0</v>
      </c>
      <c r="AT33" s="652">
        <f>Model!AV197</f>
        <v>0</v>
      </c>
      <c r="AU33" s="652">
        <f>Model!AW197</f>
        <v>0</v>
      </c>
      <c r="AV33" s="652">
        <f>Model!AX197</f>
        <v>0</v>
      </c>
      <c r="AW33" s="652">
        <f>Model!AY197</f>
        <v>0</v>
      </c>
      <c r="AX33" s="652">
        <f>Model!AZ197</f>
        <v>0</v>
      </c>
      <c r="AY33" s="652">
        <f>Model!BA197</f>
        <v>0</v>
      </c>
      <c r="AZ33" s="652">
        <f>Model!BB197</f>
        <v>0</v>
      </c>
      <c r="BA33" s="652">
        <f>Model!BC197</f>
        <v>-851839</v>
      </c>
      <c r="BB33" s="652">
        <f>Model!BD197</f>
        <v>0</v>
      </c>
      <c r="BC33" s="652">
        <f>Model!BE197</f>
        <v>0</v>
      </c>
      <c r="BD33" s="652">
        <f>Model!BF197</f>
        <v>-71700</v>
      </c>
      <c r="BE33" s="652">
        <f>Model!BG197</f>
        <v>0</v>
      </c>
      <c r="BF33" s="652">
        <f>Model!BH197</f>
        <v>0</v>
      </c>
      <c r="BG33" s="652">
        <f>Model!BI197</f>
        <v>-71700</v>
      </c>
      <c r="BH33" s="652">
        <f>Model!BJ197</f>
        <v>0</v>
      </c>
      <c r="BI33" s="652">
        <f>Model!BK197</f>
        <v>0</v>
      </c>
      <c r="BJ33" s="652">
        <f>Model!BL197</f>
        <v>-71700</v>
      </c>
      <c r="BK33" s="652">
        <f>Model!BM197</f>
        <v>0</v>
      </c>
      <c r="BL33" s="652">
        <f>Model!BN197</f>
        <v>0</v>
      </c>
      <c r="BM33" s="652">
        <f>Model!BO197</f>
        <v>-71700</v>
      </c>
      <c r="BN33" s="652">
        <f>Model!BP197</f>
        <v>0</v>
      </c>
      <c r="BO33" s="652">
        <f>Model!BQ197</f>
        <v>0</v>
      </c>
      <c r="BP33" s="652">
        <f>Model!BR197</f>
        <v>-74643</v>
      </c>
      <c r="BQ33" s="652">
        <f>Model!BS197</f>
        <v>0</v>
      </c>
      <c r="BR33" s="652">
        <f>Model!BT197</f>
        <v>0</v>
      </c>
      <c r="BS33" s="652">
        <f>Model!BU197</f>
        <v>-74640</v>
      </c>
      <c r="BT33" s="652">
        <f>Model!BV197</f>
        <v>0</v>
      </c>
      <c r="BU33" s="652">
        <f>Model!BW197</f>
        <v>0</v>
      </c>
      <c r="BV33" s="652">
        <f>Model!BX197</f>
        <v>-74640</v>
      </c>
      <c r="BW33" s="652">
        <f>Model!BY197</f>
        <v>0</v>
      </c>
      <c r="BX33" s="652">
        <f>Model!BZ197</f>
        <v>0</v>
      </c>
      <c r="BY33" s="652">
        <f>Model!CA197</f>
        <v>-74640</v>
      </c>
      <c r="BZ33" s="652">
        <f>Model!CB197</f>
        <v>0</v>
      </c>
      <c r="CA33" s="652">
        <f>Model!CC197</f>
        <v>0</v>
      </c>
      <c r="CB33" s="652">
        <f>Model!CD197</f>
        <v>-81363</v>
      </c>
      <c r="CC33" s="652">
        <f>Model!CE197</f>
        <v>0</v>
      </c>
      <c r="CD33" s="652">
        <f>Model!CF197</f>
        <v>0</v>
      </c>
      <c r="CE33" s="652">
        <f>Model!CG197</f>
        <v>-81362</v>
      </c>
      <c r="CF33" s="652">
        <f>Model!CH197</f>
        <v>0</v>
      </c>
      <c r="CG33" s="652">
        <f>Model!CI197</f>
        <v>0</v>
      </c>
      <c r="CH33" s="652">
        <f>Model!CJ197</f>
        <v>-74753.9733935208</v>
      </c>
    </row>
    <row r="34" ht="15" customFormat="1" customHeight="1" s="381">
      <c r="A34" s="651" t="inlineStr">
        <is>
          <t xml:space="preserve">  PIK Repayment (in Steyn + PIK above)</t>
        </is>
      </c>
      <c r="B34" s="383" t="n"/>
      <c r="C34" s="652">
        <f>Model!E279</f>
        <v>0</v>
      </c>
      <c r="D34" s="652">
        <f>Model!F279</f>
        <v>0</v>
      </c>
      <c r="E34" s="652">
        <f>Model!G279</f>
        <v>0</v>
      </c>
      <c r="F34" s="652">
        <f>Model!H279</f>
        <v>0</v>
      </c>
      <c r="G34" s="652">
        <f>Model!I279</f>
        <v>0</v>
      </c>
      <c r="H34" s="652">
        <f>Model!J279</f>
        <v>0</v>
      </c>
      <c r="I34" s="652">
        <f>Model!K279</f>
        <v>0</v>
      </c>
      <c r="J34" s="652">
        <f>Model!L279</f>
        <v>0</v>
      </c>
      <c r="K34" s="652">
        <f>Model!M279</f>
        <v>0</v>
      </c>
      <c r="L34" s="652">
        <f>Model!N279</f>
        <v>0</v>
      </c>
      <c r="M34" s="652">
        <f>Model!O279</f>
        <v>0</v>
      </c>
      <c r="N34" s="652">
        <f>Model!P279</f>
        <v>0</v>
      </c>
      <c r="O34" s="652">
        <f>Model!Q279</f>
        <v>0</v>
      </c>
      <c r="P34" s="652">
        <f>Model!R279</f>
        <v>0</v>
      </c>
      <c r="Q34" s="652">
        <f>Model!S279</f>
        <v>0</v>
      </c>
      <c r="R34" s="652">
        <f>Model!T279</f>
        <v>0</v>
      </c>
      <c r="S34" s="652">
        <f>Model!U279</f>
        <v>0</v>
      </c>
      <c r="T34" s="652">
        <f>Model!V279</f>
        <v>0</v>
      </c>
      <c r="U34" s="652">
        <f>Model!W279</f>
        <v>0</v>
      </c>
      <c r="V34" s="652">
        <f>Model!X279</f>
        <v>0</v>
      </c>
      <c r="W34" s="652">
        <f>Model!Y279</f>
        <v>0</v>
      </c>
      <c r="X34" s="652">
        <f>Model!Z279</f>
        <v>0</v>
      </c>
      <c r="Y34" s="652">
        <f>Model!AA279</f>
        <v>0</v>
      </c>
      <c r="Z34" s="652">
        <f>Model!AB279</f>
        <v>0</v>
      </c>
      <c r="AA34" s="652">
        <f>Model!AC279</f>
        <v>0</v>
      </c>
      <c r="AB34" s="652">
        <f>Model!AD279</f>
        <v>0</v>
      </c>
      <c r="AC34" s="652">
        <f>Model!AE279</f>
        <v>0</v>
      </c>
      <c r="AD34" s="652">
        <f>Model!AF279</f>
        <v>0</v>
      </c>
      <c r="AE34" s="652">
        <f>Model!AG279</f>
        <v>0</v>
      </c>
      <c r="AF34" s="652">
        <f>Model!AH279</f>
        <v>0</v>
      </c>
      <c r="AG34" s="652">
        <f>Model!AI279</f>
        <v>0</v>
      </c>
      <c r="AH34" s="652">
        <f>Model!AJ279</f>
        <v>0</v>
      </c>
      <c r="AI34" s="652">
        <f>Model!AK279</f>
        <v>0</v>
      </c>
      <c r="AJ34" s="652">
        <f>Model!AL279</f>
        <v>0</v>
      </c>
      <c r="AK34" s="652">
        <f>Model!AM279</f>
        <v>0</v>
      </c>
      <c r="AL34" s="652">
        <f>Model!AN279</f>
        <v>0</v>
      </c>
      <c r="AM34" s="652">
        <f>Model!AO279</f>
        <v>0</v>
      </c>
      <c r="AN34" s="652">
        <f>Model!AP279</f>
        <v>0</v>
      </c>
      <c r="AO34" s="652">
        <f>Model!AQ279</f>
        <v>0</v>
      </c>
      <c r="AP34" s="652">
        <f>Model!AR279</f>
        <v>0</v>
      </c>
      <c r="AQ34" s="652">
        <f>Model!AS279</f>
        <v>0</v>
      </c>
      <c r="AR34" s="652">
        <f>Model!AT279</f>
        <v>0</v>
      </c>
      <c r="AS34" s="652">
        <f>Model!AU279</f>
        <v>0</v>
      </c>
      <c r="AT34" s="652">
        <f>Model!AV279</f>
        <v>0</v>
      </c>
      <c r="AU34" s="652">
        <f>Model!AW279</f>
        <v>0</v>
      </c>
      <c r="AV34" s="652">
        <f>Model!AX279</f>
        <v>0</v>
      </c>
      <c r="AW34" s="652">
        <f>Model!AY279</f>
        <v>0</v>
      </c>
      <c r="AX34" s="652">
        <f>Model!AZ279</f>
        <v>0</v>
      </c>
      <c r="AY34" s="652">
        <f>Model!BA279</f>
        <v>0</v>
      </c>
      <c r="AZ34" s="652">
        <f>Model!BB279</f>
        <v>0</v>
      </c>
      <c r="BA34" s="652">
        <f>Model!BC279</f>
        <v>0</v>
      </c>
      <c r="BB34" s="652">
        <f>Model!BD279</f>
        <v>0</v>
      </c>
      <c r="BC34" s="652">
        <f>Model!BE279</f>
        <v>0</v>
      </c>
      <c r="BD34" s="652">
        <f>Model!BF279</f>
        <v>0</v>
      </c>
      <c r="BE34" s="652">
        <f>Model!BG279</f>
        <v>0</v>
      </c>
      <c r="BF34" s="652">
        <f>Model!BH279</f>
        <v>0</v>
      </c>
      <c r="BG34" s="652">
        <f>Model!BI279</f>
        <v>0</v>
      </c>
      <c r="BH34" s="652">
        <f>Model!BJ279</f>
        <v>0</v>
      </c>
      <c r="BI34" s="652">
        <f>Model!BK279</f>
        <v>0</v>
      </c>
      <c r="BJ34" s="652">
        <f>Model!BL279</f>
        <v>0</v>
      </c>
      <c r="BK34" s="652">
        <f>Model!BM279</f>
        <v>0</v>
      </c>
      <c r="BL34" s="652">
        <f>Model!BN279</f>
        <v>0</v>
      </c>
      <c r="BM34" s="652">
        <f>Model!BO279</f>
        <v>0</v>
      </c>
      <c r="BN34" s="652">
        <f>Model!BP279</f>
        <v>0</v>
      </c>
      <c r="BO34" s="652">
        <f>Model!BQ279</f>
        <v>0</v>
      </c>
      <c r="BP34" s="652">
        <f>Model!BR279</f>
        <v>0</v>
      </c>
      <c r="BQ34" s="652">
        <f>Model!BS279</f>
        <v>0</v>
      </c>
      <c r="BR34" s="652">
        <f>Model!BT279</f>
        <v>0</v>
      </c>
      <c r="BS34" s="652">
        <f>Model!BU279</f>
        <v>0</v>
      </c>
      <c r="BT34" s="652">
        <f>Model!BV279</f>
        <v>0</v>
      </c>
      <c r="BU34" s="652">
        <f>Model!BW279</f>
        <v>0</v>
      </c>
      <c r="BV34" s="652">
        <f>Model!BX279</f>
        <v>0</v>
      </c>
      <c r="BW34" s="652">
        <f>Model!BY279</f>
        <v>0</v>
      </c>
      <c r="BX34" s="652">
        <f>Model!BZ279</f>
        <v>0</v>
      </c>
      <c r="BY34" s="652">
        <f>Model!CA279</f>
        <v>0</v>
      </c>
      <c r="BZ34" s="652">
        <f>Model!CB279</f>
        <v>0</v>
      </c>
      <c r="CA34" s="652">
        <f>Model!CC279</f>
        <v>0</v>
      </c>
      <c r="CB34" s="652">
        <f>Model!CD279</f>
        <v>0</v>
      </c>
      <c r="CC34" s="652">
        <f>Model!CE279</f>
        <v>0</v>
      </c>
      <c r="CD34" s="652">
        <f>Model!CF279</f>
        <v>0</v>
      </c>
      <c r="CE34" s="652">
        <f>Model!CG279</f>
        <v>0</v>
      </c>
      <c r="CF34" s="652">
        <f>Model!CH279</f>
        <v>0</v>
      </c>
      <c r="CG34" s="652">
        <f>Model!CI279</f>
        <v>0</v>
      </c>
      <c r="CH34" s="652">
        <f>Model!CJ279</f>
        <v>0</v>
      </c>
    </row>
    <row r="35" ht="15" customFormat="1" customHeight="1" s="381">
      <c r="A35" s="648" t="inlineStr">
        <is>
          <t xml:space="preserve">  Net to Six Peak</t>
        </is>
      </c>
      <c r="B35" s="648" t="n"/>
      <c r="C35" s="649">
        <f>C32+C33+C34</f>
        <v>0</v>
      </c>
      <c r="D35" s="649">
        <f>D32+D33+D34</f>
        <v>0</v>
      </c>
      <c r="E35" s="649">
        <f>E32+E33+E34</f>
        <v>0</v>
      </c>
      <c r="F35" s="649">
        <f>F32+F33+F34</f>
        <v>0</v>
      </c>
      <c r="G35" s="649">
        <f>G32+G33+G34</f>
        <v>0</v>
      </c>
      <c r="H35" s="649">
        <f>H32+H33+H34</f>
        <v>0</v>
      </c>
      <c r="I35" s="649">
        <f>I32+I33+I34</f>
        <v>0</v>
      </c>
      <c r="J35" s="649">
        <f>J32+J33+J34</f>
        <v>0</v>
      </c>
      <c r="K35" s="649">
        <f>K32+K33+K34</f>
        <v>0</v>
      </c>
      <c r="L35" s="649">
        <f>L32+L33+L34</f>
        <v>0</v>
      </c>
      <c r="M35" s="649">
        <f>M32+M33+M34</f>
        <v>0</v>
      </c>
      <c r="N35" s="649">
        <f>N32+N33+N34</f>
        <v>0</v>
      </c>
      <c r="O35" s="649">
        <f>O32+O33+O34</f>
        <v>0</v>
      </c>
      <c r="P35" s="649">
        <f>P32+P33+P34</f>
        <v>0</v>
      </c>
      <c r="Q35" s="649">
        <f>Q32+Q33+Q34</f>
        <v>0</v>
      </c>
      <c r="R35" s="649">
        <f>R32+R33+R34</f>
        <v>0</v>
      </c>
      <c r="S35" s="649">
        <f>S32+S33+S34</f>
        <v>0</v>
      </c>
      <c r="T35" s="649">
        <f>T32+T33+T34</f>
        <v>0</v>
      </c>
      <c r="U35" s="649">
        <f>U32+U33+U34</f>
        <v>0</v>
      </c>
      <c r="V35" s="649">
        <f>V32+V33+V34</f>
        <v>0</v>
      </c>
      <c r="W35" s="649">
        <f>W32+W33+W34</f>
        <v>0</v>
      </c>
      <c r="X35" s="649">
        <f>X32+X33+X34</f>
        <v>0</v>
      </c>
      <c r="Y35" s="649">
        <f>Y32+Y33+Y34</f>
        <v>0</v>
      </c>
      <c r="Z35" s="649">
        <f>Z32+Z33+Z34</f>
        <v>0</v>
      </c>
      <c r="AA35" s="649">
        <f>AA32+AA33+AA34</f>
        <v>0</v>
      </c>
      <c r="AB35" s="649">
        <f>AB32+AB33+AB34</f>
        <v>0</v>
      </c>
      <c r="AC35" s="649">
        <f>AC32+AC33+AC34</f>
        <v>0</v>
      </c>
      <c r="AD35" s="649">
        <f>AD32+AD33+AD34</f>
        <v>0</v>
      </c>
      <c r="AE35" s="649">
        <f>AE32+AE33+AE34</f>
        <v>0</v>
      </c>
      <c r="AF35" s="649">
        <f>AF32+AF33+AF34</f>
        <v>0</v>
      </c>
      <c r="AG35" s="649">
        <f>AG32+AG33+AG34</f>
        <v>0</v>
      </c>
      <c r="AH35" s="649">
        <f>AH32+AH33+AH34</f>
        <v>0</v>
      </c>
      <c r="AI35" s="649">
        <f>AI32+AI33+AI34</f>
        <v>0</v>
      </c>
      <c r="AJ35" s="649">
        <f>AJ32+AJ33+AJ34</f>
        <v>0</v>
      </c>
      <c r="AK35" s="649">
        <f>AK32+AK33+AK34</f>
        <v>0</v>
      </c>
      <c r="AL35" s="649">
        <f>AL32+AL33+AL34</f>
        <v>0</v>
      </c>
      <c r="AM35" s="649">
        <f>AM32+AM33+AM34</f>
        <v>0</v>
      </c>
      <c r="AN35" s="649">
        <f>AN32+AN33+AN34</f>
        <v>0</v>
      </c>
      <c r="AO35" s="649">
        <f>AO32+AO33+AO34</f>
        <v>0</v>
      </c>
      <c r="AP35" s="649">
        <f>AP32+AP33+AP34</f>
        <v>0</v>
      </c>
      <c r="AQ35" s="649">
        <f>AQ32+AQ33+AQ34</f>
        <v>0</v>
      </c>
      <c r="AR35" s="649">
        <f>AR32+AR33+AR34</f>
        <v>0</v>
      </c>
      <c r="AS35" s="649">
        <f>AS32+AS33+AS34</f>
        <v>0</v>
      </c>
      <c r="AT35" s="649">
        <f>AT32+AT33+AT34</f>
        <v>0</v>
      </c>
      <c r="AU35" s="649">
        <f>AU32+AU33+AU34</f>
        <v>0</v>
      </c>
      <c r="AV35" s="649">
        <f>AV32+AV33+AV34</f>
        <v>0</v>
      </c>
      <c r="AW35" s="649">
        <f>AW32+AW33+AW34</f>
        <v>0</v>
      </c>
      <c r="AX35" s="649">
        <f>AX32+AX33+AX34</f>
        <v>0</v>
      </c>
      <c r="AY35" s="649">
        <f>AY32+AY33+AY34</f>
        <v>0</v>
      </c>
      <c r="AZ35" s="649">
        <f>AZ32+AZ33+AZ34</f>
        <v>0</v>
      </c>
      <c r="BA35" s="649">
        <f>BA32+BA33+BA34</f>
        <v>0</v>
      </c>
      <c r="BB35" s="649">
        <f>BB32+BB33+BB34</f>
        <v>0</v>
      </c>
      <c r="BC35" s="649">
        <f>BC32+BC33+BC34</f>
        <v>0</v>
      </c>
      <c r="BD35" s="649">
        <f>BD32+BD33+BD34</f>
        <v>0</v>
      </c>
      <c r="BE35" s="649">
        <f>BE32+BE33+BE34</f>
        <v>0</v>
      </c>
      <c r="BF35" s="649">
        <f>BF32+BF33+BF34</f>
        <v>0</v>
      </c>
      <c r="BG35" s="649">
        <f>BG32+BG33+BG34</f>
        <v>0</v>
      </c>
      <c r="BH35" s="649">
        <f>BH32+BH33+BH34</f>
        <v>0</v>
      </c>
      <c r="BI35" s="649">
        <f>BI32+BI33+BI34</f>
        <v>0</v>
      </c>
      <c r="BJ35" s="649">
        <f>BJ32+BJ33+BJ34</f>
        <v>0</v>
      </c>
      <c r="BK35" s="649">
        <f>BK32+BK33+BK34</f>
        <v>0</v>
      </c>
      <c r="BL35" s="649">
        <f>BL32+BL33+BL34</f>
        <v>0</v>
      </c>
      <c r="BM35" s="649">
        <f>BM32+BM33+BM34</f>
        <v>0</v>
      </c>
      <c r="BN35" s="649">
        <f>BN32+BN33+BN34</f>
        <v>0</v>
      </c>
      <c r="BO35" s="649">
        <f>BO32+BO33+BO34</f>
        <v>0</v>
      </c>
      <c r="BP35" s="649">
        <f>BP32+BP33+BP34</f>
        <v>0</v>
      </c>
      <c r="BQ35" s="649">
        <f>BQ32+BQ33+BQ34</f>
        <v>0</v>
      </c>
      <c r="BR35" s="649">
        <f>BR32+BR33+BR34</f>
        <v>0</v>
      </c>
      <c r="BS35" s="649">
        <f>BS32+BS33+BS34</f>
        <v>0</v>
      </c>
      <c r="BT35" s="649">
        <f>BT32+BT33+BT34</f>
        <v>0</v>
      </c>
      <c r="BU35" s="649">
        <f>BU32+BU33+BU34</f>
        <v>0</v>
      </c>
      <c r="BV35" s="649">
        <f>BV32+BV33+BV34</f>
        <v>0</v>
      </c>
      <c r="BW35" s="649">
        <f>BW32+BW33+BW34</f>
        <v>0</v>
      </c>
      <c r="BX35" s="649">
        <f>BX32+BX33+BX34</f>
        <v>0</v>
      </c>
      <c r="BY35" s="649">
        <f>BY32+BY33+BY34</f>
        <v>0</v>
      </c>
      <c r="BZ35" s="649">
        <f>BZ32+BZ33+BZ34</f>
        <v>0</v>
      </c>
      <c r="CA35" s="649">
        <f>CA32+CA33+CA34</f>
        <v>0</v>
      </c>
      <c r="CB35" s="649">
        <f>CB32+CB33+CB34</f>
        <v>0</v>
      </c>
      <c r="CC35" s="649">
        <f>CC32+CC33+CC34</f>
        <v>0</v>
      </c>
      <c r="CD35" s="649">
        <f>CD32+CD33+CD34</f>
        <v>0</v>
      </c>
      <c r="CE35" s="649">
        <f>CE32+CE33+CE34</f>
        <v>0</v>
      </c>
      <c r="CF35" s="649">
        <f>CF32+CF33+CF34</f>
        <v>0</v>
      </c>
      <c r="CG35" s="649">
        <f>CG32+CG33+CG34</f>
        <v>0</v>
      </c>
      <c r="CH35" s="649">
        <f>CH32+CH33+CH34</f>
        <v>6608.02660647922</v>
      </c>
    </row>
    <row r="36" ht="15" customFormat="1" customHeight="1" s="381">
      <c r="A36" s="382" t="inlineStr">
        <is>
          <t xml:space="preserve">  Cumulative Net</t>
        </is>
      </c>
      <c r="B36" s="383" t="n"/>
      <c r="C36" s="650">
        <f>C35</f>
        <v>0</v>
      </c>
      <c r="D36" s="650">
        <f>C36+D35</f>
        <v>0</v>
      </c>
      <c r="E36" s="650">
        <f>D36+E35</f>
        <v>0</v>
      </c>
      <c r="F36" s="650">
        <f>E36+F35</f>
        <v>0</v>
      </c>
      <c r="G36" s="650">
        <f>F36+G35</f>
        <v>0</v>
      </c>
      <c r="H36" s="650">
        <f>G36+H35</f>
        <v>0</v>
      </c>
      <c r="I36" s="650">
        <f>H36+I35</f>
        <v>0</v>
      </c>
      <c r="J36" s="650">
        <f>I36+J35</f>
        <v>0</v>
      </c>
      <c r="K36" s="650">
        <f>J36+K35</f>
        <v>0</v>
      </c>
      <c r="L36" s="650">
        <f>K36+L35</f>
        <v>0</v>
      </c>
      <c r="M36" s="650">
        <f>L36+M35</f>
        <v>0</v>
      </c>
      <c r="N36" s="650">
        <f>M36+N35</f>
        <v>0</v>
      </c>
      <c r="O36" s="650">
        <f>N36+O35</f>
        <v>0</v>
      </c>
      <c r="P36" s="650">
        <f>O36+P35</f>
        <v>0</v>
      </c>
      <c r="Q36" s="650">
        <f>P36+Q35</f>
        <v>0</v>
      </c>
      <c r="R36" s="650">
        <f>Q36+R35</f>
        <v>0</v>
      </c>
      <c r="S36" s="650">
        <f>R36+S35</f>
        <v>0</v>
      </c>
      <c r="T36" s="650">
        <f>S36+T35</f>
        <v>0</v>
      </c>
      <c r="U36" s="650">
        <f>T36+U35</f>
        <v>0</v>
      </c>
      <c r="V36" s="650">
        <f>U36+V35</f>
        <v>0</v>
      </c>
      <c r="W36" s="650">
        <f>V36+W35</f>
        <v>0</v>
      </c>
      <c r="X36" s="650">
        <f>W36+X35</f>
        <v>0</v>
      </c>
      <c r="Y36" s="650">
        <f>X36+Y35</f>
        <v>0</v>
      </c>
      <c r="Z36" s="650">
        <f>Y36+Z35</f>
        <v>0</v>
      </c>
      <c r="AA36" s="650">
        <f>Z36+AA35</f>
        <v>0</v>
      </c>
      <c r="AB36" s="650">
        <f>AA36+AB35</f>
        <v>0</v>
      </c>
      <c r="AC36" s="650">
        <f>AB36+AC35</f>
        <v>0</v>
      </c>
      <c r="AD36" s="650">
        <f>AC36+AD35</f>
        <v>0</v>
      </c>
      <c r="AE36" s="650">
        <f>AD36+AE35</f>
        <v>0</v>
      </c>
      <c r="AF36" s="650">
        <f>AE36+AF35</f>
        <v>0</v>
      </c>
      <c r="AG36" s="650">
        <f>AF36+AG35</f>
        <v>0</v>
      </c>
      <c r="AH36" s="650">
        <f>AG36+AH35</f>
        <v>0</v>
      </c>
      <c r="AI36" s="650">
        <f>AH36+AI35</f>
        <v>0</v>
      </c>
      <c r="AJ36" s="650">
        <f>AI36+AJ35</f>
        <v>0</v>
      </c>
      <c r="AK36" s="650">
        <f>AJ36+AK35</f>
        <v>0</v>
      </c>
      <c r="AL36" s="650">
        <f>AK36+AL35</f>
        <v>0</v>
      </c>
      <c r="AM36" s="650">
        <f>AL36+AM35</f>
        <v>0</v>
      </c>
      <c r="AN36" s="650">
        <f>AM36+AN35</f>
        <v>0</v>
      </c>
      <c r="AO36" s="650">
        <f>AN36+AO35</f>
        <v>0</v>
      </c>
      <c r="AP36" s="650">
        <f>AO36+AP35</f>
        <v>0</v>
      </c>
      <c r="AQ36" s="650">
        <f>AP36+AQ35</f>
        <v>0</v>
      </c>
      <c r="AR36" s="650">
        <f>AQ36+AR35</f>
        <v>0</v>
      </c>
      <c r="AS36" s="650">
        <f>AR36+AS35</f>
        <v>0</v>
      </c>
      <c r="AT36" s="650">
        <f>AS36+AT35</f>
        <v>0</v>
      </c>
      <c r="AU36" s="650">
        <f>AT36+AU35</f>
        <v>0</v>
      </c>
      <c r="AV36" s="650">
        <f>AU36+AV35</f>
        <v>0</v>
      </c>
      <c r="AW36" s="650">
        <f>AV36+AW35</f>
        <v>0</v>
      </c>
      <c r="AX36" s="650">
        <f>AW36+AX35</f>
        <v>0</v>
      </c>
      <c r="AY36" s="650">
        <f>AX36+AY35</f>
        <v>0</v>
      </c>
      <c r="AZ36" s="650">
        <f>AY36+AZ35</f>
        <v>0</v>
      </c>
      <c r="BA36" s="650">
        <f>AZ36+BA35</f>
        <v>0</v>
      </c>
      <c r="BB36" s="650">
        <f>BA36+BB35</f>
        <v>0</v>
      </c>
      <c r="BC36" s="650">
        <f>BB36+BC35</f>
        <v>0</v>
      </c>
      <c r="BD36" s="650">
        <f>BC36+BD35</f>
        <v>0</v>
      </c>
      <c r="BE36" s="650">
        <f>BD36+BE35</f>
        <v>0</v>
      </c>
      <c r="BF36" s="650">
        <f>BE36+BF35</f>
        <v>0</v>
      </c>
      <c r="BG36" s="650">
        <f>BF36+BG35</f>
        <v>0</v>
      </c>
      <c r="BH36" s="650">
        <f>BG36+BH35</f>
        <v>0</v>
      </c>
      <c r="BI36" s="650">
        <f>BH36+BI35</f>
        <v>0</v>
      </c>
      <c r="BJ36" s="650">
        <f>BI36+BJ35</f>
        <v>0</v>
      </c>
      <c r="BK36" s="650">
        <f>BJ36+BK35</f>
        <v>0</v>
      </c>
      <c r="BL36" s="650">
        <f>BK36+BL35</f>
        <v>0</v>
      </c>
      <c r="BM36" s="650">
        <f>BL36+BM35</f>
        <v>0</v>
      </c>
      <c r="BN36" s="650">
        <f>BM36+BN35</f>
        <v>0</v>
      </c>
      <c r="BO36" s="650">
        <f>BN36+BO35</f>
        <v>0</v>
      </c>
      <c r="BP36" s="650">
        <f>BO36+BP35</f>
        <v>0</v>
      </c>
      <c r="BQ36" s="650">
        <f>BP36+BQ35</f>
        <v>0</v>
      </c>
      <c r="BR36" s="650">
        <f>BQ36+BR35</f>
        <v>0</v>
      </c>
      <c r="BS36" s="650">
        <f>BR36+BS35</f>
        <v>0</v>
      </c>
      <c r="BT36" s="650">
        <f>BS36+BT35</f>
        <v>0</v>
      </c>
      <c r="BU36" s="650">
        <f>BT36+BU35</f>
        <v>0</v>
      </c>
      <c r="BV36" s="650">
        <f>BU36+BV35</f>
        <v>0</v>
      </c>
      <c r="BW36" s="650">
        <f>BV36+BW35</f>
        <v>0</v>
      </c>
      <c r="BX36" s="650">
        <f>BW36+BX35</f>
        <v>0</v>
      </c>
      <c r="BY36" s="650">
        <f>BX36+BY35</f>
        <v>0</v>
      </c>
      <c r="BZ36" s="650">
        <f>BY36+BZ35</f>
        <v>0</v>
      </c>
      <c r="CA36" s="650">
        <f>BZ36+CA35</f>
        <v>0</v>
      </c>
      <c r="CB36" s="650">
        <f>CA36+CB35</f>
        <v>0</v>
      </c>
      <c r="CC36" s="650">
        <f>CB36+CC35</f>
        <v>0</v>
      </c>
      <c r="CD36" s="650">
        <f>CC36+CD35</f>
        <v>0</v>
      </c>
      <c r="CE36" s="650">
        <f>CD36+CE35</f>
        <v>0</v>
      </c>
      <c r="CF36" s="650">
        <f>CE36+CF35</f>
        <v>0</v>
      </c>
      <c r="CG36" s="650">
        <f>CF36+CG35</f>
        <v>0</v>
      </c>
      <c r="CH36" s="650">
        <f>CG36+CH35</f>
        <v>6608.02660647922</v>
      </c>
    </row>
    <row r="37" ht="15" customFormat="1" customHeight="1" s="381">
      <c r="A37" s="383" t="n"/>
      <c r="B37" s="383" t="n"/>
      <c r="C37" s="383" t="n"/>
      <c r="D37" s="383" t="n"/>
      <c r="E37" s="383" t="n"/>
      <c r="F37" s="383" t="n"/>
      <c r="G37" s="383" t="n"/>
      <c r="H37" s="383" t="n"/>
      <c r="I37" s="383" t="n"/>
      <c r="J37" s="383" t="n"/>
      <c r="K37" s="383" t="n"/>
      <c r="L37" s="383" t="n"/>
      <c r="M37" s="383" t="n"/>
      <c r="N37" s="383" t="n"/>
      <c r="O37" s="383" t="n"/>
      <c r="P37" s="383" t="n"/>
      <c r="Q37" s="383" t="n"/>
      <c r="R37" s="383" t="n"/>
      <c r="S37" s="383" t="n"/>
      <c r="T37" s="383" t="n"/>
      <c r="U37" s="383" t="n"/>
      <c r="V37" s="383" t="n"/>
      <c r="W37" s="383" t="n"/>
      <c r="X37" s="383" t="n"/>
      <c r="Y37" s="383" t="n"/>
      <c r="Z37" s="383" t="n"/>
      <c r="AA37" s="383" t="n"/>
      <c r="AB37" s="383" t="n"/>
      <c r="AC37" s="383" t="n"/>
      <c r="AD37" s="383" t="n"/>
      <c r="AE37" s="383" t="n"/>
      <c r="AF37" s="383" t="n"/>
      <c r="AG37" s="383" t="n"/>
      <c r="AH37" s="383" t="n"/>
      <c r="AI37" s="383" t="n"/>
      <c r="AJ37" s="383" t="n"/>
      <c r="AK37" s="383" t="n"/>
      <c r="AL37" s="383" t="n"/>
      <c r="AM37" s="383" t="n"/>
      <c r="AN37" s="383" t="n"/>
      <c r="AO37" s="383" t="n"/>
      <c r="AP37" s="383" t="n"/>
      <c r="AQ37" s="383" t="n"/>
      <c r="AR37" s="383" t="n"/>
      <c r="AS37" s="383" t="n"/>
      <c r="AT37" s="383" t="n"/>
      <c r="AU37" s="383" t="n"/>
      <c r="AV37" s="383" t="n"/>
      <c r="AW37" s="383" t="n"/>
      <c r="AX37" s="383" t="n"/>
      <c r="AY37" s="383" t="n"/>
      <c r="AZ37" s="383" t="n"/>
      <c r="BA37" s="383" t="n"/>
      <c r="BB37" s="383" t="n"/>
      <c r="BC37" s="383" t="n"/>
      <c r="BD37" s="383" t="n"/>
      <c r="BE37" s="383" t="n"/>
      <c r="BF37" s="383" t="n"/>
      <c r="BG37" s="383" t="n"/>
      <c r="BH37" s="383" t="n"/>
      <c r="BI37" s="383" t="n"/>
      <c r="BJ37" s="383" t="n"/>
      <c r="BK37" s="383" t="n"/>
      <c r="BL37" s="383" t="n"/>
      <c r="BM37" s="383" t="n"/>
      <c r="BN37" s="383" t="n"/>
      <c r="BO37" s="383" t="n"/>
      <c r="BP37" s="383" t="n"/>
      <c r="BQ37" s="383" t="n"/>
      <c r="BR37" s="383" t="n"/>
      <c r="BS37" s="383" t="n"/>
      <c r="BT37" s="383" t="n"/>
      <c r="BU37" s="383" t="n"/>
      <c r="BV37" s="383" t="n"/>
      <c r="BW37" s="383" t="n"/>
      <c r="BX37" s="383" t="n"/>
      <c r="BY37" s="383" t="n"/>
      <c r="BZ37" s="383" t="n"/>
      <c r="CA37" s="383" t="n"/>
      <c r="CB37" s="383" t="n"/>
      <c r="CC37" s="383" t="n"/>
      <c r="CD37" s="383" t="n"/>
      <c r="CE37" s="383" t="n"/>
      <c r="CF37" s="383" t="n"/>
      <c r="CG37" s="383" t="n"/>
      <c r="CH37" s="383" t="n"/>
    </row>
    <row r="38" ht="15" customFormat="1" customHeight="1" s="381">
      <c r="A38" s="403" t="inlineStr">
        <is>
          <t>3rd St</t>
        </is>
      </c>
      <c r="B38" s="403" t="n"/>
      <c r="C38" s="403" t="n"/>
      <c r="D38" s="403" t="n"/>
      <c r="E38" s="403" t="n"/>
      <c r="F38" s="403" t="n"/>
      <c r="G38" s="403" t="n"/>
      <c r="H38" s="403" t="n"/>
      <c r="I38" s="403" t="n"/>
      <c r="J38" s="403" t="n"/>
      <c r="K38" s="403" t="n"/>
      <c r="L38" s="403" t="n"/>
      <c r="M38" s="403" t="n"/>
      <c r="N38" s="403" t="n"/>
      <c r="O38" s="403" t="n"/>
      <c r="P38" s="403" t="n"/>
      <c r="Q38" s="403" t="n"/>
      <c r="R38" s="403" t="n"/>
      <c r="S38" s="403" t="n"/>
      <c r="T38" s="403" t="n"/>
      <c r="U38" s="403" t="n"/>
      <c r="V38" s="403" t="n"/>
      <c r="W38" s="403" t="n"/>
      <c r="X38" s="403" t="n"/>
      <c r="Y38" s="403" t="n"/>
      <c r="Z38" s="403" t="n"/>
      <c r="AA38" s="403" t="n"/>
      <c r="AB38" s="403" t="n"/>
      <c r="AC38" s="403" t="n"/>
      <c r="AD38" s="403" t="n"/>
      <c r="AE38" s="403" t="n"/>
      <c r="AF38" s="403" t="n"/>
      <c r="AG38" s="403" t="n"/>
      <c r="AH38" s="403" t="n"/>
      <c r="AI38" s="403" t="n"/>
      <c r="AJ38" s="403" t="n"/>
      <c r="AK38" s="403" t="n"/>
      <c r="AL38" s="403" t="n"/>
      <c r="AM38" s="403" t="n"/>
      <c r="AN38" s="403" t="n"/>
      <c r="AO38" s="403" t="n"/>
      <c r="AP38" s="403" t="n"/>
      <c r="AQ38" s="403" t="n"/>
      <c r="AR38" s="403" t="n"/>
      <c r="AS38" s="403" t="n"/>
      <c r="AT38" s="403" t="n"/>
      <c r="AU38" s="403" t="n"/>
      <c r="AV38" s="403" t="n"/>
      <c r="AW38" s="403" t="n"/>
      <c r="AX38" s="403" t="n"/>
      <c r="AY38" s="403" t="n"/>
      <c r="AZ38" s="403" t="n"/>
      <c r="BA38" s="403" t="n"/>
      <c r="BB38" s="403" t="n"/>
      <c r="BC38" s="403" t="n"/>
      <c r="BD38" s="403" t="n"/>
      <c r="BE38" s="403" t="n"/>
      <c r="BF38" s="403" t="n"/>
      <c r="BG38" s="403" t="n"/>
      <c r="BH38" s="403" t="n"/>
      <c r="BI38" s="403" t="n"/>
      <c r="BJ38" s="403" t="n"/>
      <c r="BK38" s="403" t="n"/>
      <c r="BL38" s="403" t="n"/>
      <c r="BM38" s="403" t="n"/>
      <c r="BN38" s="403" t="n"/>
      <c r="BO38" s="403" t="n"/>
      <c r="BP38" s="403" t="n"/>
      <c r="BQ38" s="403" t="n"/>
      <c r="BR38" s="403" t="n"/>
      <c r="BS38" s="403" t="n"/>
      <c r="BT38" s="403" t="n"/>
      <c r="BU38" s="403" t="n"/>
      <c r="BV38" s="403" t="n"/>
      <c r="BW38" s="403" t="n"/>
      <c r="BX38" s="403" t="n"/>
      <c r="BY38" s="403" t="n"/>
      <c r="BZ38" s="403" t="n"/>
      <c r="CA38" s="403" t="n"/>
      <c r="CB38" s="403" t="n"/>
      <c r="CC38" s="403" t="n"/>
      <c r="CD38" s="403" t="n"/>
      <c r="CE38" s="403" t="n"/>
      <c r="CF38" s="403" t="n"/>
      <c r="CG38" s="403" t="n"/>
      <c r="CH38" s="403" t="n"/>
    </row>
    <row r="39" ht="15" customFormat="1" customHeight="1" s="381">
      <c r="A39" s="461" t="inlineStr">
        <is>
          <t xml:space="preserve">  Revenue</t>
        </is>
      </c>
      <c r="B39" s="383" t="n"/>
      <c r="C39" s="647" t="n">
        <v>0</v>
      </c>
      <c r="D39" s="647" t="n">
        <v>0</v>
      </c>
      <c r="E39" s="647" t="n">
        <v>0</v>
      </c>
      <c r="F39" s="647" t="n">
        <v>0</v>
      </c>
      <c r="G39" s="647" t="n">
        <v>0</v>
      </c>
      <c r="H39" s="647" t="n">
        <v>0</v>
      </c>
      <c r="I39" s="647" t="n">
        <v>0</v>
      </c>
      <c r="J39" s="647" t="n">
        <v>0</v>
      </c>
      <c r="K39" s="647" t="n">
        <v>0</v>
      </c>
      <c r="L39" s="647" t="n">
        <v>0</v>
      </c>
      <c r="M39" s="647" t="n">
        <v>0</v>
      </c>
      <c r="N39" s="647" t="n">
        <v>0</v>
      </c>
      <c r="O39" s="647" t="n">
        <v>0</v>
      </c>
      <c r="P39" s="647" t="n">
        <v>0</v>
      </c>
      <c r="Q39" s="647" t="n">
        <v>0</v>
      </c>
      <c r="R39" s="647" t="n">
        <v>0</v>
      </c>
      <c r="S39" s="647" t="n">
        <v>0</v>
      </c>
      <c r="T39" s="647" t="n">
        <v>0</v>
      </c>
      <c r="U39" s="647" t="n">
        <v>0</v>
      </c>
      <c r="V39" s="647" t="n">
        <v>0</v>
      </c>
      <c r="W39" s="647" t="n">
        <v>0</v>
      </c>
      <c r="X39" s="647" t="n">
        <v>0</v>
      </c>
      <c r="Y39" s="647" t="n">
        <v>0</v>
      </c>
      <c r="Z39" s="647" t="n">
        <v>0</v>
      </c>
      <c r="AA39" s="647" t="n">
        <v>0</v>
      </c>
      <c r="AB39" s="647" t="n">
        <v>0</v>
      </c>
      <c r="AC39" s="647" t="n">
        <v>0</v>
      </c>
      <c r="AD39" s="647" t="n">
        <v>0</v>
      </c>
      <c r="AE39" s="647" t="n">
        <v>0</v>
      </c>
      <c r="AF39" s="647" t="n">
        <v>0</v>
      </c>
      <c r="AG39" s="647" t="n">
        <v>0</v>
      </c>
      <c r="AH39" s="647" t="n">
        <v>0</v>
      </c>
      <c r="AI39" s="647" t="n">
        <v>0</v>
      </c>
      <c r="AJ39" s="647" t="n">
        <v>0</v>
      </c>
      <c r="AK39" s="647" t="n">
        <v>0</v>
      </c>
      <c r="AL39" s="647" t="n">
        <v>0</v>
      </c>
      <c r="AM39" s="647" t="n">
        <v>0</v>
      </c>
      <c r="AN39" s="647" t="n">
        <v>0</v>
      </c>
      <c r="AO39" s="647" t="n">
        <v>0</v>
      </c>
      <c r="AP39" s="647" t="n">
        <v>0</v>
      </c>
      <c r="AQ39" s="647" t="n">
        <v>0</v>
      </c>
      <c r="AR39" s="647" t="n">
        <v>0</v>
      </c>
      <c r="AS39" s="647" t="n">
        <v>0</v>
      </c>
      <c r="AT39" s="647" t="n">
        <v>0</v>
      </c>
      <c r="AU39" s="647" t="n">
        <v>0</v>
      </c>
      <c r="AV39" s="647" t="n">
        <v>0</v>
      </c>
      <c r="AW39" s="647" t="n">
        <v>0</v>
      </c>
      <c r="AX39" s="647" t="n">
        <v>0</v>
      </c>
      <c r="AY39" s="647" t="n">
        <v>0</v>
      </c>
      <c r="AZ39" s="647" t="n">
        <v>0</v>
      </c>
      <c r="BA39" s="647" t="n">
        <v>0</v>
      </c>
      <c r="BB39" s="647" t="n">
        <v>0</v>
      </c>
      <c r="BC39" s="647" t="n">
        <v>0</v>
      </c>
      <c r="BD39" s="647" t="n">
        <v>0</v>
      </c>
      <c r="BE39" s="647" t="n">
        <v>0</v>
      </c>
      <c r="BF39" s="647" t="n">
        <v>0</v>
      </c>
      <c r="BG39" s="647" t="n">
        <v>0</v>
      </c>
      <c r="BH39" s="647" t="n">
        <v>0</v>
      </c>
      <c r="BI39" s="647" t="n">
        <v>0</v>
      </c>
      <c r="BJ39" s="647" t="n">
        <v>0</v>
      </c>
      <c r="BK39" s="647" t="n">
        <v>0</v>
      </c>
      <c r="BL39" s="647" t="n">
        <v>0</v>
      </c>
      <c r="BM39" s="647" t="n">
        <v>0</v>
      </c>
      <c r="BN39" s="647" t="n">
        <v>0</v>
      </c>
      <c r="BO39" s="647" t="n">
        <v>0</v>
      </c>
      <c r="BP39" s="647" t="n">
        <v>0</v>
      </c>
      <c r="BQ39" s="647" t="n">
        <v>0</v>
      </c>
      <c r="BR39" s="647" t="n">
        <v>0</v>
      </c>
      <c r="BS39" s="647" t="n">
        <v>0</v>
      </c>
      <c r="BT39" s="647" t="n">
        <v>0</v>
      </c>
      <c r="BU39" s="647" t="n">
        <v>0</v>
      </c>
      <c r="BV39" s="647" t="n">
        <v>0</v>
      </c>
      <c r="BW39" s="647" t="n">
        <v>0</v>
      </c>
      <c r="BX39" s="647" t="n">
        <v>0</v>
      </c>
      <c r="BY39" s="647" t="n">
        <v>0</v>
      </c>
      <c r="BZ39" s="647" t="n">
        <v>0</v>
      </c>
      <c r="CA39" s="647" t="n">
        <v>0</v>
      </c>
      <c r="CB39" s="647" t="n">
        <v>0</v>
      </c>
      <c r="CC39" s="647" t="n">
        <v>0</v>
      </c>
      <c r="CD39" s="647" t="n">
        <v>0</v>
      </c>
      <c r="CE39" s="647" t="n">
        <v>0</v>
      </c>
      <c r="CF39" s="647" t="n">
        <v>0</v>
      </c>
      <c r="CG39" s="647" t="n">
        <v>0</v>
      </c>
      <c r="CH39" s="647" t="n">
        <v>0</v>
      </c>
    </row>
    <row r="40" ht="15" customFormat="1" customHeight="1" s="381">
      <c r="A40" s="651" t="inlineStr">
        <is>
          <t xml:space="preserve">  Steyn Fees</t>
        </is>
      </c>
      <c r="B40" s="383" t="n"/>
      <c r="C40" s="652">
        <f>Model!E198</f>
        <v>0</v>
      </c>
      <c r="D40" s="652">
        <f>Model!F198</f>
        <v>0</v>
      </c>
      <c r="E40" s="652">
        <f>Model!G198</f>
        <v>0</v>
      </c>
      <c r="F40" s="652">
        <f>Model!H198</f>
        <v>0</v>
      </c>
      <c r="G40" s="652">
        <f>Model!I198</f>
        <v>0</v>
      </c>
      <c r="H40" s="652">
        <f>Model!J198</f>
        <v>0</v>
      </c>
      <c r="I40" s="652">
        <f>Model!K198</f>
        <v>0</v>
      </c>
      <c r="J40" s="652">
        <f>Model!L198</f>
        <v>0</v>
      </c>
      <c r="K40" s="652">
        <f>Model!M198</f>
        <v>0</v>
      </c>
      <c r="L40" s="652">
        <f>Model!N198</f>
        <v>0</v>
      </c>
      <c r="M40" s="652">
        <f>Model!O198</f>
        <v>0</v>
      </c>
      <c r="N40" s="652">
        <f>Model!P198</f>
        <v>0</v>
      </c>
      <c r="O40" s="652">
        <f>Model!Q198</f>
        <v>0</v>
      </c>
      <c r="P40" s="652">
        <f>Model!R198</f>
        <v>0</v>
      </c>
      <c r="Q40" s="652">
        <f>Model!S198</f>
        <v>0</v>
      </c>
      <c r="R40" s="652">
        <f>Model!T198</f>
        <v>0</v>
      </c>
      <c r="S40" s="652">
        <f>Model!U198</f>
        <v>0</v>
      </c>
      <c r="T40" s="652">
        <f>Model!V198</f>
        <v>0</v>
      </c>
      <c r="U40" s="652">
        <f>Model!W198</f>
        <v>0</v>
      </c>
      <c r="V40" s="652">
        <f>Model!X198</f>
        <v>0</v>
      </c>
      <c r="W40" s="652">
        <f>Model!Y198</f>
        <v>0</v>
      </c>
      <c r="X40" s="652">
        <f>Model!Z198</f>
        <v>0</v>
      </c>
      <c r="Y40" s="652">
        <f>Model!AA198</f>
        <v>0</v>
      </c>
      <c r="Z40" s="652">
        <f>Model!AB198</f>
        <v>0</v>
      </c>
      <c r="AA40" s="652">
        <f>Model!AC198</f>
        <v>0</v>
      </c>
      <c r="AB40" s="652">
        <f>Model!AD198</f>
        <v>0</v>
      </c>
      <c r="AC40" s="652">
        <f>Model!AE198</f>
        <v>0</v>
      </c>
      <c r="AD40" s="652">
        <f>Model!AF198</f>
        <v>0</v>
      </c>
      <c r="AE40" s="652">
        <f>Model!AG198</f>
        <v>0</v>
      </c>
      <c r="AF40" s="652">
        <f>Model!AH198</f>
        <v>0</v>
      </c>
      <c r="AG40" s="652">
        <f>Model!AI198</f>
        <v>0</v>
      </c>
      <c r="AH40" s="652">
        <f>Model!AJ198</f>
        <v>0</v>
      </c>
      <c r="AI40" s="652">
        <f>Model!AK198</f>
        <v>0</v>
      </c>
      <c r="AJ40" s="652">
        <f>Model!AL198</f>
        <v>0</v>
      </c>
      <c r="AK40" s="652">
        <f>Model!AM198</f>
        <v>0</v>
      </c>
      <c r="AL40" s="652">
        <f>Model!AN198</f>
        <v>0</v>
      </c>
      <c r="AM40" s="652">
        <f>Model!AO198</f>
        <v>0</v>
      </c>
      <c r="AN40" s="652">
        <f>Model!AP198</f>
        <v>0</v>
      </c>
      <c r="AO40" s="652">
        <f>Model!AQ198</f>
        <v>0</v>
      </c>
      <c r="AP40" s="652">
        <f>Model!AR198</f>
        <v>0</v>
      </c>
      <c r="AQ40" s="652">
        <f>Model!AS198</f>
        <v>0</v>
      </c>
      <c r="AR40" s="652">
        <f>Model!AT198</f>
        <v>0</v>
      </c>
      <c r="AS40" s="652">
        <f>Model!AU198</f>
        <v>0</v>
      </c>
      <c r="AT40" s="652">
        <f>Model!AV198</f>
        <v>0</v>
      </c>
      <c r="AU40" s="652">
        <f>Model!AW198</f>
        <v>0</v>
      </c>
      <c r="AV40" s="652">
        <f>Model!AX198</f>
        <v>0</v>
      </c>
      <c r="AW40" s="652">
        <f>Model!AY198</f>
        <v>0</v>
      </c>
      <c r="AX40" s="652">
        <f>Model!AZ198</f>
        <v>0</v>
      </c>
      <c r="AY40" s="652">
        <f>Model!BA198</f>
        <v>0</v>
      </c>
      <c r="AZ40" s="652">
        <f>Model!BB198</f>
        <v>0</v>
      </c>
      <c r="BA40" s="652">
        <f>Model!BC198</f>
        <v>0</v>
      </c>
      <c r="BB40" s="652">
        <f>Model!BD198</f>
        <v>0</v>
      </c>
      <c r="BC40" s="652">
        <f>Model!BE198</f>
        <v>0</v>
      </c>
      <c r="BD40" s="652">
        <f>Model!BF198</f>
        <v>0</v>
      </c>
      <c r="BE40" s="652">
        <f>Model!BG198</f>
        <v>0</v>
      </c>
      <c r="BF40" s="652">
        <f>Model!BH198</f>
        <v>0</v>
      </c>
      <c r="BG40" s="652">
        <f>Model!BI198</f>
        <v>0</v>
      </c>
      <c r="BH40" s="652">
        <f>Model!BJ198</f>
        <v>0</v>
      </c>
      <c r="BI40" s="652">
        <f>Model!BK198</f>
        <v>0</v>
      </c>
      <c r="BJ40" s="652">
        <f>Model!BL198</f>
        <v>0</v>
      </c>
      <c r="BK40" s="652">
        <f>Model!BM198</f>
        <v>0</v>
      </c>
      <c r="BL40" s="652">
        <f>Model!BN198</f>
        <v>0</v>
      </c>
      <c r="BM40" s="652">
        <f>Model!BO198</f>
        <v>0</v>
      </c>
      <c r="BN40" s="652">
        <f>Model!BP198</f>
        <v>0</v>
      </c>
      <c r="BO40" s="652">
        <f>Model!BQ198</f>
        <v>0</v>
      </c>
      <c r="BP40" s="652">
        <f>Model!BR198</f>
        <v>0</v>
      </c>
      <c r="BQ40" s="652">
        <f>Model!BS198</f>
        <v>0</v>
      </c>
      <c r="BR40" s="652">
        <f>Model!BT198</f>
        <v>0</v>
      </c>
      <c r="BS40" s="652">
        <f>Model!BU198</f>
        <v>0</v>
      </c>
      <c r="BT40" s="652">
        <f>Model!BV198</f>
        <v>0</v>
      </c>
      <c r="BU40" s="652">
        <f>Model!BW198</f>
        <v>0</v>
      </c>
      <c r="BV40" s="652">
        <f>Model!BX198</f>
        <v>0</v>
      </c>
      <c r="BW40" s="652">
        <f>Model!BY198</f>
        <v>0</v>
      </c>
      <c r="BX40" s="652">
        <f>Model!BZ198</f>
        <v>0</v>
      </c>
      <c r="BY40" s="652">
        <f>Model!CA198</f>
        <v>-73156</v>
      </c>
      <c r="BZ40" s="652">
        <f>Model!CB198</f>
        <v>0</v>
      </c>
      <c r="CA40" s="652">
        <f>Model!CC198</f>
        <v>0</v>
      </c>
      <c r="CB40" s="652">
        <f>Model!CD198</f>
        <v>-73155</v>
      </c>
      <c r="CC40" s="652">
        <f>Model!CE198</f>
        <v>0</v>
      </c>
      <c r="CD40" s="652">
        <f>Model!CF198</f>
        <v>0</v>
      </c>
      <c r="CE40" s="652">
        <f>Model!CG198</f>
        <v>-73155</v>
      </c>
      <c r="CF40" s="652">
        <f>Model!CH198</f>
        <v>0</v>
      </c>
      <c r="CG40" s="652">
        <f>Model!CI198</f>
        <v>0</v>
      </c>
      <c r="CH40" s="652">
        <f>Model!CJ198</f>
        <v>-73155</v>
      </c>
    </row>
    <row r="41" ht="15" customFormat="1" customHeight="1" s="381">
      <c r="A41" s="648" t="inlineStr">
        <is>
          <t xml:space="preserve">  Net to Six Peak</t>
        </is>
      </c>
      <c r="B41" s="648" t="n"/>
      <c r="C41" s="649">
        <f>C39+C40</f>
        <v>0</v>
      </c>
      <c r="D41" s="649">
        <f>D39+D40</f>
        <v>0</v>
      </c>
      <c r="E41" s="649">
        <f>E39+E40</f>
        <v>0</v>
      </c>
      <c r="F41" s="649">
        <f>F39+F40</f>
        <v>0</v>
      </c>
      <c r="G41" s="649">
        <f>G39+G40</f>
        <v>0</v>
      </c>
      <c r="H41" s="649">
        <f>H39+H40</f>
        <v>0</v>
      </c>
      <c r="I41" s="649">
        <f>I39+I40</f>
        <v>0</v>
      </c>
      <c r="J41" s="649">
        <f>J39+J40</f>
        <v>0</v>
      </c>
      <c r="K41" s="649">
        <f>K39+K40</f>
        <v>0</v>
      </c>
      <c r="L41" s="649">
        <f>L39+L40</f>
        <v>0</v>
      </c>
      <c r="M41" s="649">
        <f>M39+M40</f>
        <v>0</v>
      </c>
      <c r="N41" s="649">
        <f>N39+N40</f>
        <v>0</v>
      </c>
      <c r="O41" s="649">
        <f>O39+O40</f>
        <v>0</v>
      </c>
      <c r="P41" s="649">
        <f>P39+P40</f>
        <v>0</v>
      </c>
      <c r="Q41" s="649">
        <f>Q39+Q40</f>
        <v>0</v>
      </c>
      <c r="R41" s="649">
        <f>R39+R40</f>
        <v>0</v>
      </c>
      <c r="S41" s="649">
        <f>S39+S40</f>
        <v>0</v>
      </c>
      <c r="T41" s="649">
        <f>T39+T40</f>
        <v>0</v>
      </c>
      <c r="U41" s="649">
        <f>U39+U40</f>
        <v>0</v>
      </c>
      <c r="V41" s="649">
        <f>V39+V40</f>
        <v>0</v>
      </c>
      <c r="W41" s="649">
        <f>W39+W40</f>
        <v>0</v>
      </c>
      <c r="X41" s="649">
        <f>X39+X40</f>
        <v>0</v>
      </c>
      <c r="Y41" s="649">
        <f>Y39+Y40</f>
        <v>0</v>
      </c>
      <c r="Z41" s="649">
        <f>Z39+Z40</f>
        <v>0</v>
      </c>
      <c r="AA41" s="649">
        <f>AA39+AA40</f>
        <v>0</v>
      </c>
      <c r="AB41" s="649">
        <f>AB39+AB40</f>
        <v>0</v>
      </c>
      <c r="AC41" s="649">
        <f>AC39+AC40</f>
        <v>0</v>
      </c>
      <c r="AD41" s="649">
        <f>AD39+AD40</f>
        <v>0</v>
      </c>
      <c r="AE41" s="649">
        <f>AE39+AE40</f>
        <v>0</v>
      </c>
      <c r="AF41" s="649">
        <f>AF39+AF40</f>
        <v>0</v>
      </c>
      <c r="AG41" s="649">
        <f>AG39+AG40</f>
        <v>0</v>
      </c>
      <c r="AH41" s="649">
        <f>AH39+AH40</f>
        <v>0</v>
      </c>
      <c r="AI41" s="649">
        <f>AI39+AI40</f>
        <v>0</v>
      </c>
      <c r="AJ41" s="649">
        <f>AJ39+AJ40</f>
        <v>0</v>
      </c>
      <c r="AK41" s="649">
        <f>AK39+AK40</f>
        <v>0</v>
      </c>
      <c r="AL41" s="649">
        <f>AL39+AL40</f>
        <v>0</v>
      </c>
      <c r="AM41" s="649">
        <f>AM39+AM40</f>
        <v>0</v>
      </c>
      <c r="AN41" s="649">
        <f>AN39+AN40</f>
        <v>0</v>
      </c>
      <c r="AO41" s="649">
        <f>AO39+AO40</f>
        <v>0</v>
      </c>
      <c r="AP41" s="649">
        <f>AP39+AP40</f>
        <v>0</v>
      </c>
      <c r="AQ41" s="649">
        <f>AQ39+AQ40</f>
        <v>0</v>
      </c>
      <c r="AR41" s="649">
        <f>AR39+AR40</f>
        <v>0</v>
      </c>
      <c r="AS41" s="649">
        <f>AS39+AS40</f>
        <v>0</v>
      </c>
      <c r="AT41" s="649">
        <f>AT39+AT40</f>
        <v>0</v>
      </c>
      <c r="AU41" s="649">
        <f>AU39+AU40</f>
        <v>0</v>
      </c>
      <c r="AV41" s="649">
        <f>AV39+AV40</f>
        <v>0</v>
      </c>
      <c r="AW41" s="649">
        <f>AW39+AW40</f>
        <v>0</v>
      </c>
      <c r="AX41" s="649">
        <f>AX39+AX40</f>
        <v>0</v>
      </c>
      <c r="AY41" s="649">
        <f>AY39+AY40</f>
        <v>0</v>
      </c>
      <c r="AZ41" s="649">
        <f>AZ39+AZ40</f>
        <v>0</v>
      </c>
      <c r="BA41" s="649">
        <f>BA39+BA40</f>
        <v>0</v>
      </c>
      <c r="BB41" s="649">
        <f>BB39+BB40</f>
        <v>0</v>
      </c>
      <c r="BC41" s="649">
        <f>BC39+BC40</f>
        <v>0</v>
      </c>
      <c r="BD41" s="649">
        <f>BD39+BD40</f>
        <v>0</v>
      </c>
      <c r="BE41" s="649">
        <f>BE39+BE40</f>
        <v>0</v>
      </c>
      <c r="BF41" s="649">
        <f>BF39+BF40</f>
        <v>0</v>
      </c>
      <c r="BG41" s="649">
        <f>BG39+BG40</f>
        <v>0</v>
      </c>
      <c r="BH41" s="649">
        <f>BH39+BH40</f>
        <v>0</v>
      </c>
      <c r="BI41" s="649">
        <f>BI39+BI40</f>
        <v>0</v>
      </c>
      <c r="BJ41" s="649">
        <f>BJ39+BJ40</f>
        <v>0</v>
      </c>
      <c r="BK41" s="649">
        <f>BK39+BK40</f>
        <v>0</v>
      </c>
      <c r="BL41" s="649">
        <f>BL39+BL40</f>
        <v>0</v>
      </c>
      <c r="BM41" s="649">
        <f>BM39+BM40</f>
        <v>0</v>
      </c>
      <c r="BN41" s="649">
        <f>BN39+BN40</f>
        <v>0</v>
      </c>
      <c r="BO41" s="649">
        <f>BO39+BO40</f>
        <v>0</v>
      </c>
      <c r="BP41" s="649">
        <f>BP39+BP40</f>
        <v>0</v>
      </c>
      <c r="BQ41" s="649">
        <f>BQ39+BQ40</f>
        <v>0</v>
      </c>
      <c r="BR41" s="649">
        <f>BR39+BR40</f>
        <v>0</v>
      </c>
      <c r="BS41" s="649">
        <f>BS39+BS40</f>
        <v>0</v>
      </c>
      <c r="BT41" s="649">
        <f>BT39+BT40</f>
        <v>0</v>
      </c>
      <c r="BU41" s="649">
        <f>BU39+BU40</f>
        <v>0</v>
      </c>
      <c r="BV41" s="649">
        <f>BV39+BV40</f>
        <v>0</v>
      </c>
      <c r="BW41" s="649">
        <f>BW39+BW40</f>
        <v>0</v>
      </c>
      <c r="BX41" s="649">
        <f>BX39+BX40</f>
        <v>0</v>
      </c>
      <c r="BY41" s="649">
        <f>BY39+BY40</f>
        <v>-73156</v>
      </c>
      <c r="BZ41" s="649">
        <f>BZ39+BZ40</f>
        <v>0</v>
      </c>
      <c r="CA41" s="649">
        <f>CA39+CA40</f>
        <v>0</v>
      </c>
      <c r="CB41" s="649">
        <f>CB39+CB40</f>
        <v>-73155</v>
      </c>
      <c r="CC41" s="649">
        <f>CC39+CC40</f>
        <v>0</v>
      </c>
      <c r="CD41" s="649">
        <f>CD39+CD40</f>
        <v>0</v>
      </c>
      <c r="CE41" s="649">
        <f>CE39+CE40</f>
        <v>-73155</v>
      </c>
      <c r="CF41" s="649">
        <f>CF39+CF40</f>
        <v>0</v>
      </c>
      <c r="CG41" s="649">
        <f>CG39+CG40</f>
        <v>0</v>
      </c>
      <c r="CH41" s="649">
        <f>CH39+CH40</f>
        <v>-73155</v>
      </c>
    </row>
    <row r="42" ht="15" customFormat="1" customHeight="1" s="381">
      <c r="A42" s="382" t="inlineStr">
        <is>
          <t xml:space="preserve">  Cumulative Net</t>
        </is>
      </c>
      <c r="B42" s="383" t="n"/>
      <c r="C42" s="650">
        <f>C41</f>
        <v>0</v>
      </c>
      <c r="D42" s="650">
        <f>C42+D41</f>
        <v>0</v>
      </c>
      <c r="E42" s="650">
        <f>D42+E41</f>
        <v>0</v>
      </c>
      <c r="F42" s="650">
        <f>E42+F41</f>
        <v>0</v>
      </c>
      <c r="G42" s="650">
        <f>F42+G41</f>
        <v>0</v>
      </c>
      <c r="H42" s="650">
        <f>G42+H41</f>
        <v>0</v>
      </c>
      <c r="I42" s="650">
        <f>H42+I41</f>
        <v>0</v>
      </c>
      <c r="J42" s="650">
        <f>I42+J41</f>
        <v>0</v>
      </c>
      <c r="K42" s="650">
        <f>J42+K41</f>
        <v>0</v>
      </c>
      <c r="L42" s="650">
        <f>K42+L41</f>
        <v>0</v>
      </c>
      <c r="M42" s="650">
        <f>L42+M41</f>
        <v>0</v>
      </c>
      <c r="N42" s="650">
        <f>M42+N41</f>
        <v>0</v>
      </c>
      <c r="O42" s="650">
        <f>N42+O41</f>
        <v>0</v>
      </c>
      <c r="P42" s="650">
        <f>O42+P41</f>
        <v>0</v>
      </c>
      <c r="Q42" s="650">
        <f>P42+Q41</f>
        <v>0</v>
      </c>
      <c r="R42" s="650">
        <f>Q42+R41</f>
        <v>0</v>
      </c>
      <c r="S42" s="650">
        <f>R42+S41</f>
        <v>0</v>
      </c>
      <c r="T42" s="650">
        <f>S42+T41</f>
        <v>0</v>
      </c>
      <c r="U42" s="650">
        <f>T42+U41</f>
        <v>0</v>
      </c>
      <c r="V42" s="650">
        <f>U42+V41</f>
        <v>0</v>
      </c>
      <c r="W42" s="650">
        <f>V42+W41</f>
        <v>0</v>
      </c>
      <c r="X42" s="650">
        <f>W42+X41</f>
        <v>0</v>
      </c>
      <c r="Y42" s="650">
        <f>X42+Y41</f>
        <v>0</v>
      </c>
      <c r="Z42" s="650">
        <f>Y42+Z41</f>
        <v>0</v>
      </c>
      <c r="AA42" s="650">
        <f>Z42+AA41</f>
        <v>0</v>
      </c>
      <c r="AB42" s="650">
        <f>AA42+AB41</f>
        <v>0</v>
      </c>
      <c r="AC42" s="650">
        <f>AB42+AC41</f>
        <v>0</v>
      </c>
      <c r="AD42" s="650">
        <f>AC42+AD41</f>
        <v>0</v>
      </c>
      <c r="AE42" s="650">
        <f>AD42+AE41</f>
        <v>0</v>
      </c>
      <c r="AF42" s="650">
        <f>AE42+AF41</f>
        <v>0</v>
      </c>
      <c r="AG42" s="650">
        <f>AF42+AG41</f>
        <v>0</v>
      </c>
      <c r="AH42" s="650">
        <f>AG42+AH41</f>
        <v>0</v>
      </c>
      <c r="AI42" s="650">
        <f>AH42+AI41</f>
        <v>0</v>
      </c>
      <c r="AJ42" s="650">
        <f>AI42+AJ41</f>
        <v>0</v>
      </c>
      <c r="AK42" s="650">
        <f>AJ42+AK41</f>
        <v>0</v>
      </c>
      <c r="AL42" s="650">
        <f>AK42+AL41</f>
        <v>0</v>
      </c>
      <c r="AM42" s="650">
        <f>AL42+AM41</f>
        <v>0</v>
      </c>
      <c r="AN42" s="650">
        <f>AM42+AN41</f>
        <v>0</v>
      </c>
      <c r="AO42" s="650">
        <f>AN42+AO41</f>
        <v>0</v>
      </c>
      <c r="AP42" s="650">
        <f>AO42+AP41</f>
        <v>0</v>
      </c>
      <c r="AQ42" s="650">
        <f>AP42+AQ41</f>
        <v>0</v>
      </c>
      <c r="AR42" s="650">
        <f>AQ42+AR41</f>
        <v>0</v>
      </c>
      <c r="AS42" s="650">
        <f>AR42+AS41</f>
        <v>0</v>
      </c>
      <c r="AT42" s="650">
        <f>AS42+AT41</f>
        <v>0</v>
      </c>
      <c r="AU42" s="650">
        <f>AT42+AU41</f>
        <v>0</v>
      </c>
      <c r="AV42" s="650">
        <f>AU42+AV41</f>
        <v>0</v>
      </c>
      <c r="AW42" s="650">
        <f>AV42+AW41</f>
        <v>0</v>
      </c>
      <c r="AX42" s="650">
        <f>AW42+AX41</f>
        <v>0</v>
      </c>
      <c r="AY42" s="650">
        <f>AX42+AY41</f>
        <v>0</v>
      </c>
      <c r="AZ42" s="650">
        <f>AY42+AZ41</f>
        <v>0</v>
      </c>
      <c r="BA42" s="650">
        <f>AZ42+BA41</f>
        <v>0</v>
      </c>
      <c r="BB42" s="650">
        <f>BA42+BB41</f>
        <v>0</v>
      </c>
      <c r="BC42" s="650">
        <f>BB42+BC41</f>
        <v>0</v>
      </c>
      <c r="BD42" s="650">
        <f>BC42+BD41</f>
        <v>0</v>
      </c>
      <c r="BE42" s="650">
        <f>BD42+BE41</f>
        <v>0</v>
      </c>
      <c r="BF42" s="650">
        <f>BE42+BF41</f>
        <v>0</v>
      </c>
      <c r="BG42" s="650">
        <f>BF42+BG41</f>
        <v>0</v>
      </c>
      <c r="BH42" s="650">
        <f>BG42+BH41</f>
        <v>0</v>
      </c>
      <c r="BI42" s="650">
        <f>BH42+BI41</f>
        <v>0</v>
      </c>
      <c r="BJ42" s="650">
        <f>BI42+BJ41</f>
        <v>0</v>
      </c>
      <c r="BK42" s="650">
        <f>BJ42+BK41</f>
        <v>0</v>
      </c>
      <c r="BL42" s="650">
        <f>BK42+BL41</f>
        <v>0</v>
      </c>
      <c r="BM42" s="650">
        <f>BL42+BM41</f>
        <v>0</v>
      </c>
      <c r="BN42" s="650">
        <f>BM42+BN41</f>
        <v>0</v>
      </c>
      <c r="BO42" s="650">
        <f>BN42+BO41</f>
        <v>0</v>
      </c>
      <c r="BP42" s="650">
        <f>BO42+BP41</f>
        <v>0</v>
      </c>
      <c r="BQ42" s="650">
        <f>BP42+BQ41</f>
        <v>0</v>
      </c>
      <c r="BR42" s="650">
        <f>BQ42+BR41</f>
        <v>0</v>
      </c>
      <c r="BS42" s="650">
        <f>BR42+BS41</f>
        <v>0</v>
      </c>
      <c r="BT42" s="650">
        <f>BS42+BT41</f>
        <v>0</v>
      </c>
      <c r="BU42" s="650">
        <f>BT42+BU41</f>
        <v>0</v>
      </c>
      <c r="BV42" s="650">
        <f>BU42+BV41</f>
        <v>0</v>
      </c>
      <c r="BW42" s="650">
        <f>BV42+BW41</f>
        <v>0</v>
      </c>
      <c r="BX42" s="650">
        <f>BW42+BX41</f>
        <v>0</v>
      </c>
      <c r="BY42" s="650">
        <f>BX42+BY41</f>
        <v>-73156</v>
      </c>
      <c r="BZ42" s="650">
        <f>BY42+BZ41</f>
        <v>-73156</v>
      </c>
      <c r="CA42" s="650">
        <f>BZ42+CA41</f>
        <v>-73156</v>
      </c>
      <c r="CB42" s="650">
        <f>CA42+CB41</f>
        <v>-146311</v>
      </c>
      <c r="CC42" s="650">
        <f>CB42+CC41</f>
        <v>-146311</v>
      </c>
      <c r="CD42" s="650">
        <f>CC42+CD41</f>
        <v>-146311</v>
      </c>
      <c r="CE42" s="650">
        <f>CD42+CE41</f>
        <v>-219466</v>
      </c>
      <c r="CF42" s="650">
        <f>CE42+CF41</f>
        <v>-219466</v>
      </c>
      <c r="CG42" s="650">
        <f>CF42+CG41</f>
        <v>-219466</v>
      </c>
      <c r="CH42" s="650">
        <f>CG42+CH41</f>
        <v>-292621</v>
      </c>
    </row>
    <row r="43" ht="15" customFormat="1" customHeight="1" s="381">
      <c r="A43" s="383" t="n"/>
      <c r="B43" s="383" t="n"/>
      <c r="C43" s="383" t="n"/>
      <c r="D43" s="383" t="n"/>
      <c r="E43" s="383" t="n"/>
      <c r="F43" s="383" t="n"/>
      <c r="G43" s="383" t="n"/>
      <c r="H43" s="383" t="n"/>
      <c r="I43" s="383" t="n"/>
      <c r="J43" s="383" t="n"/>
      <c r="K43" s="383" t="n"/>
      <c r="L43" s="383" t="n"/>
      <c r="M43" s="383" t="n"/>
      <c r="N43" s="383" t="n"/>
      <c r="O43" s="383" t="n"/>
      <c r="P43" s="383" t="n"/>
      <c r="Q43" s="383" t="n"/>
      <c r="R43" s="383" t="n"/>
      <c r="S43" s="383" t="n"/>
      <c r="T43" s="383" t="n"/>
      <c r="U43" s="383" t="n"/>
      <c r="V43" s="383" t="n"/>
      <c r="W43" s="383" t="n"/>
      <c r="X43" s="383" t="n"/>
      <c r="Y43" s="383" t="n"/>
      <c r="Z43" s="383" t="n"/>
      <c r="AA43" s="383" t="n"/>
      <c r="AB43" s="383" t="n"/>
      <c r="AC43" s="383" t="n"/>
      <c r="AD43" s="383" t="n"/>
      <c r="AE43" s="383" t="n"/>
      <c r="AF43" s="383" t="n"/>
      <c r="AG43" s="383" t="n"/>
      <c r="AH43" s="383" t="n"/>
      <c r="AI43" s="383" t="n"/>
      <c r="AJ43" s="383" t="n"/>
      <c r="AK43" s="383" t="n"/>
      <c r="AL43" s="383" t="n"/>
      <c r="AM43" s="383" t="n"/>
      <c r="AN43" s="383" t="n"/>
      <c r="AO43" s="383" t="n"/>
      <c r="AP43" s="383" t="n"/>
      <c r="AQ43" s="383" t="n"/>
      <c r="AR43" s="383" t="n"/>
      <c r="AS43" s="383" t="n"/>
      <c r="AT43" s="383" t="n"/>
      <c r="AU43" s="383" t="n"/>
      <c r="AV43" s="383" t="n"/>
      <c r="AW43" s="383" t="n"/>
      <c r="AX43" s="383" t="n"/>
      <c r="AY43" s="383" t="n"/>
      <c r="AZ43" s="383" t="n"/>
      <c r="BA43" s="383" t="n"/>
      <c r="BB43" s="383" t="n"/>
      <c r="BC43" s="383" t="n"/>
      <c r="BD43" s="383" t="n"/>
      <c r="BE43" s="383" t="n"/>
      <c r="BF43" s="383" t="n"/>
      <c r="BG43" s="383" t="n"/>
      <c r="BH43" s="383" t="n"/>
      <c r="BI43" s="383" t="n"/>
      <c r="BJ43" s="383" t="n"/>
      <c r="BK43" s="383" t="n"/>
      <c r="BL43" s="383" t="n"/>
      <c r="BM43" s="383" t="n"/>
      <c r="BN43" s="383" t="n"/>
      <c r="BO43" s="383" t="n"/>
      <c r="BP43" s="383" t="n"/>
      <c r="BQ43" s="383" t="n"/>
      <c r="BR43" s="383" t="n"/>
      <c r="BS43" s="383" t="n"/>
      <c r="BT43" s="383" t="n"/>
      <c r="BU43" s="383" t="n"/>
      <c r="BV43" s="383" t="n"/>
      <c r="BW43" s="383" t="n"/>
      <c r="BX43" s="383" t="n"/>
      <c r="BY43" s="383" t="n"/>
      <c r="BZ43" s="383" t="n"/>
      <c r="CA43" s="383" t="n"/>
      <c r="CB43" s="383" t="n"/>
      <c r="CC43" s="383" t="n"/>
      <c r="CD43" s="383" t="n"/>
      <c r="CE43" s="383" t="n"/>
      <c r="CF43" s="383" t="n"/>
      <c r="CG43" s="383" t="n"/>
      <c r="CH43" s="383" t="n"/>
    </row>
    <row r="44" ht="27.75" customFormat="1" customHeight="1" s="381">
      <c r="A44" s="424" t="inlineStr">
        <is>
          <t>ALL GC + DEVELOPER DEALS</t>
        </is>
      </c>
      <c r="B44" s="424" t="n"/>
      <c r="C44" s="424" t="n"/>
      <c r="D44" s="424" t="n"/>
      <c r="E44" s="424" t="n"/>
      <c r="F44" s="424" t="n"/>
      <c r="G44" s="424" t="n"/>
      <c r="H44" s="424" t="n"/>
      <c r="I44" s="424" t="n"/>
      <c r="J44" s="424" t="n"/>
      <c r="K44" s="424" t="n"/>
      <c r="L44" s="424" t="n"/>
      <c r="M44" s="424" t="n"/>
      <c r="N44" s="424" t="n"/>
      <c r="O44" s="424" t="n"/>
      <c r="P44" s="424" t="n"/>
      <c r="Q44" s="424" t="n"/>
      <c r="R44" s="424" t="n"/>
      <c r="S44" s="424" t="n"/>
      <c r="T44" s="424" t="n"/>
      <c r="U44" s="424" t="n"/>
      <c r="V44" s="424" t="n"/>
      <c r="W44" s="424" t="n"/>
      <c r="X44" s="424" t="n"/>
      <c r="Y44" s="424" t="n"/>
      <c r="Z44" s="424" t="n"/>
      <c r="AA44" s="424" t="n"/>
      <c r="AB44" s="424" t="n"/>
      <c r="AC44" s="424" t="n"/>
      <c r="AD44" s="424" t="n"/>
      <c r="AE44" s="424" t="n"/>
      <c r="AF44" s="424" t="n"/>
      <c r="AG44" s="424" t="n"/>
      <c r="AH44" s="424" t="n"/>
      <c r="AI44" s="424" t="n"/>
      <c r="AJ44" s="424" t="n"/>
      <c r="AK44" s="424" t="n"/>
      <c r="AL44" s="424" t="n"/>
      <c r="AM44" s="424" t="n"/>
      <c r="AN44" s="424" t="n"/>
      <c r="AO44" s="424" t="n"/>
      <c r="AP44" s="424" t="n"/>
      <c r="AQ44" s="424" t="n"/>
      <c r="AR44" s="424" t="n"/>
      <c r="AS44" s="424" t="n"/>
      <c r="AT44" s="424" t="n"/>
      <c r="AU44" s="424" t="n"/>
      <c r="AV44" s="424" t="n"/>
      <c r="AW44" s="424" t="n"/>
      <c r="AX44" s="424" t="n"/>
      <c r="AY44" s="424" t="n"/>
      <c r="AZ44" s="424" t="n"/>
      <c r="BA44" s="424" t="n"/>
      <c r="BB44" s="424" t="n"/>
      <c r="BC44" s="424" t="n"/>
      <c r="BD44" s="424" t="n"/>
      <c r="BE44" s="424" t="n"/>
      <c r="BF44" s="424" t="n"/>
      <c r="BG44" s="424" t="n"/>
      <c r="BH44" s="424" t="n"/>
      <c r="BI44" s="424" t="n"/>
      <c r="BJ44" s="424" t="n"/>
      <c r="BK44" s="424" t="n"/>
      <c r="BL44" s="424" t="n"/>
      <c r="BM44" s="424" t="n"/>
      <c r="BN44" s="424" t="n"/>
      <c r="BO44" s="424" t="n"/>
      <c r="BP44" s="424" t="n"/>
      <c r="BQ44" s="424" t="n"/>
      <c r="BR44" s="424" t="n"/>
      <c r="BS44" s="424" t="n"/>
      <c r="BT44" s="424" t="n"/>
      <c r="BU44" s="424" t="n"/>
      <c r="BV44" s="424" t="n"/>
      <c r="BW44" s="424" t="n"/>
      <c r="BX44" s="424" t="n"/>
      <c r="BY44" s="424" t="n"/>
      <c r="BZ44" s="424" t="n"/>
      <c r="CA44" s="424" t="n"/>
      <c r="CB44" s="424" t="n"/>
      <c r="CC44" s="424" t="n"/>
      <c r="CD44" s="424" t="n"/>
      <c r="CE44" s="424" t="n"/>
      <c r="CF44" s="424" t="n"/>
      <c r="CG44" s="424" t="n"/>
      <c r="CH44" s="424" t="n"/>
    </row>
    <row r="45" ht="15" customFormat="1" customHeight="1" s="381">
      <c r="A45" s="648" t="inlineStr">
        <is>
          <t>Total Net to Six Peak</t>
        </is>
      </c>
      <c r="B45" s="648" t="n"/>
      <c r="C45" s="649">
        <f>C5+C10+C16+C22+C28+C35+C41</f>
        <v>33281.25</v>
      </c>
      <c r="D45" s="649">
        <f>D5+D10+D16+D22+D28+D35+D41</f>
        <v>33281.25</v>
      </c>
      <c r="E45" s="649">
        <f>E5+E10+E16+E22+E28+E35+E41</f>
        <v>33281.25</v>
      </c>
      <c r="F45" s="649">
        <f>F5+F10+F16+F22+F28+F35+F41</f>
        <v>33281.25</v>
      </c>
      <c r="G45" s="649">
        <f>G5+G10+G16+G22+G28+G35+G41</f>
        <v>33281.25</v>
      </c>
      <c r="H45" s="649">
        <f>H5+H10+H16+H22+H28+H35+H41</f>
        <v>33281.25</v>
      </c>
      <c r="I45" s="649">
        <f>I5+I10+I16+I22+I28+I35+I41</f>
        <v>33281.25</v>
      </c>
      <c r="J45" s="649">
        <f>J5+J10+J16+J22+J28+J35+J41</f>
        <v>23906.25</v>
      </c>
      <c r="K45" s="649">
        <f>K5+K10+K16+K22+K28+K35+K41</f>
        <v>23906.25</v>
      </c>
      <c r="L45" s="649">
        <f>L5+L10+L16+L22+L28+L35+L41</f>
        <v>192092.46</v>
      </c>
      <c r="M45" s="649">
        <f>M5+M10+M16+M22+M28+M35+M41</f>
        <v>47590.46</v>
      </c>
      <c r="N45" s="649">
        <f>N5+N10+N16+N22+N28+N35+N41</f>
        <v>47590.46</v>
      </c>
      <c r="O45" s="649">
        <f>O5+O10+O16+O22+O28+O35+O41</f>
        <v>47590.46</v>
      </c>
      <c r="P45" s="649">
        <f>P5+P10+P16+P22+P28+P35+P41</f>
        <v>47590.46</v>
      </c>
      <c r="Q45" s="649">
        <f>Q5+Q10+Q16+Q22+Q28+Q35+Q41</f>
        <v>47590.46</v>
      </c>
      <c r="R45" s="649">
        <f>R5+R10+R16+R22+R28+R35+R41</f>
        <v>23684.21</v>
      </c>
      <c r="S45" s="649">
        <f>S5+S10+S16+S22+S28+S35+S41</f>
        <v>23684.21</v>
      </c>
      <c r="T45" s="649">
        <f>T5+T10+T16+T22+T28+T35+T41</f>
        <v>23684.21</v>
      </c>
      <c r="U45" s="649">
        <f>U5+U10+U16+U22+U28+U35+U41</f>
        <v>23684.21</v>
      </c>
      <c r="V45" s="649">
        <f>V5+V10+V16+V22+V28+V35+V41</f>
        <v>23684.21</v>
      </c>
      <c r="W45" s="649">
        <f>W5+W10+W16+W22+W28+W35+W41</f>
        <v>81059.21</v>
      </c>
      <c r="X45" s="649">
        <f>X5+X10+X16+X22+X28+X35+X41</f>
        <v>23684.21</v>
      </c>
      <c r="Y45" s="649">
        <f>Y5+Y10+Y16+Y22+Y28+Y35+Y41</f>
        <v>23684.21</v>
      </c>
      <c r="Z45" s="649">
        <f>Z5+Z10+Z16+Z22+Z28+Z35+Z41</f>
        <v>81059.21</v>
      </c>
      <c r="AA45" s="649">
        <f>AA5+AA10+AA16+AA22+AA28+AA35+AA41</f>
        <v>23684.21</v>
      </c>
      <c r="AB45" s="649">
        <f>AB5+AB10+AB16+AB22+AB28+AB35+AB41</f>
        <v>23684.21</v>
      </c>
      <c r="AC45" s="649">
        <f>AC5+AC10+AC16+AC22+AC28+AC35+AC41</f>
        <v>81059.21</v>
      </c>
      <c r="AD45" s="649">
        <f>AD5+AD10+AD16+AD22+AD28+AD35+AD41</f>
        <v>23684.21</v>
      </c>
      <c r="AE45" s="649">
        <f>AE5+AE10+AE16+AE22+AE28+AE35+AE41</f>
        <v>0</v>
      </c>
      <c r="AF45" s="649">
        <f>AF5+AF10+AF16+AF22+AF28+AF35+AF41</f>
        <v>0</v>
      </c>
      <c r="AG45" s="649">
        <f>AG5+AG10+AG16+AG22+AG28+AG35+AG41</f>
        <v>0</v>
      </c>
      <c r="AH45" s="649">
        <f>AH5+AH10+AH16+AH22+AH28+AH35+AH41</f>
        <v>0</v>
      </c>
      <c r="AI45" s="649">
        <f>AI5+AI10+AI16+AI22+AI28+AI35+AI41</f>
        <v>0</v>
      </c>
      <c r="AJ45" s="649">
        <f>AJ5+AJ10+AJ16+AJ22+AJ28+AJ35+AJ41</f>
        <v>0</v>
      </c>
      <c r="AK45" s="649">
        <f>AK5+AK10+AK16+AK22+AK28+AK35+AK41</f>
        <v>0</v>
      </c>
      <c r="AL45" s="649">
        <f>AL5+AL10+AL16+AL22+AL28+AL35+AL41</f>
        <v>0</v>
      </c>
      <c r="AM45" s="649">
        <f>AM5+AM10+AM16+AM22+AM28+AM35+AM41</f>
        <v>0</v>
      </c>
      <c r="AN45" s="649">
        <f>AN5+AN10+AN16+AN22+AN28+AN35+AN41</f>
        <v>0</v>
      </c>
      <c r="AO45" s="649">
        <f>AO5+AO10+AO16+AO22+AO28+AO35+AO41</f>
        <v>0</v>
      </c>
      <c r="AP45" s="649">
        <f>AP5+AP10+AP16+AP22+AP28+AP35+AP41</f>
        <v>0</v>
      </c>
      <c r="AQ45" s="649">
        <f>AQ5+AQ10+AQ16+AQ22+AQ28+AQ35+AQ41</f>
        <v>0</v>
      </c>
      <c r="AR45" s="649">
        <f>AR5+AR10+AR16+AR22+AR28+AR35+AR41</f>
        <v>0</v>
      </c>
      <c r="AS45" s="649">
        <f>AS5+AS10+AS16+AS22+AS28+AS35+AS41</f>
        <v>0</v>
      </c>
      <c r="AT45" s="649">
        <f>AT5+AT10+AT16+AT22+AT28+AT35+AT41</f>
        <v>0</v>
      </c>
      <c r="AU45" s="649">
        <f>AU5+AU10+AU16+AU22+AU28+AU35+AU41</f>
        <v>0</v>
      </c>
      <c r="AV45" s="649">
        <f>AV5+AV10+AV16+AV22+AV28+AV35+AV41</f>
        <v>0</v>
      </c>
      <c r="AW45" s="649">
        <f>AW5+AW10+AW16+AW22+AW28+AW35+AW41</f>
        <v>0</v>
      </c>
      <c r="AX45" s="649">
        <f>AX5+AX10+AX16+AX22+AX28+AX35+AX41</f>
        <v>0</v>
      </c>
      <c r="AY45" s="649">
        <f>AY5+AY10+AY16+AY22+AY28+AY35+AY41</f>
        <v>0</v>
      </c>
      <c r="AZ45" s="649">
        <f>AZ5+AZ10+AZ16+AZ22+AZ28+AZ35+AZ41</f>
        <v>0</v>
      </c>
      <c r="BA45" s="649">
        <f>BA5+BA10+BA16+BA22+BA28+BA35+BA41</f>
        <v>0</v>
      </c>
      <c r="BB45" s="649">
        <f>BB5+BB10+BB16+BB22+BB28+BB35+BB41</f>
        <v>0</v>
      </c>
      <c r="BC45" s="649">
        <f>BC5+BC10+BC16+BC22+BC28+BC35+BC41</f>
        <v>0</v>
      </c>
      <c r="BD45" s="649">
        <f>BD5+BD10+BD16+BD22+BD28+BD35+BD41</f>
        <v>0</v>
      </c>
      <c r="BE45" s="649">
        <f>BE5+BE10+BE16+BE22+BE28+BE35+BE41</f>
        <v>0</v>
      </c>
      <c r="BF45" s="649">
        <f>BF5+BF10+BF16+BF22+BF28+BF35+BF41</f>
        <v>0</v>
      </c>
      <c r="BG45" s="649">
        <f>BG5+BG10+BG16+BG22+BG28+BG35+BG41</f>
        <v>0</v>
      </c>
      <c r="BH45" s="649">
        <f>BH5+BH10+BH16+BH22+BH28+BH35+BH41</f>
        <v>0</v>
      </c>
      <c r="BI45" s="649">
        <f>BI5+BI10+BI16+BI22+BI28+BI35+BI41</f>
        <v>0</v>
      </c>
      <c r="BJ45" s="649">
        <f>BJ5+BJ10+BJ16+BJ22+BJ28+BJ35+BJ41</f>
        <v>0</v>
      </c>
      <c r="BK45" s="649">
        <f>BK5+BK10+BK16+BK22+BK28+BK35+BK41</f>
        <v>0</v>
      </c>
      <c r="BL45" s="649">
        <f>BL5+BL10+BL16+BL22+BL28+BL35+BL41</f>
        <v>0</v>
      </c>
      <c r="BM45" s="649">
        <f>BM5+BM10+BM16+BM22+BM28+BM35+BM41</f>
        <v>0</v>
      </c>
      <c r="BN45" s="649">
        <f>BN5+BN10+BN16+BN22+BN28+BN35+BN41</f>
        <v>0</v>
      </c>
      <c r="BO45" s="649">
        <f>BO5+BO10+BO16+BO22+BO28+BO35+BO41</f>
        <v>0</v>
      </c>
      <c r="BP45" s="649">
        <f>BP5+BP10+BP16+BP22+BP28+BP35+BP41</f>
        <v>53250.35</v>
      </c>
      <c r="BQ45" s="649">
        <f>BQ5+BQ10+BQ16+BQ22+BQ28+BQ35+BQ41</f>
        <v>0</v>
      </c>
      <c r="BR45" s="649">
        <f>BR5+BR10+BR16+BR22+BR28+BR35+BR41</f>
        <v>0</v>
      </c>
      <c r="BS45" s="649">
        <f>BS5+BS10+BS16+BS22+BS28+BS35+BS41</f>
        <v>67762</v>
      </c>
      <c r="BT45" s="649">
        <f>BT5+BT10+BT16+BT22+BT28+BT35+BT41</f>
        <v>0</v>
      </c>
      <c r="BU45" s="649">
        <f>BU5+BU10+BU16+BU22+BU28+BU35+BU41</f>
        <v>0</v>
      </c>
      <c r="BV45" s="649">
        <f>BV5+BV10+BV16+BV22+BV28+BV35+BV41</f>
        <v>67762</v>
      </c>
      <c r="BW45" s="649">
        <f>BW5+BW10+BW16+BW22+BW28+BW35+BW41</f>
        <v>0</v>
      </c>
      <c r="BX45" s="649">
        <f>BX5+BX10+BX16+BX22+BX28+BX35+BX41</f>
        <v>0</v>
      </c>
      <c r="BY45" s="649">
        <f>BY5+BY10+BY16+BY22+BY28+BY35+BY41</f>
        <v>-5394</v>
      </c>
      <c r="BZ45" s="649">
        <f>BZ5+BZ10+BZ16+BZ22+BZ28+BZ35+BZ41</f>
        <v>0</v>
      </c>
      <c r="CA45" s="649">
        <f>CA5+CA10+CA16+CA22+CA28+CA35+CA41</f>
        <v>0</v>
      </c>
      <c r="CB45" s="649">
        <f>CB5+CB10+CB16+CB22+CB28+CB35+CB41</f>
        <v>3344</v>
      </c>
      <c r="CC45" s="649">
        <f>CC5+CC10+CC16+CC22+CC28+CC35+CC41</f>
        <v>0</v>
      </c>
      <c r="CD45" s="649">
        <f>CD5+CD10+CD16+CD22+CD28+CD35+CD41</f>
        <v>0</v>
      </c>
      <c r="CE45" s="649">
        <f>CE5+CE10+CE16+CE22+CE28+CE35+CE41</f>
        <v>3344</v>
      </c>
      <c r="CF45" s="649">
        <f>CF5+CF10+CF16+CF22+CF28+CF35+CF41</f>
        <v>0</v>
      </c>
      <c r="CG45" s="649">
        <f>CG5+CG10+CG16+CG22+CG28+CG35+CG41</f>
        <v>0</v>
      </c>
      <c r="CH45" s="649">
        <f>CH5+CH10+CH16+CH22+CH28+CH35+CH41</f>
        <v>9952.02660647922</v>
      </c>
    </row>
    <row r="46" ht="15" customFormat="1" customHeight="1" s="381">
      <c r="A46" s="382" t="inlineStr">
        <is>
          <t>Total Cumulative Net</t>
        </is>
      </c>
      <c r="B46" s="383" t="n"/>
      <c r="C46" s="650">
        <f>C45</f>
        <v>33281.25</v>
      </c>
      <c r="D46" s="650">
        <f>C46+D45</f>
        <v>66562.5</v>
      </c>
      <c r="E46" s="650">
        <f>D46+E45</f>
        <v>99843.75</v>
      </c>
      <c r="F46" s="650">
        <f>E46+F45</f>
        <v>133125</v>
      </c>
      <c r="G46" s="650">
        <f>F46+G45</f>
        <v>166406.25</v>
      </c>
      <c r="H46" s="650">
        <f>G46+H45</f>
        <v>199687.5</v>
      </c>
      <c r="I46" s="650">
        <f>H46+I45</f>
        <v>232968.75</v>
      </c>
      <c r="J46" s="650">
        <f>I46+J45</f>
        <v>256875</v>
      </c>
      <c r="K46" s="650">
        <f>J46+K45</f>
        <v>280781.25</v>
      </c>
      <c r="L46" s="650">
        <f>K46+L45</f>
        <v>472873.71</v>
      </c>
      <c r="M46" s="650">
        <f>L46+M45</f>
        <v>520464.17</v>
      </c>
      <c r="N46" s="650">
        <f>M46+N45</f>
        <v>568054.63</v>
      </c>
      <c r="O46" s="650">
        <f>N46+O45</f>
        <v>615645.09</v>
      </c>
      <c r="P46" s="650">
        <f>O46+P45</f>
        <v>663235.55</v>
      </c>
      <c r="Q46" s="650">
        <f>P46+Q45</f>
        <v>710826.01</v>
      </c>
      <c r="R46" s="650">
        <f>Q46+R45</f>
        <v>734510.22</v>
      </c>
      <c r="S46" s="650">
        <f>R46+S45</f>
        <v>758194.43</v>
      </c>
      <c r="T46" s="650">
        <f>S46+T45</f>
        <v>781878.64</v>
      </c>
      <c r="U46" s="650">
        <f>T46+U45</f>
        <v>805562.85</v>
      </c>
      <c r="V46" s="650">
        <f>U46+V45</f>
        <v>829247.06</v>
      </c>
      <c r="W46" s="650">
        <f>V46+W45</f>
        <v>910306.27</v>
      </c>
      <c r="X46" s="650">
        <f>W46+X45</f>
        <v>933990.48</v>
      </c>
      <c r="Y46" s="650">
        <f>X46+Y45</f>
        <v>957674.69</v>
      </c>
      <c r="Z46" s="650">
        <f>Y46+Z45</f>
        <v>1038733.9</v>
      </c>
      <c r="AA46" s="650">
        <f>Z46+AA45</f>
        <v>1062418.11</v>
      </c>
      <c r="AB46" s="650">
        <f>AA46+AB45</f>
        <v>1086102.32</v>
      </c>
      <c r="AC46" s="650">
        <f>AB46+AC45</f>
        <v>1167161.53</v>
      </c>
      <c r="AD46" s="650">
        <f>AC46+AD45</f>
        <v>1190845.74</v>
      </c>
      <c r="AE46" s="650">
        <f>AD46+AE45</f>
        <v>1190845.74</v>
      </c>
      <c r="AF46" s="650">
        <f>AE46+AF45</f>
        <v>1190845.74</v>
      </c>
      <c r="AG46" s="650">
        <f>AF46+AG45</f>
        <v>1190845.74</v>
      </c>
      <c r="AH46" s="650">
        <f>AG46+AH45</f>
        <v>1190845.74</v>
      </c>
      <c r="AI46" s="650">
        <f>AH46+AI45</f>
        <v>1190845.74</v>
      </c>
      <c r="AJ46" s="650">
        <f>AI46+AJ45</f>
        <v>1190845.74</v>
      </c>
      <c r="AK46" s="650">
        <f>AJ46+AK45</f>
        <v>1190845.74</v>
      </c>
      <c r="AL46" s="650">
        <f>AK46+AL45</f>
        <v>1190845.74</v>
      </c>
      <c r="AM46" s="650">
        <f>AL46+AM45</f>
        <v>1190845.74</v>
      </c>
      <c r="AN46" s="650">
        <f>AM46+AN45</f>
        <v>1190845.74</v>
      </c>
      <c r="AO46" s="650">
        <f>AN46+AO45</f>
        <v>1190845.74</v>
      </c>
      <c r="AP46" s="650">
        <f>AO46+AP45</f>
        <v>1190845.74</v>
      </c>
      <c r="AQ46" s="650">
        <f>AP46+AQ45</f>
        <v>1190845.74</v>
      </c>
      <c r="AR46" s="650">
        <f>AQ46+AR45</f>
        <v>1190845.74</v>
      </c>
      <c r="AS46" s="650">
        <f>AR46+AS45</f>
        <v>1190845.74</v>
      </c>
      <c r="AT46" s="650">
        <f>AS46+AT45</f>
        <v>1190845.74</v>
      </c>
      <c r="AU46" s="650">
        <f>AT46+AU45</f>
        <v>1190845.74</v>
      </c>
      <c r="AV46" s="650">
        <f>AU46+AV45</f>
        <v>1190845.74</v>
      </c>
      <c r="AW46" s="650">
        <f>AV46+AW45</f>
        <v>1190845.74</v>
      </c>
      <c r="AX46" s="650">
        <f>AW46+AX45</f>
        <v>1190845.74</v>
      </c>
      <c r="AY46" s="650">
        <f>AX46+AY45</f>
        <v>1190845.74</v>
      </c>
      <c r="AZ46" s="650">
        <f>AY46+AZ45</f>
        <v>1190845.74</v>
      </c>
      <c r="BA46" s="650">
        <f>AZ46+BA45</f>
        <v>1190845.74</v>
      </c>
      <c r="BB46" s="650">
        <f>BA46+BB45</f>
        <v>1190845.74</v>
      </c>
      <c r="BC46" s="650">
        <f>BB46+BC45</f>
        <v>1190845.74</v>
      </c>
      <c r="BD46" s="650">
        <f>BC46+BD45</f>
        <v>1190845.74</v>
      </c>
      <c r="BE46" s="650">
        <f>BD46+BE45</f>
        <v>1190845.74</v>
      </c>
      <c r="BF46" s="650">
        <f>BE46+BF45</f>
        <v>1190845.74</v>
      </c>
      <c r="BG46" s="650">
        <f>BF46+BG45</f>
        <v>1190845.74</v>
      </c>
      <c r="BH46" s="650">
        <f>BG46+BH45</f>
        <v>1190845.74</v>
      </c>
      <c r="BI46" s="650">
        <f>BH46+BI45</f>
        <v>1190845.74</v>
      </c>
      <c r="BJ46" s="650">
        <f>BI46+BJ45</f>
        <v>1190845.74</v>
      </c>
      <c r="BK46" s="650">
        <f>BJ46+BK45</f>
        <v>1190845.74</v>
      </c>
      <c r="BL46" s="650">
        <f>BK46+BL45</f>
        <v>1190845.74</v>
      </c>
      <c r="BM46" s="650">
        <f>BL46+BM45</f>
        <v>1190845.74</v>
      </c>
      <c r="BN46" s="650">
        <f>BM46+BN45</f>
        <v>1190845.74</v>
      </c>
      <c r="BO46" s="650">
        <f>BN46+BO45</f>
        <v>1190845.74</v>
      </c>
      <c r="BP46" s="650">
        <f>BO46+BP45</f>
        <v>1244096.09</v>
      </c>
      <c r="BQ46" s="650">
        <f>BP46+BQ45</f>
        <v>1244096.09</v>
      </c>
      <c r="BR46" s="650">
        <f>BQ46+BR45</f>
        <v>1244096.09</v>
      </c>
      <c r="BS46" s="650">
        <f>BR46+BS45</f>
        <v>1311858.09</v>
      </c>
      <c r="BT46" s="650">
        <f>BS46+BT45</f>
        <v>1311858.09</v>
      </c>
      <c r="BU46" s="650">
        <f>BT46+BU45</f>
        <v>1311858.09</v>
      </c>
      <c r="BV46" s="650">
        <f>BU46+BV45</f>
        <v>1379620.09</v>
      </c>
      <c r="BW46" s="650">
        <f>BV46+BW45</f>
        <v>1379620.09</v>
      </c>
      <c r="BX46" s="650">
        <f>BW46+BX45</f>
        <v>1379620.09</v>
      </c>
      <c r="BY46" s="650">
        <f>BX46+BY45</f>
        <v>1374226.09</v>
      </c>
      <c r="BZ46" s="650">
        <f>BY46+BZ45</f>
        <v>1374226.09</v>
      </c>
      <c r="CA46" s="650">
        <f>BZ46+CA45</f>
        <v>1374226.09</v>
      </c>
      <c r="CB46" s="650">
        <f>CA46+CB45</f>
        <v>1377570.09</v>
      </c>
      <c r="CC46" s="650">
        <f>CB46+CC45</f>
        <v>1377570.09</v>
      </c>
      <c r="CD46" s="650">
        <f>CC46+CD45</f>
        <v>1377570.09</v>
      </c>
      <c r="CE46" s="650">
        <f>CD46+CE45</f>
        <v>1380914.09</v>
      </c>
      <c r="CF46" s="650">
        <f>CE46+CF45</f>
        <v>1380914.09</v>
      </c>
      <c r="CG46" s="650">
        <f>CF46+CG45</f>
        <v>1380914.09</v>
      </c>
      <c r="CH46" s="650">
        <f>CG46+CH45</f>
        <v>1390866.11660648</v>
      </c>
    </row>
    <row r="47" ht="15" customFormat="1" customHeight="1" s="381">
      <c r="A47" s="383" t="n"/>
      <c r="B47" s="383" t="n"/>
      <c r="C47" s="383" t="n"/>
      <c r="D47" s="383" t="n"/>
      <c r="E47" s="383" t="n"/>
      <c r="F47" s="383" t="n"/>
      <c r="G47" s="383" t="n"/>
      <c r="H47" s="383" t="n"/>
      <c r="I47" s="383" t="n"/>
      <c r="J47" s="383" t="n"/>
      <c r="K47" s="383" t="n"/>
      <c r="L47" s="383" t="n"/>
      <c r="M47" s="383" t="n"/>
      <c r="N47" s="383" t="n"/>
      <c r="O47" s="383" t="n"/>
      <c r="P47" s="383" t="n"/>
      <c r="Q47" s="383" t="n"/>
      <c r="R47" s="383" t="n"/>
      <c r="S47" s="383" t="n"/>
      <c r="T47" s="383" t="n"/>
      <c r="U47" s="383" t="n"/>
      <c r="V47" s="383" t="n"/>
      <c r="W47" s="383" t="n"/>
      <c r="X47" s="383" t="n"/>
      <c r="Y47" s="383" t="n"/>
      <c r="Z47" s="383" t="n"/>
      <c r="AA47" s="383" t="n"/>
      <c r="AB47" s="383" t="n"/>
      <c r="AC47" s="383" t="n"/>
      <c r="AD47" s="383" t="n"/>
      <c r="AE47" s="383" t="n"/>
      <c r="AF47" s="383" t="n"/>
      <c r="AG47" s="383" t="n"/>
      <c r="AH47" s="383" t="n"/>
      <c r="AI47" s="383" t="n"/>
      <c r="AJ47" s="383" t="n"/>
      <c r="AK47" s="383" t="n"/>
      <c r="AL47" s="383" t="n"/>
      <c r="AM47" s="383" t="n"/>
      <c r="AN47" s="383" t="n"/>
      <c r="AO47" s="383" t="n"/>
      <c r="AP47" s="383" t="n"/>
      <c r="AQ47" s="383" t="n"/>
      <c r="AR47" s="383" t="n"/>
      <c r="AS47" s="383" t="n"/>
      <c r="AT47" s="383" t="n"/>
      <c r="AU47" s="383" t="n"/>
      <c r="AV47" s="383" t="n"/>
      <c r="AW47" s="383" t="n"/>
      <c r="AX47" s="383" t="n"/>
      <c r="AY47" s="383" t="n"/>
      <c r="AZ47" s="383" t="n"/>
      <c r="BA47" s="383" t="n"/>
      <c r="BB47" s="383" t="n"/>
      <c r="BC47" s="383" t="n"/>
      <c r="BD47" s="383" t="n"/>
      <c r="BE47" s="383" t="n"/>
      <c r="BF47" s="383" t="n"/>
      <c r="BG47" s="383" t="n"/>
      <c r="BH47" s="383" t="n"/>
      <c r="BI47" s="383" t="n"/>
      <c r="BJ47" s="383" t="n"/>
      <c r="BK47" s="383" t="n"/>
      <c r="BL47" s="383" t="n"/>
      <c r="BM47" s="383" t="n"/>
      <c r="BN47" s="383" t="n"/>
      <c r="BO47" s="383" t="n"/>
      <c r="BP47" s="383" t="n"/>
      <c r="BQ47" s="383" t="n"/>
      <c r="BR47" s="383" t="n"/>
      <c r="BS47" s="383" t="n"/>
      <c r="BT47" s="383" t="n"/>
      <c r="BU47" s="383" t="n"/>
      <c r="BV47" s="383" t="n"/>
      <c r="BW47" s="383" t="n"/>
      <c r="BX47" s="383" t="n"/>
      <c r="BY47" s="383" t="n"/>
      <c r="BZ47" s="383" t="n"/>
      <c r="CA47" s="383" t="n"/>
      <c r="CB47" s="383" t="n"/>
      <c r="CC47" s="383" t="n"/>
      <c r="CD47" s="383" t="n"/>
      <c r="CE47" s="383" t="n"/>
      <c r="CF47" s="383" t="n"/>
      <c r="CG47" s="383" t="n"/>
      <c r="CH47" s="383" t="n"/>
    </row>
    <row r="48" ht="15" customFormat="1" customHeight="1" s="381">
      <c r="A48" s="382" t="inlineStr">
        <is>
          <t>First Month of Positive Net Income by Deal:</t>
        </is>
      </c>
      <c r="B48" s="383" t="n"/>
      <c r="C48" s="383" t="n"/>
      <c r="D48" s="383" t="n"/>
      <c r="E48" s="383" t="n"/>
      <c r="F48" s="383" t="n"/>
      <c r="G48" s="383" t="n"/>
      <c r="H48" s="383" t="n"/>
      <c r="I48" s="383" t="n"/>
      <c r="J48" s="383" t="n"/>
      <c r="K48" s="383" t="n"/>
      <c r="L48" s="383" t="n"/>
      <c r="M48" s="383" t="n"/>
      <c r="N48" s="383" t="n"/>
      <c r="O48" s="383" t="n"/>
      <c r="P48" s="383" t="n"/>
      <c r="Q48" s="383" t="n"/>
      <c r="R48" s="383" t="n"/>
      <c r="S48" s="383" t="n"/>
      <c r="T48" s="383" t="n"/>
      <c r="U48" s="383" t="n"/>
      <c r="V48" s="383" t="n"/>
      <c r="W48" s="383" t="n"/>
      <c r="X48" s="383" t="n"/>
      <c r="Y48" s="383" t="n"/>
      <c r="Z48" s="383" t="n"/>
      <c r="AA48" s="383" t="n"/>
      <c r="AB48" s="383" t="n"/>
      <c r="AC48" s="383" t="n"/>
      <c r="AD48" s="383" t="n"/>
      <c r="AE48" s="383" t="n"/>
      <c r="AF48" s="383" t="n"/>
      <c r="AG48" s="383" t="n"/>
      <c r="AH48" s="383" t="n"/>
      <c r="AI48" s="383" t="n"/>
      <c r="AJ48" s="383" t="n"/>
      <c r="AK48" s="383" t="n"/>
      <c r="AL48" s="383" t="n"/>
      <c r="AM48" s="383" t="n"/>
      <c r="AN48" s="383" t="n"/>
      <c r="AO48" s="383" t="n"/>
      <c r="AP48" s="383" t="n"/>
      <c r="AQ48" s="383" t="n"/>
      <c r="AR48" s="383" t="n"/>
      <c r="AS48" s="383" t="n"/>
      <c r="AT48" s="383" t="n"/>
      <c r="AU48" s="383" t="n"/>
      <c r="AV48" s="383" t="n"/>
      <c r="AW48" s="383" t="n"/>
      <c r="AX48" s="383" t="n"/>
      <c r="AY48" s="383" t="n"/>
      <c r="AZ48" s="383" t="n"/>
      <c r="BA48" s="383" t="n"/>
      <c r="BB48" s="383" t="n"/>
      <c r="BC48" s="383" t="n"/>
      <c r="BD48" s="383" t="n"/>
      <c r="BE48" s="383" t="n"/>
      <c r="BF48" s="383" t="n"/>
      <c r="BG48" s="383" t="n"/>
      <c r="BH48" s="383" t="n"/>
      <c r="BI48" s="383" t="n"/>
      <c r="BJ48" s="383" t="n"/>
      <c r="BK48" s="383" t="n"/>
      <c r="BL48" s="383" t="n"/>
      <c r="BM48" s="383" t="n"/>
      <c r="BN48" s="383" t="n"/>
      <c r="BO48" s="383" t="n"/>
      <c r="BP48" s="383" t="n"/>
      <c r="BQ48" s="383" t="n"/>
      <c r="BR48" s="383" t="n"/>
      <c r="BS48" s="383" t="n"/>
      <c r="BT48" s="383" t="n"/>
      <c r="BU48" s="383" t="n"/>
      <c r="BV48" s="383" t="n"/>
      <c r="BW48" s="383" t="n"/>
      <c r="BX48" s="383" t="n"/>
      <c r="BY48" s="383" t="n"/>
      <c r="BZ48" s="383" t="n"/>
      <c r="CA48" s="383" t="n"/>
      <c r="CB48" s="383" t="n"/>
      <c r="CC48" s="383" t="n"/>
      <c r="CD48" s="383" t="n"/>
      <c r="CE48" s="383" t="n"/>
      <c r="CF48" s="383" t="n"/>
      <c r="CG48" s="383" t="n"/>
      <c r="CH48" s="383" t="n"/>
    </row>
    <row r="49" ht="15" customFormat="1" customHeight="1" s="381">
      <c r="A49" s="461" t="inlineStr">
        <is>
          <t xml:space="preserve">  Crenshaw:</t>
        </is>
      </c>
      <c r="B49" s="653" t="n">
        <v>46113</v>
      </c>
      <c r="C49" s="383" t="n"/>
      <c r="D49" s="383" t="n"/>
      <c r="E49" s="383" t="n"/>
      <c r="F49" s="383" t="n"/>
      <c r="G49" s="383" t="n"/>
      <c r="H49" s="383" t="n"/>
      <c r="I49" s="383" t="n"/>
      <c r="J49" s="383" t="n"/>
      <c r="K49" s="383" t="n"/>
      <c r="L49" s="383" t="n"/>
      <c r="M49" s="383" t="n"/>
      <c r="N49" s="383" t="n"/>
      <c r="O49" s="383" t="n"/>
      <c r="P49" s="383" t="n"/>
      <c r="Q49" s="383" t="n"/>
      <c r="R49" s="383" t="n"/>
      <c r="S49" s="383" t="n"/>
      <c r="T49" s="383" t="n"/>
      <c r="U49" s="383" t="n"/>
      <c r="V49" s="383" t="n"/>
      <c r="W49" s="383" t="n"/>
      <c r="X49" s="383" t="n"/>
      <c r="Y49" s="383" t="n"/>
      <c r="Z49" s="383" t="n"/>
      <c r="AA49" s="383" t="n"/>
      <c r="AB49" s="383" t="n"/>
      <c r="AC49" s="383" t="n"/>
      <c r="AD49" s="383" t="n"/>
      <c r="AE49" s="383" t="n"/>
      <c r="AF49" s="383" t="n"/>
      <c r="AG49" s="383" t="n"/>
      <c r="AH49" s="383" t="n"/>
      <c r="AI49" s="383" t="n"/>
      <c r="AJ49" s="383" t="n"/>
      <c r="AK49" s="383" t="n"/>
      <c r="AL49" s="383" t="n"/>
      <c r="AM49" s="383" t="n"/>
      <c r="AN49" s="383" t="n"/>
      <c r="AO49" s="383" t="n"/>
      <c r="AP49" s="383" t="n"/>
      <c r="AQ49" s="383" t="n"/>
      <c r="AR49" s="383" t="n"/>
      <c r="AS49" s="383" t="n"/>
      <c r="AT49" s="383" t="n"/>
      <c r="AU49" s="383" t="n"/>
      <c r="AV49" s="383" t="n"/>
      <c r="AW49" s="383" t="n"/>
      <c r="AX49" s="383" t="n"/>
      <c r="AY49" s="383" t="n"/>
      <c r="AZ49" s="383" t="n"/>
      <c r="BA49" s="383" t="n"/>
      <c r="BB49" s="383" t="n"/>
      <c r="BC49" s="383" t="n"/>
      <c r="BD49" s="383" t="n"/>
      <c r="BE49" s="383" t="n"/>
      <c r="BF49" s="383" t="n"/>
      <c r="BG49" s="383" t="n"/>
      <c r="BH49" s="383" t="n"/>
      <c r="BI49" s="383" t="n"/>
      <c r="BJ49" s="383" t="n"/>
      <c r="BK49" s="383" t="n"/>
      <c r="BL49" s="383" t="n"/>
      <c r="BM49" s="383" t="n"/>
      <c r="BN49" s="383" t="n"/>
      <c r="BO49" s="383" t="n"/>
      <c r="BP49" s="383" t="n"/>
      <c r="BQ49" s="383" t="n"/>
      <c r="BR49" s="383" t="n"/>
      <c r="BS49" s="383" t="n"/>
      <c r="BT49" s="383" t="n"/>
      <c r="BU49" s="383" t="n"/>
      <c r="BV49" s="383" t="n"/>
      <c r="BW49" s="383" t="n"/>
      <c r="BX49" s="383" t="n"/>
      <c r="BY49" s="383" t="n"/>
      <c r="BZ49" s="383" t="n"/>
      <c r="CA49" s="383" t="n"/>
      <c r="CB49" s="383" t="n"/>
      <c r="CC49" s="383" t="n"/>
      <c r="CD49" s="383" t="n"/>
      <c r="CE49" s="383" t="n"/>
      <c r="CF49" s="383" t="n"/>
      <c r="CG49" s="383" t="n"/>
      <c r="CH49" s="383" t="n"/>
    </row>
    <row r="50" ht="15" customFormat="1" customHeight="1" s="381">
      <c r="A50" s="461" t="inlineStr">
        <is>
          <t xml:space="preserve">  Ramsgate:</t>
        </is>
      </c>
      <c r="B50" s="653" t="n">
        <v>46113</v>
      </c>
      <c r="C50" s="383" t="n"/>
      <c r="D50" s="383" t="n"/>
      <c r="E50" s="383" t="n"/>
      <c r="F50" s="383" t="n"/>
      <c r="G50" s="383" t="n"/>
      <c r="H50" s="383" t="n"/>
      <c r="I50" s="383" t="n"/>
      <c r="J50" s="383" t="n"/>
      <c r="K50" s="383" t="n"/>
      <c r="L50" s="383" t="n"/>
      <c r="M50" s="383" t="n"/>
      <c r="N50" s="383" t="n"/>
      <c r="O50" s="383" t="n"/>
      <c r="P50" s="383" t="n"/>
      <c r="Q50" s="383" t="n"/>
      <c r="R50" s="383" t="n"/>
      <c r="S50" s="383" t="n"/>
      <c r="T50" s="383" t="n"/>
      <c r="U50" s="383" t="n"/>
      <c r="V50" s="383" t="n"/>
      <c r="W50" s="383" t="n"/>
      <c r="X50" s="383" t="n"/>
      <c r="Y50" s="383" t="n"/>
      <c r="Z50" s="383" t="n"/>
      <c r="AA50" s="383" t="n"/>
      <c r="AB50" s="383" t="n"/>
      <c r="AC50" s="383" t="n"/>
      <c r="AD50" s="383" t="n"/>
      <c r="AE50" s="383" t="n"/>
      <c r="AF50" s="383" t="n"/>
      <c r="AG50" s="383" t="n"/>
      <c r="AH50" s="383" t="n"/>
      <c r="AI50" s="383" t="n"/>
      <c r="AJ50" s="383" t="n"/>
      <c r="AK50" s="383" t="n"/>
      <c r="AL50" s="383" t="n"/>
      <c r="AM50" s="383" t="n"/>
      <c r="AN50" s="383" t="n"/>
      <c r="AO50" s="383" t="n"/>
      <c r="AP50" s="383" t="n"/>
      <c r="AQ50" s="383" t="n"/>
      <c r="AR50" s="383" t="n"/>
      <c r="AS50" s="383" t="n"/>
      <c r="AT50" s="383" t="n"/>
      <c r="AU50" s="383" t="n"/>
      <c r="AV50" s="383" t="n"/>
      <c r="AW50" s="383" t="n"/>
      <c r="AX50" s="383" t="n"/>
      <c r="AY50" s="383" t="n"/>
      <c r="AZ50" s="383" t="n"/>
      <c r="BA50" s="383" t="n"/>
      <c r="BB50" s="383" t="n"/>
      <c r="BC50" s="383" t="n"/>
      <c r="BD50" s="383" t="n"/>
      <c r="BE50" s="383" t="n"/>
      <c r="BF50" s="383" t="n"/>
      <c r="BG50" s="383" t="n"/>
      <c r="BH50" s="383" t="n"/>
      <c r="BI50" s="383" t="n"/>
      <c r="BJ50" s="383" t="n"/>
      <c r="BK50" s="383" t="n"/>
      <c r="BL50" s="383" t="n"/>
      <c r="BM50" s="383" t="n"/>
      <c r="BN50" s="383" t="n"/>
      <c r="BO50" s="383" t="n"/>
      <c r="BP50" s="383" t="n"/>
      <c r="BQ50" s="383" t="n"/>
      <c r="BR50" s="383" t="n"/>
      <c r="BS50" s="383" t="n"/>
      <c r="BT50" s="383" t="n"/>
      <c r="BU50" s="383" t="n"/>
      <c r="BV50" s="383" t="n"/>
      <c r="BW50" s="383" t="n"/>
      <c r="BX50" s="383" t="n"/>
      <c r="BY50" s="383" t="n"/>
      <c r="BZ50" s="383" t="n"/>
      <c r="CA50" s="383" t="n"/>
      <c r="CB50" s="383" t="n"/>
      <c r="CC50" s="383" t="n"/>
      <c r="CD50" s="383" t="n"/>
      <c r="CE50" s="383" t="n"/>
      <c r="CF50" s="383" t="n"/>
      <c r="CG50" s="383" t="n"/>
      <c r="CH50" s="383" t="n"/>
    </row>
    <row r="51" ht="15" customFormat="1" customHeight="1" s="381">
      <c r="A51" s="461" t="inlineStr">
        <is>
          <t xml:space="preserve">  Klump:</t>
        </is>
      </c>
      <c r="B51" s="653" t="n">
        <v>46235</v>
      </c>
      <c r="C51" s="383" t="n"/>
      <c r="D51" s="383" t="n"/>
      <c r="E51" s="383" t="n"/>
      <c r="F51" s="383" t="n"/>
      <c r="G51" s="383" t="n"/>
      <c r="H51" s="383" t="n"/>
      <c r="I51" s="383" t="n"/>
      <c r="J51" s="383" t="n"/>
      <c r="K51" s="383" t="n"/>
      <c r="L51" s="383" t="n"/>
      <c r="M51" s="383" t="n"/>
      <c r="N51" s="383" t="n"/>
      <c r="O51" s="383" t="n"/>
      <c r="P51" s="383" t="n"/>
      <c r="Q51" s="383" t="n"/>
      <c r="R51" s="383" t="n"/>
      <c r="S51" s="383" t="n"/>
      <c r="T51" s="383" t="n"/>
      <c r="U51" s="383" t="n"/>
      <c r="V51" s="383" t="n"/>
      <c r="W51" s="383" t="n"/>
      <c r="X51" s="383" t="n"/>
      <c r="Y51" s="383" t="n"/>
      <c r="Z51" s="383" t="n"/>
      <c r="AA51" s="383" t="n"/>
      <c r="AB51" s="383" t="n"/>
      <c r="AC51" s="383" t="n"/>
      <c r="AD51" s="383" t="n"/>
      <c r="AE51" s="383" t="n"/>
      <c r="AF51" s="383" t="n"/>
      <c r="AG51" s="383" t="n"/>
      <c r="AH51" s="383" t="n"/>
      <c r="AI51" s="383" t="n"/>
      <c r="AJ51" s="383" t="n"/>
      <c r="AK51" s="383" t="n"/>
      <c r="AL51" s="383" t="n"/>
      <c r="AM51" s="383" t="n"/>
      <c r="AN51" s="383" t="n"/>
      <c r="AO51" s="383" t="n"/>
      <c r="AP51" s="383" t="n"/>
      <c r="AQ51" s="383" t="n"/>
      <c r="AR51" s="383" t="n"/>
      <c r="AS51" s="383" t="n"/>
      <c r="AT51" s="383" t="n"/>
      <c r="AU51" s="383" t="n"/>
      <c r="AV51" s="383" t="n"/>
      <c r="AW51" s="383" t="n"/>
      <c r="AX51" s="383" t="n"/>
      <c r="AY51" s="383" t="n"/>
      <c r="AZ51" s="383" t="n"/>
      <c r="BA51" s="383" t="n"/>
      <c r="BB51" s="383" t="n"/>
      <c r="BC51" s="383" t="n"/>
      <c r="BD51" s="383" t="n"/>
      <c r="BE51" s="383" t="n"/>
      <c r="BF51" s="383" t="n"/>
      <c r="BG51" s="383" t="n"/>
      <c r="BH51" s="383" t="n"/>
      <c r="BI51" s="383" t="n"/>
      <c r="BJ51" s="383" t="n"/>
      <c r="BK51" s="383" t="n"/>
      <c r="BL51" s="383" t="n"/>
      <c r="BM51" s="383" t="n"/>
      <c r="BN51" s="383" t="n"/>
      <c r="BO51" s="383" t="n"/>
      <c r="BP51" s="383" t="n"/>
      <c r="BQ51" s="383" t="n"/>
      <c r="BR51" s="383" t="n"/>
      <c r="BS51" s="383" t="n"/>
      <c r="BT51" s="383" t="n"/>
      <c r="BU51" s="383" t="n"/>
      <c r="BV51" s="383" t="n"/>
      <c r="BW51" s="383" t="n"/>
      <c r="BX51" s="383" t="n"/>
      <c r="BY51" s="383" t="n"/>
      <c r="BZ51" s="383" t="n"/>
      <c r="CA51" s="383" t="n"/>
      <c r="CB51" s="383" t="n"/>
      <c r="CC51" s="383" t="n"/>
      <c r="CD51" s="383" t="n"/>
      <c r="CE51" s="383" t="n"/>
      <c r="CF51" s="383" t="n"/>
      <c r="CG51" s="383" t="n"/>
      <c r="CH51" s="383" t="n"/>
    </row>
    <row r="52" ht="15" customFormat="1" customHeight="1" s="381">
      <c r="A52" s="461" t="inlineStr">
        <is>
          <t xml:space="preserve">  Scott:</t>
        </is>
      </c>
      <c r="B52" s="653" t="n">
        <v>46266</v>
      </c>
      <c r="C52" s="383" t="n"/>
      <c r="D52" s="383" t="n"/>
      <c r="E52" s="383" t="n"/>
      <c r="F52" s="383" t="n"/>
      <c r="G52" s="383" t="n"/>
      <c r="H52" s="383" t="n"/>
      <c r="I52" s="383" t="n"/>
      <c r="J52" s="383" t="n"/>
      <c r="K52" s="383" t="n"/>
      <c r="L52" s="383" t="n"/>
      <c r="M52" s="383" t="n"/>
      <c r="N52" s="383" t="n"/>
      <c r="O52" s="383" t="n"/>
      <c r="P52" s="383" t="n"/>
      <c r="Q52" s="383" t="n"/>
      <c r="R52" s="383" t="n"/>
      <c r="S52" s="383" t="n"/>
      <c r="T52" s="383" t="n"/>
      <c r="U52" s="383" t="n"/>
      <c r="V52" s="383" t="n"/>
      <c r="W52" s="383" t="n"/>
      <c r="X52" s="383" t="n"/>
      <c r="Y52" s="383" t="n"/>
      <c r="Z52" s="383" t="n"/>
      <c r="AA52" s="383" t="n"/>
      <c r="AB52" s="383" t="n"/>
      <c r="AC52" s="383" t="n"/>
      <c r="AD52" s="383" t="n"/>
      <c r="AE52" s="383" t="n"/>
      <c r="AF52" s="383" t="n"/>
      <c r="AG52" s="383" t="n"/>
      <c r="AH52" s="383" t="n"/>
      <c r="AI52" s="383" t="n"/>
      <c r="AJ52" s="383" t="n"/>
      <c r="AK52" s="383" t="n"/>
      <c r="AL52" s="383" t="n"/>
      <c r="AM52" s="383" t="n"/>
      <c r="AN52" s="383" t="n"/>
      <c r="AO52" s="383" t="n"/>
      <c r="AP52" s="383" t="n"/>
      <c r="AQ52" s="383" t="n"/>
      <c r="AR52" s="383" t="n"/>
      <c r="AS52" s="383" t="n"/>
      <c r="AT52" s="383" t="n"/>
      <c r="AU52" s="383" t="n"/>
      <c r="AV52" s="383" t="n"/>
      <c r="AW52" s="383" t="n"/>
      <c r="AX52" s="383" t="n"/>
      <c r="AY52" s="383" t="n"/>
      <c r="AZ52" s="383" t="n"/>
      <c r="BA52" s="383" t="n"/>
      <c r="BB52" s="383" t="n"/>
      <c r="BC52" s="383" t="n"/>
      <c r="BD52" s="383" t="n"/>
      <c r="BE52" s="383" t="n"/>
      <c r="BF52" s="383" t="n"/>
      <c r="BG52" s="383" t="n"/>
      <c r="BH52" s="383" t="n"/>
      <c r="BI52" s="383" t="n"/>
      <c r="BJ52" s="383" t="n"/>
      <c r="BK52" s="383" t="n"/>
      <c r="BL52" s="383" t="n"/>
      <c r="BM52" s="383" t="n"/>
      <c r="BN52" s="383" t="n"/>
      <c r="BO52" s="383" t="n"/>
      <c r="BP52" s="383" t="n"/>
      <c r="BQ52" s="383" t="n"/>
      <c r="BR52" s="383" t="n"/>
      <c r="BS52" s="383" t="n"/>
      <c r="BT52" s="383" t="n"/>
      <c r="BU52" s="383" t="n"/>
      <c r="BV52" s="383" t="n"/>
      <c r="BW52" s="383" t="n"/>
      <c r="BX52" s="383" t="n"/>
      <c r="BY52" s="383" t="n"/>
      <c r="BZ52" s="383" t="n"/>
      <c r="CA52" s="383" t="n"/>
      <c r="CB52" s="383" t="n"/>
      <c r="CC52" s="383" t="n"/>
      <c r="CD52" s="383" t="n"/>
      <c r="CE52" s="383" t="n"/>
      <c r="CF52" s="383" t="n"/>
      <c r="CG52" s="383" t="n"/>
      <c r="CH52" s="383" t="n"/>
    </row>
    <row r="53" ht="15" customFormat="1" customHeight="1" s="381">
      <c r="A53" s="461" t="inlineStr">
        <is>
          <t xml:space="preserve">  Francis:</t>
        </is>
      </c>
      <c r="B53" s="653" t="n">
        <v>48092</v>
      </c>
      <c r="C53" s="383" t="n"/>
      <c r="D53" s="383" t="n"/>
      <c r="E53" s="383" t="n"/>
      <c r="F53" s="383" t="n"/>
      <c r="G53" s="383" t="n"/>
      <c r="H53" s="383" t="n"/>
      <c r="I53" s="383" t="n"/>
      <c r="J53" s="383" t="n"/>
      <c r="K53" s="383" t="n"/>
      <c r="L53" s="383" t="n"/>
      <c r="M53" s="383" t="n"/>
      <c r="N53" s="383" t="n"/>
      <c r="O53" s="383" t="n"/>
      <c r="P53" s="383" t="n"/>
      <c r="Q53" s="383" t="n"/>
      <c r="R53" s="383" t="n"/>
      <c r="S53" s="383" t="n"/>
      <c r="T53" s="383" t="n"/>
      <c r="U53" s="383" t="n"/>
      <c r="V53" s="383" t="n"/>
      <c r="W53" s="383" t="n"/>
      <c r="X53" s="383" t="n"/>
      <c r="Y53" s="383" t="n"/>
      <c r="Z53" s="383" t="n"/>
      <c r="AA53" s="383" t="n"/>
      <c r="AB53" s="383" t="n"/>
      <c r="AC53" s="383" t="n"/>
      <c r="AD53" s="383" t="n"/>
      <c r="AE53" s="383" t="n"/>
      <c r="AF53" s="383" t="n"/>
      <c r="AG53" s="383" t="n"/>
      <c r="AH53" s="383" t="n"/>
      <c r="AI53" s="383" t="n"/>
      <c r="AJ53" s="383" t="n"/>
      <c r="AK53" s="383" t="n"/>
      <c r="AL53" s="383" t="n"/>
      <c r="AM53" s="383" t="n"/>
      <c r="AN53" s="383" t="n"/>
      <c r="AO53" s="383" t="n"/>
      <c r="AP53" s="383" t="n"/>
      <c r="AQ53" s="383" t="n"/>
      <c r="AR53" s="383" t="n"/>
      <c r="AS53" s="383" t="n"/>
      <c r="AT53" s="383" t="n"/>
      <c r="AU53" s="383" t="n"/>
      <c r="AV53" s="383" t="n"/>
      <c r="AW53" s="383" t="n"/>
      <c r="AX53" s="383" t="n"/>
      <c r="AY53" s="383" t="n"/>
      <c r="AZ53" s="383" t="n"/>
      <c r="BA53" s="383" t="n"/>
      <c r="BB53" s="383" t="n"/>
      <c r="BC53" s="383" t="n"/>
      <c r="BD53" s="383" t="n"/>
      <c r="BE53" s="383" t="n"/>
      <c r="BF53" s="383" t="n"/>
      <c r="BG53" s="383" t="n"/>
      <c r="BH53" s="383" t="n"/>
      <c r="BI53" s="383" t="n"/>
      <c r="BJ53" s="383" t="n"/>
      <c r="BK53" s="383" t="n"/>
      <c r="BL53" s="383" t="n"/>
      <c r="BM53" s="383" t="n"/>
      <c r="BN53" s="383" t="n"/>
      <c r="BO53" s="383" t="n"/>
      <c r="BP53" s="383" t="n"/>
      <c r="BQ53" s="383" t="n"/>
      <c r="BR53" s="383" t="n"/>
      <c r="BS53" s="383" t="n"/>
      <c r="BT53" s="383" t="n"/>
      <c r="BU53" s="383" t="n"/>
      <c r="BV53" s="383" t="n"/>
      <c r="BW53" s="383" t="n"/>
      <c r="BX53" s="383" t="n"/>
      <c r="BY53" s="383" t="n"/>
      <c r="BZ53" s="383" t="n"/>
      <c r="CA53" s="383" t="n"/>
      <c r="CB53" s="383" t="n"/>
      <c r="CC53" s="383" t="n"/>
      <c r="CD53" s="383" t="n"/>
      <c r="CE53" s="383" t="n"/>
      <c r="CF53" s="383" t="n"/>
      <c r="CG53" s="383" t="n"/>
      <c r="CH53" s="383" t="n"/>
    </row>
    <row r="54" ht="15" customFormat="1" customHeight="1" s="381">
      <c r="A54" s="461" t="inlineStr">
        <is>
          <t xml:space="preserve">  Reseda:</t>
        </is>
      </c>
      <c r="B54" s="653" t="n">
        <v>47635</v>
      </c>
      <c r="C54" s="383" t="n"/>
      <c r="D54" s="383" t="n"/>
      <c r="E54" s="383" t="n"/>
      <c r="F54" s="383" t="n"/>
      <c r="G54" s="383" t="n"/>
      <c r="H54" s="383" t="n"/>
      <c r="I54" s="383" t="n"/>
      <c r="J54" s="383" t="n"/>
      <c r="K54" s="383" t="n"/>
      <c r="L54" s="383" t="n"/>
      <c r="M54" s="383" t="n"/>
      <c r="N54" s="383" t="n"/>
      <c r="O54" s="383" t="n"/>
      <c r="P54" s="383" t="n"/>
      <c r="Q54" s="383" t="n"/>
      <c r="R54" s="383" t="n"/>
      <c r="S54" s="383" t="n"/>
      <c r="T54" s="383" t="n"/>
      <c r="U54" s="383" t="n"/>
      <c r="V54" s="383" t="n"/>
      <c r="W54" s="383" t="n"/>
      <c r="X54" s="383" t="n"/>
      <c r="Y54" s="383" t="n"/>
      <c r="Z54" s="383" t="n"/>
      <c r="AA54" s="383" t="n"/>
      <c r="AB54" s="383" t="n"/>
      <c r="AC54" s="383" t="n"/>
      <c r="AD54" s="383" t="n"/>
      <c r="AE54" s="383" t="n"/>
      <c r="AF54" s="383" t="n"/>
      <c r="AG54" s="383" t="n"/>
      <c r="AH54" s="383" t="n"/>
      <c r="AI54" s="383" t="n"/>
      <c r="AJ54" s="383" t="n"/>
      <c r="AK54" s="383" t="n"/>
      <c r="AL54" s="383" t="n"/>
      <c r="AM54" s="383" t="n"/>
      <c r="AN54" s="383" t="n"/>
      <c r="AO54" s="383" t="n"/>
      <c r="AP54" s="383" t="n"/>
      <c r="AQ54" s="383" t="n"/>
      <c r="AR54" s="383" t="n"/>
      <c r="AS54" s="383" t="n"/>
      <c r="AT54" s="383" t="n"/>
      <c r="AU54" s="383" t="n"/>
      <c r="AV54" s="383" t="n"/>
      <c r="AW54" s="383" t="n"/>
      <c r="AX54" s="383" t="n"/>
      <c r="AY54" s="383" t="n"/>
      <c r="AZ54" s="383" t="n"/>
      <c r="BA54" s="383" t="n"/>
      <c r="BB54" s="383" t="n"/>
      <c r="BC54" s="383" t="n"/>
      <c r="BD54" s="383" t="n"/>
      <c r="BE54" s="383" t="n"/>
      <c r="BF54" s="383" t="n"/>
      <c r="BG54" s="383" t="n"/>
      <c r="BH54" s="383" t="n"/>
      <c r="BI54" s="383" t="n"/>
      <c r="BJ54" s="383" t="n"/>
      <c r="BK54" s="383" t="n"/>
      <c r="BL54" s="383" t="n"/>
      <c r="BM54" s="383" t="n"/>
      <c r="BN54" s="383" t="n"/>
      <c r="BO54" s="383" t="n"/>
      <c r="BP54" s="383" t="n"/>
      <c r="BQ54" s="383" t="n"/>
      <c r="BR54" s="383" t="n"/>
      <c r="BS54" s="383" t="n"/>
      <c r="BT54" s="383" t="n"/>
      <c r="BU54" s="383" t="n"/>
      <c r="BV54" s="383" t="n"/>
      <c r="BW54" s="383" t="n"/>
      <c r="BX54" s="383" t="n"/>
      <c r="BY54" s="383" t="n"/>
      <c r="BZ54" s="383" t="n"/>
      <c r="CA54" s="383" t="n"/>
      <c r="CB54" s="383" t="n"/>
      <c r="CC54" s="383" t="n"/>
      <c r="CD54" s="383" t="n"/>
      <c r="CE54" s="383" t="n"/>
      <c r="CF54" s="383" t="n"/>
      <c r="CG54" s="383" t="n"/>
      <c r="CH54" s="383" t="n"/>
    </row>
    <row r="55" ht="15" customFormat="1" customHeight="1" s="381">
      <c r="A55" s="461" t="inlineStr">
        <is>
          <t xml:space="preserve">  3rd St:</t>
        </is>
      </c>
      <c r="B55" s="654" t="inlineStr">
        <is>
          <t>Beyond model period</t>
        </is>
      </c>
      <c r="C55" s="383" t="n"/>
      <c r="D55" s="383" t="n"/>
      <c r="E55" s="383" t="n"/>
      <c r="F55" s="383" t="n"/>
      <c r="G55" s="383" t="n"/>
      <c r="H55" s="383" t="n"/>
      <c r="I55" s="383" t="n"/>
      <c r="J55" s="383" t="n"/>
      <c r="K55" s="383" t="n"/>
      <c r="L55" s="383" t="n"/>
      <c r="M55" s="383" t="n"/>
      <c r="N55" s="383" t="n"/>
      <c r="O55" s="383" t="n"/>
      <c r="P55" s="383" t="n"/>
      <c r="Q55" s="383" t="n"/>
      <c r="R55" s="383" t="n"/>
      <c r="S55" s="383" t="n"/>
      <c r="T55" s="383" t="n"/>
      <c r="U55" s="383" t="n"/>
      <c r="V55" s="383" t="n"/>
      <c r="W55" s="383" t="n"/>
      <c r="X55" s="383" t="n"/>
      <c r="Y55" s="383" t="n"/>
      <c r="Z55" s="383" t="n"/>
      <c r="AA55" s="383" t="n"/>
      <c r="AB55" s="383" t="n"/>
      <c r="AC55" s="383" t="n"/>
      <c r="AD55" s="383" t="n"/>
      <c r="AE55" s="383" t="n"/>
      <c r="AF55" s="383" t="n"/>
      <c r="AG55" s="383" t="n"/>
      <c r="AH55" s="383" t="n"/>
      <c r="AI55" s="383" t="n"/>
      <c r="AJ55" s="383" t="n"/>
      <c r="AK55" s="383" t="n"/>
      <c r="AL55" s="383" t="n"/>
      <c r="AM55" s="383" t="n"/>
      <c r="AN55" s="383" t="n"/>
      <c r="AO55" s="383" t="n"/>
      <c r="AP55" s="383" t="n"/>
      <c r="AQ55" s="383" t="n"/>
      <c r="AR55" s="383" t="n"/>
      <c r="AS55" s="383" t="n"/>
      <c r="AT55" s="383" t="n"/>
      <c r="AU55" s="383" t="n"/>
      <c r="AV55" s="383" t="n"/>
      <c r="AW55" s="383" t="n"/>
      <c r="AX55" s="383" t="n"/>
      <c r="AY55" s="383" t="n"/>
      <c r="AZ55" s="383" t="n"/>
      <c r="BA55" s="383" t="n"/>
      <c r="BB55" s="383" t="n"/>
      <c r="BC55" s="383" t="n"/>
      <c r="BD55" s="383" t="n"/>
      <c r="BE55" s="383" t="n"/>
      <c r="BF55" s="383" t="n"/>
      <c r="BG55" s="383" t="n"/>
      <c r="BH55" s="383" t="n"/>
      <c r="BI55" s="383" t="n"/>
      <c r="BJ55" s="383" t="n"/>
      <c r="BK55" s="383" t="n"/>
      <c r="BL55" s="383" t="n"/>
      <c r="BM55" s="383" t="n"/>
      <c r="BN55" s="383" t="n"/>
      <c r="BO55" s="383" t="n"/>
      <c r="BP55" s="383" t="n"/>
      <c r="BQ55" s="383" t="n"/>
      <c r="BR55" s="383" t="n"/>
      <c r="BS55" s="383" t="n"/>
      <c r="BT55" s="383" t="n"/>
      <c r="BU55" s="383" t="n"/>
      <c r="BV55" s="383" t="n"/>
      <c r="BW55" s="383" t="n"/>
      <c r="BX55" s="383" t="n"/>
      <c r="BY55" s="383" t="n"/>
      <c r="BZ55" s="383" t="n"/>
      <c r="CA55" s="383" t="n"/>
      <c r="CB55" s="383" t="n"/>
      <c r="CC55" s="383" t="n"/>
      <c r="CD55" s="383" t="n"/>
      <c r="CE55" s="383" t="n"/>
      <c r="CF55" s="383" t="n"/>
      <c r="CG55" s="383" t="n"/>
      <c r="CH55" s="383" t="n"/>
    </row>
    <row r="56" ht="15" customFormat="1" customHeight="1" s="381">
      <c r="A56" s="382" t="inlineStr">
        <is>
          <t xml:space="preserve">  All Deals Combined:</t>
        </is>
      </c>
      <c r="B56" s="655" t="n">
        <v>46113</v>
      </c>
      <c r="C56" s="383" t="n"/>
      <c r="D56" s="383" t="n"/>
      <c r="E56" s="383" t="n"/>
      <c r="F56" s="383" t="n"/>
      <c r="G56" s="383" t="n"/>
      <c r="H56" s="383" t="n"/>
      <c r="I56" s="383" t="n"/>
      <c r="J56" s="383" t="n"/>
      <c r="K56" s="383" t="n"/>
      <c r="L56" s="383" t="n"/>
      <c r="M56" s="383" t="n"/>
      <c r="N56" s="383" t="n"/>
      <c r="O56" s="383" t="n"/>
      <c r="P56" s="383" t="n"/>
      <c r="Q56" s="383" t="n"/>
      <c r="R56" s="383" t="n"/>
      <c r="S56" s="383" t="n"/>
      <c r="T56" s="383" t="n"/>
      <c r="U56" s="383" t="n"/>
      <c r="V56" s="383" t="n"/>
      <c r="W56" s="383" t="n"/>
      <c r="X56" s="383" t="n"/>
      <c r="Y56" s="383" t="n"/>
      <c r="Z56" s="383" t="n"/>
      <c r="AA56" s="383" t="n"/>
      <c r="AB56" s="383" t="n"/>
      <c r="AC56" s="383" t="n"/>
      <c r="AD56" s="383" t="n"/>
      <c r="AE56" s="383" t="n"/>
      <c r="AF56" s="383" t="n"/>
      <c r="AG56" s="383" t="n"/>
      <c r="AH56" s="383" t="n"/>
      <c r="AI56" s="383" t="n"/>
      <c r="AJ56" s="383" t="n"/>
      <c r="AK56" s="383" t="n"/>
      <c r="AL56" s="383" t="n"/>
      <c r="AM56" s="383" t="n"/>
      <c r="AN56" s="383" t="n"/>
      <c r="AO56" s="383" t="n"/>
      <c r="AP56" s="383" t="n"/>
      <c r="AQ56" s="383" t="n"/>
      <c r="AR56" s="383" t="n"/>
      <c r="AS56" s="383" t="n"/>
      <c r="AT56" s="383" t="n"/>
      <c r="AU56" s="383" t="n"/>
      <c r="AV56" s="383" t="n"/>
      <c r="AW56" s="383" t="n"/>
      <c r="AX56" s="383" t="n"/>
      <c r="AY56" s="383" t="n"/>
      <c r="AZ56" s="383" t="n"/>
      <c r="BA56" s="383" t="n"/>
      <c r="BB56" s="383" t="n"/>
      <c r="BC56" s="383" t="n"/>
      <c r="BD56" s="383" t="n"/>
      <c r="BE56" s="383" t="n"/>
      <c r="BF56" s="383" t="n"/>
      <c r="BG56" s="383" t="n"/>
      <c r="BH56" s="383" t="n"/>
      <c r="BI56" s="383" t="n"/>
      <c r="BJ56" s="383" t="n"/>
      <c r="BK56" s="383" t="n"/>
      <c r="BL56" s="383" t="n"/>
      <c r="BM56" s="383" t="n"/>
      <c r="BN56" s="383" t="n"/>
      <c r="BO56" s="383" t="n"/>
      <c r="BP56" s="383" t="n"/>
      <c r="BQ56" s="383" t="n"/>
      <c r="BR56" s="383" t="n"/>
      <c r="BS56" s="383" t="n"/>
      <c r="BT56" s="383" t="n"/>
      <c r="BU56" s="383" t="n"/>
      <c r="BV56" s="383" t="n"/>
      <c r="BW56" s="383" t="n"/>
      <c r="BX56" s="383" t="n"/>
      <c r="BY56" s="383" t="n"/>
      <c r="BZ56" s="383" t="n"/>
      <c r="CA56" s="383" t="n"/>
      <c r="CB56" s="383" t="n"/>
      <c r="CC56" s="383" t="n"/>
      <c r="CD56" s="383" t="n"/>
      <c r="CE56" s="383" t="n"/>
      <c r="CF56" s="383" t="n"/>
      <c r="CG56" s="383" t="n"/>
      <c r="CH56" s="383" t="n"/>
    </row>
    <row r="57" ht="15" customFormat="1" customHeight="1" s="381">
      <c r="A57" s="383" t="n"/>
      <c r="B57" s="383" t="n"/>
      <c r="C57" s="383" t="n"/>
      <c r="D57" s="383" t="n"/>
      <c r="E57" s="383" t="n"/>
      <c r="F57" s="383" t="n"/>
      <c r="G57" s="383" t="n"/>
      <c r="H57" s="383" t="n"/>
      <c r="I57" s="383" t="n"/>
      <c r="J57" s="383" t="n"/>
      <c r="K57" s="383" t="n"/>
      <c r="L57" s="383" t="n"/>
      <c r="M57" s="383" t="n"/>
      <c r="N57" s="383" t="n"/>
      <c r="O57" s="383" t="n"/>
      <c r="P57" s="383" t="n"/>
      <c r="Q57" s="383" t="n"/>
      <c r="R57" s="383" t="n"/>
      <c r="S57" s="383" t="n"/>
      <c r="T57" s="383" t="n"/>
      <c r="U57" s="383" t="n"/>
      <c r="V57" s="383" t="n"/>
      <c r="W57" s="383" t="n"/>
      <c r="X57" s="383" t="n"/>
      <c r="Y57" s="383" t="n"/>
      <c r="Z57" s="383" t="n"/>
      <c r="AA57" s="383" t="n"/>
      <c r="AB57" s="383" t="n"/>
      <c r="AC57" s="383" t="n"/>
      <c r="AD57" s="383" t="n"/>
      <c r="AE57" s="383" t="n"/>
      <c r="AF57" s="383" t="n"/>
      <c r="AG57" s="383" t="n"/>
      <c r="AH57" s="383" t="n"/>
      <c r="AI57" s="383" t="n"/>
      <c r="AJ57" s="383" t="n"/>
      <c r="AK57" s="383" t="n"/>
      <c r="AL57" s="383" t="n"/>
      <c r="AM57" s="383" t="n"/>
      <c r="AN57" s="383" t="n"/>
      <c r="AO57" s="383" t="n"/>
      <c r="AP57" s="383" t="n"/>
      <c r="AQ57" s="383" t="n"/>
      <c r="AR57" s="383" t="n"/>
      <c r="AS57" s="383" t="n"/>
      <c r="AT57" s="383" t="n"/>
      <c r="AU57" s="383" t="n"/>
      <c r="AV57" s="383" t="n"/>
      <c r="AW57" s="383" t="n"/>
      <c r="AX57" s="383" t="n"/>
      <c r="AY57" s="383" t="n"/>
      <c r="AZ57" s="383" t="n"/>
      <c r="BA57" s="383" t="n"/>
      <c r="BB57" s="383" t="n"/>
      <c r="BC57" s="383" t="n"/>
      <c r="BD57" s="383" t="n"/>
      <c r="BE57" s="383" t="n"/>
      <c r="BF57" s="383" t="n"/>
      <c r="BG57" s="383" t="n"/>
      <c r="BH57" s="383" t="n"/>
      <c r="BI57" s="383" t="n"/>
      <c r="BJ57" s="383" t="n"/>
      <c r="BK57" s="383" t="n"/>
      <c r="BL57" s="383" t="n"/>
      <c r="BM57" s="383" t="n"/>
      <c r="BN57" s="383" t="n"/>
      <c r="BO57" s="383" t="n"/>
      <c r="BP57" s="383" t="n"/>
      <c r="BQ57" s="383" t="n"/>
      <c r="BR57" s="383" t="n"/>
      <c r="BS57" s="383" t="n"/>
      <c r="BT57" s="383" t="n"/>
      <c r="BU57" s="383" t="n"/>
      <c r="BV57" s="383" t="n"/>
      <c r="BW57" s="383" t="n"/>
      <c r="BX57" s="383" t="n"/>
      <c r="BY57" s="383" t="n"/>
      <c r="BZ57" s="383" t="n"/>
      <c r="CA57" s="383" t="n"/>
      <c r="CB57" s="383" t="n"/>
      <c r="CC57" s="383" t="n"/>
      <c r="CD57" s="383" t="n"/>
      <c r="CE57" s="383" t="n"/>
      <c r="CF57" s="383" t="n"/>
      <c r="CG57" s="383" t="n"/>
      <c r="CH57" s="383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I132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baseColWidth="8" defaultColWidth="8.71875" defaultRowHeight="15" zeroHeight="0" outlineLevelRow="0"/>
  <cols>
    <col width="38" customWidth="1" style="381" min="1" max="1"/>
    <col width="14" customWidth="1" style="381" min="2" max="7"/>
    <col width="13" customWidth="1" style="381" min="8" max="9"/>
  </cols>
  <sheetData>
    <row r="1" ht="17.25" customFormat="1" customHeight="1" s="381">
      <c r="A1" s="382" t="inlineStr">
        <is>
          <t>Six Peak Capital - Sensitivity Analysis</t>
        </is>
      </c>
      <c r="H1" s="383" t="n"/>
      <c r="I1" s="383" t="n"/>
    </row>
    <row r="2" ht="15" customFormat="1" customHeight="1" s="381">
      <c r="A2" s="383" t="n"/>
      <c r="B2" s="383" t="n"/>
      <c r="C2" s="383" t="n"/>
      <c r="D2" s="383" t="n"/>
      <c r="E2" s="383" t="n"/>
      <c r="F2" s="383" t="n"/>
      <c r="G2" s="383" t="n"/>
      <c r="H2" s="383" t="n"/>
      <c r="I2" s="383" t="n"/>
    </row>
    <row r="3" ht="15" customFormat="1" customHeight="1" s="381">
      <c r="A3" s="384" t="inlineStr">
        <is>
          <t>KEY ASSUMPTIONS (Change Yellow Cells for Analysis)</t>
        </is>
      </c>
      <c r="B3" s="384" t="n"/>
      <c r="C3" s="384" t="n"/>
      <c r="D3" s="384" t="n"/>
      <c r="E3" s="384" t="n"/>
      <c r="F3" s="384" t="n"/>
      <c r="G3" s="384" t="n"/>
      <c r="H3" s="383" t="n"/>
      <c r="I3" s="383" t="n"/>
    </row>
    <row r="4" ht="15" customFormat="1" customHeight="1" s="381">
      <c r="A4" s="403" t="inlineStr">
        <is>
          <t>Assumption</t>
        </is>
      </c>
      <c r="B4" s="403" t="inlineStr">
        <is>
          <t>Base Case</t>
        </is>
      </c>
      <c r="C4" s="403" t="inlineStr">
        <is>
          <t>Scenario</t>
        </is>
      </c>
      <c r="D4" s="403" t="inlineStr">
        <is>
          <t>Low</t>
        </is>
      </c>
      <c r="E4" s="403" t="inlineStr">
        <is>
          <t>High</t>
        </is>
      </c>
      <c r="F4" s="403" t="inlineStr">
        <is>
          <t>Unit</t>
        </is>
      </c>
      <c r="G4" s="403" t="inlineStr">
        <is>
          <t>Notes</t>
        </is>
      </c>
      <c r="H4" s="383" t="n"/>
      <c r="I4" s="383" t="n"/>
    </row>
    <row r="5" ht="15" customFormat="1" customHeight="1" s="381">
      <c r="A5" s="461" t="inlineStr">
        <is>
          <t>GC Fee Rate (Supervision)</t>
        </is>
      </c>
      <c r="B5" s="656">
        <f>Assumptions!B4</f>
        <v>0.06</v>
      </c>
      <c r="C5" s="657" t="n">
        <v>0.06</v>
      </c>
      <c r="D5" s="658" t="n">
        <v>0.04</v>
      </c>
      <c r="E5" s="658" t="n">
        <v>0.08</v>
      </c>
      <c r="F5" s="461" t="inlineStr">
        <is>
          <t>%</t>
        </is>
      </c>
      <c r="G5" s="449" t="inlineStr">
        <is>
          <t>Each 1% ≈ $1.2M cumulative revenue impact</t>
        </is>
      </c>
      <c r="H5" s="383" t="n"/>
      <c r="I5" s="383" t="n"/>
    </row>
    <row r="6" ht="15" customFormat="1" customHeight="1" s="381">
      <c r="A6" s="461" t="inlineStr">
        <is>
          <t>GC-CM Fee Rate</t>
        </is>
      </c>
      <c r="B6" s="656">
        <f>Assumptions!B5</f>
        <v>0.06</v>
      </c>
      <c r="C6" s="657" t="n">
        <v>0.06</v>
      </c>
      <c r="D6" s="658" t="n">
        <v>0.04</v>
      </c>
      <c r="E6" s="658" t="n">
        <v>0.08</v>
      </c>
      <c r="F6" s="461" t="inlineStr">
        <is>
          <t>%</t>
        </is>
      </c>
      <c r="G6" s="449" t="inlineStr">
        <is>
          <t>Each 1% ≈ $1.2M cumulative revenue impact</t>
        </is>
      </c>
      <c r="H6" s="383" t="n"/>
      <c r="I6" s="383" t="n"/>
    </row>
    <row r="7" ht="15" customFormat="1" customHeight="1" s="381">
      <c r="A7" s="461" t="inlineStr">
        <is>
          <t>Admin Fee Rate</t>
        </is>
      </c>
      <c r="B7" s="656">
        <f>Assumptions!B6</f>
        <v>0.02</v>
      </c>
      <c r="C7" s="657" t="n">
        <v>0.02</v>
      </c>
      <c r="D7" s="658" t="n">
        <v>0.01</v>
      </c>
      <c r="E7" s="658" t="n">
        <v>0.03</v>
      </c>
      <c r="F7" s="461" t="inlineStr">
        <is>
          <t>%</t>
        </is>
      </c>
      <c r="G7" s="449" t="inlineStr">
        <is>
          <t>Each 1% ≈ $400K cumulative revenue impact</t>
        </is>
      </c>
      <c r="H7" s="383" t="n"/>
      <c r="I7" s="383" t="n"/>
    </row>
    <row r="8" ht="15" customFormat="1" customHeight="1" s="381">
      <c r="A8" s="461" t="n"/>
      <c r="B8" s="656" t="n"/>
      <c r="C8" s="657" t="n"/>
      <c r="D8" s="658" t="n"/>
      <c r="E8" s="658" t="n"/>
      <c r="F8" s="461" t="n"/>
      <c r="G8" s="449" t="n"/>
      <c r="H8" s="383" t="n"/>
      <c r="I8" s="383" t="n"/>
    </row>
    <row r="9" ht="15" customFormat="1" customHeight="1" s="381">
      <c r="A9" s="461" t="inlineStr">
        <is>
          <t>Annual Escalation Rate</t>
        </is>
      </c>
      <c r="B9" s="656">
        <f>Assumptions!B26</f>
        <v>0.02</v>
      </c>
      <c r="C9" s="657" t="n">
        <v>0.02</v>
      </c>
      <c r="D9" s="658" t="n">
        <v>0</v>
      </c>
      <c r="E9" s="658" t="n">
        <v>0.04</v>
      </c>
      <c r="F9" s="461" t="inlineStr">
        <is>
          <t>%</t>
        </is>
      </c>
      <c r="G9" s="449" t="inlineStr">
        <is>
          <t>Impacts personnel costs &amp; revenue over time</t>
        </is>
      </c>
      <c r="H9" s="383" t="n"/>
      <c r="I9" s="383" t="n"/>
    </row>
    <row r="10" ht="15" customFormat="1" customHeight="1" s="381">
      <c r="A10" s="461" t="inlineStr">
        <is>
          <t>Bonding Revenue Rate</t>
        </is>
      </c>
      <c r="B10" s="656">
        <f>Assumptions!B15</f>
        <v>0.015</v>
      </c>
      <c r="C10" s="657" t="n">
        <v>0.015</v>
      </c>
      <c r="D10" s="658" t="n">
        <v>0.01</v>
      </c>
      <c r="E10" s="658" t="n">
        <v>0.02</v>
      </c>
      <c r="F10" s="461" t="inlineStr">
        <is>
          <t>%</t>
        </is>
      </c>
      <c r="G10" s="449" t="inlineStr">
        <is>
          <t>One-time revenue at project start</t>
        </is>
      </c>
      <c r="H10" s="383" t="n"/>
      <c r="I10" s="383" t="n"/>
    </row>
    <row r="11" ht="15" customFormat="1" customHeight="1" s="381">
      <c r="A11" s="461" t="inlineStr">
        <is>
          <t>Tier 1 Bond Cost Rate</t>
        </is>
      </c>
      <c r="B11" s="656">
        <f>Assumptions!B16</f>
        <v>0.0074</v>
      </c>
      <c r="C11" s="657" t="n">
        <v>0.0074</v>
      </c>
      <c r="D11" s="658" t="n">
        <v>0.005</v>
      </c>
      <c r="E11" s="658" t="n">
        <v>0.015</v>
      </c>
      <c r="F11" s="461" t="inlineStr">
        <is>
          <t>%</t>
        </is>
      </c>
      <c r="G11" s="449" t="inlineStr">
        <is>
          <t>Annual cost on bonded projects</t>
        </is>
      </c>
      <c r="H11" s="383" t="n"/>
      <c r="I11" s="383" t="n"/>
    </row>
    <row r="12" ht="15" customFormat="1" customHeight="1" s="381">
      <c r="A12" s="461" t="inlineStr">
        <is>
          <t>Tier 2 Bond Cost Rate</t>
        </is>
      </c>
      <c r="B12" s="656">
        <f>Assumptions!B17</f>
        <v>0.0325</v>
      </c>
      <c r="C12" s="657" t="n">
        <v>0.0325</v>
      </c>
      <c r="D12" s="658" t="n">
        <v>0.02</v>
      </c>
      <c r="E12" s="658" t="n">
        <v>0.05</v>
      </c>
      <c r="F12" s="461" t="inlineStr">
        <is>
          <t>%</t>
        </is>
      </c>
      <c r="G12" s="449" t="inlineStr">
        <is>
          <t>Reseda/3rd St bonding costs</t>
        </is>
      </c>
      <c r="H12" s="383" t="n"/>
      <c r="I12" s="383" t="n"/>
    </row>
    <row r="13" ht="15" customFormat="1" customHeight="1" s="381">
      <c r="A13" s="461" t="inlineStr">
        <is>
          <t>Debt Facility Interest Rate</t>
        </is>
      </c>
      <c r="B13" s="656">
        <f>Assumptions!B34</f>
        <v>0.15</v>
      </c>
      <c r="C13" s="657" t="n">
        <v>0.15</v>
      </c>
      <c r="D13" s="658" t="n">
        <v>0.1</v>
      </c>
      <c r="E13" s="658" t="n">
        <v>0.2</v>
      </c>
      <c r="F13" s="461" t="inlineStr">
        <is>
          <t>%</t>
        </is>
      </c>
      <c r="G13" s="449" t="inlineStr">
        <is>
          <t>PE debt at $1.6M starting balance</t>
        </is>
      </c>
      <c r="H13" s="383" t="n"/>
      <c r="I13" s="383" t="n"/>
    </row>
    <row r="14" ht="15" customFormat="1" customHeight="1" s="381">
      <c r="A14" s="461" t="inlineStr">
        <is>
          <t>Monthly Debt Payment</t>
        </is>
      </c>
      <c r="B14" s="647">
        <f>Assumptions!B36</f>
        <v>112000</v>
      </c>
      <c r="C14" s="659" t="n">
        <v>130000</v>
      </c>
      <c r="D14" s="660" t="n">
        <v>100000</v>
      </c>
      <c r="E14" s="660" t="n">
        <v>175000</v>
      </c>
      <c r="F14" s="461" t="inlineStr">
        <is>
          <t>$</t>
        </is>
      </c>
      <c r="G14" s="449" t="inlineStr">
        <is>
          <t>PE debt monthly payment</t>
        </is>
      </c>
      <c r="H14" s="383" t="n"/>
      <c r="I14" s="383" t="n"/>
    </row>
    <row r="15" ht="15" customFormat="1" customHeight="1" s="381">
      <c r="A15" s="461" t="inlineStr">
        <is>
          <t>PIK Accrual Rate</t>
        </is>
      </c>
      <c r="B15" s="656">
        <f>Assumptions!B58</f>
        <v>0.15</v>
      </c>
      <c r="C15" s="657" t="n">
        <v>0.15</v>
      </c>
      <c r="D15" s="658" t="n">
        <v>0.1</v>
      </c>
      <c r="E15" s="658" t="n">
        <v>0.2</v>
      </c>
      <c r="F15" s="461" t="inlineStr">
        <is>
          <t>%</t>
        </is>
      </c>
      <c r="G15" s="449" t="inlineStr">
        <is>
          <t>Steyn investment capital return</t>
        </is>
      </c>
      <c r="H15" s="383" t="n"/>
      <c r="I15" s="383" t="n"/>
    </row>
    <row r="16" ht="15" customFormat="1" customHeight="1" s="381">
      <c r="A16" s="461" t="inlineStr">
        <is>
          <t>Steyn Completion Guaranty Rate</t>
        </is>
      </c>
      <c r="B16" s="656">
        <f>Assumptions!B47</f>
        <v>0.01</v>
      </c>
      <c r="C16" s="657" t="n">
        <v>0.01</v>
      </c>
      <c r="D16" s="658" t="n">
        <v>0.005</v>
      </c>
      <c r="E16" s="658" t="n">
        <v>0.02</v>
      </c>
      <c r="F16" s="461" t="inlineStr">
        <is>
          <t>%</t>
        </is>
      </c>
      <c r="G16" s="449" t="inlineStr">
        <is>
          <t>1% of GMP for Steyn projects</t>
        </is>
      </c>
      <c r="H16" s="383" t="n"/>
      <c r="I16" s="383" t="n"/>
    </row>
    <row r="17" ht="15" customFormat="1" customHeight="1" s="381">
      <c r="A17" s="461" t="inlineStr">
        <is>
          <t>Steyn Liquidity Fee Rate</t>
        </is>
      </c>
      <c r="B17" s="656">
        <f>Assumptions!B48</f>
        <v>0.03</v>
      </c>
      <c r="C17" s="657" t="n">
        <v>0.03</v>
      </c>
      <c r="D17" s="658" t="n">
        <v>0.02</v>
      </c>
      <c r="E17" s="658" t="n">
        <v>0.05</v>
      </c>
      <c r="F17" s="461" t="inlineStr">
        <is>
          <t>%</t>
        </is>
      </c>
      <c r="G17" s="449" t="inlineStr">
        <is>
          <t>3% of liquidity requirement</t>
        </is>
      </c>
      <c r="H17" s="383" t="n"/>
      <c r="I17" s="383" t="n"/>
    </row>
    <row r="18" ht="15" customFormat="1" customHeight="1" s="381">
      <c r="A18" s="461" t="inlineStr">
        <is>
          <t>GC Headcount Growth (New Hires)</t>
        </is>
      </c>
      <c r="B18" s="661" t="n">
        <v>10</v>
      </c>
      <c r="C18" s="662" t="n">
        <v>10</v>
      </c>
      <c r="D18" s="663" t="n">
        <v>5</v>
      </c>
      <c r="E18" s="663" t="n">
        <v>15</v>
      </c>
      <c r="F18" s="461" t="inlineStr">
        <is>
          <t>#</t>
        </is>
      </c>
      <c r="G18" s="449" t="inlineStr">
        <is>
          <t>Number of new hires over model period</t>
        </is>
      </c>
      <c r="H18" s="383" t="n"/>
      <c r="I18" s="383" t="n"/>
    </row>
    <row r="19" ht="15" customFormat="1" customHeight="1" s="381">
      <c r="A19" s="461" t="inlineStr">
        <is>
          <t>SP Monthly Operating Expenses</t>
        </is>
      </c>
      <c r="B19" s="664" t="n">
        <v>18700</v>
      </c>
      <c r="C19" s="659" t="n">
        <v>18700</v>
      </c>
      <c r="D19" s="660" t="n">
        <v>15000</v>
      </c>
      <c r="E19" s="660" t="n">
        <v>25000</v>
      </c>
      <c r="F19" s="461" t="inlineStr">
        <is>
          <t>$</t>
        </is>
      </c>
      <c r="G19" s="449" t="inlineStr">
        <is>
          <t>Total SP monthly opex (rent+IT+etc.)</t>
        </is>
      </c>
      <c r="H19" s="383" t="n"/>
      <c r="I19" s="383" t="n"/>
    </row>
    <row r="20" ht="15" customFormat="1" customHeight="1" s="381">
      <c r="A20" s="383" t="n"/>
      <c r="B20" s="383" t="n"/>
      <c r="C20" s="383" t="n"/>
      <c r="D20" s="383" t="n"/>
      <c r="E20" s="383" t="n"/>
      <c r="F20" s="383" t="n"/>
      <c r="G20" s="383" t="n"/>
      <c r="H20" s="383" t="n"/>
      <c r="I20" s="383" t="n"/>
    </row>
    <row r="21" ht="15" customFormat="1" customHeight="1" s="381">
      <c r="A21" s="383" t="n"/>
      <c r="B21" s="383" t="n"/>
      <c r="C21" s="383" t="n"/>
      <c r="D21" s="383" t="n"/>
      <c r="E21" s="383" t="n"/>
      <c r="F21" s="383" t="n"/>
      <c r="G21" s="383" t="n"/>
      <c r="H21" s="383" t="n"/>
      <c r="I21" s="383" t="n"/>
    </row>
    <row r="22" ht="15" customFormat="1" customHeight="1" s="381">
      <c r="A22" s="384" t="inlineStr">
        <is>
          <t>PROJECT TOGGLE (Change to Yes/No on Projects Tab)</t>
        </is>
      </c>
      <c r="B22" s="384" t="n"/>
      <c r="C22" s="384" t="n"/>
      <c r="D22" s="384" t="n"/>
      <c r="E22" s="384" t="n"/>
      <c r="F22" s="384" t="n"/>
      <c r="G22" s="384" t="n"/>
      <c r="H22" s="383" t="n"/>
      <c r="I22" s="383" t="n"/>
    </row>
    <row r="23" ht="15" customFormat="1" customHeight="1" s="381">
      <c r="A23" s="403" t="inlineStr">
        <is>
          <t>Project</t>
        </is>
      </c>
      <c r="B23" s="403" t="inlineStr">
        <is>
          <t>Active</t>
        </is>
      </c>
      <c r="C23" s="403" t="inlineStr">
        <is>
          <t>GMP</t>
        </is>
      </c>
      <c r="D23" s="403" t="inlineStr">
        <is>
          <t>Type</t>
        </is>
      </c>
      <c r="E23" s="403" t="inlineStr">
        <is>
          <t>Duration</t>
        </is>
      </c>
      <c r="F23" s="403" t="inlineStr">
        <is>
          <t>Steyn</t>
        </is>
      </c>
      <c r="G23" s="403" t="inlineStr">
        <is>
          <t>LIHTC</t>
        </is>
      </c>
      <c r="H23" s="383" t="n"/>
      <c r="I23" s="383" t="n"/>
    </row>
    <row r="24" ht="15" customFormat="1" customHeight="1" s="381">
      <c r="A24" s="461" t="inlineStr">
        <is>
          <t>Crenshaw</t>
        </is>
      </c>
      <c r="B24" s="665" t="str">
        <f>Projects!$G$2</f>
        <v>Yes</v>
      </c>
      <c r="C24" s="664" t="n">
        <v>5321971</v>
      </c>
      <c r="D24" s="461" t="inlineStr">
        <is>
          <t>Dev</t>
        </is>
      </c>
      <c r="E24" s="461" t="inlineStr">
        <is>
          <t>8 mo</t>
        </is>
      </c>
      <c r="F24" s="461" t="inlineStr">
        <is>
          <t>No</t>
        </is>
      </c>
      <c r="G24" s="461" t="inlineStr">
        <is>
          <t>No</t>
        </is>
      </c>
      <c r="H24" s="383" t="n"/>
      <c r="I24" s="383" t="n"/>
    </row>
    <row r="25" ht="15" customFormat="1" customHeight="1" s="381">
      <c r="A25" s="461" t="inlineStr">
        <is>
          <t>Ramsgate</t>
        </is>
      </c>
      <c r="B25" s="665" t="str">
        <f>Projects!$G$3</f>
        <v>Yes</v>
      </c>
      <c r="C25" s="664" t="n">
        <v>19982132</v>
      </c>
      <c r="D25" s="461" t="inlineStr">
        <is>
          <t>Dev</t>
        </is>
      </c>
      <c r="E25" s="461" t="inlineStr">
        <is>
          <t>16 mo</t>
        </is>
      </c>
      <c r="F25" s="461" t="inlineStr">
        <is>
          <t>No</t>
        </is>
      </c>
      <c r="G25" s="461" t="inlineStr">
        <is>
          <t>No</t>
        </is>
      </c>
      <c r="H25" s="383" t="n"/>
      <c r="I25" s="383" t="n"/>
    </row>
    <row r="26" ht="15" customFormat="1" customHeight="1" s="381">
      <c r="A26" s="461" t="inlineStr">
        <is>
          <t>Califa</t>
        </is>
      </c>
      <c r="B26" s="665" t="str">
        <f>Projects!$G$4</f>
        <v>Yes</v>
      </c>
      <c r="C26" s="664" t="n">
        <v>11673185</v>
      </c>
      <c r="D26" s="461" t="inlineStr">
        <is>
          <t>3PGC</t>
        </is>
      </c>
      <c r="E26" s="461" t="inlineStr">
        <is>
          <t>15 mo</t>
        </is>
      </c>
      <c r="F26" s="461" t="inlineStr">
        <is>
          <t>No</t>
        </is>
      </c>
      <c r="G26" s="461" t="inlineStr">
        <is>
          <t>Yes</t>
        </is>
      </c>
      <c r="H26" s="383" t="n"/>
      <c r="I26" s="383" t="n"/>
    </row>
    <row r="27" ht="15" customFormat="1" customHeight="1" s="381">
      <c r="A27" s="461" t="inlineStr">
        <is>
          <t>Whipple</t>
        </is>
      </c>
      <c r="B27" s="665" t="str">
        <f>Projects!$G$5</f>
        <v>Yes</v>
      </c>
      <c r="C27" s="664" t="n">
        <v>13492534</v>
      </c>
      <c r="D27" s="461" t="inlineStr">
        <is>
          <t>3PGC</t>
        </is>
      </c>
      <c r="E27" s="461" t="inlineStr">
        <is>
          <t>15 mo</t>
        </is>
      </c>
      <c r="F27" s="461" t="inlineStr">
        <is>
          <t>No</t>
        </is>
      </c>
      <c r="G27" s="461" t="inlineStr">
        <is>
          <t>Yes</t>
        </is>
      </c>
      <c r="H27" s="383" t="n"/>
      <c r="I27" s="383" t="n"/>
    </row>
    <row r="28" ht="15" customFormat="1" customHeight="1" s="381">
      <c r="A28" s="461" t="inlineStr">
        <is>
          <t>Nelrose</t>
        </is>
      </c>
      <c r="B28" s="665" t="str">
        <f>Projects!$G$6</f>
        <v>Yes</v>
      </c>
      <c r="C28" s="664" t="n">
        <v>4052747</v>
      </c>
      <c r="D28" s="461" t="inlineStr">
        <is>
          <t>3PGC</t>
        </is>
      </c>
      <c r="E28" s="461" t="inlineStr">
        <is>
          <t>19 mo</t>
        </is>
      </c>
      <c r="F28" s="461" t="inlineStr">
        <is>
          <t>No</t>
        </is>
      </c>
      <c r="G28" s="461" t="inlineStr">
        <is>
          <t>Yes</t>
        </is>
      </c>
      <c r="H28" s="383" t="n"/>
      <c r="I28" s="383" t="n"/>
    </row>
    <row r="29" ht="15" customFormat="1" customHeight="1" s="381">
      <c r="A29" s="461" t="inlineStr">
        <is>
          <t>Francis</t>
        </is>
      </c>
      <c r="B29" s="665" t="str">
        <f>Projects!$G$7</f>
        <v>Yes</v>
      </c>
      <c r="C29" s="664" t="n">
        <v>42794765</v>
      </c>
      <c r="D29" s="461" t="inlineStr">
        <is>
          <t>Dev</t>
        </is>
      </c>
      <c r="E29" s="461" t="inlineStr">
        <is>
          <t>24 mo</t>
        </is>
      </c>
      <c r="F29" s="461" t="inlineStr">
        <is>
          <t>Yes</t>
        </is>
      </c>
      <c r="G29" s="461" t="inlineStr">
        <is>
          <t>Yes</t>
        </is>
      </c>
      <c r="H29" s="383" t="n"/>
      <c r="I29" s="383" t="n"/>
    </row>
    <row r="30" ht="15" customFormat="1" customHeight="1" s="381">
      <c r="A30" s="461" t="inlineStr">
        <is>
          <t>Lexington</t>
        </is>
      </c>
      <c r="B30" s="665" t="str">
        <f>Projects!$G$8</f>
        <v>Yes</v>
      </c>
      <c r="C30" s="664" t="n">
        <v>12993776.05</v>
      </c>
      <c r="D30" s="461" t="inlineStr">
        <is>
          <t>3PGC</t>
        </is>
      </c>
      <c r="E30" s="461" t="inlineStr">
        <is>
          <t>19 mo</t>
        </is>
      </c>
      <c r="F30" s="461" t="inlineStr">
        <is>
          <t>No</t>
        </is>
      </c>
      <c r="G30" s="461" t="inlineStr">
        <is>
          <t>Yes</t>
        </is>
      </c>
      <c r="H30" s="383" t="n"/>
      <c r="I30" s="383" t="n"/>
    </row>
    <row r="31" ht="15" customFormat="1" customHeight="1" s="381">
      <c r="A31" s="461" t="inlineStr">
        <is>
          <t>Denny</t>
        </is>
      </c>
      <c r="B31" s="665" t="str">
        <f>Projects!$G$9</f>
        <v>Yes</v>
      </c>
      <c r="C31" s="664" t="n">
        <v>14337010.8</v>
      </c>
      <c r="D31" s="461" t="inlineStr">
        <is>
          <t>3PGC</t>
        </is>
      </c>
      <c r="E31" s="461" t="inlineStr">
        <is>
          <t>30 mo</t>
        </is>
      </c>
      <c r="F31" s="461" t="inlineStr">
        <is>
          <t>No</t>
        </is>
      </c>
      <c r="G31" s="461" t="inlineStr">
        <is>
          <t>Yes</t>
        </is>
      </c>
      <c r="H31" s="383" t="n"/>
      <c r="I31" s="383" t="n"/>
    </row>
    <row r="32" ht="15" customFormat="1" customHeight="1" s="381">
      <c r="A32" s="461" t="inlineStr">
        <is>
          <t>Acama</t>
        </is>
      </c>
      <c r="B32" s="665" t="str">
        <f>Projects!$G$10</f>
        <v>Yes</v>
      </c>
      <c r="C32" s="664" t="n">
        <v>21263405</v>
      </c>
      <c r="D32" s="461" t="inlineStr">
        <is>
          <t>3PGC</t>
        </is>
      </c>
      <c r="E32" s="461" t="inlineStr">
        <is>
          <t>19 mo</t>
        </is>
      </c>
      <c r="F32" s="461" t="inlineStr">
        <is>
          <t>No</t>
        </is>
      </c>
      <c r="G32" s="461" t="inlineStr">
        <is>
          <t>Yes</t>
        </is>
      </c>
      <c r="H32" s="383" t="n"/>
      <c r="I32" s="383" t="n"/>
    </row>
    <row r="33" ht="15" customFormat="1" customHeight="1" s="381">
      <c r="A33" s="461" t="inlineStr">
        <is>
          <t>Klump</t>
        </is>
      </c>
      <c r="B33" s="665" t="str">
        <f>Projects!$G$11</f>
        <v>Yes</v>
      </c>
      <c r="C33" s="664" t="n">
        <v>9577109</v>
      </c>
      <c r="D33" s="461" t="inlineStr">
        <is>
          <t>Dev</t>
        </is>
      </c>
      <c r="E33" s="461" t="inlineStr">
        <is>
          <t>19 mo</t>
        </is>
      </c>
      <c r="F33" s="461" t="inlineStr">
        <is>
          <t>Yes</t>
        </is>
      </c>
      <c r="G33" s="461" t="inlineStr">
        <is>
          <t>No</t>
        </is>
      </c>
      <c r="H33" s="383" t="n"/>
      <c r="I33" s="383" t="n"/>
    </row>
    <row r="34" ht="15" customFormat="1" customHeight="1" s="381">
      <c r="A34" s="461" t="inlineStr">
        <is>
          <t>Scott</t>
        </is>
      </c>
      <c r="B34" s="665" t="str">
        <f>Projects!$G$12</f>
        <v>Yes</v>
      </c>
      <c r="C34" s="664" t="n">
        <v>7545203</v>
      </c>
      <c r="D34" s="461" t="inlineStr">
        <is>
          <t>Dev</t>
        </is>
      </c>
      <c r="E34" s="461" t="inlineStr">
        <is>
          <t>19 mo</t>
        </is>
      </c>
      <c r="F34" s="461" t="inlineStr">
        <is>
          <t>Yes</t>
        </is>
      </c>
      <c r="G34" s="461" t="inlineStr">
        <is>
          <t>No</t>
        </is>
      </c>
      <c r="H34" s="383" t="n"/>
      <c r="I34" s="383" t="n"/>
    </row>
    <row r="35" ht="15" customFormat="1" customHeight="1" s="381">
      <c r="A35" s="461" t="inlineStr">
        <is>
          <t>Reseda</t>
        </is>
      </c>
      <c r="B35" s="665" t="str">
        <f>Projects!$G$13</f>
        <v>Yes</v>
      </c>
      <c r="C35" s="664" t="n">
        <v>45266770</v>
      </c>
      <c r="D35" s="461" t="inlineStr">
        <is>
          <t>Dev</t>
        </is>
      </c>
      <c r="E35" s="461" t="inlineStr">
        <is>
          <t>30 mo</t>
        </is>
      </c>
      <c r="F35" s="461" t="inlineStr">
        <is>
          <t>Yes</t>
        </is>
      </c>
      <c r="G35" s="461" t="inlineStr">
        <is>
          <t>Yes</t>
        </is>
      </c>
      <c r="H35" s="383" t="n"/>
      <c r="I35" s="383" t="n"/>
    </row>
    <row r="36" ht="15" customFormat="1" customHeight="1" s="381">
      <c r="A36" s="461" t="inlineStr">
        <is>
          <t>3rd St</t>
        </is>
      </c>
      <c r="B36" s="665" t="str">
        <f>Projects!$G$14</f>
        <v>Yes</v>
      </c>
      <c r="C36" s="664" t="n">
        <v>41354632</v>
      </c>
      <c r="D36" s="461" t="inlineStr">
        <is>
          <t>Dev</t>
        </is>
      </c>
      <c r="E36" s="461" t="inlineStr">
        <is>
          <t>30 mo</t>
        </is>
      </c>
      <c r="F36" s="461" t="inlineStr">
        <is>
          <t>Yes</t>
        </is>
      </c>
      <c r="G36" s="461" t="inlineStr">
        <is>
          <t>Yes</t>
        </is>
      </c>
      <c r="H36" s="383" t="n"/>
      <c r="I36" s="383" t="n"/>
    </row>
    <row r="37" ht="15" customFormat="1" customHeight="1" s="381">
      <c r="A37" s="383" t="n"/>
      <c r="B37" s="383" t="n"/>
      <c r="C37" s="383" t="n"/>
      <c r="D37" s="383" t="n"/>
      <c r="E37" s="383" t="n"/>
      <c r="F37" s="383" t="n"/>
      <c r="G37" s="383" t="n"/>
      <c r="H37" s="383" t="n"/>
      <c r="I37" s="383" t="n"/>
    </row>
    <row r="38" ht="15" customFormat="1" customHeight="1" s="381">
      <c r="A38" s="383" t="n"/>
      <c r="B38" s="383" t="n"/>
      <c r="C38" s="383" t="n"/>
      <c r="D38" s="383" t="n"/>
      <c r="E38" s="383" t="n"/>
      <c r="F38" s="383" t="n"/>
      <c r="G38" s="383" t="n"/>
      <c r="H38" s="383" t="n"/>
      <c r="I38" s="383" t="n"/>
    </row>
    <row r="39" ht="15" customFormat="1" customHeight="1" s="381">
      <c r="A39" s="384" t="inlineStr">
        <is>
          <t>ANNUAL RESULTS (Live from Model)</t>
        </is>
      </c>
      <c r="B39" s="384" t="n"/>
      <c r="C39" s="384" t="n"/>
      <c r="D39" s="384" t="n"/>
      <c r="E39" s="384" t="n"/>
      <c r="F39" s="384" t="n"/>
      <c r="G39" s="384" t="n"/>
      <c r="H39" s="384" t="n"/>
      <c r="I39" s="384" t="n"/>
    </row>
    <row r="40" ht="15" customFormat="1" customHeight="1" s="381">
      <c r="A40" s="403" t="inlineStr">
        <is>
          <t>Metric</t>
        </is>
      </c>
      <c r="B40" s="666" t="inlineStr">
        <is>
          <t>FY 2026</t>
        </is>
      </c>
      <c r="C40" s="666" t="inlineStr">
        <is>
          <t>FY 2027</t>
        </is>
      </c>
      <c r="D40" s="666" t="inlineStr">
        <is>
          <t>FY 2028</t>
        </is>
      </c>
      <c r="E40" s="666" t="inlineStr">
        <is>
          <t>FY 2029</t>
        </is>
      </c>
      <c r="F40" s="666" t="inlineStr">
        <is>
          <t>FY 2030</t>
        </is>
      </c>
      <c r="G40" s="666" t="inlineStr">
        <is>
          <t>FY 2031</t>
        </is>
      </c>
      <c r="H40" s="666" t="inlineStr">
        <is>
          <t>FY 2032</t>
        </is>
      </c>
      <c r="I40" s="666" t="inlineStr">
        <is>
          <t>FY 2033</t>
        </is>
      </c>
    </row>
    <row r="41" ht="15" customFormat="1" customHeight="1" s="381">
      <c r="A41" s="648" t="inlineStr">
        <is>
          <t>Total GC Revenue</t>
        </is>
      </c>
      <c r="B41" s="649">
        <f>'Annual Summary'!B7</f>
        <v>58029595.3343998</v>
      </c>
      <c r="C41" s="649">
        <f>'Annual Summary'!C7</f>
        <v>111845509.484752</v>
      </c>
      <c r="D41" s="649">
        <f>'Annual Summary'!D7</f>
        <v>139597210.545678</v>
      </c>
      <c r="E41" s="649">
        <f>'Annual Summary'!E7</f>
        <v>159370312.746303</v>
      </c>
      <c r="F41" s="649">
        <f>'Annual Summary'!F7</f>
        <v>137445528.920152</v>
      </c>
      <c r="G41" s="649">
        <f>'Annual Summary'!G7</f>
        <v>101576343</v>
      </c>
      <c r="H41" s="649">
        <f>'Annual Summary'!H7</f>
        <v>8436822</v>
      </c>
      <c r="I41" s="649">
        <f>'Annual Summary'!I7</f>
        <v>0</v>
      </c>
    </row>
    <row r="42" ht="15" customFormat="1" customHeight="1" s="381">
      <c r="A42" s="422" t="inlineStr">
        <is>
          <t>GC Net Income</t>
        </is>
      </c>
      <c r="B42" s="667">
        <f>'Annual Summary'!B20</f>
        <v>1388112.92389965</v>
      </c>
      <c r="C42" s="667">
        <f>'Annual Summary'!C20</f>
        <v>3306495.4497458</v>
      </c>
      <c r="D42" s="667">
        <f>'Annual Summary'!D20</f>
        <v>8156236.01210165</v>
      </c>
      <c r="E42" s="667">
        <f>'Annual Summary'!E20</f>
        <v>11419236.1103364</v>
      </c>
      <c r="F42" s="667">
        <f>'Annual Summary'!F20</f>
        <v>10372913.1266615</v>
      </c>
      <c r="G42" s="667">
        <f>'Annual Summary'!G20</f>
        <v>3879488.6440929</v>
      </c>
      <c r="H42" s="667">
        <f>'Annual Summary'!H20</f>
        <v>-5598115.40802524</v>
      </c>
      <c r="I42" s="667">
        <f>'Annual Summary'!I20</f>
        <v>-7656078.77718574</v>
      </c>
    </row>
    <row r="43" ht="15" customFormat="1" customHeight="1" s="381">
      <c r="A43" s="461" t="inlineStr">
        <is>
          <t>GC Profit Margin %</t>
        </is>
      </c>
      <c r="B43" s="656">
        <f>'Annual Summary'!B21</f>
        <v>0.023920775526704</v>
      </c>
      <c r="C43" s="656">
        <f>'Annual Summary'!C21</f>
        <v>0.0295630594824781</v>
      </c>
      <c r="D43" s="656">
        <f>'Annual Summary'!D21</f>
        <v>0.0584269268721014</v>
      </c>
      <c r="E43" s="656">
        <f>'Annual Summary'!E21</f>
        <v>0.0716522162349917</v>
      </c>
      <c r="F43" s="656">
        <f>'Annual Summary'!F21</f>
        <v>0.0754692655931176</v>
      </c>
      <c r="G43" s="656">
        <f>'Annual Summary'!G21</f>
        <v>0.0381928363388009</v>
      </c>
      <c r="H43" s="656">
        <f>'Annual Summary'!H21</f>
        <v>-0.663533663270985</v>
      </c>
      <c r="I43" s="656">
        <f>'Annual Summary'!I21</f>
        <v>0</v>
      </c>
    </row>
    <row r="44" ht="15" customFormat="1" customHeight="1" s="381">
      <c r="A44" s="383" t="n"/>
      <c r="B44" s="383" t="n"/>
      <c r="C44" s="383" t="n"/>
      <c r="D44" s="383" t="n"/>
      <c r="E44" s="383" t="n"/>
      <c r="F44" s="383" t="n"/>
      <c r="G44" s="383" t="n"/>
      <c r="H44" s="383" t="n"/>
      <c r="I44" s="383" t="n"/>
    </row>
    <row r="45" ht="15" customFormat="1" customHeight="1" s="381">
      <c r="A45" s="648" t="inlineStr">
        <is>
          <t>Six Peak Revenue</t>
        </is>
      </c>
      <c r="B45" s="649">
        <f>'Annual Summary'!B23</f>
        <v>803074.497142857</v>
      </c>
      <c r="C45" s="649">
        <f>'Annual Summary'!C23</f>
        <v>1505007.21085714</v>
      </c>
      <c r="D45" s="649">
        <f>'Annual Summary'!D23</f>
        <v>2006922.1345</v>
      </c>
      <c r="E45" s="649">
        <f>'Annual Summary'!E23</f>
        <v>1495059.0065</v>
      </c>
      <c r="F45" s="649">
        <f>'Annual Summary'!F23</f>
        <v>1826812.922</v>
      </c>
      <c r="G45" s="649">
        <f>'Annual Summary'!G23</f>
        <v>890965.433</v>
      </c>
      <c r="H45" s="649">
        <f>'Annual Summary'!H23</f>
        <v>819993</v>
      </c>
      <c r="I45" s="649">
        <f>'Annual Summary'!I23</f>
        <v>2310160</v>
      </c>
    </row>
    <row r="46" ht="15" customFormat="1" customHeight="1" s="381">
      <c r="A46" s="422" t="inlineStr">
        <is>
          <t>Six Peak Net Income</t>
        </is>
      </c>
      <c r="B46" s="667">
        <f>'Annual Summary'!B25</f>
        <v>-959336.582857143</v>
      </c>
      <c r="C46" s="667">
        <f>'Annual Summary'!C25</f>
        <v>262646.774357143</v>
      </c>
      <c r="D46" s="667">
        <f>'Annual Summary'!D25</f>
        <v>1036762.07167</v>
      </c>
      <c r="E46" s="667">
        <f>'Annual Summary'!E25</f>
        <v>342130.7424134</v>
      </c>
      <c r="F46" s="667">
        <f>'Annual Summary'!F25</f>
        <v>-459498.607368332</v>
      </c>
      <c r="G46" s="667">
        <f>'Annual Summary'!G25</f>
        <v>-564123.836955699</v>
      </c>
      <c r="H46" s="667">
        <f>'Annual Summary'!H25</f>
        <v>-761610.452354813</v>
      </c>
      <c r="I46" s="667">
        <f>'Annual Summary'!I25</f>
        <v>432720.92520457</v>
      </c>
    </row>
    <row r="47" ht="15" customFormat="1" customHeight="1" s="381">
      <c r="A47" s="383" t="n"/>
      <c r="B47" s="383" t="n"/>
      <c r="C47" s="383" t="n"/>
      <c r="D47" s="383" t="n"/>
      <c r="E47" s="383" t="n"/>
      <c r="F47" s="383" t="n"/>
      <c r="G47" s="383" t="n"/>
      <c r="H47" s="383" t="n"/>
      <c r="I47" s="383" t="n"/>
    </row>
    <row r="48" ht="15" customFormat="1" customHeight="1" s="381">
      <c r="A48" s="422" t="inlineStr">
        <is>
          <t>Consolidated Net Income</t>
        </is>
      </c>
      <c r="B48" s="667">
        <f>'Annual Summary'!B27</f>
        <v>428776.341042507</v>
      </c>
      <c r="C48" s="667">
        <f>'Annual Summary'!C27</f>
        <v>3569142.22410295</v>
      </c>
      <c r="D48" s="667">
        <f>'Annual Summary'!D27</f>
        <v>9192998.08377165</v>
      </c>
      <c r="E48" s="667">
        <f>'Annual Summary'!E27</f>
        <v>11761366.8527498</v>
      </c>
      <c r="F48" s="667">
        <f>'Annual Summary'!F27</f>
        <v>9913414.51929314</v>
      </c>
      <c r="G48" s="667">
        <f>'Annual Summary'!G27</f>
        <v>3315364.8071372</v>
      </c>
      <c r="H48" s="667">
        <f>'Annual Summary'!H27</f>
        <v>-6359725.86038005</v>
      </c>
      <c r="I48" s="667">
        <f>'Annual Summary'!I27</f>
        <v>-7223357.85198117</v>
      </c>
    </row>
    <row r="49" ht="15" customFormat="1" customHeight="1" s="381">
      <c r="A49" s="383" t="n"/>
      <c r="B49" s="383" t="n"/>
      <c r="C49" s="383" t="n"/>
      <c r="D49" s="383" t="n"/>
      <c r="E49" s="383" t="n"/>
      <c r="F49" s="383" t="n"/>
      <c r="G49" s="383" t="n"/>
      <c r="H49" s="383" t="n"/>
      <c r="I49" s="383" t="n"/>
    </row>
    <row r="50" ht="15" customFormat="1" customHeight="1" s="381">
      <c r="A50" s="668" t="inlineStr">
        <is>
          <t>Total Ending Cash</t>
        </is>
      </c>
      <c r="B50" s="669">
        <f>'Annual Summary'!B49</f>
        <v>1231609.57639528</v>
      </c>
      <c r="C50" s="669">
        <f>'Annual Summary'!C49</f>
        <v>2768778.66179884</v>
      </c>
      <c r="D50" s="669">
        <f>'Annual Summary'!D49</f>
        <v>10461558.5472768</v>
      </c>
      <c r="E50" s="669">
        <f>'Annual Summary'!E49</f>
        <v>22100719.9747659</v>
      </c>
      <c r="F50" s="669">
        <f>'Annual Summary'!F49</f>
        <v>32353285.7337527</v>
      </c>
      <c r="G50" s="669">
        <f>'Annual Summary'!G49</f>
        <v>36010071.3283899</v>
      </c>
      <c r="H50" s="669">
        <f>'Annual Summary'!H49</f>
        <v>30709485.2905099</v>
      </c>
      <c r="I50" s="669">
        <f>'Annual Summary'!I49</f>
        <v>23486127.4385287</v>
      </c>
    </row>
    <row r="51" ht="15" customFormat="1" customHeight="1" s="381">
      <c r="A51" s="668" t="inlineStr">
        <is>
          <t>LV Ending Cash</t>
        </is>
      </c>
      <c r="B51" s="669">
        <f>'Annual Summary'!B46</f>
        <v>1235395.10925242</v>
      </c>
      <c r="C51" s="669">
        <f>'Annual Summary'!C46</f>
        <v>3853917.42029884</v>
      </c>
      <c r="D51" s="669">
        <f>'Annual Summary'!D46</f>
        <v>11411916.6643854</v>
      </c>
      <c r="E51" s="669">
        <f>'Annual Summary'!E46</f>
        <v>22958947.3494611</v>
      </c>
      <c r="F51" s="669">
        <f>'Annual Summary'!F46</f>
        <v>33921011.7158162</v>
      </c>
      <c r="G51" s="669">
        <f>'Annual Summary'!G46</f>
        <v>38391921.1474092</v>
      </c>
      <c r="H51" s="669">
        <f>'Annual Summary'!H46</f>
        <v>33852945.5618839</v>
      </c>
      <c r="I51" s="669">
        <f>'Annual Summary'!I46</f>
        <v>26196866.7846982</v>
      </c>
    </row>
    <row r="52" ht="15" customFormat="1" customHeight="1" s="381">
      <c r="A52" s="668" t="inlineStr">
        <is>
          <t>SP Ending Cash</t>
        </is>
      </c>
      <c r="B52" s="669">
        <f>'Annual Summary'!B47</f>
        <v>-3785.53285714291</v>
      </c>
      <c r="C52" s="669">
        <f>'Annual Summary'!C47</f>
        <v>-1085138.7585</v>
      </c>
      <c r="D52" s="669">
        <f>'Annual Summary'!D47</f>
        <v>-950358.117108598</v>
      </c>
      <c r="E52" s="669">
        <f>'Annual Summary'!E47</f>
        <v>-858227.374695198</v>
      </c>
      <c r="F52" s="669">
        <f>'Annual Summary'!F47</f>
        <v>-1567725.98206353</v>
      </c>
      <c r="G52" s="669">
        <f>'Annual Summary'!G47</f>
        <v>-2381849.81901923</v>
      </c>
      <c r="H52" s="669">
        <f>'Annual Summary'!H47</f>
        <v>-3143460.27137404</v>
      </c>
      <c r="I52" s="669">
        <f>'Annual Summary'!I47</f>
        <v>-2710739.34616947</v>
      </c>
    </row>
    <row r="53" ht="15" customFormat="1" customHeight="1" s="381">
      <c r="A53" s="383" t="n"/>
      <c r="B53" s="383" t="n"/>
      <c r="C53" s="383" t="n"/>
      <c r="D53" s="383" t="n"/>
      <c r="E53" s="383" t="n"/>
      <c r="F53" s="383" t="n"/>
      <c r="G53" s="383" t="n"/>
      <c r="H53" s="383" t="n"/>
      <c r="I53" s="383" t="n"/>
    </row>
    <row r="54" ht="15" customFormat="1" customHeight="1" s="381">
      <c r="A54" s="461" t="inlineStr">
        <is>
          <t>Total Bonding Outstanding</t>
        </is>
      </c>
      <c r="B54" s="647">
        <f>'Annual Summary'!B44</f>
        <v>87859272.6014299</v>
      </c>
      <c r="C54" s="647">
        <f>'Annual Summary'!C44</f>
        <v>87461656.1828859</v>
      </c>
      <c r="D54" s="647">
        <f>'Annual Summary'!D44</f>
        <v>47780701.5977726</v>
      </c>
      <c r="E54" s="647">
        <f>'Annual Summary'!E44</f>
        <v>13258584.501624</v>
      </c>
      <c r="F54" s="647">
        <f>'Annual Summary'!F44</f>
        <v>0</v>
      </c>
      <c r="G54" s="647">
        <f>'Annual Summary'!G44</f>
        <v>0</v>
      </c>
      <c r="H54" s="647">
        <f>'Annual Summary'!H44</f>
        <v>0</v>
      </c>
      <c r="I54" s="647">
        <f>'Annual Summary'!I44</f>
        <v>0</v>
      </c>
    </row>
    <row r="55" ht="15" customFormat="1" customHeight="1" s="381">
      <c r="A55" s="461" t="inlineStr">
        <is>
          <t>PIK Outstanding</t>
        </is>
      </c>
      <c r="B55" s="647">
        <f>'Annual Summary'!B42</f>
        <v>2378399.92018311</v>
      </c>
      <c r="C55" s="647">
        <f>'Annual Summary'!C42</f>
        <v>1714451.09866009</v>
      </c>
      <c r="D55" s="647">
        <f>'Annual Summary'!D42</f>
        <v>1035128.51554915</v>
      </c>
      <c r="E55" s="647">
        <f>'Annual Summary'!E42</f>
        <v>1199352.08415979</v>
      </c>
      <c r="F55" s="647">
        <f>'Annual Summary'!F42</f>
        <v>975331.495449082</v>
      </c>
      <c r="G55" s="647">
        <f>'Annual Summary'!G42</f>
        <v>820735.28594806</v>
      </c>
      <c r="H55" s="647">
        <f>'Annual Summary'!H42</f>
        <v>621470.381107174</v>
      </c>
      <c r="I55" s="647">
        <f>'Annual Summary'!I42</f>
        <v>233637.0833122</v>
      </c>
    </row>
    <row r="56" ht="15" customFormat="1" customHeight="1" s="381">
      <c r="A56" s="383" t="n"/>
      <c r="B56" s="383" t="n"/>
      <c r="C56" s="383" t="n"/>
      <c r="D56" s="383" t="n"/>
      <c r="E56" s="383" t="n"/>
      <c r="F56" s="383" t="n"/>
      <c r="G56" s="383" t="n"/>
      <c r="H56" s="383" t="n"/>
      <c r="I56" s="383" t="n"/>
    </row>
    <row r="57" ht="15" customFormat="1" customHeight="1" s="381">
      <c r="A57" s="383" t="n"/>
      <c r="B57" s="383" t="n"/>
      <c r="C57" s="383" t="n"/>
      <c r="D57" s="383" t="n"/>
      <c r="E57" s="383" t="n"/>
      <c r="F57" s="383" t="n"/>
      <c r="G57" s="383" t="n"/>
      <c r="H57" s="383" t="n"/>
      <c r="I57" s="383" t="n"/>
    </row>
    <row r="58" ht="15" customFormat="1" customHeight="1" s="381">
      <c r="A58" s="384" t="inlineStr">
        <is>
          <t>GC REVENUE SENSITIVITY — Total Fee Revenue by Rate Combination</t>
        </is>
      </c>
      <c r="B58" s="384" t="n"/>
      <c r="C58" s="384" t="n"/>
      <c r="D58" s="384" t="n"/>
      <c r="E58" s="384" t="n"/>
      <c r="F58" s="384" t="n"/>
      <c r="G58" s="384" t="n"/>
      <c r="H58" s="383" t="n"/>
      <c r="I58" s="383" t="n"/>
    </row>
    <row r="59" ht="15" customFormat="1" customHeight="1" s="381">
      <c r="A59" s="449" t="inlineStr">
        <is>
          <t>Combined GMP: $251,968,791  |  Shows total fee revenue (Sup+GC+Admin) at different rate/overhead combos</t>
        </is>
      </c>
      <c r="B59" s="383" t="n"/>
      <c r="C59" s="383" t="n"/>
      <c r="D59" s="383" t="n"/>
      <c r="E59" s="383" t="n"/>
      <c r="F59" s="383" t="n"/>
      <c r="G59" s="383" t="n"/>
      <c r="H59" s="383" t="n"/>
      <c r="I59" s="383" t="n"/>
    </row>
    <row r="60" ht="15" customFormat="1" customHeight="1" s="381">
      <c r="A60" s="670" t="inlineStr">
        <is>
          <t>Total Fee Rate ↓  /  Overhead Rate →</t>
        </is>
      </c>
      <c r="B60" s="671" t="n">
        <v>0.07000000000000001</v>
      </c>
      <c r="C60" s="671" t="n">
        <v>0.08</v>
      </c>
      <c r="D60" s="671" t="n">
        <v>0.092</v>
      </c>
      <c r="E60" s="671" t="n">
        <v>0.1</v>
      </c>
      <c r="F60" s="671" t="n">
        <v>0.12</v>
      </c>
      <c r="G60" s="383" t="n"/>
      <c r="H60" s="383" t="n"/>
      <c r="I60" s="383" t="n"/>
    </row>
    <row r="61" ht="15" customFormat="1" customHeight="1" s="381">
      <c r="A61" s="672" t="n">
        <v>0.1</v>
      </c>
      <c r="B61" s="660" t="n">
        <v>21535794</v>
      </c>
      <c r="C61" s="660" t="n">
        <v>21353287</v>
      </c>
      <c r="D61" s="660" t="n">
        <v>21138321</v>
      </c>
      <c r="E61" s="660" t="n">
        <v>20997399</v>
      </c>
      <c r="F61" s="660" t="n">
        <v>20653180</v>
      </c>
      <c r="G61" s="383" t="n"/>
      <c r="H61" s="383" t="n"/>
      <c r="I61" s="383" t="n"/>
    </row>
    <row r="62" ht="15" customFormat="1" customHeight="1" s="381">
      <c r="A62" s="672" t="n">
        <v>0.12</v>
      </c>
      <c r="B62" s="660" t="n">
        <v>25408618</v>
      </c>
      <c r="C62" s="660" t="n">
        <v>25196879</v>
      </c>
      <c r="D62" s="660" t="n">
        <v>24947405</v>
      </c>
      <c r="E62" s="660" t="n">
        <v>24783816</v>
      </c>
      <c r="F62" s="660" t="n">
        <v>24384077</v>
      </c>
      <c r="G62" s="383" t="n"/>
      <c r="H62" s="383" t="n"/>
      <c r="I62" s="383" t="n"/>
    </row>
    <row r="63" ht="15" customFormat="1" customHeight="1" s="381">
      <c r="A63" s="672" t="n">
        <v>0.14</v>
      </c>
      <c r="B63" s="660" t="n">
        <v>29153414</v>
      </c>
      <c r="C63" s="660" t="n">
        <v>28914451</v>
      </c>
      <c r="D63" s="673" t="n">
        <v>28632817</v>
      </c>
      <c r="E63" s="660" t="n">
        <v>28448089</v>
      </c>
      <c r="F63" s="660" t="n">
        <v>27996532</v>
      </c>
      <c r="G63" s="383" t="n"/>
      <c r="H63" s="383" t="n"/>
      <c r="I63" s="383" t="n"/>
    </row>
    <row r="64" ht="15" customFormat="1" customHeight="1" s="381">
      <c r="A64" s="672" t="n">
        <v>0.16</v>
      </c>
      <c r="B64" s="660" t="n">
        <v>32776428</v>
      </c>
      <c r="C64" s="660" t="n">
        <v>32512102</v>
      </c>
      <c r="D64" s="660" t="n">
        <v>32200484</v>
      </c>
      <c r="E64" s="660" t="n">
        <v>31996037</v>
      </c>
      <c r="F64" s="660" t="n">
        <v>31496099</v>
      </c>
      <c r="G64" s="383" t="n"/>
      <c r="H64" s="383" t="n"/>
      <c r="I64" s="383" t="n"/>
    </row>
    <row r="65" ht="15" customFormat="1" customHeight="1" s="381">
      <c r="A65" s="672" t="n">
        <v>0.18</v>
      </c>
      <c r="B65" s="660" t="n">
        <v>36283506</v>
      </c>
      <c r="C65" s="660" t="n">
        <v>35995542</v>
      </c>
      <c r="D65" s="660" t="n">
        <v>35655961</v>
      </c>
      <c r="E65" s="660" t="n">
        <v>35433111</v>
      </c>
      <c r="F65" s="660" t="n">
        <v>34887986</v>
      </c>
      <c r="G65" s="383" t="n"/>
      <c r="H65" s="383" t="n"/>
      <c r="I65" s="383" t="n"/>
    </row>
    <row r="66" ht="15" customFormat="1" customHeight="1" s="381">
      <c r="A66" s="383" t="n"/>
      <c r="B66" s="383" t="n"/>
      <c r="C66" s="383" t="n"/>
      <c r="D66" s="383" t="n"/>
      <c r="E66" s="383" t="n"/>
      <c r="F66" s="383" t="n"/>
      <c r="G66" s="383" t="n"/>
      <c r="H66" s="383" t="n"/>
      <c r="I66" s="383" t="n"/>
    </row>
    <row r="67" ht="15" customFormat="1" customHeight="1" s="381">
      <c r="A67" s="383" t="n"/>
      <c r="B67" s="383" t="n"/>
      <c r="C67" s="383" t="n"/>
      <c r="D67" s="383" t="n"/>
      <c r="E67" s="383" t="n"/>
      <c r="F67" s="383" t="n"/>
      <c r="G67" s="383" t="n"/>
      <c r="H67" s="383" t="n"/>
      <c r="I67" s="383" t="n"/>
    </row>
    <row r="68" ht="15" customFormat="1" customHeight="1" s="381">
      <c r="A68" s="384" t="inlineStr">
        <is>
          <t>CASH POSITION ANALYSIS</t>
        </is>
      </c>
      <c r="B68" s="384" t="n"/>
      <c r="C68" s="384" t="n"/>
      <c r="D68" s="384" t="n"/>
      <c r="E68" s="384" t="n"/>
      <c r="F68" s="384" t="n"/>
      <c r="G68" s="383" t="n"/>
      <c r="H68" s="383" t="n"/>
      <c r="I68" s="383" t="n"/>
    </row>
    <row r="69" ht="15" customFormat="1" customHeight="1" s="381">
      <c r="A69" s="403" t="inlineStr">
        <is>
          <t>Entity</t>
        </is>
      </c>
      <c r="B69" s="403" t="inlineStr">
        <is>
          <t>Starting Cash</t>
        </is>
      </c>
      <c r="C69" s="403" t="inlineStr">
        <is>
          <t>FY 2027 Cash</t>
        </is>
      </c>
      <c r="D69" s="403" t="inlineStr">
        <is>
          <t>FY 2029 Cash</t>
        </is>
      </c>
      <c r="E69" s="403" t="inlineStr">
        <is>
          <t>FY 2031 Cash</t>
        </is>
      </c>
      <c r="F69" s="403" t="inlineStr">
        <is>
          <t>FY 2033 Cash</t>
        </is>
      </c>
      <c r="G69" s="383" t="n"/>
      <c r="H69" s="383" t="n"/>
      <c r="I69" s="383" t="n"/>
    </row>
    <row r="70" ht="15" customFormat="1" customHeight="1" s="381">
      <c r="A70" s="461" t="inlineStr">
        <is>
          <t>LV (GC)</t>
        </is>
      </c>
      <c r="B70" s="664">
        <f>'Annual Summary'!B46</f>
        <v>1235395.10925242</v>
      </c>
      <c r="C70" s="660">
        <f>'Annual Summary'!C46</f>
        <v>3853917.42029884</v>
      </c>
      <c r="D70" s="660">
        <f>'Annual Summary'!E46</f>
        <v>22958947.3494611</v>
      </c>
      <c r="E70" s="660">
        <f>'Annual Summary'!G46</f>
        <v>38391921.1474092</v>
      </c>
      <c r="F70" s="660">
        <f>'Annual Summary'!I46</f>
        <v>26196866.7846982</v>
      </c>
      <c r="G70" s="383" t="n"/>
      <c r="H70" s="383" t="n"/>
      <c r="I70" s="383" t="n"/>
    </row>
    <row r="71" ht="15" customFormat="1" customHeight="1" s="381">
      <c r="A71" s="461" t="inlineStr">
        <is>
          <t>Six Peak</t>
        </is>
      </c>
      <c r="B71" s="664">
        <f>'Annual Summary'!B47</f>
        <v>-3785.53285714291</v>
      </c>
      <c r="C71" s="660">
        <f>'Annual Summary'!C47</f>
        <v>-1085138.7585</v>
      </c>
      <c r="D71" s="660">
        <f>'Annual Summary'!E47</f>
        <v>-858227.374695198</v>
      </c>
      <c r="E71" s="660">
        <f>'Annual Summary'!G47</f>
        <v>-2381849.81901923</v>
      </c>
      <c r="F71" s="660">
        <f>'Annual Summary'!I47</f>
        <v>-2710739.34616947</v>
      </c>
      <c r="G71" s="383" t="n"/>
      <c r="H71" s="383" t="n"/>
      <c r="I71" s="383" t="n"/>
    </row>
    <row r="72" ht="15" customFormat="1" customHeight="1" s="381">
      <c r="A72" s="668" t="inlineStr">
        <is>
          <t>Consolidated</t>
        </is>
      </c>
      <c r="B72" s="674">
        <f>'Annual Summary'!B49</f>
        <v>1231609.57639528</v>
      </c>
      <c r="C72" s="675">
        <f>'Annual Summary'!C49</f>
        <v>2768778.66179884</v>
      </c>
      <c r="D72" s="675">
        <f>'Annual Summary'!E49</f>
        <v>22100719.9747659</v>
      </c>
      <c r="E72" s="675">
        <f>'Annual Summary'!G49</f>
        <v>36010071.3283899</v>
      </c>
      <c r="F72" s="675">
        <f>'Annual Summary'!I49</f>
        <v>23486127.4385287</v>
      </c>
      <c r="G72" s="383" t="n"/>
      <c r="H72" s="383" t="n"/>
      <c r="I72" s="383" t="n"/>
    </row>
    <row r="73" ht="15" customFormat="1" customHeight="1" s="381">
      <c r="A73" s="383" t="n"/>
      <c r="B73" s="383" t="n"/>
      <c r="C73" s="383" t="n"/>
      <c r="D73" s="383" t="n"/>
      <c r="E73" s="383" t="n"/>
      <c r="F73" s="383" t="n"/>
      <c r="G73" s="383" t="n"/>
      <c r="H73" s="383" t="n"/>
      <c r="I73" s="383" t="n"/>
    </row>
    <row r="74" ht="15" customFormat="1" customHeight="1" s="381">
      <c r="A74" s="383" t="n"/>
      <c r="B74" s="383" t="n"/>
      <c r="C74" s="383" t="n"/>
      <c r="D74" s="383" t="n"/>
      <c r="E74" s="383" t="n"/>
      <c r="F74" s="383" t="n"/>
      <c r="G74" s="383" t="n"/>
      <c r="H74" s="383" t="n"/>
      <c r="I74" s="383" t="n"/>
    </row>
    <row r="75" ht="15" customFormat="1" customHeight="1" s="381">
      <c r="A75" s="384" t="inlineStr">
        <is>
          <t>STEYN GROUP — INVESTMENT &amp; FEE SUMMARY</t>
        </is>
      </c>
      <c r="B75" s="384" t="n"/>
      <c r="C75" s="384" t="n"/>
      <c r="D75" s="384" t="n"/>
      <c r="E75" s="384" t="n"/>
      <c r="F75" s="384" t="n"/>
      <c r="G75" s="383" t="n"/>
      <c r="H75" s="383" t="n"/>
      <c r="I75" s="383" t="n"/>
    </row>
    <row r="76" ht="15" customFormat="1" customHeight="1" s="381">
      <c r="A76" s="403" t="inlineStr">
        <is>
          <t>Project</t>
        </is>
      </c>
      <c r="B76" s="403" t="inlineStr">
        <is>
          <t>Completion Guaranty</t>
        </is>
      </c>
      <c r="C76" s="403" t="inlineStr">
        <is>
          <t>Liquidity Fee</t>
        </is>
      </c>
      <c r="D76" s="403" t="inlineStr">
        <is>
          <t>PIK Invested</t>
        </is>
      </c>
      <c r="E76" s="403" t="inlineStr">
        <is>
          <t>Total Steyn Fees</t>
        </is>
      </c>
      <c r="F76" s="403" t="inlineStr">
        <is>
          <t>LIHTC Payback</t>
        </is>
      </c>
      <c r="G76" s="383" t="n"/>
      <c r="H76" s="383" t="n"/>
      <c r="I76" s="383" t="n"/>
    </row>
    <row r="77" ht="15" customFormat="1" customHeight="1" s="381">
      <c r="A77" s="461" t="inlineStr">
        <is>
          <t>Klump</t>
        </is>
      </c>
      <c r="B77" s="652" t="n">
        <v>95771</v>
      </c>
      <c r="C77" s="652" t="n">
        <v>60000</v>
      </c>
      <c r="D77" s="652" t="n">
        <v>0</v>
      </c>
      <c r="E77" s="650" t="n">
        <v>155771</v>
      </c>
      <c r="F77" s="449" t="inlineStr">
        <is>
          <t>Non-LIHTC — paid at start</t>
        </is>
      </c>
      <c r="G77" s="383" t="n"/>
      <c r="H77" s="383" t="n"/>
      <c r="I77" s="383" t="n"/>
    </row>
    <row r="78" ht="15" customFormat="1" customHeight="1" s="381">
      <c r="A78" s="461" t="inlineStr">
        <is>
          <t>Scott</t>
        </is>
      </c>
      <c r="B78" s="652" t="n">
        <v>75452</v>
      </c>
      <c r="C78" s="652" t="n">
        <v>60000</v>
      </c>
      <c r="D78" s="652" t="n">
        <v>0</v>
      </c>
      <c r="E78" s="650" t="n">
        <v>135452</v>
      </c>
      <c r="F78" s="449" t="inlineStr">
        <is>
          <t>Non-LIHTC — paid at start</t>
        </is>
      </c>
      <c r="G78" s="383" t="n"/>
      <c r="H78" s="383" t="n"/>
      <c r="I78" s="383" t="n"/>
    </row>
    <row r="79" ht="15" customFormat="1" customHeight="1" s="381">
      <c r="A79" s="461" t="inlineStr">
        <is>
          <t>Francis</t>
        </is>
      </c>
      <c r="B79" s="652" t="n">
        <v>579684</v>
      </c>
      <c r="C79" s="652" t="n">
        <v>150000</v>
      </c>
      <c r="D79" s="652" t="n">
        <v>0</v>
      </c>
      <c r="E79" s="650" t="n">
        <v>729684</v>
      </c>
      <c r="F79" s="449" t="inlineStr">
        <is>
          <t>Quarterly from LIHTC rev</t>
        </is>
      </c>
      <c r="G79" s="383" t="n"/>
      <c r="H79" s="383" t="n"/>
      <c r="I79" s="383" t="n"/>
    </row>
    <row r="80" ht="15" customFormat="1" customHeight="1" s="381">
      <c r="A80" s="461" t="inlineStr">
        <is>
          <t>Reseda</t>
        </is>
      </c>
      <c r="B80" s="652" t="n">
        <v>602668</v>
      </c>
      <c r="C80" s="652" t="n">
        <v>150000</v>
      </c>
      <c r="D80" s="652" t="n">
        <v>1450000</v>
      </c>
      <c r="E80" s="650" t="n">
        <v>752668</v>
      </c>
      <c r="F80" s="449" t="inlineStr">
        <is>
          <t>Quarterly from LIHTC rev</t>
        </is>
      </c>
      <c r="G80" s="383" t="n"/>
      <c r="H80" s="383" t="n"/>
      <c r="I80" s="383" t="n"/>
    </row>
    <row r="81" ht="15" customFormat="1" customHeight="1" s="381">
      <c r="A81" s="461" t="inlineStr">
        <is>
          <t>3rd St</t>
        </is>
      </c>
      <c r="B81" s="652" t="n">
        <v>563546</v>
      </c>
      <c r="C81" s="652" t="n">
        <v>150000</v>
      </c>
      <c r="D81" s="652" t="n">
        <v>0</v>
      </c>
      <c r="E81" s="650" t="n">
        <v>713546</v>
      </c>
      <c r="F81" s="449" t="inlineStr">
        <is>
          <t>Pending — no revenue yet</t>
        </is>
      </c>
      <c r="G81" s="383" t="n"/>
      <c r="H81" s="383" t="n"/>
      <c r="I81" s="383" t="n"/>
    </row>
    <row r="82" ht="15" customFormat="1" customHeight="1" s="381">
      <c r="A82" s="648" t="inlineStr">
        <is>
          <t>TOTAL</t>
        </is>
      </c>
      <c r="B82" s="649" t="n">
        <v>1917121</v>
      </c>
      <c r="C82" s="649" t="n">
        <v>570000</v>
      </c>
      <c r="D82" s="649" t="n">
        <v>1450000</v>
      </c>
      <c r="E82" s="649" t="n">
        <v>2487121</v>
      </c>
      <c r="F82" s="648" t="n"/>
      <c r="G82" s="383" t="n"/>
      <c r="H82" s="383" t="n"/>
      <c r="I82" s="383" t="n"/>
    </row>
    <row r="83" ht="15" customFormat="1" customHeight="1" s="381">
      <c r="A83" s="383" t="n"/>
      <c r="B83" s="383" t="n"/>
      <c r="C83" s="383" t="n"/>
      <c r="D83" s="383" t="n"/>
      <c r="E83" s="383" t="n"/>
      <c r="F83" s="383" t="n"/>
      <c r="G83" s="383" t="n"/>
      <c r="H83" s="383" t="n"/>
      <c r="I83" s="383" t="n"/>
    </row>
    <row r="84" ht="15" customFormat="1" customHeight="1" s="381">
      <c r="A84" s="383" t="n"/>
      <c r="B84" s="383" t="n"/>
      <c r="C84" s="383" t="n"/>
      <c r="D84" s="383" t="n"/>
      <c r="E84" s="383" t="n"/>
      <c r="F84" s="383" t="n"/>
      <c r="G84" s="383" t="n"/>
      <c r="H84" s="383" t="n"/>
      <c r="I84" s="383" t="n"/>
    </row>
    <row r="85" ht="15" customFormat="1" customHeight="1" s="381">
      <c r="A85" s="384" t="inlineStr">
        <is>
          <t>TIER 2 BONDING SENSITIVITY — Reseda &amp; 3rd St</t>
        </is>
      </c>
      <c r="B85" s="384" t="n"/>
      <c r="C85" s="384" t="n"/>
      <c r="D85" s="384" t="n"/>
      <c r="E85" s="384" t="n"/>
      <c r="F85" s="384" t="n"/>
      <c r="G85" s="384" t="n"/>
      <c r="H85" s="383" t="n"/>
      <c r="I85" s="383" t="n"/>
    </row>
    <row r="86" ht="15" customFormat="1" customHeight="1" s="381">
      <c r="A86" s="461" t="inlineStr">
        <is>
          <t>Tier 2 Bonded GMP (Reseda + 3rd St)</t>
        </is>
      </c>
      <c r="B86" s="664" t="n">
        <v>86621402</v>
      </c>
      <c r="C86" s="383" t="n"/>
      <c r="D86" s="383" t="n"/>
      <c r="E86" s="383" t="n"/>
      <c r="F86" s="383" t="n"/>
      <c r="G86" s="383" t="n"/>
      <c r="H86" s="383" t="n"/>
      <c r="I86" s="383" t="n"/>
    </row>
    <row r="87" ht="15" customFormat="1" customHeight="1" s="381">
      <c r="A87" s="461" t="inlineStr">
        <is>
          <t>Current Tier 2 Rate</t>
        </is>
      </c>
      <c r="B87" s="676" t="n">
        <v>0.0325</v>
      </c>
      <c r="C87" s="383" t="n"/>
      <c r="D87" s="383" t="n"/>
      <c r="E87" s="383" t="n"/>
      <c r="F87" s="383" t="n"/>
      <c r="G87" s="383" t="n"/>
      <c r="H87" s="383" t="n"/>
      <c r="I87" s="383" t="n"/>
    </row>
    <row r="88" ht="15" customFormat="1" customHeight="1" s="381">
      <c r="A88" s="461" t="inlineStr">
        <is>
          <t>Proposed Tier 2 Rate</t>
        </is>
      </c>
      <c r="B88" s="657" t="n">
        <v>0.015</v>
      </c>
      <c r="C88" s="383" t="n"/>
      <c r="D88" s="383" t="n"/>
      <c r="E88" s="383" t="n"/>
      <c r="F88" s="383" t="n"/>
      <c r="G88" s="383" t="n"/>
      <c r="H88" s="383" t="n"/>
      <c r="I88" s="383" t="n"/>
    </row>
    <row r="89" ht="15" customFormat="1" customHeight="1" s="381">
      <c r="A89" s="403" t="n"/>
      <c r="B89" s="403" t="inlineStr">
        <is>
          <t>FY 2026</t>
        </is>
      </c>
      <c r="C89" s="403" t="inlineStr">
        <is>
          <t>FY 2027</t>
        </is>
      </c>
      <c r="D89" s="403" t="inlineStr">
        <is>
          <t>FY 2028</t>
        </is>
      </c>
      <c r="E89" s="403" t="inlineStr">
        <is>
          <t>FY 2029</t>
        </is>
      </c>
      <c r="F89" s="403" t="inlineStr">
        <is>
          <t>Total</t>
        </is>
      </c>
      <c r="G89" s="383" t="n"/>
      <c r="H89" s="383" t="n"/>
      <c r="I89" s="383" t="n"/>
    </row>
    <row r="90" ht="15" customFormat="1" customHeight="1" s="381">
      <c r="A90" s="651" t="inlineStr">
        <is>
          <t>Current Cost (3.25%)</t>
        </is>
      </c>
      <c r="B90" s="652" t="n">
        <v>0</v>
      </c>
      <c r="C90" s="652" t="n">
        <v>-956261</v>
      </c>
      <c r="D90" s="652" t="n">
        <v>-1465718</v>
      </c>
      <c r="E90" s="652" t="n">
        <v>-967911</v>
      </c>
      <c r="F90" s="652" t="n">
        <v>-3389890</v>
      </c>
      <c r="G90" s="383" t="n"/>
      <c r="H90" s="383" t="n"/>
      <c r="I90" s="383" t="n"/>
    </row>
    <row r="91" ht="15" customFormat="1" customHeight="1" s="381">
      <c r="A91" s="665" t="inlineStr">
        <is>
          <t>Reduced Cost (1.50%)</t>
        </is>
      </c>
      <c r="B91" s="647" t="n">
        <v>0</v>
      </c>
      <c r="C91" s="647" t="n">
        <v>-441351</v>
      </c>
      <c r="D91" s="647" t="n">
        <v>-676485</v>
      </c>
      <c r="E91" s="647" t="n">
        <v>-446728</v>
      </c>
      <c r="F91" s="647" t="n">
        <v>-1564564</v>
      </c>
      <c r="G91" s="383" t="n"/>
      <c r="H91" s="383" t="n"/>
      <c r="I91" s="383" t="n"/>
    </row>
    <row r="92" ht="15" customFormat="1" customHeight="1" s="381">
      <c r="A92" s="648" t="inlineStr">
        <is>
          <t>Annual Savings</t>
        </is>
      </c>
      <c r="B92" s="649" t="n">
        <v>0</v>
      </c>
      <c r="C92" s="649" t="n">
        <v>514910</v>
      </c>
      <c r="D92" s="649" t="n">
        <v>789233</v>
      </c>
      <c r="E92" s="649" t="n">
        <v>521183</v>
      </c>
      <c r="F92" s="649" t="n">
        <v>1825325</v>
      </c>
      <c r="G92" s="383" t="n"/>
      <c r="H92" s="383" t="n"/>
      <c r="I92" s="383" t="n"/>
    </row>
    <row r="93" ht="15" customFormat="1" customHeight="1" s="381">
      <c r="A93" s="383" t="n"/>
      <c r="B93" s="383" t="n"/>
      <c r="C93" s="383" t="n"/>
      <c r="D93" s="383" t="n"/>
      <c r="E93" s="383" t="n"/>
      <c r="F93" s="383" t="n"/>
      <c r="G93" s="383" t="n"/>
      <c r="H93" s="383" t="n"/>
      <c r="I93" s="383" t="n"/>
    </row>
    <row r="94" ht="15" customFormat="1" customHeight="1" s="381">
      <c r="A94" s="383" t="n"/>
      <c r="B94" s="383" t="n"/>
      <c r="C94" s="383" t="n"/>
      <c r="D94" s="383" t="n"/>
      <c r="E94" s="383" t="n"/>
      <c r="F94" s="383" t="n"/>
      <c r="G94" s="383" t="n"/>
      <c r="H94" s="383" t="n"/>
      <c r="I94" s="383" t="n"/>
    </row>
    <row r="95" ht="15" customFormat="1" customHeight="1" s="381">
      <c r="A95" s="384" t="inlineStr">
        <is>
          <t>BONDING LIQUIDITY — 2.5% of Outstanding</t>
        </is>
      </c>
      <c r="B95" s="384" t="n"/>
      <c r="C95" s="384" t="n"/>
      <c r="D95" s="384" t="n"/>
      <c r="E95" s="384" t="n"/>
      <c r="F95" s="384" t="n"/>
      <c r="G95" s="384" t="n"/>
      <c r="H95" s="383" t="n"/>
      <c r="I95" s="383" t="n"/>
    </row>
    <row r="96" ht="15" customFormat="1" customHeight="1" s="381">
      <c r="A96" s="449" t="inlineStr">
        <is>
          <t>Assumes 2.5% liquidity required on total bonding outstanding. Tax distributions estimated at ~5% of GC NI.</t>
        </is>
      </c>
      <c r="B96" s="383" t="n"/>
      <c r="C96" s="383" t="n"/>
      <c r="D96" s="383" t="n"/>
      <c r="E96" s="383" t="n"/>
      <c r="F96" s="383" t="n"/>
      <c r="G96" s="383" t="n"/>
      <c r="H96" s="383" t="n"/>
      <c r="I96" s="383" t="n"/>
    </row>
    <row r="97" ht="15" customFormat="1" customHeight="1" s="381">
      <c r="A97" s="403" t="n"/>
      <c r="B97" s="403" t="inlineStr">
        <is>
          <t>FY 2026</t>
        </is>
      </c>
      <c r="C97" s="403" t="inlineStr">
        <is>
          <t>FY 2027</t>
        </is>
      </c>
      <c r="D97" s="403" t="inlineStr">
        <is>
          <t>FY 2028</t>
        </is>
      </c>
      <c r="E97" s="403" t="inlineStr">
        <is>
          <t>FY 2029</t>
        </is>
      </c>
      <c r="F97" s="383" t="n"/>
      <c r="G97" s="383" t="n"/>
      <c r="H97" s="383" t="n"/>
      <c r="I97" s="383" t="n"/>
    </row>
    <row r="98" ht="15" customFormat="1" customHeight="1" s="381">
      <c r="A98" s="461" t="inlineStr">
        <is>
          <t>Bonding Outstanding (Year-End)</t>
        </is>
      </c>
      <c r="B98" s="660">
        <f>'Annual Summary'!B44</f>
        <v>87859272.6014299</v>
      </c>
      <c r="C98" s="660">
        <f>'Annual Summary'!C44</f>
        <v>87461656.1828859</v>
      </c>
      <c r="D98" s="660">
        <f>'Annual Summary'!D44</f>
        <v>47780701.5977726</v>
      </c>
      <c r="E98" s="660">
        <f>'Annual Summary'!E44</f>
        <v>13258584.501624</v>
      </c>
      <c r="F98" s="383" t="n"/>
      <c r="G98" s="383" t="n"/>
      <c r="H98" s="383" t="n"/>
      <c r="I98" s="383" t="n"/>
    </row>
    <row r="99" ht="15" customFormat="1" customHeight="1" s="381">
      <c r="A99" s="651" t="inlineStr">
        <is>
          <t>2.5% Liquidity Requirement</t>
        </is>
      </c>
      <c r="B99" s="652">
        <f>B98*0.025</f>
        <v>2196481.81503575</v>
      </c>
      <c r="C99" s="652">
        <f>C98*0.025</f>
        <v>2186541.40457215</v>
      </c>
      <c r="D99" s="652">
        <f>D98*0.025</f>
        <v>1194517.53994432</v>
      </c>
      <c r="E99" s="652">
        <f>E98*0.025</f>
        <v>331464.6125406</v>
      </c>
      <c r="F99" s="383" t="n"/>
      <c r="G99" s="383" t="n"/>
      <c r="H99" s="383" t="n"/>
      <c r="I99" s="383" t="n"/>
    </row>
    <row r="100" ht="15" customFormat="1" customHeight="1" s="381">
      <c r="A100" s="461" t="inlineStr">
        <is>
          <t>Total Ending Cash (Baseline)</t>
        </is>
      </c>
      <c r="B100" s="660">
        <f>'Annual Summary'!B49</f>
        <v>1231609.57639528</v>
      </c>
      <c r="C100" s="660">
        <f>'Annual Summary'!C49</f>
        <v>2768778.66179884</v>
      </c>
      <c r="D100" s="660">
        <f>'Annual Summary'!D49</f>
        <v>10461558.5472768</v>
      </c>
      <c r="E100" s="660">
        <f>'Annual Summary'!E49</f>
        <v>22100719.9747659</v>
      </c>
      <c r="F100" s="383" t="n"/>
      <c r="G100" s="383" t="n"/>
      <c r="H100" s="383" t="n"/>
      <c r="I100" s="383" t="n"/>
    </row>
    <row r="101" ht="15" customFormat="1" customHeight="1" s="381">
      <c r="A101" s="461" t="inlineStr">
        <is>
          <t>Est. Tax Distributions (~5% of GC NI)</t>
        </is>
      </c>
      <c r="B101" s="660">
        <f>'Annual Summary'!B20*0.05</f>
        <v>69405.6461949825</v>
      </c>
      <c r="C101" s="660">
        <f>'Annual Summary'!C20*0.05</f>
        <v>165324.77248729</v>
      </c>
      <c r="D101" s="660">
        <f>'Annual Summary'!D20*0.05</f>
        <v>407811.800605082</v>
      </c>
      <c r="E101" s="660">
        <f>'Annual Summary'!E20*0.05</f>
        <v>570961.805516818</v>
      </c>
      <c r="F101" s="383" t="n"/>
      <c r="G101" s="383" t="n"/>
      <c r="H101" s="383" t="n"/>
      <c r="I101" s="383" t="n"/>
    </row>
    <row r="102" ht="15" customFormat="1" customHeight="1" s="381">
      <c r="A102" s="461" t="inlineStr">
        <is>
          <t>Cash After Tax Distributions</t>
        </is>
      </c>
      <c r="B102" s="660">
        <f>B100+B101</f>
        <v>1301015.22259026</v>
      </c>
      <c r="C102" s="660">
        <f>C100+C101</f>
        <v>2934103.43428613</v>
      </c>
      <c r="D102" s="660">
        <f>D100+D101</f>
        <v>10869370.3478819</v>
      </c>
      <c r="E102" s="660">
        <f>E100+E101</f>
        <v>22671681.7802827</v>
      </c>
      <c r="F102" s="383" t="n"/>
      <c r="G102" s="383" t="n"/>
      <c r="H102" s="383" t="n"/>
      <c r="I102" s="383" t="n"/>
    </row>
    <row r="103" ht="15" customFormat="1" customHeight="1" s="381">
      <c r="A103" s="648" t="inlineStr">
        <is>
          <t>Surplus / (Shortfall) vs Requirement</t>
        </is>
      </c>
      <c r="B103" s="649">
        <f>B102-B99</f>
        <v>-895466.592445487</v>
      </c>
      <c r="C103" s="649">
        <f>C102-C99</f>
        <v>747562.02971398</v>
      </c>
      <c r="D103" s="649">
        <f>D102-D99</f>
        <v>9674852.80793759</v>
      </c>
      <c r="E103" s="649">
        <f>E102-E99</f>
        <v>22340217.1677421</v>
      </c>
      <c r="F103" s="383" t="n"/>
      <c r="G103" s="383" t="n"/>
      <c r="H103" s="383" t="n"/>
      <c r="I103" s="383" t="n"/>
    </row>
    <row r="104" ht="15" customFormat="1" customHeight="1" s="381">
      <c r="A104" s="383" t="n"/>
      <c r="B104" s="383" t="n"/>
      <c r="C104" s="383" t="n"/>
      <c r="D104" s="383" t="n"/>
      <c r="E104" s="383" t="n"/>
      <c r="F104" s="383" t="n"/>
      <c r="G104" s="383" t="n"/>
      <c r="H104" s="383" t="n"/>
      <c r="I104" s="383" t="n"/>
    </row>
    <row r="105" ht="15" customFormat="1" customHeight="1" s="381">
      <c r="A105" s="383" t="n"/>
      <c r="B105" s="383" t="n"/>
      <c r="C105" s="383" t="n"/>
      <c r="D105" s="383" t="n"/>
      <c r="E105" s="383" t="n"/>
      <c r="F105" s="383" t="n"/>
      <c r="G105" s="383" t="n"/>
      <c r="H105" s="383" t="n"/>
      <c r="I105" s="383" t="n"/>
    </row>
    <row r="106" ht="15" customFormat="1" customHeight="1" s="381">
      <c r="A106" s="384" t="inlineStr">
        <is>
          <t>HVN PIPELINE — ESTIMATED GC REVENUE (3 New Deals)</t>
        </is>
      </c>
      <c r="B106" s="384" t="n"/>
      <c r="C106" s="384" t="n"/>
      <c r="D106" s="384" t="n"/>
      <c r="E106" s="384" t="n"/>
      <c r="F106" s="384" t="n"/>
      <c r="G106" s="384" t="n"/>
      <c r="H106" s="383" t="n"/>
      <c r="I106" s="383" t="n"/>
    </row>
    <row r="107" ht="15" customFormat="1" customHeight="1" s="381">
      <c r="A107" s="461" t="inlineStr">
        <is>
          <t>Avg GMP (Califa/Whipple/Denny/Lexington/Acama)</t>
        </is>
      </c>
      <c r="B107" s="664" t="n">
        <v>15179956</v>
      </c>
      <c r="C107" s="383" t="n"/>
      <c r="D107" s="383" t="n"/>
      <c r="E107" s="383" t="n"/>
      <c r="F107" s="383" t="n"/>
      <c r="G107" s="383" t="n"/>
      <c r="H107" s="383" t="n"/>
      <c r="I107" s="383" t="n"/>
    </row>
    <row r="108" ht="15" customFormat="1" customHeight="1" s="381">
      <c r="A108" s="461" t="inlineStr">
        <is>
          <t>Effective GC Revenue Rate on GMP</t>
        </is>
      </c>
      <c r="B108" s="676" t="n">
        <v>0.1136</v>
      </c>
      <c r="C108" s="383" t="n"/>
      <c r="D108" s="383" t="n"/>
      <c r="E108" s="383" t="n"/>
      <c r="F108" s="383" t="n"/>
      <c r="G108" s="383" t="n"/>
      <c r="H108" s="383" t="n"/>
      <c r="I108" s="383" t="n"/>
    </row>
    <row r="109" ht="15" customFormat="1" customHeight="1" s="381">
      <c r="A109" s="461" t="inlineStr">
        <is>
          <t>Revenue Per Deal (over project life)</t>
        </is>
      </c>
      <c r="B109" s="650" t="n">
        <v>1724443</v>
      </c>
      <c r="C109" s="383" t="n"/>
      <c r="D109" s="383" t="n"/>
      <c r="E109" s="383" t="n"/>
      <c r="F109" s="383" t="n"/>
      <c r="G109" s="383" t="n"/>
      <c r="H109" s="383" t="n"/>
      <c r="I109" s="383" t="n"/>
    </row>
    <row r="110" ht="15" customFormat="1" customHeight="1" s="381">
      <c r="A110" s="461" t="inlineStr">
        <is>
          <t>Number of New Deals (2 R2 + 1 R3)</t>
        </is>
      </c>
      <c r="B110" s="677" t="n">
        <v>3</v>
      </c>
      <c r="C110" s="383" t="n"/>
      <c r="D110" s="383" t="n"/>
      <c r="E110" s="383" t="n"/>
      <c r="F110" s="383" t="n"/>
      <c r="G110" s="383" t="n"/>
      <c r="H110" s="383" t="n"/>
      <c r="I110" s="383" t="n"/>
    </row>
    <row r="111" ht="15" customFormat="1" customHeight="1" s="381">
      <c r="A111" s="648" t="inlineStr">
        <is>
          <t>Total New Pipeline GMP (3 deals)</t>
        </is>
      </c>
      <c r="B111" s="649" t="n">
        <v>45539868</v>
      </c>
      <c r="C111" s="648" t="n"/>
      <c r="D111" s="648" t="n"/>
      <c r="E111" s="648" t="n"/>
      <c r="F111" s="648" t="n"/>
      <c r="G111" s="383" t="n"/>
      <c r="H111" s="383" t="n"/>
      <c r="I111" s="383" t="n"/>
    </row>
    <row r="112" ht="15" customFormat="1" customHeight="1" s="381">
      <c r="A112" s="383" t="n"/>
      <c r="B112" s="383" t="n"/>
      <c r="C112" s="383" t="n"/>
      <c r="D112" s="383" t="n"/>
      <c r="E112" s="383" t="n"/>
      <c r="F112" s="383" t="n"/>
      <c r="G112" s="383" t="n"/>
      <c r="H112" s="383" t="n"/>
      <c r="I112" s="383" t="n"/>
    </row>
    <row r="113" ht="15" customFormat="1" customHeight="1" s="381">
      <c r="A113" s="382" t="inlineStr">
        <is>
          <t>Estimated Revenue Timeline (3 deals):</t>
        </is>
      </c>
      <c r="B113" s="383" t="n"/>
      <c r="C113" s="383" t="n"/>
      <c r="D113" s="383" t="n"/>
      <c r="E113" s="383" t="n"/>
      <c r="F113" s="383" t="n"/>
      <c r="G113" s="383" t="n"/>
      <c r="H113" s="383" t="n"/>
      <c r="I113" s="383" t="n"/>
    </row>
    <row r="114" ht="15" customFormat="1" customHeight="1" s="381">
      <c r="A114" s="403" t="n"/>
      <c r="B114" s="403" t="inlineStr">
        <is>
          <t>FY 2027</t>
        </is>
      </c>
      <c r="C114" s="403" t="inlineStr">
        <is>
          <t>FY 2028</t>
        </is>
      </c>
      <c r="D114" s="403" t="inlineStr">
        <is>
          <t>FY 2029</t>
        </is>
      </c>
      <c r="E114" s="403" t="inlineStr">
        <is>
          <t>FY 2030</t>
        </is>
      </c>
      <c r="F114" s="403" t="inlineStr">
        <is>
          <t>Total</t>
        </is>
      </c>
      <c r="G114" s="383" t="n"/>
      <c r="H114" s="383" t="n"/>
      <c r="I114" s="383" t="n"/>
    </row>
    <row r="115" ht="15" customFormat="1" customHeight="1" s="381">
      <c r="A115" s="461" t="inlineStr">
        <is>
          <t>2 Round 2 Deals (close ~Q3 FY27)</t>
        </is>
      </c>
      <c r="B115" s="660" t="n">
        <v>0</v>
      </c>
      <c r="C115" s="660" t="n">
        <v>1896887</v>
      </c>
      <c r="D115" s="660" t="n">
        <v>1379554</v>
      </c>
      <c r="E115" s="660" t="n">
        <v>172444</v>
      </c>
      <c r="F115" s="650" t="n">
        <v>3448885</v>
      </c>
      <c r="G115" s="383" t="n"/>
      <c r="H115" s="383" t="n"/>
      <c r="I115" s="383" t="n"/>
    </row>
    <row r="116" ht="15" customFormat="1" customHeight="1" s="381">
      <c r="A116" s="461" t="inlineStr">
        <is>
          <t>1 Round 3 Deal (close ~Q1 FY28)</t>
        </is>
      </c>
      <c r="B116" s="660" t="n">
        <v>0</v>
      </c>
      <c r="C116" s="660" t="n">
        <v>603555</v>
      </c>
      <c r="D116" s="660" t="n">
        <v>948444</v>
      </c>
      <c r="E116" s="660" t="n">
        <v>172444</v>
      </c>
      <c r="F116" s="650" t="n">
        <v>1724443</v>
      </c>
      <c r="G116" s="383" t="n"/>
      <c r="H116" s="383" t="n"/>
      <c r="I116" s="383" t="n"/>
    </row>
    <row r="117" ht="15" customFormat="1" customHeight="1" s="381">
      <c r="A117" s="648" t="inlineStr">
        <is>
          <t>Total New HVN Revenue</t>
        </is>
      </c>
      <c r="B117" s="649" t="n">
        <v>0</v>
      </c>
      <c r="C117" s="649" t="n">
        <v>2500442</v>
      </c>
      <c r="D117" s="649" t="n">
        <v>2327998</v>
      </c>
      <c r="E117" s="649" t="n">
        <v>344888</v>
      </c>
      <c r="F117" s="649" t="n">
        <v>5173328</v>
      </c>
      <c r="G117" s="383" t="n"/>
      <c r="H117" s="383" t="n"/>
      <c r="I117" s="383" t="n"/>
    </row>
    <row r="118" ht="15" customFormat="1" customHeight="1" s="381">
      <c r="A118" s="383" t="n"/>
      <c r="B118" s="383" t="n"/>
      <c r="C118" s="383" t="n"/>
      <c r="D118" s="383" t="n"/>
      <c r="E118" s="383" t="n"/>
      <c r="F118" s="383" t="n"/>
      <c r="G118" s="383" t="n"/>
      <c r="H118" s="383" t="n"/>
      <c r="I118" s="383" t="n"/>
    </row>
    <row r="119" ht="15" customFormat="1" customHeight="1" s="381">
      <c r="A119" s="449" t="inlineStr">
        <is>
          <t>FY28 revenue gap to breakeven: 1,225,136 → New pipeline covers 204%</t>
        </is>
      </c>
      <c r="B119" s="383" t="n"/>
      <c r="C119" s="383" t="n"/>
      <c r="D119" s="383" t="n"/>
      <c r="E119" s="383" t="n"/>
      <c r="F119" s="383" t="n"/>
      <c r="G119" s="383" t="n"/>
      <c r="H119" s="383" t="n"/>
      <c r="I119" s="383" t="n"/>
    </row>
    <row r="120" ht="15" customFormat="1" customHeight="1" s="381">
      <c r="A120" s="383" t="n"/>
      <c r="B120" s="383" t="n"/>
      <c r="C120" s="383" t="n"/>
      <c r="D120" s="383" t="n"/>
      <c r="E120" s="383" t="n"/>
      <c r="F120" s="383" t="n"/>
      <c r="G120" s="383" t="n"/>
      <c r="H120" s="383" t="n"/>
      <c r="I120" s="383" t="n"/>
    </row>
    <row r="121" ht="15" customFormat="1" customHeight="1" s="381">
      <c r="A121" s="383" t="n"/>
      <c r="B121" s="383" t="n"/>
      <c r="C121" s="383" t="n"/>
      <c r="D121" s="383" t="n"/>
      <c r="E121" s="383" t="n"/>
      <c r="F121" s="383" t="n"/>
      <c r="G121" s="383" t="n"/>
      <c r="H121" s="383" t="n"/>
      <c r="I121" s="383" t="n"/>
    </row>
    <row r="122" ht="15" customFormat="1" customHeight="1" s="381">
      <c r="A122" s="384" t="inlineStr">
        <is>
          <t>PREFERRED EQUITY (PIK) — PAYOFF &amp; STEYN RETURNS</t>
        </is>
      </c>
      <c r="B122" s="384" t="n"/>
      <c r="C122" s="384" t="n"/>
      <c r="D122" s="384" t="n"/>
      <c r="E122" s="384" t="n"/>
      <c r="F122" s="384" t="n"/>
      <c r="G122" s="384" t="n"/>
      <c r="H122" s="383" t="n"/>
      <c r="I122" s="383" t="n"/>
    </row>
    <row r="123" ht="15" customFormat="1" customHeight="1" s="381">
      <c r="A123" s="449" t="inlineStr">
        <is>
          <t>Reseda is the only active PIK investment. Capital accrues at 15%/yr (3.75% quarterly). Repaid from LIHTC revenue after Steyn fees.</t>
        </is>
      </c>
      <c r="B123" s="383" t="n"/>
      <c r="C123" s="383" t="n"/>
      <c r="D123" s="383" t="n"/>
      <c r="E123" s="383" t="n"/>
      <c r="F123" s="383" t="n"/>
      <c r="G123" s="383" t="n"/>
      <c r="H123" s="383" t="n"/>
      <c r="I123" s="383" t="n"/>
    </row>
    <row r="124" ht="15" customFormat="1" customHeight="1" s="381">
      <c r="A124" s="403" t="n"/>
      <c r="B124" s="403" t="inlineStr">
        <is>
          <t>Amount</t>
        </is>
      </c>
      <c r="C124" s="403" t="inlineStr">
        <is>
          <t>Date / Month</t>
        </is>
      </c>
      <c r="D124" s="403" t="inlineStr">
        <is>
          <t>Notes</t>
        </is>
      </c>
      <c r="E124" s="383" t="n"/>
      <c r="F124" s="383" t="n"/>
      <c r="G124" s="383" t="n"/>
      <c r="H124" s="383" t="n"/>
      <c r="I124" s="383" t="n"/>
    </row>
    <row r="125" ht="15" customFormat="1" customHeight="1" s="381">
      <c r="A125" s="461" t="inlineStr">
        <is>
          <t>Reseda — Capital Invested</t>
        </is>
      </c>
      <c r="B125" s="664" t="n">
        <v>1450000</v>
      </c>
      <c r="C125" s="678" t="inlineStr">
        <is>
          <t>Apr 2026 (Pre-model)</t>
        </is>
      </c>
      <c r="D125" s="449" t="inlineStr">
        <is>
          <t>Full amount deployed before model start</t>
        </is>
      </c>
      <c r="E125" s="383" t="n"/>
      <c r="F125" s="383" t="n"/>
      <c r="G125" s="383" t="n"/>
      <c r="H125" s="383" t="n"/>
      <c r="I125" s="383" t="n"/>
    </row>
    <row r="126" ht="15" customFormat="1" customHeight="1" s="381">
      <c r="A126" s="461" t="inlineStr">
        <is>
          <t>Deal Distribution (Reseda)</t>
        </is>
      </c>
      <c r="B126" s="652" t="n">
        <v>-1450000</v>
      </c>
      <c r="C126" s="678" t="inlineStr">
        <is>
          <t>Apr 2027 (Mo 13)</t>
        </is>
      </c>
      <c r="D126" s="449" t="inlineStr">
        <is>
          <t>Returned at Reseda project start</t>
        </is>
      </c>
      <c r="E126" s="383" t="n"/>
      <c r="F126" s="383" t="n"/>
      <c r="G126" s="383" t="n"/>
      <c r="H126" s="383" t="n"/>
      <c r="I126" s="383" t="n"/>
    </row>
    <row r="127" ht="15" customFormat="1" customHeight="1" s="381">
      <c r="A127" s="461" t="inlineStr">
        <is>
          <t>Remaining Balance (after dist)</t>
        </is>
      </c>
      <c r="B127" s="383" t="n"/>
      <c r="C127" s="678" t="inlineStr">
        <is>
          <t>Apr 2027</t>
        </is>
      </c>
      <c r="D127" s="449" t="inlineStr">
        <is>
          <t>Reduced balance accrues interest</t>
        </is>
      </c>
      <c r="E127" s="383" t="n"/>
      <c r="F127" s="383" t="n"/>
      <c r="G127" s="383" t="n"/>
      <c r="H127" s="383" t="n"/>
      <c r="I127" s="383" t="n"/>
    </row>
    <row r="128" ht="15" customFormat="1" customHeight="1" s="381">
      <c r="A128" s="648" t="inlineStr">
        <is>
          <t>PIK Fully Paid Off</t>
        </is>
      </c>
      <c r="B128" s="649" t="n">
        <v>0</v>
      </c>
      <c r="C128" s="648" t="inlineStr">
        <is>
          <t>Apr 2030 (Mo 50)</t>
        </is>
      </c>
      <c r="D128" s="648" t="inlineStr">
        <is>
          <t>Repaid from LIHTC revenue after Steyn fees</t>
        </is>
      </c>
      <c r="E128" s="383" t="n"/>
      <c r="F128" s="383" t="n"/>
      <c r="G128" s="383" t="n"/>
      <c r="H128" s="383" t="n"/>
      <c r="I128" s="383" t="n"/>
    </row>
    <row r="129" ht="15" customFormat="1" customHeight="1" s="381">
      <c r="A129" s="383" t="n"/>
      <c r="B129" s="383" t="n"/>
      <c r="C129" s="383" t="n"/>
      <c r="D129" s="383" t="n"/>
      <c r="E129" s="383" t="n"/>
      <c r="F129" s="383" t="n"/>
      <c r="G129" s="383" t="n"/>
      <c r="H129" s="383" t="n"/>
      <c r="I129" s="383" t="n"/>
    </row>
    <row r="130" ht="15" customFormat="1" customHeight="1" s="381">
      <c r="A130" s="461" t="inlineStr">
        <is>
          <t>Total Interest Earned by Steyn</t>
        </is>
      </c>
      <c r="B130" s="679" t="n">
        <v>362885</v>
      </c>
      <c r="C130" s="678" t="inlineStr">
        <is>
          <t>Over 50 months</t>
        </is>
      </c>
      <c r="D130" s="449" t="inlineStr">
        <is>
          <t>15% annual accrual on outstanding balance</t>
        </is>
      </c>
      <c r="E130" s="383" t="n"/>
      <c r="F130" s="383" t="n"/>
      <c r="G130" s="383" t="n"/>
      <c r="H130" s="383" t="n"/>
      <c r="I130" s="383" t="n"/>
    </row>
    <row r="131" ht="15" customFormat="1" customHeight="1" s="381">
      <c r="A131" s="648" t="inlineStr">
        <is>
          <t>Total Returned to Steyn</t>
        </is>
      </c>
      <c r="B131" s="649" t="n">
        <v>1812885</v>
      </c>
      <c r="C131" s="648" t="inlineStr">
        <is>
          <t>By Apr 2030</t>
        </is>
      </c>
      <c r="D131" s="648" t="inlineStr">
        <is>
          <t>Principal + interest = 1.25x return</t>
        </is>
      </c>
      <c r="E131" s="383" t="n"/>
      <c r="F131" s="383" t="n"/>
      <c r="G131" s="383" t="n"/>
      <c r="H131" s="383" t="n"/>
      <c r="I131" s="383" t="n"/>
    </row>
    <row r="132" ht="15" customFormat="1" customHeight="1" s="381">
      <c r="A132" s="383" t="n"/>
      <c r="B132" s="383" t="n"/>
      <c r="C132" s="383" t="n"/>
      <c r="D132" s="383" t="n"/>
      <c r="E132" s="383" t="n"/>
      <c r="F132" s="383" t="n"/>
      <c r="G132" s="383" t="n"/>
      <c r="H132" s="383" t="n"/>
      <c r="I132" s="383" t="n"/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AO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20" customWidth="1" style="381" min="1" max="1"/>
  </cols>
  <sheetData>
    <row r="1" ht="15" customFormat="1" customHeight="1" s="381">
      <c r="A1" s="384" t="inlineStr">
        <is>
          <t>Curve</t>
        </is>
      </c>
      <c r="B1" s="429" t="inlineStr">
        <is>
          <t>Mo 1</t>
        </is>
      </c>
      <c r="C1" s="429" t="inlineStr">
        <is>
          <t>Mo 2</t>
        </is>
      </c>
      <c r="D1" s="429" t="inlineStr">
        <is>
          <t>Mo 3</t>
        </is>
      </c>
      <c r="E1" s="429" t="inlineStr">
        <is>
          <t>Mo 4</t>
        </is>
      </c>
      <c r="F1" s="429" t="inlineStr">
        <is>
          <t>Mo 5</t>
        </is>
      </c>
      <c r="G1" s="429" t="inlineStr">
        <is>
          <t>Mo 6</t>
        </is>
      </c>
      <c r="H1" s="429" t="inlineStr">
        <is>
          <t>Mo 7</t>
        </is>
      </c>
      <c r="I1" s="429" t="inlineStr">
        <is>
          <t>Mo 8</t>
        </is>
      </c>
      <c r="J1" s="429" t="inlineStr">
        <is>
          <t>Mo 9</t>
        </is>
      </c>
      <c r="K1" s="429" t="inlineStr">
        <is>
          <t>Mo 10</t>
        </is>
      </c>
      <c r="L1" s="429" t="inlineStr">
        <is>
          <t>Mo 11</t>
        </is>
      </c>
      <c r="M1" s="429" t="inlineStr">
        <is>
          <t>Mo 12</t>
        </is>
      </c>
      <c r="N1" s="429" t="inlineStr">
        <is>
          <t>Mo 13</t>
        </is>
      </c>
      <c r="O1" s="429" t="inlineStr">
        <is>
          <t>Mo 14</t>
        </is>
      </c>
      <c r="P1" s="429" t="inlineStr">
        <is>
          <t>Mo 15</t>
        </is>
      </c>
      <c r="Q1" s="429" t="inlineStr">
        <is>
          <t>Mo 16</t>
        </is>
      </c>
      <c r="R1" s="429" t="inlineStr">
        <is>
          <t>Mo 17</t>
        </is>
      </c>
      <c r="S1" s="429" t="inlineStr">
        <is>
          <t>Mo 18</t>
        </is>
      </c>
      <c r="T1" s="429" t="inlineStr">
        <is>
          <t>Mo 19</t>
        </is>
      </c>
      <c r="U1" s="429" t="inlineStr">
        <is>
          <t>Mo 20</t>
        </is>
      </c>
      <c r="V1" s="429" t="inlineStr">
        <is>
          <t>Mo 21</t>
        </is>
      </c>
      <c r="W1" s="429" t="inlineStr">
        <is>
          <t>Mo 22</t>
        </is>
      </c>
      <c r="X1" s="429" t="inlineStr">
        <is>
          <t>Mo 23</t>
        </is>
      </c>
      <c r="Y1" s="429" t="inlineStr">
        <is>
          <t>Mo 24</t>
        </is>
      </c>
      <c r="Z1" s="429" t="inlineStr">
        <is>
          <t>Mo 25</t>
        </is>
      </c>
      <c r="AA1" s="429" t="inlineStr">
        <is>
          <t>Mo 26</t>
        </is>
      </c>
      <c r="AB1" s="429" t="inlineStr">
        <is>
          <t>Mo 27</t>
        </is>
      </c>
      <c r="AC1" s="429" t="inlineStr">
        <is>
          <t>Mo 28</t>
        </is>
      </c>
      <c r="AD1" s="429" t="inlineStr">
        <is>
          <t>Mo 29</t>
        </is>
      </c>
      <c r="AE1" s="429" t="inlineStr">
        <is>
          <t>Mo 30</t>
        </is>
      </c>
      <c r="AF1" s="429" t="inlineStr">
        <is>
          <t>Mo 31</t>
        </is>
      </c>
      <c r="AG1" s="429" t="inlineStr">
        <is>
          <t>Mo 32</t>
        </is>
      </c>
      <c r="AH1" s="429" t="inlineStr">
        <is>
          <t>Mo 33</t>
        </is>
      </c>
      <c r="AI1" s="429" t="inlineStr">
        <is>
          <t>Mo 34</t>
        </is>
      </c>
      <c r="AJ1" s="429" t="inlineStr">
        <is>
          <t>Mo 35</t>
        </is>
      </c>
      <c r="AK1" s="429" t="inlineStr">
        <is>
          <t>Mo 36</t>
        </is>
      </c>
      <c r="AL1" s="429" t="inlineStr">
        <is>
          <t>Mo 37</t>
        </is>
      </c>
      <c r="AM1" s="429" t="inlineStr">
        <is>
          <t>Mo 38</t>
        </is>
      </c>
      <c r="AN1" s="429" t="inlineStr">
        <is>
          <t>Mo 39</t>
        </is>
      </c>
      <c r="AO1" s="429" t="inlineStr">
        <is>
          <t>Mo 40</t>
        </is>
      </c>
    </row>
    <row r="2" ht="15" customFormat="1" customHeight="1" s="381">
      <c r="A2" s="571" t="inlineStr">
        <is>
          <t>Curve 1</t>
        </is>
      </c>
      <c r="B2" s="680" t="n">
        <v>0.016101</v>
      </c>
      <c r="C2" s="680" t="n">
        <v>0.018518</v>
      </c>
      <c r="D2" s="680" t="n">
        <v>0.021087</v>
      </c>
      <c r="E2" s="680" t="n">
        <v>0.023773</v>
      </c>
      <c r="F2" s="680" t="n">
        <v>0.026535</v>
      </c>
      <c r="G2" s="680" t="n">
        <v>0.029323</v>
      </c>
      <c r="H2" s="680" t="n">
        <v>0.032082</v>
      </c>
      <c r="I2" s="680" t="n">
        <v>0.034752</v>
      </c>
      <c r="J2" s="680" t="n">
        <v>0.037269</v>
      </c>
      <c r="K2" s="680" t="n">
        <v>0.039572</v>
      </c>
      <c r="L2" s="680" t="n">
        <v>0.041599</v>
      </c>
      <c r="M2" s="680" t="n">
        <v>0.043295</v>
      </c>
      <c r="N2" s="680" t="n">
        <v>0.044613</v>
      </c>
      <c r="O2" s="680" t="n">
        <v>0.045513</v>
      </c>
      <c r="P2" s="680" t="n">
        <v>0.04597</v>
      </c>
      <c r="Q2" s="680" t="n">
        <v>0.04597</v>
      </c>
      <c r="R2" s="680" t="n">
        <v>0.045513</v>
      </c>
      <c r="S2" s="680" t="n">
        <v>0.044613</v>
      </c>
      <c r="T2" s="680" t="n">
        <v>0.043295</v>
      </c>
      <c r="U2" s="680" t="n">
        <v>0.041599</v>
      </c>
      <c r="V2" s="680" t="n">
        <v>0.039572</v>
      </c>
      <c r="W2" s="680" t="n">
        <v>0.037269</v>
      </c>
      <c r="X2" s="680" t="n">
        <v>0.034752</v>
      </c>
      <c r="Y2" s="680" t="n">
        <v>0.032082</v>
      </c>
      <c r="Z2" s="680" t="n">
        <v>0.029323</v>
      </c>
      <c r="AA2" s="680" t="n">
        <v>0.026535</v>
      </c>
      <c r="AB2" s="680" t="n">
        <v>0.023773</v>
      </c>
      <c r="AC2" s="680" t="n">
        <v>0.021087</v>
      </c>
      <c r="AD2" s="680" t="n">
        <v>0.018518</v>
      </c>
      <c r="AE2" s="680" t="n">
        <v>0.016101</v>
      </c>
    </row>
    <row r="3" ht="15" customFormat="1" customHeight="1" s="381">
      <c r="A3" s="571" t="inlineStr">
        <is>
          <t>Curve 2</t>
        </is>
      </c>
      <c r="B3" s="680" t="n">
        <v>0.020497</v>
      </c>
      <c r="C3" s="680" t="n">
        <v>0.024336</v>
      </c>
      <c r="D3" s="680" t="n">
        <v>0.028445</v>
      </c>
      <c r="E3" s="680" t="n">
        <v>0.032735</v>
      </c>
      <c r="F3" s="680" t="n">
        <v>0.037087</v>
      </c>
      <c r="G3" s="680" t="n">
        <v>0.041368</v>
      </c>
      <c r="H3" s="680" t="n">
        <v>0.045428</v>
      </c>
      <c r="I3" s="680" t="n">
        <v>0.049114</v>
      </c>
      <c r="J3" s="680" t="n">
        <v>0.052278</v>
      </c>
      <c r="K3" s="680" t="n">
        <v>0.054783</v>
      </c>
      <c r="L3" s="680" t="n">
        <v>0.05652</v>
      </c>
      <c r="M3" s="680" t="n">
        <v>0.057409</v>
      </c>
      <c r="N3" s="680" t="n">
        <v>0.057409</v>
      </c>
      <c r="O3" s="680" t="n">
        <v>0.05652</v>
      </c>
      <c r="P3" s="680" t="n">
        <v>0.054783</v>
      </c>
      <c r="Q3" s="680" t="n">
        <v>0.052278</v>
      </c>
      <c r="R3" s="680" t="n">
        <v>0.049114</v>
      </c>
      <c r="S3" s="680" t="n">
        <v>0.045428</v>
      </c>
      <c r="T3" s="680" t="n">
        <v>0.041368</v>
      </c>
      <c r="U3" s="680" t="n">
        <v>0.037087</v>
      </c>
      <c r="V3" s="680" t="n">
        <v>0.032735</v>
      </c>
      <c r="W3" s="680" t="n">
        <v>0.028445</v>
      </c>
      <c r="X3" s="680" t="n">
        <v>0.024336</v>
      </c>
      <c r="Y3" s="680" t="n">
        <v>0.020497</v>
      </c>
    </row>
    <row r="4" ht="15" customFormat="1" customHeight="1" s="381">
      <c r="A4" s="571" t="inlineStr">
        <is>
          <t>Curve 3</t>
        </is>
      </c>
      <c r="B4" s="680" t="n">
        <v>0.026517</v>
      </c>
      <c r="C4" s="680" t="n">
        <v>0.032761</v>
      </c>
      <c r="D4" s="680" t="n">
        <v>0.039482</v>
      </c>
      <c r="E4" s="680" t="n">
        <v>0.046412</v>
      </c>
      <c r="F4" s="680" t="n">
        <v>0.053218</v>
      </c>
      <c r="G4" s="680" t="n">
        <v>0.059522</v>
      </c>
      <c r="H4" s="680" t="n">
        <v>0.06493699999999999</v>
      </c>
      <c r="I4" s="680" t="n">
        <v>0.069104</v>
      </c>
      <c r="J4" s="680" t="n">
        <v>0.071732</v>
      </c>
      <c r="K4" s="680" t="n">
        <v>0.07263</v>
      </c>
      <c r="L4" s="680" t="n">
        <v>0.071732</v>
      </c>
      <c r="M4" s="680" t="n">
        <v>0.069104</v>
      </c>
      <c r="N4" s="680" t="n">
        <v>0.06493699999999999</v>
      </c>
      <c r="O4" s="680" t="n">
        <v>0.059522</v>
      </c>
      <c r="P4" s="680" t="n">
        <v>0.053218</v>
      </c>
      <c r="Q4" s="680" t="n">
        <v>0.046412</v>
      </c>
      <c r="R4" s="680" t="n">
        <v>0.039482</v>
      </c>
      <c r="S4" s="680" t="n">
        <v>0.032761</v>
      </c>
      <c r="T4" s="680" t="n">
        <v>0.026517</v>
      </c>
    </row>
    <row r="5" ht="15" customFormat="1" customHeight="1" s="381">
      <c r="A5" s="681" t="inlineStr">
        <is>
          <t>Renormalized (In-Place)</t>
        </is>
      </c>
    </row>
    <row r="6" ht="15" customFormat="1" customHeight="1" s="381">
      <c r="A6" s="571" t="inlineStr">
        <is>
          <t>Crenshaw</t>
        </is>
      </c>
      <c r="B6" s="680" t="n">
        <v>0.176029532991649</v>
      </c>
      <c r="C6" s="680" t="n">
        <v>0.162818536970001</v>
      </c>
      <c r="D6" s="680" t="n">
        <v>0.148267087201176</v>
      </c>
      <c r="E6" s="680" t="n">
        <v>0.1329235511272</v>
      </c>
      <c r="F6" s="680" t="n">
        <v>0.117325543887316</v>
      </c>
      <c r="G6" s="680" t="n">
        <v>0.101949750904986</v>
      </c>
      <c r="H6" s="680" t="n">
        <v>0.0872226801906742</v>
      </c>
      <c r="I6" s="680" t="n">
        <v>0.073463316726999</v>
      </c>
    </row>
    <row r="7" ht="15" customFormat="1" customHeight="1" s="381">
      <c r="A7" s="571" t="inlineStr">
        <is>
          <t>Ramsgate</t>
        </is>
      </c>
      <c r="B7" s="680" t="n">
        <v>0.07250863396163609</v>
      </c>
      <c r="C7" s="680" t="n">
        <v>0.07598302334290349</v>
      </c>
      <c r="D7" s="680" t="n">
        <v>0.0783922107102734</v>
      </c>
      <c r="E7" s="680" t="n">
        <v>0.0796252375206314</v>
      </c>
      <c r="F7" s="680" t="n">
        <v>0.0796252375206314</v>
      </c>
      <c r="G7" s="680" t="n">
        <v>0.0783922107102734</v>
      </c>
      <c r="H7" s="680" t="n">
        <v>0.07598302334290349</v>
      </c>
      <c r="I7" s="680" t="n">
        <v>0.07250863396163609</v>
      </c>
      <c r="J7" s="680" t="n">
        <v>0.0681202235814644</v>
      </c>
      <c r="K7" s="680" t="n">
        <v>0.0630078087074717</v>
      </c>
      <c r="L7" s="680" t="n">
        <v>0.0573766626444195</v>
      </c>
      <c r="M7" s="680" t="n">
        <v>0.051438993606014</v>
      </c>
      <c r="N7" s="680" t="n">
        <v>0.0454028488605945</v>
      </c>
      <c r="O7" s="680" t="n">
        <v>0.0394526969860886</v>
      </c>
      <c r="P7" s="680" t="n">
        <v>0.0337535888153789</v>
      </c>
      <c r="Q7" s="680" t="n">
        <v>0.02842896572768</v>
      </c>
    </row>
    <row r="8" ht="15" customFormat="1" customHeight="1" s="381">
      <c r="A8" s="571" t="inlineStr">
        <is>
          <t>Califa</t>
        </is>
      </c>
      <c r="B8" s="680" t="n">
        <v>0.0622557988273664</v>
      </c>
      <c r="C8" s="680" t="n">
        <v>0.0696303817844058</v>
      </c>
      <c r="D8" s="680" t="n">
        <v>0.07596498944816971</v>
      </c>
      <c r="E8" s="680" t="n">
        <v>0.0808396542930274</v>
      </c>
      <c r="F8" s="680" t="n">
        <v>0.0839139569597627</v>
      </c>
      <c r="G8" s="680" t="n">
        <v>0.0849644606868282</v>
      </c>
      <c r="H8" s="680" t="n">
        <v>0.0839139569597627</v>
      </c>
      <c r="I8" s="680" t="n">
        <v>0.0808396542930274</v>
      </c>
      <c r="J8" s="680" t="n">
        <v>0.07596498944816971</v>
      </c>
      <c r="K8" s="680" t="n">
        <v>0.0696303817844058</v>
      </c>
      <c r="L8" s="680" t="n">
        <v>0.0622557988273664</v>
      </c>
      <c r="M8" s="680" t="n">
        <v>0.0542939632300299</v>
      </c>
      <c r="N8" s="680" t="n">
        <v>0.0461870692115841</v>
      </c>
      <c r="O8" s="680" t="n">
        <v>0.038324668822266</v>
      </c>
      <c r="P8" s="680" t="n">
        <v>0.031020275423828</v>
      </c>
    </row>
    <row r="9" ht="15" customFormat="1" customHeight="1" s="381">
      <c r="A9" s="571" t="inlineStr">
        <is>
          <t>Whipple</t>
        </is>
      </c>
      <c r="B9" s="680" t="n">
        <v>0.0622557988273664</v>
      </c>
      <c r="C9" s="680" t="n">
        <v>0.0696303817844058</v>
      </c>
      <c r="D9" s="680" t="n">
        <v>0.07596498944816971</v>
      </c>
      <c r="E9" s="680" t="n">
        <v>0.0808396542930274</v>
      </c>
      <c r="F9" s="680" t="n">
        <v>0.0839139569597627</v>
      </c>
      <c r="G9" s="680" t="n">
        <v>0.0849644606868282</v>
      </c>
      <c r="H9" s="680" t="n">
        <v>0.0839139569597627</v>
      </c>
      <c r="I9" s="680" t="n">
        <v>0.0808396542930274</v>
      </c>
      <c r="J9" s="680" t="n">
        <v>0.07596498944816971</v>
      </c>
      <c r="K9" s="680" t="n">
        <v>0.0696303817844058</v>
      </c>
      <c r="L9" s="680" t="n">
        <v>0.0622557988273664</v>
      </c>
      <c r="M9" s="680" t="n">
        <v>0.0542939632300299</v>
      </c>
      <c r="N9" s="680" t="n">
        <v>0.0461870692115841</v>
      </c>
      <c r="O9" s="680" t="n">
        <v>0.038324668822266</v>
      </c>
      <c r="P9" s="680" t="n">
        <v>0.031020275423828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D149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G29" activeCellId="0" sqref="G29"/>
    </sheetView>
  </sheetViews>
  <sheetFormatPr baseColWidth="8" defaultColWidth="8.71875" defaultRowHeight="15" zeroHeight="0" outlineLevelRow="0"/>
  <cols>
    <col width="40" customWidth="1" style="381" min="1" max="1"/>
    <col width="30" customWidth="1" style="381" min="2" max="2"/>
    <col width="22" customWidth="1" style="381" min="3" max="3"/>
  </cols>
  <sheetData>
    <row r="1" ht="17.25" customFormat="1" customHeight="1" s="381">
      <c r="A1" s="477" t="inlineStr">
        <is>
          <t>Six Peak Capital - Model Assumptions</t>
        </is>
      </c>
    </row>
    <row r="3" ht="15" customFormat="1" customHeight="1" s="381">
      <c r="A3" s="403" t="inlineStr">
        <is>
          <t>GC Fee Structure</t>
        </is>
      </c>
      <c r="B3" s="403" t="n"/>
      <c r="C3" s="403" t="n"/>
      <c r="D3" s="403" t="n"/>
    </row>
    <row r="4" ht="15" customFormat="1" customHeight="1" s="381">
      <c r="A4" s="571" t="inlineStr">
        <is>
          <t>Field Supervision Rate</t>
        </is>
      </c>
      <c r="B4" s="680" t="n">
        <v>0.06</v>
      </c>
    </row>
    <row r="5" ht="15" customFormat="1" customHeight="1" s="381">
      <c r="A5" s="571" t="inlineStr">
        <is>
          <t>GC-CM Fee Rate</t>
        </is>
      </c>
      <c r="B5" s="680" t="n">
        <v>0.06</v>
      </c>
    </row>
    <row r="6" ht="15" customFormat="1" customHeight="1" s="381">
      <c r="A6" s="571" t="inlineStr">
        <is>
          <t>Project Admin Rate</t>
        </is>
      </c>
      <c r="B6" s="680" t="n">
        <v>0.02</v>
      </c>
    </row>
    <row r="7" ht="15" customFormat="1" customHeight="1" s="381">
      <c r="A7" s="571" t="inlineStr">
        <is>
          <t>Total Fee Rate</t>
        </is>
      </c>
      <c r="B7" s="574">
        <f>B4+B5+B6</f>
        <v>0.14</v>
      </c>
    </row>
    <row r="8" ht="15" customFormat="1" customHeight="1" s="381">
      <c r="A8" s="571" t="n"/>
      <c r="B8" s="680" t="n"/>
    </row>
    <row r="9" ht="15" customFormat="1" customHeight="1" s="381">
      <c r="A9" s="571" t="inlineStr">
        <is>
          <t>Effective Revenue Rate on GMP</t>
        </is>
      </c>
      <c r="B9" s="574">
        <f>SUM(B10:B12)</f>
        <v>0.120391</v>
      </c>
      <c r="C9" s="381" t="inlineStr">
        <is>
          <t>On-GMP rates set directly (overhead gross-up removed)</t>
        </is>
      </c>
    </row>
    <row r="10" ht="15" customFormat="1" customHeight="1" s="381">
      <c r="A10" s="571" t="inlineStr">
        <is>
          <t>Supervision Rate on GMP</t>
        </is>
      </c>
      <c r="B10" s="574" t="n">
        <v>0.051596</v>
      </c>
    </row>
    <row r="11" ht="15" customFormat="1" customHeight="1" s="381">
      <c r="A11" s="571" t="inlineStr">
        <is>
          <t>GC-CM Fee Rate on GMP</t>
        </is>
      </c>
      <c r="B11" s="574" t="n">
        <v>0.051596</v>
      </c>
    </row>
    <row r="12" ht="15" customFormat="1" customHeight="1" s="381">
      <c r="A12" s="571" t="inlineStr">
        <is>
          <t>Admin Rate on GMP</t>
        </is>
      </c>
      <c r="B12" s="574" t="n">
        <v>0.017199</v>
      </c>
    </row>
    <row r="14" ht="15" customFormat="1" customHeight="1" s="381">
      <c r="A14" s="403" t="inlineStr">
        <is>
          <t>Bonding</t>
        </is>
      </c>
      <c r="B14" s="403" t="n"/>
      <c r="C14" s="403" t="n"/>
      <c r="D14" s="403" t="n"/>
    </row>
    <row r="15" ht="15" customFormat="1" customHeight="1" s="381">
      <c r="A15" s="571" t="inlineStr">
        <is>
          <t>Bonding Revenue Rate</t>
        </is>
      </c>
      <c r="B15" s="680" t="n">
        <v>0.015</v>
      </c>
    </row>
    <row r="16" ht="15" customFormat="1" customHeight="1" s="381">
      <c r="A16" s="571" t="inlineStr">
        <is>
          <t>Tier 1 Bond Cost Rate</t>
        </is>
      </c>
      <c r="B16" s="680" t="n">
        <v>0.0074</v>
      </c>
    </row>
    <row r="17" ht="15" customFormat="1" customHeight="1" s="381">
      <c r="A17" s="571" t="inlineStr">
        <is>
          <t>Tier 2 Bond Cost Rate</t>
        </is>
      </c>
      <c r="B17" s="680" t="n">
        <v>0.0325</v>
      </c>
    </row>
    <row r="18" ht="15" customFormat="1" customHeight="1" s="381">
      <c r="A18" s="381" t="inlineStr">
        <is>
          <t>Krueger CBI Premium Rate (Riverton actual 7/15/26)</t>
        </is>
      </c>
      <c r="B18" s="682">
        <f>103966/14337010.8</f>
        <v>0.00725158134079107</v>
      </c>
      <c r="C18" s="381" t="inlineStr">
        <is>
          <t>Cash owed to Justin (Krueger) - paid at Francis bond billing</t>
        </is>
      </c>
      <c r="D18" s="683" t="n">
        <v>697090.78</v>
      </c>
    </row>
    <row r="19" ht="15" customFormat="1" customHeight="1" s="381">
      <c r="A19" s="403" t="inlineStr">
        <is>
          <t>Payroll Burden Rates</t>
        </is>
      </c>
      <c r="B19" s="403" t="n"/>
      <c r="C19" s="403" t="n"/>
      <c r="D19" s="403" t="n"/>
    </row>
    <row r="20" ht="15" customFormat="1" customHeight="1" s="381">
      <c r="A20" s="571" t="inlineStr">
        <is>
          <t>Payroll Tax Rate</t>
        </is>
      </c>
      <c r="B20" s="680" t="n">
        <v>0.07000000000000001</v>
      </c>
    </row>
    <row r="21" ht="15" customFormat="1" customHeight="1" s="381">
      <c r="A21" s="571" t="inlineStr">
        <is>
          <t>Payroll Servicing Rate</t>
        </is>
      </c>
      <c r="B21" s="680" t="n">
        <v>0.005</v>
      </c>
    </row>
    <row r="22" ht="15" customFormat="1" customHeight="1" s="381">
      <c r="A22" s="571" t="inlineStr">
        <is>
          <t>Employee Benefits Rate</t>
        </is>
      </c>
      <c r="B22" s="680" t="n">
        <v>0.05</v>
      </c>
    </row>
    <row r="23" ht="15" customFormat="1" customHeight="1" s="381">
      <c r="A23" s="571" t="inlineStr">
        <is>
          <t>Workers Comp Rate</t>
        </is>
      </c>
      <c r="B23" s="680" t="n">
        <v>0.02</v>
      </c>
    </row>
    <row r="25" ht="15" customFormat="1" customHeight="1" s="381">
      <c r="A25" s="403" t="inlineStr">
        <is>
          <t>Expense Escalation</t>
        </is>
      </c>
      <c r="B25" s="403" t="n"/>
      <c r="C25" s="403" t="n"/>
      <c r="D25" s="403" t="n"/>
    </row>
    <row r="26" ht="15" customFormat="1" customHeight="1" s="381">
      <c r="A26" s="571" t="inlineStr">
        <is>
          <t>Annual Expense Escalation Rate</t>
        </is>
      </c>
      <c r="B26" s="657" t="n">
        <v>0.02</v>
      </c>
    </row>
    <row r="28" ht="15" customFormat="1" customHeight="1" s="381">
      <c r="A28" s="403" t="inlineStr">
        <is>
          <t>Beginning Cash Balances</t>
        </is>
      </c>
      <c r="B28" s="403" t="n"/>
      <c r="C28" s="403" t="n"/>
      <c r="D28" s="403" t="n"/>
    </row>
    <row r="29" ht="15" customFormat="1" customHeight="1" s="381">
      <c r="A29" s="571" t="inlineStr">
        <is>
          <t>LV (GC) Beginning Cash</t>
        </is>
      </c>
      <c r="B29" s="659" t="n">
        <v>306139</v>
      </c>
    </row>
    <row r="30" ht="15" customFormat="1" customHeight="1" s="381">
      <c r="A30" s="571" t="inlineStr">
        <is>
          <t>Six Peak Beginning Cash</t>
        </is>
      </c>
      <c r="B30" s="659">
        <f>665368-500000</f>
        <v>165368</v>
      </c>
    </row>
    <row r="32" ht="15" customFormat="1" customHeight="1" s="381">
      <c r="A32" s="403" t="inlineStr">
        <is>
          <t>Debt Facility</t>
        </is>
      </c>
      <c r="B32" s="403" t="n"/>
      <c r="C32" s="403" t="n"/>
      <c r="D32" s="403" t="n"/>
    </row>
    <row r="33" ht="15" customFormat="1" customHeight="1" s="381">
      <c r="A33" s="571" t="inlineStr">
        <is>
          <t>Debt Starting Balance (Apr 2026)</t>
        </is>
      </c>
      <c r="B33" s="659" t="n">
        <v>1615485</v>
      </c>
    </row>
    <row r="34" ht="15" customFormat="1" customHeight="1" s="381">
      <c r="A34" s="571" t="inlineStr">
        <is>
          <t>Interest Rate (Annual)</t>
        </is>
      </c>
      <c r="B34" s="680" t="n">
        <v>0.15</v>
      </c>
    </row>
    <row r="35" ht="15" customFormat="1" customHeight="1" s="381">
      <c r="A35" s="571" t="inlineStr">
        <is>
          <t>Quarterly Rate</t>
        </is>
      </c>
      <c r="B35" s="574">
        <f>B34/4</f>
        <v>0.0375</v>
      </c>
    </row>
    <row r="36" ht="15" customFormat="1" customHeight="1" s="381">
      <c r="A36" s="571" t="inlineStr">
        <is>
          <t>Monthly Payment Amount</t>
        </is>
      </c>
      <c r="B36" s="659" t="n">
        <v>112000</v>
      </c>
    </row>
    <row r="37" ht="15" customFormat="1" customHeight="1" s="381">
      <c r="A37" s="571" t="inlineStr">
        <is>
          <t>First Payment Month #</t>
        </is>
      </c>
      <c r="B37" s="684" t="n">
        <v>10</v>
      </c>
    </row>
    <row r="38" ht="15" customFormat="1" customHeight="1" s="381">
      <c r="A38" s="685" t="inlineStr">
        <is>
          <t>(Month 7 = Oct 2026, paid off Dec 2027)</t>
        </is>
      </c>
    </row>
    <row r="40" ht="15" customFormat="1" customHeight="1" s="381">
      <c r="A40" s="403" t="inlineStr">
        <is>
          <t>Row Run Capital LLC</t>
        </is>
      </c>
      <c r="B40" s="403" t="n"/>
      <c r="C40" s="403" t="n"/>
      <c r="D40" s="403" t="n"/>
    </row>
    <row r="41" ht="15" customFormat="1" customHeight="1" s="381">
      <c r="A41" s="571" t="inlineStr">
        <is>
          <t>Loan Amount</t>
        </is>
      </c>
      <c r="B41" s="659" t="n">
        <v>1000000</v>
      </c>
    </row>
    <row r="42" ht="15" customFormat="1" customHeight="1" s="381">
      <c r="A42" s="571" t="inlineStr">
        <is>
          <t>Tranche Size (25%)</t>
        </is>
      </c>
      <c r="B42" s="686">
        <f>B41*0.25</f>
        <v>250000</v>
      </c>
    </row>
    <row r="43" ht="15" customFormat="1" customHeight="1" s="381">
      <c r="A43" s="571" t="inlineStr">
        <is>
          <t>Net Income Threshold</t>
        </is>
      </c>
      <c r="B43" s="659" t="n">
        <v>1000000</v>
      </c>
    </row>
    <row r="44" ht="15" customFormat="1" customHeight="1" s="381">
      <c r="A44" s="685" t="inlineStr">
        <is>
          <t>(Payable only when annual consolidated NI &gt;= threshold)</t>
        </is>
      </c>
    </row>
    <row r="46" ht="15" customFormat="1" customHeight="1" s="381">
      <c r="A46" s="403" t="inlineStr">
        <is>
          <t>Steyn Group Guaranty</t>
        </is>
      </c>
      <c r="B46" s="403" t="n"/>
      <c r="C46" s="403" t="n"/>
      <c r="D46" s="403" t="n"/>
    </row>
    <row r="47" ht="15" customFormat="1" customHeight="1" s="381">
      <c r="A47" s="571" t="inlineStr">
        <is>
          <t>Completion Guaranty Fee Rate</t>
        </is>
      </c>
      <c r="B47" s="680" t="n">
        <v>0.01</v>
      </c>
    </row>
    <row r="48" ht="15" customFormat="1" customHeight="1" s="381">
      <c r="A48" s="571" t="inlineStr">
        <is>
          <t>Liquidity Guarantee Fee Rate</t>
        </is>
      </c>
      <c r="B48" s="680" t="n">
        <v>0.03</v>
      </c>
    </row>
    <row r="50" ht="15" customFormat="1" customHeight="1" s="381">
      <c r="A50" s="403" t="inlineStr">
        <is>
          <t>Steyn Liquidity Requirements</t>
        </is>
      </c>
      <c r="B50" s="403" t="n"/>
      <c r="C50" s="687" t="n"/>
      <c r="D50" s="403" t="n"/>
    </row>
    <row r="51" ht="15" customFormat="1" customHeight="1" s="381">
      <c r="A51" s="571" t="inlineStr">
        <is>
          <t>Klump</t>
        </is>
      </c>
      <c r="B51" s="659" t="n">
        <v>2000000</v>
      </c>
    </row>
    <row r="52" ht="15" customFormat="1" customHeight="1" s="381">
      <c r="A52" s="571" t="inlineStr">
        <is>
          <t>Scott</t>
        </is>
      </c>
      <c r="B52" s="659" t="n">
        <v>2000000</v>
      </c>
    </row>
    <row r="53" ht="15" customFormat="1" customHeight="1" s="381">
      <c r="A53" s="571" t="inlineStr">
        <is>
          <t>Francis</t>
        </is>
      </c>
      <c r="B53" s="659" t="n">
        <v>5000000</v>
      </c>
      <c r="C53" s="472" t="n"/>
    </row>
    <row r="54" ht="15" customFormat="1" customHeight="1" s="381">
      <c r="A54" s="571" t="inlineStr">
        <is>
          <t>Reseda</t>
        </is>
      </c>
      <c r="B54" s="659" t="n">
        <v>5000000</v>
      </c>
      <c r="C54" s="472" t="n"/>
    </row>
    <row r="55" ht="15" customFormat="1" customHeight="1" s="381">
      <c r="A55" s="571" t="inlineStr">
        <is>
          <t>3rd St</t>
        </is>
      </c>
      <c r="B55" s="659" t="n">
        <v>5000000</v>
      </c>
      <c r="C55" s="472" t="n"/>
    </row>
    <row r="57" ht="15" customFormat="1" customHeight="1" s="381">
      <c r="A57" s="403" t="inlineStr">
        <is>
          <t>Project Investment Capital</t>
        </is>
      </c>
      <c r="B57" s="403" t="n"/>
      <c r="C57" s="403" t="n"/>
      <c r="D57" s="403" t="n"/>
    </row>
    <row r="58" ht="15" customFormat="1" customHeight="1" s="381">
      <c r="A58" s="571" t="inlineStr">
        <is>
          <t>Accrual Rate (Annual)</t>
        </is>
      </c>
      <c r="B58" s="680" t="n">
        <v>0.15</v>
      </c>
    </row>
    <row r="59" ht="15" customFormat="1" customHeight="1" s="381">
      <c r="A59" s="571" t="inlineStr">
        <is>
          <t>Quarterly Accrual Rate</t>
        </is>
      </c>
      <c r="B59" s="574">
        <f>B58/4</f>
        <v>0.0375</v>
      </c>
    </row>
    <row r="60" ht="15" customFormat="1" customHeight="1" s="381">
      <c r="A60" s="571" t="inlineStr">
        <is>
          <t>Klump - Capital Invested</t>
        </is>
      </c>
      <c r="B60" s="659" t="n">
        <v>0</v>
      </c>
    </row>
    <row r="61" ht="15" customFormat="1" customHeight="1" s="381">
      <c r="A61" s="571" t="inlineStr">
        <is>
          <t>Scott - Capital Invested</t>
        </is>
      </c>
      <c r="B61" s="659" t="n">
        <v>0</v>
      </c>
    </row>
    <row r="62" ht="15" customFormat="1" customHeight="1" s="381">
      <c r="A62" s="571" t="inlineStr">
        <is>
          <t>Reseda - Capital Invested</t>
        </is>
      </c>
      <c r="B62" s="659" t="n">
        <v>1784000</v>
      </c>
    </row>
    <row r="63" ht="15" customFormat="1" customHeight="1" s="381">
      <c r="A63" s="571" t="inlineStr">
        <is>
          <t>3rd St - Capital Invested</t>
        </is>
      </c>
      <c r="B63" s="659" t="n">
        <v>1766181</v>
      </c>
    </row>
    <row r="64" ht="15" customFormat="1" customHeight="1" s="381">
      <c r="A64" s="685" t="inlineStr">
        <is>
          <t>(Capital amounts TBD - enter when available)</t>
        </is>
      </c>
    </row>
    <row r="66" ht="15" customFormat="1" customHeight="1" s="381">
      <c r="A66" s="480" t="inlineStr">
        <is>
          <t>Edgemont Management Fee</t>
        </is>
      </c>
    </row>
    <row r="67" ht="15" customFormat="1" customHeight="1" s="381">
      <c r="A67" s="472" t="inlineStr">
        <is>
          <t>Monthly Fee Amount</t>
        </is>
      </c>
      <c r="B67" s="688" t="n">
        <v>833.33</v>
      </c>
    </row>
    <row r="68" ht="15" customFormat="1" customHeight="1" s="381">
      <c r="A68" s="472" t="inlineStr">
        <is>
          <t>Last Active Month #</t>
        </is>
      </c>
      <c r="B68" s="472" t="n">
        <v>5</v>
      </c>
    </row>
    <row r="70" ht="15" customFormat="1" customHeight="1" s="381">
      <c r="A70" s="689" t="inlineStr">
        <is>
          <t>PIK Detail Parameters</t>
        </is>
      </c>
      <c r="B70" s="689" t="n"/>
    </row>
    <row r="71" ht="15" customFormat="1" customHeight="1" s="381">
      <c r="A71" s="690" t="inlineStr">
        <is>
          <t>Reseda - Initial PIK Balance</t>
        </is>
      </c>
      <c r="B71" s="691" t="n">
        <v>1134000</v>
      </c>
    </row>
    <row r="72" ht="15" customFormat="1" customHeight="1" s="381">
      <c r="A72" s="692" t="inlineStr">
        <is>
          <t>Reseda - Monthly PIK Ramp</t>
        </is>
      </c>
      <c r="B72" s="693" t="n">
        <v>50000</v>
      </c>
    </row>
    <row r="73" ht="15" customFormat="1" customHeight="1" s="381">
      <c r="A73" s="690" t="inlineStr">
        <is>
          <t>Reseda - PIK Ramp Until Month</t>
        </is>
      </c>
      <c r="B73" s="694" t="n">
        <v>14</v>
      </c>
    </row>
    <row r="74" ht="15" customFormat="1" customHeight="1" s="381">
      <c r="A74" s="692" t="inlineStr">
        <is>
          <t>Reseda - Deal Distribution</t>
        </is>
      </c>
      <c r="B74" s="693" t="n">
        <v>-1450000</v>
      </c>
    </row>
    <row r="75" ht="15" customFormat="1" customHeight="1" s="381">
      <c r="A75" s="690" t="inlineStr">
        <is>
          <t>3rd St - Initial PIK Balance</t>
        </is>
      </c>
      <c r="B75" s="691" t="n">
        <v>264927.15</v>
      </c>
    </row>
    <row r="76" ht="15" customFormat="1" customHeight="1" s="381">
      <c r="A76" s="692" t="inlineStr">
        <is>
          <t xml:space="preserve">3rd St - Final Tranche (draw base: 20/20/10/10/10/100%)</t>
        </is>
      </c>
      <c r="B76" s="693" t="n">
        <v>883090.5</v>
      </c>
    </row>
    <row r="77" ht="15" customFormat="1" customHeight="1" s="381">
      <c r="A77" s="690" t="inlineStr">
        <is>
          <t>3rd St - Deal Distribution</t>
        </is>
      </c>
      <c r="B77" s="691" t="n">
        <v>-1800000</v>
      </c>
    </row>
    <row r="79" ht="19.5" customFormat="1" customHeight="1" s="381">
      <c r="A79" s="695" t="inlineStr">
        <is>
          <t>HVN Commission Structure</t>
        </is>
      </c>
    </row>
    <row r="80" ht="15" customFormat="1" customHeight="1" s="381">
      <c r="A80" s="696" t="inlineStr">
        <is>
          <t>Number of HVN deals per year (informational)</t>
        </is>
      </c>
      <c r="B80" s="697" t="n">
        <v>1</v>
      </c>
    </row>
    <row r="82" ht="27.75" customFormat="1" customHeight="1" s="381">
      <c r="A82" s="552" t="inlineStr">
        <is>
          <t>Tier</t>
        </is>
      </c>
      <c r="B82" s="552" t="inlineStr">
        <is>
          <t>Non-HVN BD Annual Billing &gt;=</t>
        </is>
      </c>
      <c r="C82" s="552" t="inlineStr">
        <is>
          <t>HVN Commission Rate</t>
        </is>
      </c>
    </row>
    <row r="83" ht="15" customFormat="1" customHeight="1" s="381">
      <c r="A83" s="698" t="inlineStr">
        <is>
          <t>Tier 0 (base)</t>
        </is>
      </c>
      <c r="B83" s="699" t="n">
        <v>0</v>
      </c>
      <c r="C83" s="700" t="n">
        <v>0.25</v>
      </c>
    </row>
    <row r="84" ht="15" customFormat="1" customHeight="1" s="381">
      <c r="A84" s="698" t="inlineStr">
        <is>
          <t>Tier 1</t>
        </is>
      </c>
      <c r="B84" s="699" t="n">
        <v>20000000</v>
      </c>
      <c r="C84" s="700" t="n">
        <v>0.5</v>
      </c>
    </row>
    <row r="85" ht="15" customFormat="1" customHeight="1" s="381">
      <c r="A85" s="698" t="inlineStr">
        <is>
          <t>Tier 2</t>
        </is>
      </c>
      <c r="B85" s="699" t="n">
        <v>40000000</v>
      </c>
      <c r="C85" s="700" t="n">
        <v>0.75</v>
      </c>
    </row>
    <row r="86" ht="15" customFormat="1" customHeight="1" s="381">
      <c r="A86" s="698" t="inlineStr">
        <is>
          <t>Tier 3</t>
        </is>
      </c>
      <c r="B86" s="699" t="n">
        <v>60000000</v>
      </c>
      <c r="C86" s="700" t="n">
        <v>1</v>
      </c>
    </row>
    <row r="88" ht="15" customFormat="1" customHeight="1" s="381">
      <c r="A88" s="453" t="inlineStr">
        <is>
          <t>(Thresholds measured by non-HVN BD annual billing; rate applied to that year's HVN GP)</t>
        </is>
      </c>
    </row>
    <row r="92" ht="15" customHeight="1" s="467">
      <c r="A92" s="381" t="inlineStr">
        <is>
          <t>ALT-1 SCENARIO NOTES</t>
        </is>
      </c>
    </row>
    <row r="93" ht="15" customHeight="1" s="467">
      <c r="A93" s="381" t="inlineStr">
        <is>
          <t>Built 14 Aug 2026 from 'Base Case (in-place) + HVN 3 (Dickens-Riverton-Moorpark)'.</t>
        </is>
      </c>
    </row>
    <row r="94" ht="15" customHeight="1" s="467">
      <c r="A94" s="381" t="inlineStr">
        <is>
          <t>Month index: month 1 = Apr 2026. Projects!C is that index.</t>
        </is>
      </c>
    </row>
    <row r="95" ht="15" customHeight="1" s="467">
      <c r="A95" s="381" t="inlineStr">
        <is>
          <t>Troost (Projects row 21, former BD-05 slot): GMP $15,189,509 from LV ROM 7/30/26.</t>
        </is>
      </c>
    </row>
    <row r="96" ht="15" customHeight="1" s="467">
      <c r="A96" s="381" t="inlineStr">
        <is>
          <t xml:space="preserve">   Nov 2026 start treated as unbilled mobilisation; Projects!C=9 so first billing is Dec 2026.</t>
        </is>
      </c>
    </row>
    <row r="97" ht="15" customHeight="1" s="467">
      <c r="A97" s="381" t="inlineStr">
        <is>
          <t xml:space="preserve">   Flagged HVN=Yes, so Tom earns the tiered HVN commission rate.</t>
        </is>
      </c>
    </row>
    <row r="98" ht="15" customHeight="1" s="467">
      <c r="A98" s="381" t="inlineStr">
        <is>
          <t xml:space="preserve">   ROM total carries $223,464 of bonding inside it; Bonded set to No, bonding not modelled separately.</t>
        </is>
      </c>
    </row>
    <row r="99" ht="15" customHeight="1" s="467">
      <c r="A99" s="381" t="inlineStr">
        <is>
          <t>Beverly (Projects row 20, BD-04 slot): GMP $25,026,331 from LV ROM 7/22/26.</t>
        </is>
      </c>
    </row>
    <row r="100" ht="15" customHeight="1" s="467">
      <c r="A100" s="381" t="inlineStr">
        <is>
          <t xml:space="preserve">   Oct 2027 start treated as unbilled mobilisation; Projects!C=20 so first billing is Nov 2027.</t>
        </is>
      </c>
    </row>
    <row r="101" ht="15" customHeight="1" s="467">
      <c r="A101" s="381" t="inlineStr">
        <is>
          <t xml:space="preserve">   Flagged HVN=No per direction, so Tom earns the standard 10% non-HVN commission.</t>
        </is>
      </c>
    </row>
    <row r="102" ht="15" customHeight="1" s="467">
      <c r="A102" s="381" t="inlineStr">
        <is>
          <t>Klump and Scott switched Active=Yes, both moved to Projects!C=10 (Jan 2027).</t>
        </is>
      </c>
    </row>
    <row r="103" ht="15" customHeight="1" s="467">
      <c r="A103" s="381" t="inlineStr">
        <is>
          <t>Model row 142 (BD Commission) restored to the BD Commission Detail engine with a $0 monthly floor.</t>
        </is>
      </c>
    </row>
    <row r="104" ht="15" customHeight="1" s="467">
      <c r="A104" s="381" t="inlineStr">
        <is>
          <t xml:space="preserve">   It was hard-coded to 0 from Jun 2026 in all 11 June files. Circular by design; workbook has iterate=true.</t>
        </is>
      </c>
    </row>
    <row r="105" ht="15" customHeight="1" s="467">
      <c r="A105" s="381" t="inlineStr">
        <is>
          <t>OPEN: no field staff added for the four newly-activated jobs. Personnel is a fixed roster,</t>
        </is>
      </c>
    </row>
    <row r="106" ht="15" customHeight="1" s="467">
      <c r="A106" s="381" t="inlineStr">
        <is>
          <t xml:space="preserve">   so GC payroll does not scale with job count. Acama and Reseda each carry a named Sr Super.</t>
        </is>
      </c>
    </row>
    <row r="108" ht="15" customHeight="1" s="467">
      <c r="A108" s="381" t="inlineStr">
        <is>
          <t>FIX: Model row 158 (Klump Guarantee Fee) was hardwired to column I (Aug 2026) with no month test,</t>
        </is>
      </c>
    </row>
    <row r="109" ht="15" customHeight="1" s="467">
      <c r="A109" s="381" t="inlineStr">
        <is>
          <t xml:space="preserve">   so it booked $253,980 regardless of Klump's start month. Now month-tested against Projects!C11,</t>
        </is>
      </c>
    </row>
    <row r="110" ht="15" customHeight="1" s="467">
      <c r="A110" s="381" t="inlineStr">
        <is>
          <t xml:space="preserve">   matching row 161 (Scott). Latent in all 11 June workbooks; only visible once the start crosses a FY.</t>
        </is>
      </c>
    </row>
    <row r="112" ht="15" customHeight="1" s="467">
      <c r="A112" s="381" t="inlineStr">
        <is>
          <t>STAFFING: Personnel row 34 added - Project Coordinator on Brisa's profile, $90,000,</t>
        </is>
      </c>
    </row>
    <row r="113" ht="15" customHeight="1" s="467">
      <c r="A113" s="381" t="inlineStr">
        <is>
          <t xml:space="preserve">   start month 10 (Jan 2027). Wired into Model r111 (payroll), Model r131 (15% recruiting</t>
        </is>
      </c>
    </row>
    <row r="114" ht="15" customHeight="1" s="467">
      <c r="A114" s="381" t="inlineStr">
        <is>
          <t xml:space="preserve">   fee in the start month) and Helpers r4 (W2 basis, which drives taxes/benefits/WC/servicing).</t>
        </is>
      </c>
    </row>
    <row r="115" ht="15" customHeight="1" s="467">
      <c r="A115" s="381" t="inlineStr">
        <is>
          <t xml:space="preserve">   Personnel row 28 'Placeholder Asst Super' left inactive and available for the Apr-Jul 2027 gap.</t>
        </is>
      </c>
    </row>
    <row r="117" ht="15" customHeight="1" s="467">
      <c r="A117" s="381" t="inlineStr">
        <is>
          <t>FIX: Helpers rows 98/99 excluded bonding from the BD profit base only when 3rd St was</t>
        </is>
      </c>
    </row>
    <row r="118" ht="15" customHeight="1" s="467">
      <c r="A118" s="381" t="inlineStr">
        <is>
          <t xml:space="preserve">   active and started. Apr-2027 monthly GP net of tier-2 bonding was -$3,384, so row 98</t>
        </is>
      </c>
    </row>
    <row r="119" ht="15" customHeight="1" s="467">
      <c r="A119" s="381" t="inlineStr">
        <is>
          <t xml:space="preserve">   (BD fees / monthly GP) returned -54.3x and row 100 booked +$33.6m of phantom BD GP in</t>
        </is>
      </c>
    </row>
    <row r="120" ht="15" customHeight="1" s="467">
      <c r="A120" s="381" t="inlineStr">
        <is>
          <t xml:space="preserve">   one month. Bonding is now excluded unconditionally, per BD Commission tab note row 19.</t>
        </is>
      </c>
    </row>
    <row r="121" ht="15" customHeight="1" s="467">
      <c r="A121" s="381" t="inlineStr">
        <is>
          <t xml:space="preserve">   Analysis-only: Model row 142 draws on BD Commission Detail r53, so net income never moved.</t>
        </is>
      </c>
    </row>
    <row r="123" ht="15" customHeight="1" s="467">
      <c r="A123" s="381" t="inlineStr">
        <is>
          <t>ALT-2: identical to ALT-1 except Uplifters!B2 = Yes (the single program switch,</t>
        </is>
      </c>
    </row>
    <row r="124" ht="15" customHeight="1" s="467">
      <c r="A124" s="381" t="inlineStr">
        <is>
          <t xml:space="preserve">   feeding Model row 165 'Uplifters Total to SP' from Uplifters row 107).</t>
        </is>
      </c>
    </row>
    <row r="130" ht="15" customHeight="1" s="467">
      <c r="A130" s="381" t="inlineStr">
        <is>
          <t>DEFECT FIXES APPLIED 14 Aug 2026 (see _START HERE open items):</t>
        </is>
      </c>
    </row>
    <row r="131" ht="15" customHeight="1" s="467">
      <c r="A131" s="381" t="inlineStr">
        <is>
          <t xml:space="preserve">  r142 BD commission restored with a $0 monthly floor (was hardcoded 0 in the 4 HVN 3 files;</t>
        </is>
      </c>
    </row>
    <row r="132" ht="15" customHeight="1" s="467">
      <c r="A132" s="381" t="inlineStr">
        <is>
          <t xml:space="preserve">       live but unfloored in the other 7, so negative months credited income).</t>
        </is>
      </c>
    </row>
    <row r="133" ht="15" customHeight="1" s="467">
      <c r="A133" s="381" t="inlineStr">
        <is>
          <t xml:space="preserve">  r158 Klump guarantee fee month-tested (was pinned to Aug-26 regardless of start).</t>
        </is>
      </c>
    </row>
    <row r="134" ht="15" customHeight="1" s="467">
      <c r="A134" s="381" t="inlineStr">
        <is>
          <t xml:space="preserve">  Appendix r15/r21 Steyn fees month-tested (were pinned to Aug-26 / Sep-26).</t>
        </is>
      </c>
    </row>
    <row r="135" ht="15" customHeight="1" s="467">
      <c r="A135" s="381" t="inlineStr">
        <is>
          <t xml:space="preserve">  r155 12th &amp; Fir zeroed Apr-Jun 26 in every file, per Chris — nil actuals posted.</t>
        </is>
      </c>
    </row>
    <row r="136" ht="15" customHeight="1" s="467">
      <c r="A136" s="381" t="inlineStr">
        <is>
          <t xml:space="preserve">  Helpers r98/r99 exclude bonding unconditionally (gate on 3rd St removed).</t>
        </is>
      </c>
    </row>
    <row r="137" ht="15" customHeight="1" s="467">
      <c r="A137" s="381" t="inlineStr">
        <is>
          <t xml:space="preserve">  r105/r106 bonding now covers Projects rows 17-46, not just 6-16.</t>
        </is>
      </c>
    </row>
    <row r="138" ht="15" customHeight="1" s="467">
      <c r="A138" s="381" t="inlineStr">
        <is>
          <t xml:space="preserve">  r258 added so bonded HVN deals appear in bonding outstanding.</t>
        </is>
      </c>
    </row>
    <row r="139" ht="15" customHeight="1" s="467">
      <c r="A139" s="381" t="inlineStr">
        <is>
          <t xml:space="preserve">  NOT changed: Personnel does not scale with job count — LV BD scenarios stay optimistic.</t>
        </is>
      </c>
    </row>
    <row r="141" ht="15" customHeight="1" s="467">
      <c r="A141" s="381" t="inlineStr">
        <is>
          <t>STAFFING ASSUMPTION (added 14 Aug 2026): two further senior superintendents, covering the</t>
        </is>
      </c>
    </row>
    <row r="142" ht="15" customHeight="1" s="467">
      <c r="A142" s="381" t="inlineStr">
        <is>
          <t xml:space="preserve">   Troost start and the Klump/Scott pair rather than recycling crews through the Apr-Jul 2027 overlap:</t>
        </is>
      </c>
    </row>
    <row r="143" ht="15" customHeight="1" s="467">
      <c r="A143" s="381" t="inlineStr">
        <is>
          <t xml:space="preserve">   Personnel row 46 Sr Super (Troost), $160,000, starts month 9 (Dec 2026, Troost's first billing month).</t>
        </is>
      </c>
    </row>
    <row r="144" ht="15" customHeight="1" s="467">
      <c r="A144" s="381" t="inlineStr">
        <is>
          <t xml:space="preserve">   Personnel row 47 Sr Super (Klump/Scott), $160,000, starts month 10 (Jan 2027), covering both jobs.</t>
        </is>
      </c>
    </row>
    <row r="145" ht="15" customHeight="1" s="467">
      <c r="A145" s="381" t="inlineStr">
        <is>
          <t xml:space="preserve">   Salary follows the named-project convention (Acama and Reseda Sr Supers, both $160,000).</t>
        </is>
      </c>
    </row>
    <row r="146" ht="15" customHeight="1" s="467">
      <c r="A146" s="381" t="inlineStr">
        <is>
          <t xml:space="preserve">   Field roster adds now total 5 heads: 1 coordinator + 4 senior/assistant supers.</t>
        </is>
      </c>
    </row>
    <row r="147" ht="15" customHeight="1" s="467">
      <c r="A147" s="381" t="inlineStr">
        <is>
          <t xml:space="preserve">   OPEN: both of these are modelling assumptions, not commitments. Troost could instead take the</t>
        </is>
      </c>
    </row>
    <row r="148" ht="15" customHeight="1" s="467">
      <c r="A148" s="381" t="inlineStr">
        <is>
          <t xml:space="preserve">   Crenshaw crew (saves $160,000/yr but spends the April slack), and the Klump/Scott pair may need</t>
        </is>
      </c>
    </row>
    <row r="149" ht="15" customHeight="1" s="467">
      <c r="A149" s="381" t="inlineStr">
        <is>
          <t xml:space="preserve">   two heads once both are framing. See 'ALT-2 Sequencing.html' for the full discussion list.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B10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10" customWidth="1" style="381" min="1" max="1"/>
    <col width="12" customWidth="1" style="381" min="2" max="2"/>
  </cols>
  <sheetData>
    <row r="1" ht="15" customFormat="1" customHeight="1" s="381">
      <c r="A1" s="384" t="inlineStr">
        <is>
          <t>Month</t>
        </is>
      </c>
      <c r="B1" s="384" t="inlineStr">
        <is>
          <t>Factor</t>
        </is>
      </c>
    </row>
    <row r="2" ht="15" customFormat="1" customHeight="1" s="381">
      <c r="A2" s="696" t="n">
        <v>1</v>
      </c>
      <c r="B2" s="701">
        <f>(1+Assumptions!$B$26)^INT((A2-1)/12)</f>
        <v>1</v>
      </c>
    </row>
    <row r="3" ht="15" customFormat="1" customHeight="1" s="381">
      <c r="A3" s="696" t="n">
        <v>2</v>
      </c>
      <c r="B3" s="701">
        <f>(1+Assumptions!$B$26)^INT((A3-1)/12)</f>
        <v>1</v>
      </c>
    </row>
    <row r="4" ht="15" customFormat="1" customHeight="1" s="381">
      <c r="A4" s="696" t="n">
        <v>3</v>
      </c>
      <c r="B4" s="701">
        <f>(1+Assumptions!$B$26)^INT((A4-1)/12)</f>
        <v>1</v>
      </c>
    </row>
    <row r="5" ht="15" customFormat="1" customHeight="1" s="381">
      <c r="A5" s="696" t="n">
        <v>4</v>
      </c>
      <c r="B5" s="701">
        <f>(1+Assumptions!$B$26)^INT((A5-1)/12)</f>
        <v>1</v>
      </c>
    </row>
    <row r="6" ht="15" customFormat="1" customHeight="1" s="381">
      <c r="A6" s="696" t="n">
        <v>5</v>
      </c>
      <c r="B6" s="701">
        <f>(1+Assumptions!$B$26)^INT((A6-1)/12)</f>
        <v>1</v>
      </c>
    </row>
    <row r="7" ht="15" customFormat="1" customHeight="1" s="381">
      <c r="A7" s="696" t="n">
        <v>6</v>
      </c>
      <c r="B7" s="701">
        <f>(1+Assumptions!$B$26)^INT((A7-1)/12)</f>
        <v>1</v>
      </c>
    </row>
    <row r="8" ht="15" customFormat="1" customHeight="1" s="381">
      <c r="A8" s="696" t="n">
        <v>7</v>
      </c>
      <c r="B8" s="701">
        <f>(1+Assumptions!$B$26)^INT((A8-1)/12)</f>
        <v>1</v>
      </c>
    </row>
    <row r="9" ht="15" customFormat="1" customHeight="1" s="381">
      <c r="A9" s="696" t="n">
        <v>8</v>
      </c>
      <c r="B9" s="701">
        <f>(1+Assumptions!$B$26)^INT((A9-1)/12)</f>
        <v>1</v>
      </c>
    </row>
    <row r="10" ht="15" customFormat="1" customHeight="1" s="381">
      <c r="A10" s="696" t="n">
        <v>9</v>
      </c>
      <c r="B10" s="701">
        <f>(1+Assumptions!$B$26)^INT((A10-1)/12)</f>
        <v>1</v>
      </c>
    </row>
    <row r="11" ht="15" customFormat="1" customHeight="1" s="381">
      <c r="A11" s="696" t="n">
        <v>10</v>
      </c>
      <c r="B11" s="701">
        <f>(1+Assumptions!$B$26)^INT((A11-1)/12)</f>
        <v>1</v>
      </c>
    </row>
    <row r="12" ht="15" customFormat="1" customHeight="1" s="381">
      <c r="A12" s="696" t="n">
        <v>11</v>
      </c>
      <c r="B12" s="701">
        <f>(1+Assumptions!$B$26)^INT((A12-1)/12)</f>
        <v>1</v>
      </c>
    </row>
    <row r="13" ht="15" customFormat="1" customHeight="1" s="381">
      <c r="A13" s="696" t="n">
        <v>12</v>
      </c>
      <c r="B13" s="701">
        <f>(1+Assumptions!$B$26)^INT((A13-1)/12)</f>
        <v>1</v>
      </c>
    </row>
    <row r="14" ht="15" customFormat="1" customHeight="1" s="381">
      <c r="A14" s="696" t="n">
        <v>13</v>
      </c>
      <c r="B14" s="701">
        <f>(1+Assumptions!$B$26)^INT((A14-1)/12)</f>
        <v>1.02</v>
      </c>
    </row>
    <row r="15" ht="15" customFormat="1" customHeight="1" s="381">
      <c r="A15" s="696" t="n">
        <v>14</v>
      </c>
      <c r="B15" s="701">
        <f>(1+Assumptions!$B$26)^INT((A15-1)/12)</f>
        <v>1.02</v>
      </c>
    </row>
    <row r="16" ht="15" customFormat="1" customHeight="1" s="381">
      <c r="A16" s="696" t="n">
        <v>15</v>
      </c>
      <c r="B16" s="701">
        <f>(1+Assumptions!$B$26)^INT((A16-1)/12)</f>
        <v>1.02</v>
      </c>
    </row>
    <row r="17" ht="15" customFormat="1" customHeight="1" s="381">
      <c r="A17" s="696" t="n">
        <v>16</v>
      </c>
      <c r="B17" s="701">
        <f>(1+Assumptions!$B$26)^INT((A17-1)/12)</f>
        <v>1.02</v>
      </c>
    </row>
    <row r="18" ht="15" customFormat="1" customHeight="1" s="381">
      <c r="A18" s="696" t="n">
        <v>17</v>
      </c>
      <c r="B18" s="701">
        <f>(1+Assumptions!$B$26)^INT((A18-1)/12)</f>
        <v>1.02</v>
      </c>
    </row>
    <row r="19" ht="15" customFormat="1" customHeight="1" s="381">
      <c r="A19" s="696" t="n">
        <v>18</v>
      </c>
      <c r="B19" s="701">
        <f>(1+Assumptions!$B$26)^INT((A19-1)/12)</f>
        <v>1.02</v>
      </c>
    </row>
    <row r="20" ht="15" customFormat="1" customHeight="1" s="381">
      <c r="A20" s="696" t="n">
        <v>19</v>
      </c>
      <c r="B20" s="701">
        <f>(1+Assumptions!$B$26)^INT((A20-1)/12)</f>
        <v>1.02</v>
      </c>
    </row>
    <row r="21" ht="15" customFormat="1" customHeight="1" s="381">
      <c r="A21" s="696" t="n">
        <v>20</v>
      </c>
      <c r="B21" s="701">
        <f>(1+Assumptions!$B$26)^INT((A21-1)/12)</f>
        <v>1.02</v>
      </c>
    </row>
    <row r="22" ht="15" customFormat="1" customHeight="1" s="381">
      <c r="A22" s="696" t="n">
        <v>21</v>
      </c>
      <c r="B22" s="701">
        <f>(1+Assumptions!$B$26)^INT((A22-1)/12)</f>
        <v>1.02</v>
      </c>
    </row>
    <row r="23" ht="15" customFormat="1" customHeight="1" s="381">
      <c r="A23" s="696" t="n">
        <v>22</v>
      </c>
      <c r="B23" s="701">
        <f>(1+Assumptions!$B$26)^INT((A23-1)/12)</f>
        <v>1.02</v>
      </c>
    </row>
    <row r="24" ht="15" customFormat="1" customHeight="1" s="381">
      <c r="A24" s="696" t="n">
        <v>23</v>
      </c>
      <c r="B24" s="701">
        <f>(1+Assumptions!$B$26)^INT((A24-1)/12)</f>
        <v>1.02</v>
      </c>
    </row>
    <row r="25" ht="15" customFormat="1" customHeight="1" s="381">
      <c r="A25" s="696" t="n">
        <v>24</v>
      </c>
      <c r="B25" s="701">
        <f>(1+Assumptions!$B$26)^INT((A25-1)/12)</f>
        <v>1.02</v>
      </c>
    </row>
    <row r="26" ht="15" customFormat="1" customHeight="1" s="381">
      <c r="A26" s="696" t="n">
        <v>25</v>
      </c>
      <c r="B26" s="701">
        <f>(1+Assumptions!$B$26)^INT((A26-1)/12)</f>
        <v>1.0404</v>
      </c>
    </row>
    <row r="27" ht="15" customFormat="1" customHeight="1" s="381">
      <c r="A27" s="696" t="n">
        <v>26</v>
      </c>
      <c r="B27" s="701">
        <f>(1+Assumptions!$B$26)^INT((A27-1)/12)</f>
        <v>1.0404</v>
      </c>
    </row>
    <row r="28" ht="15" customFormat="1" customHeight="1" s="381">
      <c r="A28" s="696" t="n">
        <v>27</v>
      </c>
      <c r="B28" s="701">
        <f>(1+Assumptions!$B$26)^INT((A28-1)/12)</f>
        <v>1.0404</v>
      </c>
    </row>
    <row r="29" ht="15" customFormat="1" customHeight="1" s="381">
      <c r="A29" s="696" t="n">
        <v>28</v>
      </c>
      <c r="B29" s="701">
        <f>(1+Assumptions!$B$26)^INT((A29-1)/12)</f>
        <v>1.0404</v>
      </c>
    </row>
    <row r="30" ht="15" customFormat="1" customHeight="1" s="381">
      <c r="A30" s="696" t="n">
        <v>29</v>
      </c>
      <c r="B30" s="701">
        <f>(1+Assumptions!$B$26)^INT((A30-1)/12)</f>
        <v>1.0404</v>
      </c>
    </row>
    <row r="31" ht="15" customFormat="1" customHeight="1" s="381">
      <c r="A31" s="696" t="n">
        <v>30</v>
      </c>
      <c r="B31" s="701">
        <f>(1+Assumptions!$B$26)^INT((A31-1)/12)</f>
        <v>1.0404</v>
      </c>
    </row>
    <row r="32" ht="15" customFormat="1" customHeight="1" s="381">
      <c r="A32" s="696" t="n">
        <v>31</v>
      </c>
      <c r="B32" s="701">
        <f>(1+Assumptions!$B$26)^INT((A32-1)/12)</f>
        <v>1.0404</v>
      </c>
    </row>
    <row r="33" ht="15" customFormat="1" customHeight="1" s="381">
      <c r="A33" s="696" t="n">
        <v>32</v>
      </c>
      <c r="B33" s="701">
        <f>(1+Assumptions!$B$26)^INT((A33-1)/12)</f>
        <v>1.0404</v>
      </c>
    </row>
    <row r="34" ht="15" customFormat="1" customHeight="1" s="381">
      <c r="A34" s="696" t="n">
        <v>33</v>
      </c>
      <c r="B34" s="701">
        <f>(1+Assumptions!$B$26)^INT((A34-1)/12)</f>
        <v>1.0404</v>
      </c>
    </row>
    <row r="35" ht="15" customFormat="1" customHeight="1" s="381">
      <c r="A35" s="696" t="n">
        <v>34</v>
      </c>
      <c r="B35" s="701">
        <f>(1+Assumptions!$B$26)^INT((A35-1)/12)</f>
        <v>1.0404</v>
      </c>
    </row>
    <row r="36" ht="15" customFormat="1" customHeight="1" s="381">
      <c r="A36" s="696" t="n">
        <v>35</v>
      </c>
      <c r="B36" s="701">
        <f>(1+Assumptions!$B$26)^INT((A36-1)/12)</f>
        <v>1.0404</v>
      </c>
    </row>
    <row r="37" ht="15" customFormat="1" customHeight="1" s="381">
      <c r="A37" s="696" t="n">
        <v>36</v>
      </c>
      <c r="B37" s="701">
        <f>(1+Assumptions!$B$26)^INT((A37-1)/12)</f>
        <v>1.0404</v>
      </c>
    </row>
    <row r="38" ht="15" customFormat="1" customHeight="1" s="381">
      <c r="A38" s="696" t="n">
        <v>37</v>
      </c>
      <c r="B38" s="701">
        <f>(1+Assumptions!$B$26)^INT((A38-1)/12)</f>
        <v>1.061208</v>
      </c>
    </row>
    <row r="39" ht="15" customFormat="1" customHeight="1" s="381">
      <c r="A39" s="696" t="n">
        <v>38</v>
      </c>
      <c r="B39" s="701">
        <f>(1+Assumptions!$B$26)^INT((A39-1)/12)</f>
        <v>1.061208</v>
      </c>
    </row>
    <row r="40" ht="15" customFormat="1" customHeight="1" s="381">
      <c r="A40" s="696" t="n">
        <v>39</v>
      </c>
      <c r="B40" s="701">
        <f>(1+Assumptions!$B$26)^INT((A40-1)/12)</f>
        <v>1.061208</v>
      </c>
    </row>
    <row r="41" ht="15" customFormat="1" customHeight="1" s="381">
      <c r="A41" s="696" t="n">
        <v>40</v>
      </c>
      <c r="B41" s="701">
        <f>(1+Assumptions!$B$26)^INT((A41-1)/12)</f>
        <v>1.061208</v>
      </c>
    </row>
    <row r="42" ht="15" customFormat="1" customHeight="1" s="381">
      <c r="A42" s="696" t="n">
        <v>41</v>
      </c>
      <c r="B42" s="701">
        <f>(1+Assumptions!$B$26)^INT((A42-1)/12)</f>
        <v>1.061208</v>
      </c>
    </row>
    <row r="43" ht="15" customFormat="1" customHeight="1" s="381">
      <c r="A43" s="696" t="n">
        <v>42</v>
      </c>
      <c r="B43" s="701">
        <f>(1+Assumptions!$B$26)^INT((A43-1)/12)</f>
        <v>1.061208</v>
      </c>
    </row>
    <row r="44" ht="15" customFormat="1" customHeight="1" s="381">
      <c r="A44" s="696" t="n">
        <v>43</v>
      </c>
      <c r="B44" s="701">
        <f>(1+Assumptions!$B$26)^INT((A44-1)/12)</f>
        <v>1.061208</v>
      </c>
    </row>
    <row r="45" ht="15" customFormat="1" customHeight="1" s="381">
      <c r="A45" s="696" t="n">
        <v>44</v>
      </c>
      <c r="B45" s="701">
        <f>(1+Assumptions!$B$26)^INT((A45-1)/12)</f>
        <v>1.061208</v>
      </c>
    </row>
    <row r="46" ht="15" customFormat="1" customHeight="1" s="381">
      <c r="A46" s="696" t="n">
        <v>45</v>
      </c>
      <c r="B46" s="701">
        <f>(1+Assumptions!$B$26)^INT((A46-1)/12)</f>
        <v>1.061208</v>
      </c>
    </row>
    <row r="47" ht="15" customFormat="1" customHeight="1" s="381">
      <c r="A47" s="696" t="n">
        <v>46</v>
      </c>
      <c r="B47" s="701">
        <f>(1+Assumptions!$B$26)^INT((A47-1)/12)</f>
        <v>1.061208</v>
      </c>
    </row>
    <row r="48" ht="15" customFormat="1" customHeight="1" s="381">
      <c r="A48" s="696" t="n">
        <v>47</v>
      </c>
      <c r="B48" s="701">
        <f>(1+Assumptions!$B$26)^INT((A48-1)/12)</f>
        <v>1.061208</v>
      </c>
    </row>
    <row r="49" ht="15" customFormat="1" customHeight="1" s="381">
      <c r="A49" s="696" t="n">
        <v>48</v>
      </c>
      <c r="B49" s="701">
        <f>(1+Assumptions!$B$26)^INT((A49-1)/12)</f>
        <v>1.061208</v>
      </c>
    </row>
    <row r="50" ht="15" customFormat="1" customHeight="1" s="381">
      <c r="A50" s="696" t="n">
        <v>49</v>
      </c>
      <c r="B50" s="701">
        <f>(1+Assumptions!$B$26)^INT((A50-1)/12)</f>
        <v>1.08243216</v>
      </c>
    </row>
    <row r="51" ht="15" customFormat="1" customHeight="1" s="381">
      <c r="A51" s="696" t="n">
        <v>50</v>
      </c>
      <c r="B51" s="701">
        <f>(1+Assumptions!$B$26)^INT((A51-1)/12)</f>
        <v>1.08243216</v>
      </c>
    </row>
    <row r="52" ht="15" customFormat="1" customHeight="1" s="381">
      <c r="A52" s="696" t="n">
        <v>51</v>
      </c>
      <c r="B52" s="701">
        <f>(1+Assumptions!$B$26)^INT((A52-1)/12)</f>
        <v>1.08243216</v>
      </c>
    </row>
    <row r="53" ht="15" customFormat="1" customHeight="1" s="381">
      <c r="A53" s="696" t="n">
        <v>52</v>
      </c>
      <c r="B53" s="701">
        <f>(1+Assumptions!$B$26)^INT((A53-1)/12)</f>
        <v>1.08243216</v>
      </c>
    </row>
    <row r="54" ht="15" customFormat="1" customHeight="1" s="381">
      <c r="A54" s="696" t="n">
        <v>53</v>
      </c>
      <c r="B54" s="701">
        <f>(1+Assumptions!$B$26)^INT((A54-1)/12)</f>
        <v>1.08243216</v>
      </c>
    </row>
    <row r="55" ht="15" customFormat="1" customHeight="1" s="381">
      <c r="A55" s="696" t="n">
        <v>54</v>
      </c>
      <c r="B55" s="701">
        <f>(1+Assumptions!$B$26)^INT((A55-1)/12)</f>
        <v>1.08243216</v>
      </c>
    </row>
    <row r="56" ht="15" customFormat="1" customHeight="1" s="381">
      <c r="A56" s="696" t="n">
        <v>55</v>
      </c>
      <c r="B56" s="701">
        <f>(1+Assumptions!$B$26)^INT((A56-1)/12)</f>
        <v>1.08243216</v>
      </c>
    </row>
    <row r="57" ht="15" customFormat="1" customHeight="1" s="381">
      <c r="A57" s="696" t="n">
        <v>56</v>
      </c>
      <c r="B57" s="701">
        <f>(1+Assumptions!$B$26)^INT((A57-1)/12)</f>
        <v>1.08243216</v>
      </c>
    </row>
    <row r="58" ht="15" customFormat="1" customHeight="1" s="381">
      <c r="A58" s="696" t="n">
        <v>57</v>
      </c>
      <c r="B58" s="701">
        <f>(1+Assumptions!$B$26)^INT((A58-1)/12)</f>
        <v>1.08243216</v>
      </c>
    </row>
    <row r="59" ht="15" customFormat="1" customHeight="1" s="381">
      <c r="A59" s="696" t="n">
        <v>58</v>
      </c>
      <c r="B59" s="701">
        <f>(1+Assumptions!$B$26)^INT((A59-1)/12)</f>
        <v>1.08243216</v>
      </c>
    </row>
    <row r="60" ht="15" customFormat="1" customHeight="1" s="381">
      <c r="A60" s="696" t="n">
        <v>59</v>
      </c>
      <c r="B60" s="701">
        <f>(1+Assumptions!$B$26)^INT((A60-1)/12)</f>
        <v>1.08243216</v>
      </c>
    </row>
    <row r="61" ht="15" customFormat="1" customHeight="1" s="381">
      <c r="A61" s="696" t="n">
        <v>60</v>
      </c>
      <c r="B61" s="701">
        <f>(1+Assumptions!$B$26)^INT((A61-1)/12)</f>
        <v>1.08243216</v>
      </c>
    </row>
    <row r="62" ht="15" customFormat="1" customHeight="1" s="381">
      <c r="A62" s="696" t="n">
        <v>61</v>
      </c>
      <c r="B62" s="701">
        <f>(1+Assumptions!$B$26)^INT((A62-1)/12)</f>
        <v>1.1040808032</v>
      </c>
    </row>
    <row r="63" ht="15" customFormat="1" customHeight="1" s="381">
      <c r="A63" s="696" t="n">
        <v>62</v>
      </c>
      <c r="B63" s="701">
        <f>(1+Assumptions!$B$26)^INT((A63-1)/12)</f>
        <v>1.1040808032</v>
      </c>
    </row>
    <row r="64" ht="15" customFormat="1" customHeight="1" s="381">
      <c r="A64" s="696" t="n">
        <v>63</v>
      </c>
      <c r="B64" s="701">
        <f>(1+Assumptions!$B$26)^INT((A64-1)/12)</f>
        <v>1.1040808032</v>
      </c>
    </row>
    <row r="65" ht="15" customFormat="1" customHeight="1" s="381">
      <c r="A65" s="696" t="n">
        <v>64</v>
      </c>
      <c r="B65" s="701">
        <f>(1+Assumptions!$B$26)^INT((A65-1)/12)</f>
        <v>1.1040808032</v>
      </c>
    </row>
    <row r="66" ht="15" customFormat="1" customHeight="1" s="381">
      <c r="A66" s="696" t="n">
        <v>65</v>
      </c>
      <c r="B66" s="701">
        <f>(1+Assumptions!$B$26)^INT((A66-1)/12)</f>
        <v>1.1040808032</v>
      </c>
    </row>
    <row r="67" ht="15" customFormat="1" customHeight="1" s="381">
      <c r="A67" s="696" t="n">
        <v>66</v>
      </c>
      <c r="B67" s="701">
        <f>(1+Assumptions!$B$26)^INT((A67-1)/12)</f>
        <v>1.1040808032</v>
      </c>
    </row>
    <row r="68" ht="15" customFormat="1" customHeight="1" s="381">
      <c r="A68" s="696" t="n">
        <v>67</v>
      </c>
      <c r="B68" s="701">
        <f>(1+Assumptions!$B$26)^INT((A68-1)/12)</f>
        <v>1.1040808032</v>
      </c>
    </row>
    <row r="69" ht="15" customFormat="1" customHeight="1" s="381">
      <c r="A69" s="696" t="n">
        <v>68</v>
      </c>
      <c r="B69" s="701">
        <f>(1+Assumptions!$B$26)^INT((A69-1)/12)</f>
        <v>1.1040808032</v>
      </c>
    </row>
    <row r="70" ht="15" customFormat="1" customHeight="1" s="381">
      <c r="A70" s="696" t="n">
        <v>69</v>
      </c>
      <c r="B70" s="701">
        <f>(1+Assumptions!$B$26)^INT((A70-1)/12)</f>
        <v>1.1040808032</v>
      </c>
    </row>
    <row r="71" ht="15" customFormat="1" customHeight="1" s="381">
      <c r="A71" s="696" t="n">
        <v>70</v>
      </c>
      <c r="B71" s="701">
        <f>(1+Assumptions!$B$26)^INT((A71-1)/12)</f>
        <v>1.1040808032</v>
      </c>
    </row>
    <row r="72" ht="15" customFormat="1" customHeight="1" s="381">
      <c r="A72" s="696" t="n">
        <v>71</v>
      </c>
      <c r="B72" s="701">
        <f>(1+Assumptions!$B$26)^INT((A72-1)/12)</f>
        <v>1.1040808032</v>
      </c>
    </row>
    <row r="73" ht="15" customFormat="1" customHeight="1" s="381">
      <c r="A73" s="696" t="n">
        <v>72</v>
      </c>
      <c r="B73" s="701">
        <f>(1+Assumptions!$B$26)^INT((A73-1)/12)</f>
        <v>1.1040808032</v>
      </c>
    </row>
    <row r="74" ht="15" customFormat="1" customHeight="1" s="381">
      <c r="A74" s="696" t="n">
        <v>73</v>
      </c>
      <c r="B74" s="701">
        <f>(1+Assumptions!$B$26)^INT((A74-1)/12)</f>
        <v>1.126162419264</v>
      </c>
    </row>
    <row r="75" ht="15" customFormat="1" customHeight="1" s="381">
      <c r="A75" s="696" t="n">
        <v>74</v>
      </c>
      <c r="B75" s="701">
        <f>(1+Assumptions!$B$26)^INT((A75-1)/12)</f>
        <v>1.126162419264</v>
      </c>
    </row>
    <row r="76" ht="15" customFormat="1" customHeight="1" s="381">
      <c r="A76" s="696" t="n">
        <v>75</v>
      </c>
      <c r="B76" s="701">
        <f>(1+Assumptions!$B$26)^INT((A76-1)/12)</f>
        <v>1.126162419264</v>
      </c>
    </row>
    <row r="77" ht="15" customFormat="1" customHeight="1" s="381">
      <c r="A77" s="696" t="n">
        <v>76</v>
      </c>
      <c r="B77" s="701">
        <f>(1+Assumptions!$B$26)^INT((A77-1)/12)</f>
        <v>1.126162419264</v>
      </c>
    </row>
    <row r="78" ht="15" customFormat="1" customHeight="1" s="381">
      <c r="A78" s="696" t="n">
        <v>77</v>
      </c>
      <c r="B78" s="701">
        <f>(1+Assumptions!$B$26)^INT((A78-1)/12)</f>
        <v>1.126162419264</v>
      </c>
    </row>
    <row r="79" ht="15" customFormat="1" customHeight="1" s="381">
      <c r="A79" s="696" t="n">
        <v>78</v>
      </c>
      <c r="B79" s="701">
        <f>(1+Assumptions!$B$26)^INT((A79-1)/12)</f>
        <v>1.126162419264</v>
      </c>
    </row>
    <row r="80" ht="15" customFormat="1" customHeight="1" s="381">
      <c r="A80" s="696" t="n">
        <v>79</v>
      </c>
      <c r="B80" s="701">
        <f>(1+Assumptions!$B$26)^INT((A80-1)/12)</f>
        <v>1.126162419264</v>
      </c>
    </row>
    <row r="81" ht="15" customFormat="1" customHeight="1" s="381">
      <c r="A81" s="696" t="n">
        <v>80</v>
      </c>
      <c r="B81" s="701">
        <f>(1+Assumptions!$B$26)^INT((A81-1)/12)</f>
        <v>1.126162419264</v>
      </c>
    </row>
    <row r="82" ht="15" customFormat="1" customHeight="1" s="381">
      <c r="A82" s="696" t="n">
        <v>81</v>
      </c>
      <c r="B82" s="701">
        <f>(1+Assumptions!$B$26)^INT((A82-1)/12)</f>
        <v>1.126162419264</v>
      </c>
    </row>
    <row r="83" ht="15" customFormat="1" customHeight="1" s="381">
      <c r="A83" s="696" t="n">
        <v>82</v>
      </c>
      <c r="B83" s="701">
        <f>(1+Assumptions!$B$26)^INT((A83-1)/12)</f>
        <v>1.126162419264</v>
      </c>
    </row>
    <row r="84" ht="15" customFormat="1" customHeight="1" s="381">
      <c r="A84" s="696" t="n">
        <v>83</v>
      </c>
      <c r="B84" s="701">
        <f>(1+Assumptions!$B$26)^INT((A84-1)/12)</f>
        <v>1.126162419264</v>
      </c>
    </row>
    <row r="85" ht="15" customFormat="1" customHeight="1" s="381">
      <c r="A85" s="696" t="n">
        <v>84</v>
      </c>
      <c r="B85" s="701">
        <f>(1+Assumptions!$B$26)^INT((A85-1)/12)</f>
        <v>1.126162419264</v>
      </c>
    </row>
    <row r="86" ht="15" customFormat="1" customHeight="1" s="381">
      <c r="A86" s="381" t="n">
        <v>85</v>
      </c>
      <c r="B86" s="381">
        <f>(1+Assumptions!$B$26)^INT((A86-1)/12)</f>
        <v>1.14868566764928</v>
      </c>
    </row>
    <row r="87" ht="15" customFormat="1" customHeight="1" s="381">
      <c r="A87" s="381" t="n">
        <v>86</v>
      </c>
      <c r="B87" s="381">
        <f>(1+Assumptions!$B$26)^INT((A87-1)/12)</f>
        <v>1.14868566764928</v>
      </c>
    </row>
    <row r="88" ht="15" customFormat="1" customHeight="1" s="381">
      <c r="A88" s="381" t="n">
        <v>87</v>
      </c>
      <c r="B88" s="381">
        <f>(1+Assumptions!$B$26)^INT((A88-1)/12)</f>
        <v>1.14868566764928</v>
      </c>
    </row>
    <row r="89" ht="15" customFormat="1" customHeight="1" s="381">
      <c r="A89" s="381" t="n">
        <v>88</v>
      </c>
      <c r="B89" s="381">
        <f>(1+Assumptions!$B$26)^INT((A89-1)/12)</f>
        <v>1.14868566764928</v>
      </c>
    </row>
    <row r="90" ht="15" customFormat="1" customHeight="1" s="381">
      <c r="A90" s="381" t="n">
        <v>89</v>
      </c>
      <c r="B90" s="381">
        <f>(1+Assumptions!$B$26)^INT((A90-1)/12)</f>
        <v>1.14868566764928</v>
      </c>
    </row>
    <row r="91" ht="15" customFormat="1" customHeight="1" s="381">
      <c r="A91" s="381" t="n">
        <v>90</v>
      </c>
      <c r="B91" s="381">
        <f>(1+Assumptions!$B$26)^INT((A91-1)/12)</f>
        <v>1.14868566764928</v>
      </c>
    </row>
    <row r="92" ht="15" customFormat="1" customHeight="1" s="381">
      <c r="A92" s="381" t="n">
        <v>91</v>
      </c>
      <c r="B92" s="381">
        <f>(1+Assumptions!$B$26)^INT((A92-1)/12)</f>
        <v>1.14868566764928</v>
      </c>
    </row>
    <row r="93" ht="15" customFormat="1" customHeight="1" s="381">
      <c r="A93" s="381" t="n">
        <v>92</v>
      </c>
      <c r="B93" s="381">
        <f>(1+Assumptions!$B$26)^INT((A93-1)/12)</f>
        <v>1.14868566764928</v>
      </c>
    </row>
    <row r="94" ht="15" customFormat="1" customHeight="1" s="381">
      <c r="A94" s="381" t="n">
        <v>93</v>
      </c>
      <c r="B94" s="381">
        <f>(1+Assumptions!$B$26)^INT((A94-1)/12)</f>
        <v>1.14868566764928</v>
      </c>
    </row>
    <row r="95" ht="15" customFormat="1" customHeight="1" s="381">
      <c r="A95" s="381" t="n">
        <v>94</v>
      </c>
      <c r="B95" s="381">
        <f>(1+Assumptions!$B$26)^INT((A95-1)/12)</f>
        <v>1.14868566764928</v>
      </c>
    </row>
    <row r="96" ht="15" customFormat="1" customHeight="1" s="381">
      <c r="A96" s="381" t="n">
        <v>95</v>
      </c>
      <c r="B96" s="381">
        <f>(1+Assumptions!$B$26)^INT((A96-1)/12)</f>
        <v>1.14868566764928</v>
      </c>
    </row>
    <row r="97" ht="15" customFormat="1" customHeight="1" s="381">
      <c r="A97" s="381" t="n">
        <v>96</v>
      </c>
      <c r="B97" s="381">
        <f>(1+Assumptions!$B$26)^INT((A97-1)/12)</f>
        <v>1.14868566764928</v>
      </c>
    </row>
    <row r="98" ht="15" customFormat="1" customHeight="1" s="381">
      <c r="A98" s="381" t="n">
        <v>97</v>
      </c>
      <c r="B98" s="381">
        <f>(1+Assumptions!$B$26)^INT((A98-1)/12)</f>
        <v>1.17165938100227</v>
      </c>
    </row>
    <row r="99" ht="15" customFormat="1" customHeight="1" s="381">
      <c r="A99" s="381" t="n">
        <v>98</v>
      </c>
      <c r="B99" s="381">
        <f>(1+Assumptions!$B$26)^INT((A99-1)/12)</f>
        <v>1.17165938100227</v>
      </c>
    </row>
    <row r="100" ht="15" customFormat="1" customHeight="1" s="381">
      <c r="A100" s="381" t="n">
        <v>99</v>
      </c>
      <c r="B100" s="381">
        <f>(1+Assumptions!$B$26)^INT((A100-1)/12)</f>
        <v>1.17165938100227</v>
      </c>
    </row>
    <row r="101" ht="15" customFormat="1" customHeight="1" s="381">
      <c r="A101" s="381" t="n">
        <v>100</v>
      </c>
      <c r="B101" s="381">
        <f>(1+Assumptions!$B$26)^INT((A101-1)/12)</f>
        <v>1.17165938100227</v>
      </c>
    </row>
    <row r="102" ht="15" customFormat="1" customHeight="1" s="381">
      <c r="A102" s="381" t="n">
        <v>101</v>
      </c>
      <c r="B102" s="381">
        <f>(1+Assumptions!$B$26)^INT((A102-1)/12)</f>
        <v>1.17165938100227</v>
      </c>
    </row>
    <row r="103" ht="15" customFormat="1" customHeight="1" s="381">
      <c r="A103" s="381" t="n">
        <v>102</v>
      </c>
      <c r="B103" s="381">
        <f>(1+Assumptions!$B$26)^INT((A103-1)/12)</f>
        <v>1.17165938100227</v>
      </c>
    </row>
    <row r="104" ht="15" customFormat="1" customHeight="1" s="381">
      <c r="A104" s="381" t="n">
        <v>103</v>
      </c>
      <c r="B104" s="381">
        <f>(1+Assumptions!$B$26)^INT((A104-1)/12)</f>
        <v>1.17165938100227</v>
      </c>
    </row>
    <row r="105" ht="15" customFormat="1" customHeight="1" s="381">
      <c r="A105" s="381" t="n">
        <v>104</v>
      </c>
      <c r="B105" s="381">
        <f>(1+Assumptions!$B$26)^INT((A105-1)/12)</f>
        <v>1.17165938100227</v>
      </c>
    </row>
    <row r="106" ht="15" customFormat="1" customHeight="1" s="381">
      <c r="A106" s="381" t="n">
        <v>105</v>
      </c>
      <c r="B106" s="381">
        <f>(1+Assumptions!$B$26)^INT((A106-1)/12)</f>
        <v>1.17165938100227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DF101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8" customWidth="1" style="381" min="1" max="1"/>
    <col width="14" customWidth="1" style="381" min="2" max="2"/>
    <col width="12" customWidth="1" style="381" min="3" max="86"/>
  </cols>
  <sheetData>
    <row r="1" ht="17.25" customFormat="1" customHeight="1" s="381">
      <c r="A1" s="477" t="inlineStr">
        <is>
          <t>W2 Payroll Basis &amp; Bonding Calculations</t>
        </is>
      </c>
    </row>
    <row r="2" ht="15" customFormat="1" customHeight="1" s="381">
      <c r="A2" s="384" t="n"/>
      <c r="B2" s="384" t="n"/>
      <c r="C2" s="385" t="n">
        <v>46113</v>
      </c>
      <c r="D2" s="385" t="n">
        <v>46143</v>
      </c>
      <c r="E2" s="385" t="n">
        <v>46174</v>
      </c>
      <c r="F2" s="385" t="n">
        <v>46204</v>
      </c>
      <c r="G2" s="385" t="n">
        <v>46235</v>
      </c>
      <c r="H2" s="385" t="n">
        <v>46266</v>
      </c>
      <c r="I2" s="385" t="n">
        <v>46296</v>
      </c>
      <c r="J2" s="385" t="n">
        <v>46327</v>
      </c>
      <c r="K2" s="385" t="n">
        <v>46357</v>
      </c>
      <c r="L2" s="385" t="n">
        <v>46388</v>
      </c>
      <c r="M2" s="385" t="n">
        <v>46419</v>
      </c>
      <c r="N2" s="385" t="n">
        <v>46447</v>
      </c>
      <c r="O2" s="385" t="n">
        <v>46478</v>
      </c>
      <c r="P2" s="385" t="n">
        <v>46508</v>
      </c>
      <c r="Q2" s="385" t="n">
        <v>46539</v>
      </c>
      <c r="R2" s="385" t="n">
        <v>46569</v>
      </c>
      <c r="S2" s="385" t="n">
        <v>46600</v>
      </c>
      <c r="T2" s="385" t="n">
        <v>46631</v>
      </c>
      <c r="U2" s="385" t="n">
        <v>46661</v>
      </c>
      <c r="V2" s="385" t="n">
        <v>46692</v>
      </c>
      <c r="W2" s="385" t="n">
        <v>46722</v>
      </c>
      <c r="X2" s="385" t="n">
        <v>46753</v>
      </c>
      <c r="Y2" s="385" t="n">
        <v>46784</v>
      </c>
      <c r="Z2" s="385" t="n">
        <v>46813</v>
      </c>
      <c r="AA2" s="385" t="n">
        <v>46844</v>
      </c>
      <c r="AB2" s="385" t="n">
        <v>46874</v>
      </c>
      <c r="AC2" s="385" t="n">
        <v>46905</v>
      </c>
      <c r="AD2" s="385" t="n">
        <v>46935</v>
      </c>
      <c r="AE2" s="385" t="n">
        <v>46966</v>
      </c>
      <c r="AF2" s="385" t="n">
        <v>46997</v>
      </c>
      <c r="AG2" s="385" t="n">
        <v>47027</v>
      </c>
      <c r="AH2" s="385" t="n">
        <v>47058</v>
      </c>
      <c r="AI2" s="385" t="n">
        <v>47088</v>
      </c>
      <c r="AJ2" s="385" t="n">
        <v>47119</v>
      </c>
      <c r="AK2" s="385" t="n">
        <v>47150</v>
      </c>
      <c r="AL2" s="385" t="n">
        <v>47178</v>
      </c>
      <c r="AM2" s="385" t="n">
        <v>47209</v>
      </c>
      <c r="AN2" s="385" t="n">
        <v>47239</v>
      </c>
      <c r="AO2" s="385" t="n">
        <v>47270</v>
      </c>
      <c r="AP2" s="385" t="n">
        <v>47300</v>
      </c>
      <c r="AQ2" s="385" t="n">
        <v>47331</v>
      </c>
      <c r="AR2" s="385" t="n">
        <v>47362</v>
      </c>
      <c r="AS2" s="385" t="n">
        <v>47392</v>
      </c>
      <c r="AT2" s="385" t="n">
        <v>47423</v>
      </c>
      <c r="AU2" s="385" t="n">
        <v>47453</v>
      </c>
      <c r="AV2" s="385" t="n">
        <v>47484</v>
      </c>
      <c r="AW2" s="385" t="n">
        <v>47515</v>
      </c>
      <c r="AX2" s="385" t="n">
        <v>47543</v>
      </c>
      <c r="AY2" s="385" t="n">
        <v>47574</v>
      </c>
      <c r="AZ2" s="385" t="n">
        <v>47604</v>
      </c>
      <c r="BA2" s="385" t="n">
        <v>47635</v>
      </c>
      <c r="BB2" s="385" t="n">
        <v>47665</v>
      </c>
      <c r="BC2" s="385" t="n">
        <v>47696</v>
      </c>
      <c r="BD2" s="385" t="n">
        <v>47727</v>
      </c>
      <c r="BE2" s="385" t="n">
        <v>47757</v>
      </c>
      <c r="BF2" s="385" t="n">
        <v>47788</v>
      </c>
      <c r="BG2" s="385" t="n">
        <v>47818</v>
      </c>
      <c r="BH2" s="385" t="n">
        <v>47849</v>
      </c>
      <c r="BI2" s="385" t="n">
        <v>47880</v>
      </c>
      <c r="BJ2" s="385" t="n">
        <v>47908</v>
      </c>
      <c r="BK2" s="385" t="n">
        <v>47939</v>
      </c>
      <c r="BL2" s="385" t="n">
        <v>47969</v>
      </c>
      <c r="BM2" s="385" t="n">
        <v>48000</v>
      </c>
      <c r="BN2" s="385" t="n">
        <v>48030</v>
      </c>
      <c r="BO2" s="385" t="n">
        <v>48061</v>
      </c>
      <c r="BP2" s="385" t="n">
        <v>48092</v>
      </c>
      <c r="BQ2" s="385" t="n">
        <v>48122</v>
      </c>
      <c r="BR2" s="385" t="n">
        <v>48153</v>
      </c>
      <c r="BS2" s="385" t="n">
        <v>48183</v>
      </c>
      <c r="BT2" s="385" t="n">
        <v>48214</v>
      </c>
      <c r="BU2" s="385" t="n">
        <v>48245</v>
      </c>
      <c r="BV2" s="385" t="n">
        <v>48274</v>
      </c>
      <c r="BW2" s="385" t="n">
        <v>48305</v>
      </c>
      <c r="BX2" s="385" t="n">
        <v>48335</v>
      </c>
      <c r="BY2" s="385" t="n">
        <v>48366</v>
      </c>
      <c r="BZ2" s="385" t="n">
        <v>48396</v>
      </c>
      <c r="CA2" s="385" t="n">
        <v>48427</v>
      </c>
      <c r="CB2" s="385" t="n">
        <v>48458</v>
      </c>
      <c r="CC2" s="385" t="n">
        <v>48488</v>
      </c>
      <c r="CD2" s="385" t="n">
        <v>48519</v>
      </c>
      <c r="CE2" s="385" t="n">
        <v>48549</v>
      </c>
      <c r="CF2" s="385" t="n">
        <v>48580</v>
      </c>
      <c r="CG2" s="385" t="n">
        <v>48611</v>
      </c>
      <c r="CH2" s="385" t="n">
        <v>48639</v>
      </c>
      <c r="CI2" s="385" t="n">
        <v>48639</v>
      </c>
      <c r="CJ2" s="385" t="n">
        <v>48639</v>
      </c>
      <c r="CK2" s="385" t="n">
        <v>48639</v>
      </c>
      <c r="CL2" s="385" t="n">
        <v>48639</v>
      </c>
      <c r="CM2" s="385" t="n">
        <v>48639</v>
      </c>
      <c r="CN2" s="385" t="n">
        <v>48639</v>
      </c>
      <c r="CO2" s="385" t="n">
        <v>48639</v>
      </c>
      <c r="CP2" s="385" t="n">
        <v>48639</v>
      </c>
      <c r="CQ2" s="385" t="n">
        <v>48639</v>
      </c>
    </row>
    <row r="3" ht="15" customFormat="1" customHeight="1" s="381">
      <c r="A3" s="571" t="inlineStr">
        <is>
          <t>Month #</t>
        </is>
      </c>
      <c r="C3" s="696" t="n">
        <v>1</v>
      </c>
      <c r="D3" s="696" t="n">
        <v>2</v>
      </c>
      <c r="E3" s="696" t="n">
        <v>3</v>
      </c>
      <c r="F3" s="696" t="n">
        <v>4</v>
      </c>
      <c r="G3" s="696" t="n">
        <v>5</v>
      </c>
      <c r="H3" s="696" t="n">
        <v>6</v>
      </c>
      <c r="I3" s="696" t="n">
        <v>7</v>
      </c>
      <c r="J3" s="696" t="n">
        <v>8</v>
      </c>
      <c r="K3" s="696" t="n">
        <v>9</v>
      </c>
      <c r="L3" s="696" t="n">
        <v>10</v>
      </c>
      <c r="M3" s="696" t="n">
        <v>11</v>
      </c>
      <c r="N3" s="696" t="n">
        <v>12</v>
      </c>
      <c r="O3" s="696" t="n">
        <v>13</v>
      </c>
      <c r="P3" s="696" t="n">
        <v>14</v>
      </c>
      <c r="Q3" s="696" t="n">
        <v>15</v>
      </c>
      <c r="R3" s="696" t="n">
        <v>16</v>
      </c>
      <c r="S3" s="696" t="n">
        <v>17</v>
      </c>
      <c r="T3" s="696" t="n">
        <v>18</v>
      </c>
      <c r="U3" s="696" t="n">
        <v>19</v>
      </c>
      <c r="V3" s="696" t="n">
        <v>20</v>
      </c>
      <c r="W3" s="696" t="n">
        <v>21</v>
      </c>
      <c r="X3" s="696" t="n">
        <v>22</v>
      </c>
      <c r="Y3" s="696" t="n">
        <v>23</v>
      </c>
      <c r="Z3" s="696" t="n">
        <v>24</v>
      </c>
      <c r="AA3" s="696" t="n">
        <v>25</v>
      </c>
      <c r="AB3" s="696" t="n">
        <v>26</v>
      </c>
      <c r="AC3" s="696" t="n">
        <v>27</v>
      </c>
      <c r="AD3" s="696" t="n">
        <v>28</v>
      </c>
      <c r="AE3" s="696" t="n">
        <v>29</v>
      </c>
      <c r="AF3" s="696" t="n">
        <v>30</v>
      </c>
      <c r="AG3" s="696" t="n">
        <v>31</v>
      </c>
      <c r="AH3" s="696" t="n">
        <v>32</v>
      </c>
      <c r="AI3" s="696" t="n">
        <v>33</v>
      </c>
      <c r="AJ3" s="696" t="n">
        <v>34</v>
      </c>
      <c r="AK3" s="696" t="n">
        <v>35</v>
      </c>
      <c r="AL3" s="696" t="n">
        <v>36</v>
      </c>
      <c r="AM3" s="696" t="n">
        <v>37</v>
      </c>
      <c r="AN3" s="696" t="n">
        <v>38</v>
      </c>
      <c r="AO3" s="696" t="n">
        <v>39</v>
      </c>
      <c r="AP3" s="696" t="n">
        <v>40</v>
      </c>
      <c r="AQ3" s="696" t="n">
        <v>41</v>
      </c>
      <c r="AR3" s="696" t="n">
        <v>42</v>
      </c>
      <c r="AS3" s="696" t="n">
        <v>43</v>
      </c>
      <c r="AT3" s="696" t="n">
        <v>44</v>
      </c>
      <c r="AU3" s="696" t="n">
        <v>45</v>
      </c>
      <c r="AV3" s="696" t="n">
        <v>46</v>
      </c>
      <c r="AW3" s="696" t="n">
        <v>47</v>
      </c>
      <c r="AX3" s="696" t="n">
        <v>48</v>
      </c>
      <c r="AY3" s="696" t="n">
        <v>49</v>
      </c>
      <c r="AZ3" s="696" t="n">
        <v>50</v>
      </c>
      <c r="BA3" s="696" t="n">
        <v>51</v>
      </c>
      <c r="BB3" s="696" t="n">
        <v>52</v>
      </c>
      <c r="BC3" s="696" t="n">
        <v>53</v>
      </c>
      <c r="BD3" s="696" t="n">
        <v>54</v>
      </c>
      <c r="BE3" s="696" t="n">
        <v>55</v>
      </c>
      <c r="BF3" s="696" t="n">
        <v>56</v>
      </c>
      <c r="BG3" s="696" t="n">
        <v>57</v>
      </c>
      <c r="BH3" s="696" t="n">
        <v>58</v>
      </c>
      <c r="BI3" s="696" t="n">
        <v>59</v>
      </c>
      <c r="BJ3" s="696" t="n">
        <v>60</v>
      </c>
      <c r="BK3" s="696" t="n">
        <v>61</v>
      </c>
      <c r="BL3" s="696" t="n">
        <v>62</v>
      </c>
      <c r="BM3" s="696" t="n">
        <v>63</v>
      </c>
      <c r="BN3" s="696" t="n">
        <v>64</v>
      </c>
      <c r="BO3" s="696" t="n">
        <v>65</v>
      </c>
      <c r="BP3" s="696" t="n">
        <v>66</v>
      </c>
      <c r="BQ3" s="696" t="n">
        <v>67</v>
      </c>
      <c r="BR3" s="696" t="n">
        <v>68</v>
      </c>
      <c r="BS3" s="696" t="n">
        <v>69</v>
      </c>
      <c r="BT3" s="696" t="n">
        <v>70</v>
      </c>
      <c r="BU3" s="696" t="n">
        <v>71</v>
      </c>
      <c r="BV3" s="696" t="n">
        <v>72</v>
      </c>
      <c r="BW3" s="696" t="n">
        <v>73</v>
      </c>
      <c r="BX3" s="696" t="n">
        <v>74</v>
      </c>
      <c r="BY3" s="696" t="n">
        <v>75</v>
      </c>
      <c r="BZ3" s="696" t="n">
        <v>76</v>
      </c>
      <c r="CA3" s="696" t="n">
        <v>77</v>
      </c>
      <c r="CB3" s="696" t="n">
        <v>78</v>
      </c>
      <c r="CC3" s="696" t="n">
        <v>79</v>
      </c>
      <c r="CD3" s="696" t="n">
        <v>80</v>
      </c>
      <c r="CE3" s="696" t="n">
        <v>81</v>
      </c>
      <c r="CF3" s="696" t="n">
        <v>82</v>
      </c>
      <c r="CG3" s="696" t="n">
        <v>83</v>
      </c>
      <c r="CH3" s="696" t="n">
        <v>84</v>
      </c>
      <c r="CI3" s="696" t="n">
        <v>84</v>
      </c>
      <c r="CJ3" s="696" t="n">
        <v>84</v>
      </c>
      <c r="CK3" s="696" t="n">
        <v>84</v>
      </c>
      <c r="CL3" s="696" t="n">
        <v>84</v>
      </c>
      <c r="CM3" s="696" t="n">
        <v>84</v>
      </c>
      <c r="CN3" s="696" t="n">
        <v>84</v>
      </c>
      <c r="CO3" s="696" t="n">
        <v>84</v>
      </c>
      <c r="CP3" s="696" t="n">
        <v>84</v>
      </c>
      <c r="CQ3" s="696" t="n">
        <v>84</v>
      </c>
    </row>
    <row r="4" ht="15" customFormat="1" customHeight="1" s="381">
      <c r="A4" s="571" t="inlineStr">
        <is>
          <t>GC W2 Payroll Basis</t>
        </is>
      </c>
      <c r="C4" s="686">
        <f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686">
        <f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686">
        <f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686">
        <f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686">
        <f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686">
        <f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686">
        <f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686">
        <f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686">
        <f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686">
        <f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686">
        <f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686">
        <f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686">
        <f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686">
        <f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686">
        <f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686">
        <f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686">
        <f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686">
        <f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686">
        <f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686">
        <f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686">
        <f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686">
        <f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686">
        <f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686">
        <f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686">
        <f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686">
        <f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686">
        <f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686">
        <f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686">
        <f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686">
        <f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686">
        <f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686">
        <f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686">
        <f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686">
        <f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686">
        <f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686">
        <f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686">
        <f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686">
        <f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686">
        <f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686">
        <f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686">
        <f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686">
        <f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686">
        <f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686">
        <f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686">
        <f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686">
        <f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686">
        <f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686">
        <f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686">
        <f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686">
        <f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686">
        <f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686">
        <f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686">
        <f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686">
        <f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686">
        <f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686">
        <f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686">
        <f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686">
        <f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686">
        <f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686">
        <f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686">
        <f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686">
        <f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686">
        <f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686">
        <f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686">
        <f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686">
        <f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686">
        <f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686">
        <f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686">
        <f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686">
        <f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686">
        <f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686">
        <f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686">
        <f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686">
        <f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686">
        <f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686">
        <f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686">
        <f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686">
        <f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686">
        <f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686">
        <f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686">
        <f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686">
        <f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686">
        <f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686">
        <f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686">
        <f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686">
        <f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686">
        <f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686">
        <f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686">
        <f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686">
        <f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686">
        <f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686">
        <f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686">
        <f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ht="15" customFormat="1" customHeight="1" s="381">
      <c r="A5" s="571" t="inlineStr">
        <is>
          <t>SP W2 Payroll Basis</t>
        </is>
      </c>
      <c r="C5" s="686">
        <f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686">
        <f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686">
        <f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686">
        <f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686">
        <f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686">
        <f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686">
        <f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686">
        <f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686">
        <f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686">
        <f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686">
        <f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686">
        <f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686">
        <f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686">
        <f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686">
        <f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686">
        <f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686">
        <f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686">
        <f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686">
        <f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686">
        <f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686">
        <f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686">
        <f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686">
        <f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686">
        <f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686">
        <f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686">
        <f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686">
        <f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686">
        <f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686">
        <f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686">
        <f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686">
        <f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686">
        <f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686">
        <f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686">
        <f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686">
        <f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686">
        <f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686">
        <f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686">
        <f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686">
        <f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686">
        <f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686">
        <f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686">
        <f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686">
        <f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686">
        <f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686">
        <f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686">
        <f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686">
        <f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686">
        <f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686">
        <f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686">
        <f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686">
        <f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686">
        <f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686">
        <f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686">
        <f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686">
        <f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686">
        <f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686">
        <f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686">
        <f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686">
        <f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686">
        <f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686">
        <f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686">
        <f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686">
        <f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686">
        <f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686">
        <f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686">
        <f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686">
        <f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686">
        <f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686">
        <f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686">
        <f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686">
        <f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686">
        <f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686">
        <f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686">
        <f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686">
        <f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686">
        <f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686">
        <f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686">
        <f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686">
        <f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686">
        <f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686">
        <f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686">
        <f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686">
        <f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686">
        <f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686">
        <f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686">
        <f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686">
        <f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686">
        <f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686">
        <f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686">
        <f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686">
        <f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686">
        <f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686">
        <f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ht="15" customFormat="1" customHeight="1" s="381">
      <c r="A7" s="681" t="inlineStr">
        <is>
          <t>Bonding Outstanding by Project</t>
        </is>
      </c>
    </row>
    <row r="8" ht="15" customFormat="1" customHeight="1" s="381">
      <c r="A8" s="571" t="inlineStr">
        <is>
          <t>Califa</t>
        </is>
      </c>
      <c r="C8" s="686">
        <f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686">
        <f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686">
        <f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686">
        <f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686">
        <f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686">
        <f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686">
        <f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686">
        <f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686">
        <f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686">
        <f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686">
        <f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686">
        <f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686">
        <f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686">
        <f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686">
        <f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686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686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686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686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686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686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686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686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686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686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686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686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686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686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686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686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686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686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686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686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686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686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686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686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686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686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686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686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686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686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686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686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686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686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686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686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686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686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686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686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686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686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686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686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686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686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686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686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686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686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686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686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686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686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686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686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686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686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686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686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686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686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686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686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686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686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686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686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686">
        <f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686">
        <f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686">
        <f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686">
        <f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686">
        <f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686">
        <f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686">
        <f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686">
        <f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686">
        <f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686">
        <f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ht="15" customFormat="1" customHeight="1" s="381">
      <c r="A9" s="571" t="inlineStr">
        <is>
          <t>Whipple</t>
        </is>
      </c>
      <c r="C9" s="686">
        <f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686">
        <f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686">
        <f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686">
        <f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686">
        <f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686">
        <f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686">
        <f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686">
        <f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686">
        <f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686">
        <f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686">
        <f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686">
        <f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686">
        <f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686">
        <f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686">
        <f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686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686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686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686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686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686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686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686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686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686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686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686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686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686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686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686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686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686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686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686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686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686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686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686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686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686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686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686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686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686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686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686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686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686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686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686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686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686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686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686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686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686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686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686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686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686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686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686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686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686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686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686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686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686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686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686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686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686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686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686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686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686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686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686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686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686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686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686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686">
        <f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686">
        <f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686">
        <f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686">
        <f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686">
        <f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686">
        <f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686">
        <f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686">
        <f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686">
        <f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686">
        <f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ht="15" customFormat="1" customHeight="1" s="381">
      <c r="A10" s="571" t="inlineStr">
        <is>
          <t>Francis</t>
        </is>
      </c>
      <c r="C10" s="686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686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686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686">
        <f>IF(AND(Projects!$G$7="Yes",Projects!$F$7="Yes",4&gt;=Projects!$C$7,4&lt;Projects!$C$7+Projects!$D$7),Projects!$B$7*(1-SUMPRODUCT((Curves!$B$3:$AO$3)*(COLUMN(Curves!$B$3:$AO$3)-COLUMN(Curves!$B$3)+1&lt;=4-Projects!$C$7+1))),0)</f>
        <v>0</v>
      </c>
      <c r="G10" s="686">
        <f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686">
        <f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686">
        <f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686">
        <f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686">
        <f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686">
        <f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686">
        <f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686">
        <f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686">
        <f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686">
        <f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686">
        <f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686">
        <f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686">
        <f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686">
        <f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686">
        <f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686">
        <f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686">
        <f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686">
        <f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686">
        <f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686">
        <f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686">
        <f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686">
        <f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686">
        <f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686">
        <f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686">
        <f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686">
        <f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686">
        <f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686">
        <f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686">
        <f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686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686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686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686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686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686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686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686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686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686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686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686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686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686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686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686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686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686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686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686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686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686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686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686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686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686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686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686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686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686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686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686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686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686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686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686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686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686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686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686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686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686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686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686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686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686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686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686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686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686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686">
        <f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686">
        <f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686">
        <f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686">
        <f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686">
        <f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686">
        <f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686">
        <f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686">
        <f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686">
        <f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686">
        <f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ht="15" customFormat="1" customHeight="1" s="381">
      <c r="A11" s="571" t="inlineStr">
        <is>
          <t>Lexington</t>
        </is>
      </c>
      <c r="C11" s="686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686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686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686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686">
        <f>IF(AND(Projects!$G$8="Yes",Projects!$F$8="Yes",5&gt;=Projects!$C$8,5&lt;Projects!$C$8+Projects!$D$8),Projects!$B$8*(1-SUMPRODUCT((Curves!$B$4:$AO$4)*(COLUMN(Curves!$B$4:$AO$4)-COLUMN(Curves!$B$4)+1&lt;=5-Projects!$C$8+1))),0)</f>
        <v>12649220.0904822</v>
      </c>
      <c r="H11" s="686">
        <f>IF(AND(Projects!$G$8="Yes",Projects!$F$8="Yes",6&gt;=Projects!$C$8,6&lt;Projects!$C$8+Projects!$D$8),Projects!$B$8*(1-SUMPRODUCT((Curves!$B$4:$AO$4)*(COLUMN(Curves!$B$4:$AO$4)-COLUMN(Curves!$B$4)+1&lt;=6-Projects!$C$8+1))),0)</f>
        <v>12223530.9933081</v>
      </c>
      <c r="I11" s="686">
        <f>IF(AND(Projects!$G$8="Yes",Projects!$F$8="Yes",7&gt;=Projects!$C$8,7&lt;Projects!$C$8+Projects!$D$8),Projects!$B$8*(1-SUMPRODUCT((Curves!$B$4:$AO$4)*(COLUMN(Curves!$B$4:$AO$4)-COLUMN(Curves!$B$4)+1&lt;=7-Projects!$C$8+1))),0)</f>
        <v>11710510.727302</v>
      </c>
      <c r="J11" s="686">
        <f>IF(AND(Projects!$G$8="Yes",Projects!$F$8="Yes",8&gt;=Projects!$C$8,8&lt;Projects!$C$8+Projects!$D$8),Projects!$B$8*(1-SUMPRODUCT((Curves!$B$4:$AO$4)*(COLUMN(Curves!$B$4:$AO$4)-COLUMN(Curves!$B$4)+1&lt;=8-Projects!$C$8+1))),0)</f>
        <v>11107443.5932694</v>
      </c>
      <c r="K11" s="686">
        <f>IF(AND(Projects!$G$8="Yes",Projects!$F$8="Yes",9&gt;=Projects!$C$8,9&lt;Projects!$C$8+Projects!$D$8),Projects!$B$8*(1-SUMPRODUCT((Curves!$B$4:$AO$4)*(COLUMN(Curves!$B$4:$AO$4)-COLUMN(Curves!$B$4)+1&lt;=9-Projects!$C$8+1))),0)</f>
        <v>10415940.8194405</v>
      </c>
      <c r="L11" s="686">
        <f>IF(AND(Projects!$G$8="Yes",Projects!$F$8="Yes",10&gt;=Projects!$C$8,10&lt;Projects!$C$8+Projects!$D$8),Projects!$B$8*(1-SUMPRODUCT((Curves!$B$4:$AO$4)*(COLUMN(Curves!$B$4:$AO$4)-COLUMN(Curves!$B$4)+1&lt;=10-Projects!$C$8+1))),0)</f>
        <v>9642525.2813924</v>
      </c>
      <c r="M11" s="686">
        <f>IF(AND(Projects!$G$8="Yes",Projects!$F$8="Yes",11&gt;=Projects!$C$8,11&lt;Projects!$C$8+Projects!$D$8),Projects!$B$8*(1-SUMPRODUCT((Curves!$B$4:$AO$4)*(COLUMN(Curves!$B$4:$AO$4)-COLUMN(Curves!$B$4)+1&lt;=11-Projects!$C$8+1))),0)</f>
        <v>8798748.44603355</v>
      </c>
      <c r="N11" s="686">
        <f>IF(AND(Projects!$G$8="Yes",Projects!$F$8="Yes",12&gt;=Projects!$C$8,12&lt;Projects!$C$8+Projects!$D$8),Projects!$B$8*(1-SUMPRODUCT((Curves!$B$4:$AO$4)*(COLUMN(Curves!$B$4:$AO$4)-COLUMN(Curves!$B$4)+1&lt;=12-Projects!$C$8+1))),0)</f>
        <v>7900826.54587435</v>
      </c>
      <c r="O11" s="686">
        <f>IF(AND(Projects!$G$8="Yes",Projects!$F$8="Yes",13&gt;=Projects!$C$8,13&lt;Projects!$C$8+Projects!$D$8),Projects!$B$8*(1-SUMPRODUCT((Curves!$B$4:$AO$4)*(COLUMN(Curves!$B$4:$AO$4)-COLUMN(Curves!$B$4)+1&lt;=13-Projects!$C$8+1))),0)</f>
        <v>6968757.00225575</v>
      </c>
      <c r="P11" s="686">
        <f>IF(AND(Projects!$G$8="Yes",Projects!$F$8="Yes",14&gt;=Projects!$C$8,14&lt;Projects!$C$8+Projects!$D$8),Projects!$B$8*(1-SUMPRODUCT((Curves!$B$4:$AO$4)*(COLUMN(Curves!$B$4:$AO$4)-COLUMN(Curves!$B$4)+1&lt;=14-Projects!$C$8+1))),0)</f>
        <v>6025019.04774425</v>
      </c>
      <c r="Q11" s="686">
        <f>IF(AND(Projects!$G$8="Yes",Projects!$F$8="Yes",15&gt;=Projects!$C$8,15&lt;Projects!$C$8+Projects!$D$8),Projects!$B$8*(1-SUMPRODUCT((Curves!$B$4:$AO$4)*(COLUMN(Curves!$B$4:$AO$4)-COLUMN(Curves!$B$4)+1&lt;=15-Projects!$C$8+1))),0)</f>
        <v>5092949.50412565</v>
      </c>
      <c r="R11" s="686">
        <f>IF(AND(Projects!$G$8="Yes",Projects!$F$8="Yes",16&gt;=Projects!$C$8,16&lt;Projects!$C$8+Projects!$D$8),Projects!$B$8*(1-SUMPRODUCT((Curves!$B$4:$AO$4)*(COLUMN(Curves!$B$4:$AO$4)-COLUMN(Curves!$B$4)+1&lt;=16-Projects!$C$8+1))),0)</f>
        <v>4195027.60396645</v>
      </c>
      <c r="S11" s="686">
        <f>IF(AND(Projects!$G$8="Yes",Projects!$F$8="Yes",17&gt;=Projects!$C$8,17&lt;Projects!$C$8+Projects!$D$8),Projects!$B$8*(1-SUMPRODUCT((Curves!$B$4:$AO$4)*(COLUMN(Curves!$B$4:$AO$4)-COLUMN(Curves!$B$4)+1&lt;=17-Projects!$C$8+1))),0)</f>
        <v>3351250.7686076</v>
      </c>
      <c r="T11" s="686">
        <f>IF(AND(Projects!$G$8="Yes",Projects!$F$8="Yes",18&gt;=Projects!$C$8,18&lt;Projects!$C$8+Projects!$D$8),Projects!$B$8*(1-SUMPRODUCT((Curves!$B$4:$AO$4)*(COLUMN(Curves!$B$4:$AO$4)-COLUMN(Curves!$B$4)+1&lt;=18-Projects!$C$8+1))),0)</f>
        <v>2577835.2305595</v>
      </c>
      <c r="U11" s="686">
        <f>IF(AND(Projects!$G$8="Yes",Projects!$F$8="Yes",19&gt;=Projects!$C$8,19&lt;Projects!$C$8+Projects!$D$8),Projects!$B$8*(1-SUMPRODUCT((Curves!$B$4:$AO$4)*(COLUMN(Curves!$B$4:$AO$4)-COLUMN(Curves!$B$4)+1&lt;=19-Projects!$C$8+1))),0)</f>
        <v>1886332.4567306</v>
      </c>
      <c r="V11" s="686">
        <f>IF(AND(Projects!$G$8="Yes",Projects!$F$8="Yes",20&gt;=Projects!$C$8,20&lt;Projects!$C$8+Projects!$D$8),Projects!$B$8*(1-SUMPRODUCT((Curves!$B$4:$AO$4)*(COLUMN(Curves!$B$4:$AO$4)-COLUMN(Curves!$B$4)+1&lt;=20-Projects!$C$8+1))),0)</f>
        <v>1283265.322698</v>
      </c>
      <c r="W11" s="686">
        <f>IF(AND(Projects!$G$8="Yes",Projects!$F$8="Yes",21&gt;=Projects!$C$8,21&lt;Projects!$C$8+Projects!$D$8),Projects!$B$8*(1-SUMPRODUCT((Curves!$B$4:$AO$4)*(COLUMN(Curves!$B$4:$AO$4)-COLUMN(Curves!$B$4)+1&lt;=21-Projects!$C$8+1))),0)</f>
        <v>770245.056691899</v>
      </c>
      <c r="X11" s="686">
        <f>IF(AND(Projects!$G$8="Yes",Projects!$F$8="Yes",22&gt;=Projects!$C$8,22&lt;Projects!$C$8+Projects!$D$8),Projects!$B$8*(1-SUMPRODUCT((Curves!$B$4:$AO$4)*(COLUMN(Curves!$B$4:$AO$4)-COLUMN(Curves!$B$4)+1&lt;=22-Projects!$C$8+1))),0)</f>
        <v>344555.95951785</v>
      </c>
      <c r="Y11" s="686">
        <f>IF(AND(Projects!$G$8="Yes",Projects!$F$8="Yes",23&gt;=Projects!$C$8,23&lt;Projects!$C$8+Projects!$D$8),Projects!$B$8*(1-SUMPRODUCT((Curves!$B$4:$AO$4)*(COLUMN(Curves!$B$4:$AO$4)-COLUMN(Curves!$B$4)+1&lt;=23-Projects!$C$8+1))),0)</f>
        <v>0</v>
      </c>
      <c r="Z11" s="686">
        <f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686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686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686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686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686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686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686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686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686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686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686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686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686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686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686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686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686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686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686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686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686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686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686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686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686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686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686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686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686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686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686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686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686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686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686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686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686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686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686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686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686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686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686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686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686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686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686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686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686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686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686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686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686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686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686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686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686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686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686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686">
        <f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686">
        <f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686">
        <f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686">
        <f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686">
        <f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686">
        <f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686">
        <f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686">
        <f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686">
        <f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686">
        <f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ht="15" customFormat="1" customHeight="1" s="381">
      <c r="A12" s="571" t="inlineStr">
        <is>
          <t>Denny</t>
        </is>
      </c>
      <c r="C12" s="686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686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686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686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686">
        <f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686">
        <f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686">
        <f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686">
        <f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686">
        <f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686">
        <f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686">
        <f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686">
        <f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686">
        <f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686">
        <f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686">
        <f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686">
        <f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686">
        <f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686">
        <f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686">
        <f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686">
        <f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686">
        <f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686">
        <f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686">
        <f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686">
        <f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686">
        <f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686">
        <f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686">
        <f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686">
        <f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686">
        <f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686">
        <f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686">
        <f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686">
        <f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686">
        <f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686">
        <f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686">
        <f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686">
        <f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686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686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686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686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686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686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686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686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686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686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686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686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686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686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686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686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686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686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686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686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686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686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686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686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686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686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686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686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686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686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686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686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686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686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686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686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686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686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686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686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686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686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686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686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686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686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686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686">
        <f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686">
        <f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686">
        <f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686">
        <f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686">
        <f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686">
        <f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686">
        <f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686">
        <f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686">
        <f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686">
        <f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ht="15" customFormat="1" customHeight="1" s="381">
      <c r="A13" s="571" t="inlineStr">
        <is>
          <t>Acama</t>
        </is>
      </c>
      <c r="C13" s="686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686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686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686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686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686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686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686">
        <f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686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686">
        <f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686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686">
        <f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686">
        <f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686">
        <f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686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686">
        <f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686">
        <f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686">
        <f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686">
        <f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686">
        <f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686">
        <f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686">
        <f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686">
        <f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686">
        <f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686">
        <f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686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686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686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686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686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686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686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686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686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686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686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686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686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686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686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686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686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686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686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686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686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686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686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686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686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686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686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686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686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686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686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686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686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686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686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686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686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686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686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686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686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686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686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686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686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686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686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686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686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686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686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686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686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686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686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686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686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686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686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686">
        <f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686">
        <f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686">
        <f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686">
        <f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686">
        <f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686">
        <f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686">
        <f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686">
        <f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686">
        <f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ht="15" customFormat="1" customHeight="1" s="381">
      <c r="A14" s="571" t="inlineStr">
        <is>
          <t>Reseda</t>
        </is>
      </c>
      <c r="C14" s="686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686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686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686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686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686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686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686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686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686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686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686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686">
        <f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686">
        <f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686">
        <f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686">
        <f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686">
        <f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686">
        <f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686">
        <f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686">
        <f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686">
        <f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686">
        <f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686">
        <f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686">
        <f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686">
        <f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686">
        <f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686">
        <f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686">
        <f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686">
        <f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686">
        <f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686">
        <f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686">
        <f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686">
        <f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686">
        <f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686">
        <f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686">
        <f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686">
        <f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686">
        <f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686">
        <f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686">
        <f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686">
        <f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686">
        <f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686">
        <f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686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686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686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686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686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686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686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686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686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686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686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686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686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686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686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686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686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686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686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686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686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686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686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686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686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686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686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686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686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686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686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686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686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686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686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686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686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686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686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686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686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686">
        <f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686">
        <f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686">
        <f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686">
        <f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686">
        <f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686">
        <f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686">
        <f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686">
        <f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686">
        <f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ht="15" customFormat="1" customHeight="1" s="381">
      <c r="A15" s="571" t="inlineStr">
        <is>
          <t>3rd St</t>
        </is>
      </c>
      <c r="C15" s="686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686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686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686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686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686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686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686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686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686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686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686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686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686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686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686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686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686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686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686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686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686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686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686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686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686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686">
        <f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686">
        <f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686">
        <f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686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686">
        <f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686">
        <f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686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686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686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686">
        <f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686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686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686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686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686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686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686">
        <f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686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686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686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686">
        <f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686">
        <f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686">
        <f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686">
        <f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686">
        <f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686">
        <f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686">
        <f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686">
        <f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686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686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686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686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686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686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686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686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686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686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686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686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686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686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686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686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686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686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686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686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686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686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686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686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686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686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686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686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686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686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686">
        <f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686">
        <f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686">
        <f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686">
        <f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686">
        <f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686">
        <f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686">
        <f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686">
        <f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686">
        <f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ht="15" customFormat="1" customHeight="1" s="381">
      <c r="A16" s="477" t="inlineStr">
        <is>
          <t>Total Bonding Outstanding</t>
        </is>
      </c>
      <c r="C16" s="702">
        <f>SUM(C8:C15)</f>
        <v>24716840.3468768</v>
      </c>
      <c r="D16" s="702">
        <f>SUM(D8:D15)</f>
        <v>22881539.1765735</v>
      </c>
      <c r="E16" s="702">
        <f>SUM(E8:E15)</f>
        <v>20879271.9124362</v>
      </c>
      <c r="F16" s="702">
        <f>SUM(F8:F15)</f>
        <v>18748519.382739</v>
      </c>
      <c r="G16" s="702">
        <f>SUM(G8:G15)</f>
        <v>85209726.4902737</v>
      </c>
      <c r="H16" s="702">
        <f>SUM(H8:H15)</f>
        <v>81237618.0228946</v>
      </c>
      <c r="I16" s="702">
        <f>SUM(I8:I15)</f>
        <v>76993191.8458723</v>
      </c>
      <c r="J16" s="702">
        <f>SUM(J8:J15)</f>
        <v>93217215.0817341</v>
      </c>
      <c r="K16" s="702">
        <f>SUM(K8:K15)</f>
        <v>87859272.6014299</v>
      </c>
      <c r="L16" s="702">
        <f>SUM(L8:L15)</f>
        <v>82220296.1306601</v>
      </c>
      <c r="M16" s="702">
        <f>SUM(M8:M15)</f>
        <v>76344677.9244125</v>
      </c>
      <c r="N16" s="702">
        <f>SUM(N8:N15)</f>
        <v>70284030.7799899</v>
      </c>
      <c r="O16" s="702">
        <f>SUM(O8:O15)</f>
        <v>64097382.1936555</v>
      </c>
      <c r="P16" s="702">
        <f>SUM(P8:P15)</f>
        <v>102388869.866321</v>
      </c>
      <c r="Q16" s="702">
        <f>SUM(Q8:Q15)</f>
        <v>95316373.4078169</v>
      </c>
      <c r="R16" s="702">
        <f>SUM(R8:R15)</f>
        <v>88861119.0147367</v>
      </c>
      <c r="S16" s="702">
        <f>SUM(S8:S15)</f>
        <v>82300432.4243124</v>
      </c>
      <c r="T16" s="702">
        <f>SUM(T8:T15)</f>
        <v>75729316.0865139</v>
      </c>
      <c r="U16" s="702">
        <f>SUM(U8:U15)</f>
        <v>69237571.479384</v>
      </c>
      <c r="V16" s="702">
        <f>SUM(V8:V15)</f>
        <v>62905176.9885804</v>
      </c>
      <c r="W16" s="702">
        <f>SUM(W8:W15)</f>
        <v>56799063.0783739</v>
      </c>
      <c r="X16" s="702">
        <f>SUM(X8:X15)</f>
        <v>50971033.1955395</v>
      </c>
      <c r="Y16" s="702">
        <f>SUM(Y8:Y15)</f>
        <v>45457248.7396156</v>
      </c>
      <c r="Z16" s="702">
        <f>SUM(Z8:Z15)</f>
        <v>40551139.8563514</v>
      </c>
      <c r="AA16" s="702">
        <f>SUM(AA8:AA15)</f>
        <v>35926473.8143438</v>
      </c>
      <c r="AB16" s="702">
        <f>SUM(AB8:AB15)</f>
        <v>31591522.5480186</v>
      </c>
      <c r="AC16" s="702">
        <f>SUM(AC8:AC15)</f>
        <v>68680383.914815</v>
      </c>
      <c r="AD16" s="702">
        <f>SUM(AD8:AD15)</f>
        <v>64496541.1438484</v>
      </c>
      <c r="AE16" s="702">
        <f>SUM(AE8:AE15)</f>
        <v>61123178.434276</v>
      </c>
      <c r="AF16" s="702">
        <f>SUM(AF8:AF15)</f>
        <v>57699395.683152</v>
      </c>
      <c r="AG16" s="702">
        <f>SUM(AG8:AG15)</f>
        <v>54241730.3552736</v>
      </c>
      <c r="AH16" s="702">
        <f>SUM(AH8:AH15)</f>
        <v>50766939.127248</v>
      </c>
      <c r="AI16" s="702">
        <f>SUM(AI8:AI15)</f>
        <v>47291654.6921996</v>
      </c>
      <c r="AJ16" s="702">
        <f>SUM(AJ8:AJ15)</f>
        <v>43832361.6876048</v>
      </c>
      <c r="AK16" s="702">
        <f>SUM(AK8:AK15)</f>
        <v>40604126.00451</v>
      </c>
      <c r="AL16" s="702">
        <f>SUM(AL8:AL15)</f>
        <v>37394529.715966</v>
      </c>
      <c r="AM16" s="702">
        <f>SUM(AM8:AM15)</f>
        <v>34221969.864258</v>
      </c>
      <c r="AN16" s="702">
        <f>SUM(AN8:AN15)</f>
        <v>31104163.575108</v>
      </c>
      <c r="AO16" s="702">
        <f>SUM(AO8:AO15)</f>
        <v>28058055.635742</v>
      </c>
      <c r="AP16" s="702">
        <f>SUM(AP8:AP15)</f>
        <v>25099755.346316</v>
      </c>
      <c r="AQ16" s="702">
        <f>SUM(AQ8:AQ15)</f>
        <v>22244142.534286</v>
      </c>
      <c r="AR16" s="702">
        <f>SUM(AR8:AR15)</f>
        <v>19504820.054386</v>
      </c>
      <c r="AS16" s="702">
        <f>SUM(AS8:AS15)</f>
        <v>16893806.4244</v>
      </c>
      <c r="AT16" s="702">
        <f>SUM(AT8:AT15)</f>
        <v>15049033.294064</v>
      </c>
      <c r="AU16" s="702">
        <f>SUM(AU8:AU15)</f>
        <v>13258584.501624</v>
      </c>
      <c r="AV16" s="702">
        <f>SUM(AV8:AV15)</f>
        <v>11538273.165056</v>
      </c>
      <c r="AW16" s="702">
        <f>SUM(AW8:AW15)</f>
        <v>9901787.667552</v>
      </c>
      <c r="AX16" s="702">
        <f>SUM(AX8:AX15)</f>
        <v>8360541.887544</v>
      </c>
      <c r="AY16" s="702">
        <f>SUM(AY8:AY15)</f>
        <v>6923385.71628</v>
      </c>
      <c r="AZ16" s="702">
        <f>SUM(AZ8:AZ15)</f>
        <v>5596646.412456</v>
      </c>
      <c r="BA16" s="702">
        <f>SUM(BA8:BA15)</f>
        <v>4384004.53832</v>
      </c>
      <c r="BB16" s="702">
        <f>SUM(BB8:BB15)</f>
        <v>3286659.3782</v>
      </c>
      <c r="BC16" s="702">
        <f>SUM(BC8:BC15)</f>
        <v>2303535.711664</v>
      </c>
      <c r="BD16" s="702">
        <f>SUM(BD8:BD15)</f>
        <v>1431490.58668</v>
      </c>
      <c r="BE16" s="702">
        <f>SUM(BE8:BE15)</f>
        <v>665685.511304001</v>
      </c>
      <c r="BF16" s="702">
        <f>SUM(BF8:BF15)</f>
        <v>-165.418527995574</v>
      </c>
      <c r="BG16" s="702">
        <f>SUM(BG8:BG15)</f>
        <v>0</v>
      </c>
      <c r="BH16" s="702">
        <f>SUM(BH8:BH15)</f>
        <v>0</v>
      </c>
      <c r="BI16" s="702">
        <f>SUM(BI8:BI15)</f>
        <v>0</v>
      </c>
      <c r="BJ16" s="702">
        <f>SUM(BJ8:BJ15)</f>
        <v>0</v>
      </c>
      <c r="BK16" s="702">
        <f>SUM(BK8:BK15)</f>
        <v>0</v>
      </c>
      <c r="BL16" s="702">
        <f>SUM(BL8:BL15)</f>
        <v>0</v>
      </c>
      <c r="BM16" s="702">
        <f>SUM(BM8:BM15)</f>
        <v>0</v>
      </c>
      <c r="BN16" s="702">
        <f>SUM(BN8:BN15)</f>
        <v>0</v>
      </c>
      <c r="BO16" s="702">
        <f>SUM(BO8:BO15)</f>
        <v>0</v>
      </c>
      <c r="BP16" s="702">
        <f>SUM(BP8:BP15)</f>
        <v>0</v>
      </c>
      <c r="BQ16" s="702">
        <f>SUM(BQ8:BQ15)</f>
        <v>0</v>
      </c>
      <c r="BR16" s="702">
        <f>SUM(BR8:BR15)</f>
        <v>0</v>
      </c>
      <c r="BS16" s="702">
        <f>SUM(BS8:BS15)</f>
        <v>0</v>
      </c>
      <c r="BT16" s="702">
        <f>SUM(BT8:BT15)</f>
        <v>0</v>
      </c>
      <c r="BU16" s="702">
        <f>SUM(BU8:BU15)</f>
        <v>0</v>
      </c>
      <c r="BV16" s="702">
        <f>SUM(BV8:BV15)</f>
        <v>0</v>
      </c>
      <c r="BW16" s="702">
        <f>SUM(BW8:BW15)</f>
        <v>0</v>
      </c>
      <c r="BX16" s="702">
        <f>SUM(BX8:BX15)</f>
        <v>0</v>
      </c>
      <c r="BY16" s="702">
        <f>SUM(BY8:BY15)</f>
        <v>0</v>
      </c>
      <c r="BZ16" s="702">
        <f>SUM(BZ8:BZ15)</f>
        <v>0</v>
      </c>
      <c r="CA16" s="702">
        <f>SUM(CA8:CA15)</f>
        <v>0</v>
      </c>
      <c r="CB16" s="702">
        <f>SUM(CB8:CB15)</f>
        <v>0</v>
      </c>
      <c r="CC16" s="702">
        <f>SUM(CC8:CC15)</f>
        <v>0</v>
      </c>
      <c r="CD16" s="702">
        <f>SUM(CD8:CD15)</f>
        <v>0</v>
      </c>
      <c r="CE16" s="702">
        <f>SUM(CE8:CE15)</f>
        <v>0</v>
      </c>
      <c r="CF16" s="702">
        <f>SUM(CF8:CF15)</f>
        <v>0</v>
      </c>
      <c r="CG16" s="702">
        <f>SUM(CG8:CG15)</f>
        <v>0</v>
      </c>
      <c r="CH16" s="702">
        <f>SUM(CH8:CH15)</f>
        <v>0</v>
      </c>
      <c r="CI16" s="702">
        <f>SUM(CI8:CI15)</f>
        <v>0</v>
      </c>
      <c r="CJ16" s="702">
        <f>SUM(CJ8:CJ15)</f>
        <v>0</v>
      </c>
      <c r="CK16" s="702">
        <f>SUM(CK8:CK15)</f>
        <v>0</v>
      </c>
      <c r="CL16" s="702">
        <f>SUM(CL8:CL15)</f>
        <v>0</v>
      </c>
      <c r="CM16" s="702">
        <f>SUM(CM8:CM15)</f>
        <v>0</v>
      </c>
      <c r="CN16" s="702">
        <f>SUM(CN8:CN15)</f>
        <v>0</v>
      </c>
      <c r="CO16" s="702">
        <f>SUM(CO8:CO15)</f>
        <v>0</v>
      </c>
      <c r="CP16" s="702">
        <f>SUM(CP8:CP15)</f>
        <v>0</v>
      </c>
      <c r="CQ16" s="702">
        <f>SUM(CQ8:CQ15)</f>
        <v>0</v>
      </c>
    </row>
    <row r="18" ht="15" customFormat="1" customHeight="1" s="381">
      <c r="A18" s="403" t="inlineStr">
        <is>
          <t>Steyn Fee Balance Tracking</t>
        </is>
      </c>
      <c r="B18" s="403" t="n"/>
      <c r="C18" s="403" t="n"/>
      <c r="D18" s="403" t="n"/>
      <c r="E18" s="403" t="n"/>
      <c r="F18" s="403" t="n"/>
      <c r="G18" s="403" t="n"/>
      <c r="H18" s="403" t="n"/>
      <c r="I18" s="403" t="n"/>
      <c r="J18" s="403" t="n"/>
      <c r="K18" s="403" t="n"/>
      <c r="L18" s="403" t="n"/>
      <c r="M18" s="403" t="n"/>
      <c r="N18" s="403" t="n"/>
      <c r="O18" s="403" t="n"/>
      <c r="P18" s="403" t="n"/>
      <c r="Q18" s="403" t="n"/>
      <c r="R18" s="403" t="n"/>
      <c r="S18" s="403" t="n"/>
      <c r="T18" s="403" t="n"/>
      <c r="U18" s="403" t="n"/>
      <c r="V18" s="403" t="n"/>
      <c r="W18" s="403" t="n"/>
      <c r="X18" s="403" t="n"/>
      <c r="Y18" s="403" t="n"/>
      <c r="Z18" s="403" t="n"/>
      <c r="AA18" s="403" t="n"/>
      <c r="AB18" s="403" t="n"/>
      <c r="AC18" s="403" t="n"/>
      <c r="AD18" s="403" t="n"/>
      <c r="AE18" s="403" t="n"/>
      <c r="AF18" s="403" t="n"/>
      <c r="AG18" s="403" t="n"/>
      <c r="AH18" s="403" t="n"/>
      <c r="AI18" s="403" t="n"/>
      <c r="AJ18" s="403" t="n"/>
      <c r="AK18" s="403" t="n"/>
      <c r="AL18" s="403" t="n"/>
      <c r="AM18" s="403" t="n"/>
      <c r="AN18" s="403" t="n"/>
      <c r="AO18" s="403" t="n"/>
      <c r="AP18" s="403" t="n"/>
      <c r="AQ18" s="403" t="n"/>
      <c r="AR18" s="403" t="n"/>
      <c r="AS18" s="403" t="n"/>
      <c r="AT18" s="403" t="n"/>
      <c r="AU18" s="403" t="n"/>
      <c r="AV18" s="403" t="n"/>
      <c r="AW18" s="403" t="n"/>
      <c r="AX18" s="403" t="n"/>
      <c r="AY18" s="403" t="n"/>
      <c r="AZ18" s="403" t="n"/>
      <c r="BA18" s="403" t="n"/>
      <c r="BB18" s="403" t="n"/>
      <c r="BC18" s="403" t="n"/>
      <c r="BD18" s="403" t="n"/>
      <c r="BE18" s="403" t="n"/>
      <c r="BF18" s="403" t="n"/>
      <c r="BG18" s="403" t="n"/>
      <c r="BH18" s="403" t="n"/>
      <c r="BI18" s="403" t="n"/>
      <c r="BJ18" s="403" t="n"/>
      <c r="BK18" s="403" t="n"/>
      <c r="BL18" s="403" t="n"/>
      <c r="BM18" s="403" t="n"/>
      <c r="BN18" s="403" t="n"/>
      <c r="BO18" s="403" t="n"/>
      <c r="BP18" s="403" t="n"/>
      <c r="BQ18" s="403" t="n"/>
      <c r="BR18" s="403" t="n"/>
      <c r="BS18" s="403" t="n"/>
      <c r="BT18" s="403" t="n"/>
      <c r="BU18" s="403" t="n"/>
      <c r="BV18" s="403" t="n"/>
      <c r="BW18" s="403" t="n"/>
      <c r="BX18" s="403" t="n"/>
      <c r="BY18" s="403" t="n"/>
      <c r="BZ18" s="403" t="n"/>
      <c r="CA18" s="403" t="n"/>
      <c r="CB18" s="403" t="n"/>
      <c r="CC18" s="403" t="n"/>
      <c r="CD18" s="403" t="n"/>
      <c r="CE18" s="403" t="n"/>
      <c r="CF18" s="403" t="n"/>
      <c r="CG18" s="403" t="n"/>
      <c r="CH18" s="403" t="n"/>
    </row>
    <row r="19" ht="15" customFormat="1" customHeight="1" s="381">
      <c r="A19" s="571" t="inlineStr">
        <is>
          <t>Francis Steyn - Beginning Balance</t>
        </is>
      </c>
      <c r="C19" s="686">
        <f>IF(Projects!$G$7="Yes",Projects!$B$7*Assumptions!$B$47+Assumptions!$B$53*Assumptions!$B$48,0)</f>
        <v>577947.65</v>
      </c>
      <c r="D19" s="686">
        <f>C21</f>
        <v>577947.65</v>
      </c>
      <c r="E19" s="686">
        <f>D21</f>
        <v>577947.65</v>
      </c>
      <c r="F19" s="686">
        <f>E21</f>
        <v>577947.65</v>
      </c>
      <c r="G19" s="686">
        <f>F21</f>
        <v>577947.65</v>
      </c>
      <c r="H19" s="686">
        <f>G21</f>
        <v>577947.65</v>
      </c>
      <c r="I19" s="686">
        <f>H21</f>
        <v>577947.65</v>
      </c>
      <c r="J19" s="686">
        <f>I21</f>
        <v>577947.65</v>
      </c>
      <c r="K19" s="686">
        <f>J21</f>
        <v>577947.65</v>
      </c>
      <c r="L19" s="686">
        <f>K21</f>
        <v>577947.65</v>
      </c>
      <c r="M19" s="686">
        <f>L21</f>
        <v>577947.65</v>
      </c>
      <c r="N19" s="686">
        <f>M21</f>
        <v>577947.65</v>
      </c>
      <c r="O19" s="686">
        <f>N21</f>
        <v>577947.65</v>
      </c>
      <c r="P19" s="686">
        <f>O21</f>
        <v>577947.65</v>
      </c>
      <c r="Q19" s="686">
        <f>P21</f>
        <v>577947.65</v>
      </c>
      <c r="R19" s="686">
        <f>Q21</f>
        <v>577947.65</v>
      </c>
      <c r="S19" s="686">
        <f>R21</f>
        <v>577947.65</v>
      </c>
      <c r="T19" s="686">
        <f>S21</f>
        <v>577947.65</v>
      </c>
      <c r="U19" s="686">
        <f>T21</f>
        <v>577947.65</v>
      </c>
      <c r="V19" s="686">
        <f>U21</f>
        <v>577947.65</v>
      </c>
      <c r="W19" s="686">
        <f>V21</f>
        <v>577947.65</v>
      </c>
      <c r="X19" s="686">
        <f>W21</f>
        <v>577947.65</v>
      </c>
      <c r="Y19" s="686">
        <f>X21</f>
        <v>577947.65</v>
      </c>
      <c r="Z19" s="686">
        <f>Y21</f>
        <v>577947.65</v>
      </c>
      <c r="AA19" s="686">
        <f>Z21</f>
        <v>577947.65</v>
      </c>
      <c r="AB19" s="686">
        <f>AA21</f>
        <v>577947.65</v>
      </c>
      <c r="AC19" s="686">
        <f>AB21</f>
        <v>577947.65</v>
      </c>
      <c r="AD19" s="686">
        <f>AC21</f>
        <v>577947.65</v>
      </c>
      <c r="AE19" s="686">
        <f>AD21</f>
        <v>577947.65</v>
      </c>
      <c r="AF19" s="686">
        <f>AE21</f>
        <v>577947.65</v>
      </c>
      <c r="AG19" s="686">
        <f>AF21</f>
        <v>577947.65</v>
      </c>
      <c r="AH19" s="686">
        <f>AG21</f>
        <v>577947.65</v>
      </c>
      <c r="AI19" s="686">
        <f>AH21</f>
        <v>577947.65</v>
      </c>
      <c r="AJ19" s="686">
        <f>AI21</f>
        <v>577947.65</v>
      </c>
      <c r="AK19" s="686">
        <f>AJ21</f>
        <v>577947.65</v>
      </c>
      <c r="AL19" s="686">
        <f>AK21</f>
        <v>577947.65</v>
      </c>
      <c r="AM19" s="686">
        <f>AL21</f>
        <v>577947.65</v>
      </c>
      <c r="AN19" s="686">
        <f>AM21</f>
        <v>577947.65</v>
      </c>
      <c r="AO19" s="686">
        <f>AN21</f>
        <v>577947.65</v>
      </c>
      <c r="AP19" s="686">
        <f>AO21</f>
        <v>577947.65</v>
      </c>
      <c r="AQ19" s="686">
        <f>AP21</f>
        <v>577947.65</v>
      </c>
      <c r="AR19" s="686">
        <f>AQ21</f>
        <v>577947.65</v>
      </c>
      <c r="AS19" s="686">
        <f>AR21</f>
        <v>496264.65</v>
      </c>
      <c r="AT19" s="686">
        <f>AS21</f>
        <v>496264.65</v>
      </c>
      <c r="AU19" s="686">
        <f>AT21</f>
        <v>496264.65</v>
      </c>
      <c r="AV19" s="686">
        <f>AU21</f>
        <v>414582.65</v>
      </c>
      <c r="AW19" s="686">
        <f>AV21</f>
        <v>414582.65</v>
      </c>
      <c r="AX19" s="686">
        <f>AW21</f>
        <v>414582.65</v>
      </c>
      <c r="AY19" s="686">
        <f>AX21</f>
        <v>332900.65</v>
      </c>
      <c r="AZ19" s="686">
        <f>AY21</f>
        <v>332900.65</v>
      </c>
      <c r="BA19" s="686">
        <f>AZ21</f>
        <v>332900.65</v>
      </c>
      <c r="BB19" s="686">
        <f>BA21</f>
        <v>251218.65</v>
      </c>
      <c r="BC19" s="686">
        <f>BB21</f>
        <v>251218.65</v>
      </c>
      <c r="BD19" s="686">
        <f>BC21</f>
        <v>251218.65</v>
      </c>
      <c r="BE19" s="686">
        <f>BD21</f>
        <v>192040.65</v>
      </c>
      <c r="BF19" s="686">
        <f>BE21</f>
        <v>192040.65</v>
      </c>
      <c r="BG19" s="686">
        <f>BF21</f>
        <v>192040.65</v>
      </c>
      <c r="BH19" s="686">
        <f>BG21</f>
        <v>132864.65</v>
      </c>
      <c r="BI19" s="686">
        <f>BH21</f>
        <v>132864.65</v>
      </c>
      <c r="BJ19" s="686">
        <f>BI21</f>
        <v>132864.65</v>
      </c>
      <c r="BK19" s="686">
        <f>BJ21</f>
        <v>73688.65</v>
      </c>
      <c r="BL19" s="686">
        <f>BK21</f>
        <v>73688.65</v>
      </c>
      <c r="BM19" s="686">
        <f>BL21</f>
        <v>73688.65</v>
      </c>
      <c r="BN19" s="686">
        <f>BM21</f>
        <v>14512.65</v>
      </c>
      <c r="BO19" s="686">
        <f>BN21</f>
        <v>14512.65</v>
      </c>
      <c r="BP19" s="686">
        <f>BO21</f>
        <v>14512.65</v>
      </c>
      <c r="BQ19" s="686">
        <f>BP21</f>
        <v>0</v>
      </c>
      <c r="BR19" s="686">
        <f>BQ21</f>
        <v>0</v>
      </c>
      <c r="BS19" s="686">
        <f>BR21</f>
        <v>0</v>
      </c>
      <c r="BT19" s="686">
        <f>BS21</f>
        <v>0</v>
      </c>
      <c r="BU19" s="686">
        <f>BT21</f>
        <v>0</v>
      </c>
      <c r="BV19" s="686">
        <f>BU21</f>
        <v>0</v>
      </c>
      <c r="BW19" s="686">
        <f>BV21</f>
        <v>0</v>
      </c>
      <c r="BX19" s="686">
        <f>BW21</f>
        <v>0</v>
      </c>
      <c r="BY19" s="686">
        <f>BX21</f>
        <v>0</v>
      </c>
      <c r="BZ19" s="686">
        <f>BY21</f>
        <v>0</v>
      </c>
      <c r="CA19" s="686">
        <f>BZ21</f>
        <v>0</v>
      </c>
      <c r="CB19" s="686">
        <f>CA21</f>
        <v>0</v>
      </c>
      <c r="CC19" s="686">
        <f>CB21</f>
        <v>0</v>
      </c>
      <c r="CD19" s="686">
        <f>CC21</f>
        <v>0</v>
      </c>
      <c r="CE19" s="686">
        <f>CD21</f>
        <v>0</v>
      </c>
      <c r="CF19" s="686">
        <f>CE21</f>
        <v>0</v>
      </c>
      <c r="CG19" s="686">
        <f>CF21</f>
        <v>0</v>
      </c>
      <c r="CH19" s="686">
        <f>CG21</f>
        <v>0</v>
      </c>
      <c r="CI19" s="686">
        <f>CH21</f>
        <v>0</v>
      </c>
      <c r="CJ19" s="686">
        <f>CI21</f>
        <v>0</v>
      </c>
      <c r="CK19" s="686">
        <f>CJ21</f>
        <v>0</v>
      </c>
      <c r="CL19" s="686">
        <f>CK21</f>
        <v>0</v>
      </c>
      <c r="CM19" s="686">
        <f>CL21</f>
        <v>0</v>
      </c>
      <c r="CN19" s="686">
        <f>CM21</f>
        <v>0</v>
      </c>
      <c r="CO19" s="686">
        <f>CN21</f>
        <v>0</v>
      </c>
      <c r="CP19" s="686">
        <f>CO21</f>
        <v>0</v>
      </c>
      <c r="CQ19" s="686">
        <f>CP21</f>
        <v>0</v>
      </c>
    </row>
    <row r="20" ht="15" customFormat="1" customHeight="1" s="381">
      <c r="A20" s="703" t="inlineStr">
        <is>
          <t>Francis Steyn - Payment</t>
        </is>
      </c>
      <c r="C20" s="704">
        <f>MIN(C19,Model!E162)</f>
        <v>0</v>
      </c>
      <c r="D20" s="704">
        <f>MIN(D19,Model!F162)</f>
        <v>0</v>
      </c>
      <c r="E20" s="704">
        <f>MIN(E19,Model!G162)</f>
        <v>0</v>
      </c>
      <c r="F20" s="704">
        <f>MIN(F19,Model!H162)</f>
        <v>0</v>
      </c>
      <c r="G20" s="704">
        <f>MIN(G19,Model!I162)</f>
        <v>0</v>
      </c>
      <c r="H20" s="704">
        <f>MIN(H19,Model!J162)</f>
        <v>0</v>
      </c>
      <c r="I20" s="704">
        <f>MIN(I19,Model!K162)</f>
        <v>0</v>
      </c>
      <c r="J20" s="704">
        <f>MIN(J19,Model!L162)</f>
        <v>0</v>
      </c>
      <c r="K20" s="704">
        <f>MIN(K19,Model!M162)</f>
        <v>0</v>
      </c>
      <c r="L20" s="704">
        <f>MIN(L19,Model!N162)</f>
        <v>0</v>
      </c>
      <c r="M20" s="704">
        <f>MIN(M19,Model!O162)</f>
        <v>0</v>
      </c>
      <c r="N20" s="704">
        <f>MIN(N19,Model!P162)</f>
        <v>0</v>
      </c>
      <c r="O20" s="704">
        <f>MIN(O19,Model!Q162)</f>
        <v>0</v>
      </c>
      <c r="P20" s="704">
        <f>MIN(P19,Model!R162)</f>
        <v>0</v>
      </c>
      <c r="Q20" s="704">
        <f>MIN(Q19,Model!S162)</f>
        <v>0</v>
      </c>
      <c r="R20" s="704">
        <f>MIN(R19,Model!T162)</f>
        <v>0</v>
      </c>
      <c r="S20" s="704">
        <f>MIN(S19,Model!U162)</f>
        <v>0</v>
      </c>
      <c r="T20" s="704">
        <f>MIN(T19,Model!V162)</f>
        <v>0</v>
      </c>
      <c r="U20" s="704">
        <f>MIN(U19,Model!W162)</f>
        <v>0</v>
      </c>
      <c r="V20" s="704">
        <f>MIN(V19,Model!X162)</f>
        <v>0</v>
      </c>
      <c r="W20" s="704">
        <f>MIN(W19,Model!Y162)</f>
        <v>0</v>
      </c>
      <c r="X20" s="704">
        <f>MIN(X19,Model!Z162)</f>
        <v>0</v>
      </c>
      <c r="Y20" s="704">
        <f>MIN(Y19,Model!AA162)</f>
        <v>0</v>
      </c>
      <c r="Z20" s="704">
        <f>MIN(Z19,Model!AB162)</f>
        <v>0</v>
      </c>
      <c r="AA20" s="704">
        <f>MIN(AA19,Model!AC162)</f>
        <v>0</v>
      </c>
      <c r="AB20" s="704">
        <f>MIN(AB19,Model!AD162)</f>
        <v>0</v>
      </c>
      <c r="AC20" s="704">
        <f>MIN(AC19,Model!AE162)</f>
        <v>0</v>
      </c>
      <c r="AD20" s="704">
        <f>MIN(AD19,Model!AF162)</f>
        <v>0</v>
      </c>
      <c r="AE20" s="704">
        <f>MIN(AE19,Model!AG162)</f>
        <v>0</v>
      </c>
      <c r="AF20" s="704">
        <f>MIN(AF19,Model!AH162)</f>
        <v>0</v>
      </c>
      <c r="AG20" s="704">
        <f>MIN(AG19,Model!AI162)</f>
        <v>0</v>
      </c>
      <c r="AH20" s="704">
        <f>MIN(AH19,Model!AJ162)</f>
        <v>0</v>
      </c>
      <c r="AI20" s="704">
        <f>MIN(AI19,Model!AK162)</f>
        <v>0</v>
      </c>
      <c r="AJ20" s="704">
        <f>MIN(AJ19,Model!AL162)</f>
        <v>0</v>
      </c>
      <c r="AK20" s="704">
        <f>MIN(AK19,Model!AM162)</f>
        <v>0</v>
      </c>
      <c r="AL20" s="704">
        <f>MIN(AL19,Model!AN162)</f>
        <v>0</v>
      </c>
      <c r="AM20" s="704">
        <f>MIN(AM19,Model!AO162)</f>
        <v>0</v>
      </c>
      <c r="AN20" s="704">
        <f>MIN(AN19,Model!AP162)</f>
        <v>0</v>
      </c>
      <c r="AO20" s="704">
        <f>MIN(AO19,Model!AQ162)</f>
        <v>0</v>
      </c>
      <c r="AP20" s="704">
        <f>MIN(AP19,Model!AR162)</f>
        <v>0</v>
      </c>
      <c r="AQ20" s="704">
        <f>MIN(AQ19,Model!AS162)</f>
        <v>0</v>
      </c>
      <c r="AR20" s="704">
        <f>MIN(AR19,Model!AT162)</f>
        <v>81683</v>
      </c>
      <c r="AS20" s="704">
        <f>MIN(AS19,Model!AU162)</f>
        <v>0</v>
      </c>
      <c r="AT20" s="704">
        <f>MIN(AT19,Model!AV162)</f>
        <v>0</v>
      </c>
      <c r="AU20" s="704">
        <f>MIN(AU19,Model!AW162)</f>
        <v>81682</v>
      </c>
      <c r="AV20" s="704">
        <f>MIN(AV19,Model!AX162)</f>
        <v>0</v>
      </c>
      <c r="AW20" s="704">
        <f>MIN(AW19,Model!AY162)</f>
        <v>0</v>
      </c>
      <c r="AX20" s="704">
        <f>MIN(AX19,Model!AZ162)</f>
        <v>81682</v>
      </c>
      <c r="AY20" s="704">
        <f>MIN(AY19,Model!BA162)</f>
        <v>0</v>
      </c>
      <c r="AZ20" s="704">
        <f>MIN(AZ19,Model!BB162)</f>
        <v>0</v>
      </c>
      <c r="BA20" s="704">
        <f>MIN(BA19,Model!BC162)</f>
        <v>81682</v>
      </c>
      <c r="BB20" s="704">
        <f>MIN(BB19,Model!BD162)</f>
        <v>0</v>
      </c>
      <c r="BC20" s="704">
        <f>MIN(BC19,Model!BE162)</f>
        <v>0</v>
      </c>
      <c r="BD20" s="704">
        <f>MIN(BD19,Model!BF162)</f>
        <v>59178</v>
      </c>
      <c r="BE20" s="704">
        <f>MIN(BE19,Model!BG162)</f>
        <v>0</v>
      </c>
      <c r="BF20" s="704">
        <f>MIN(BF19,Model!BH162)</f>
        <v>0</v>
      </c>
      <c r="BG20" s="704">
        <f>MIN(BG19,Model!BI162)</f>
        <v>59176</v>
      </c>
      <c r="BH20" s="704">
        <f>MIN(BH19,Model!BJ162)</f>
        <v>0</v>
      </c>
      <c r="BI20" s="704">
        <f>MIN(BI19,Model!BK162)</f>
        <v>0</v>
      </c>
      <c r="BJ20" s="704">
        <f>MIN(BJ19,Model!BL162)</f>
        <v>59176</v>
      </c>
      <c r="BK20" s="704">
        <f>MIN(BK19,Model!BM162)</f>
        <v>0</v>
      </c>
      <c r="BL20" s="704">
        <f>MIN(BL19,Model!BN162)</f>
        <v>0</v>
      </c>
      <c r="BM20" s="704">
        <f>MIN(BM19,Model!BO162)</f>
        <v>59176</v>
      </c>
      <c r="BN20" s="704">
        <f>MIN(BN19,Model!BP162)</f>
        <v>0</v>
      </c>
      <c r="BO20" s="704">
        <f>MIN(BO19,Model!BQ162)</f>
        <v>0</v>
      </c>
      <c r="BP20" s="704">
        <f>MIN(BP19,Model!BR162)</f>
        <v>14512.65</v>
      </c>
      <c r="BQ20" s="704">
        <f>MIN(BQ19,Model!BS162)</f>
        <v>0</v>
      </c>
      <c r="BR20" s="704">
        <f>MIN(BR19,Model!BT162)</f>
        <v>0</v>
      </c>
      <c r="BS20" s="704">
        <f>MIN(BS19,Model!BU162)</f>
        <v>0</v>
      </c>
      <c r="BT20" s="704">
        <f>MIN(BT19,Model!BV162)</f>
        <v>0</v>
      </c>
      <c r="BU20" s="704">
        <f>MIN(BU19,Model!BW162)</f>
        <v>0</v>
      </c>
      <c r="BV20" s="704">
        <f>MIN(BV19,Model!BX162)</f>
        <v>0</v>
      </c>
      <c r="BW20" s="704">
        <f>MIN(BW19,Model!BY162)</f>
        <v>0</v>
      </c>
      <c r="BX20" s="704">
        <f>MIN(BX19,Model!BZ162)</f>
        <v>0</v>
      </c>
      <c r="BY20" s="704">
        <f>MIN(BY19,Model!CA162)</f>
        <v>0</v>
      </c>
      <c r="BZ20" s="704">
        <f>MIN(BZ19,Model!CB162)</f>
        <v>0</v>
      </c>
      <c r="CA20" s="704">
        <f>MIN(CA19,Model!CC162)</f>
        <v>0</v>
      </c>
      <c r="CB20" s="704">
        <f>MIN(CB19,Model!CD162)</f>
        <v>0</v>
      </c>
      <c r="CC20" s="704">
        <f>MIN(CC19,Model!CE162)</f>
        <v>0</v>
      </c>
      <c r="CD20" s="704">
        <f>MIN(CD19,Model!CF162)</f>
        <v>0</v>
      </c>
      <c r="CE20" s="704">
        <f>MIN(CE19,Model!CG162)</f>
        <v>0</v>
      </c>
      <c r="CF20" s="704">
        <f>MIN(CF19,Model!CH162)</f>
        <v>0</v>
      </c>
      <c r="CG20" s="704">
        <f>MIN(CG19,Model!CI162)</f>
        <v>0</v>
      </c>
      <c r="CH20" s="704">
        <f>MIN(CH19,Model!CJ162)</f>
        <v>0</v>
      </c>
      <c r="CI20" s="704">
        <f>MIN(CI19,Model!CK162)</f>
        <v>0</v>
      </c>
      <c r="CJ20" s="704">
        <f>MIN(CJ19,Model!CL162)</f>
        <v>0</v>
      </c>
      <c r="CK20" s="704">
        <f>MIN(CK19,Model!CM162)</f>
        <v>0</v>
      </c>
      <c r="CL20" s="704">
        <f>MIN(CL19,Model!CN162)</f>
        <v>0</v>
      </c>
      <c r="CM20" s="704">
        <f>MIN(CM19,Model!CO162)</f>
        <v>0</v>
      </c>
      <c r="CN20" s="704">
        <f>MIN(CN19,Model!CP162)</f>
        <v>0</v>
      </c>
      <c r="CO20" s="704">
        <f>MIN(CO19,Model!CQ162)</f>
        <v>0</v>
      </c>
      <c r="CP20" s="704">
        <f>MIN(CP19,Model!CR162)</f>
        <v>0</v>
      </c>
      <c r="CQ20" s="704">
        <f>MIN(CQ19,Model!CS162)</f>
        <v>0</v>
      </c>
    </row>
    <row r="21" ht="15" customFormat="1" customHeight="1" s="381">
      <c r="A21" s="477" t="inlineStr">
        <is>
          <t>Francis Steyn - Ending Balance</t>
        </is>
      </c>
      <c r="C21" s="702">
        <f>MAX(0,C19-C20)</f>
        <v>577947.65</v>
      </c>
      <c r="D21" s="702">
        <f>MAX(0,D19-D20)</f>
        <v>577947.65</v>
      </c>
      <c r="E21" s="702">
        <f>MAX(0,E19-E20)</f>
        <v>577947.65</v>
      </c>
      <c r="F21" s="702">
        <f>MAX(0,F19-F20)</f>
        <v>577947.65</v>
      </c>
      <c r="G21" s="702">
        <f>MAX(0,G19-G20)</f>
        <v>577947.65</v>
      </c>
      <c r="H21" s="702">
        <f>MAX(0,H19-H20)</f>
        <v>577947.65</v>
      </c>
      <c r="I21" s="702">
        <f>MAX(0,I19-I20)</f>
        <v>577947.65</v>
      </c>
      <c r="J21" s="702">
        <f>MAX(0,J19-J20)</f>
        <v>577947.65</v>
      </c>
      <c r="K21" s="702">
        <f>MAX(0,K19-K20)</f>
        <v>577947.65</v>
      </c>
      <c r="L21" s="702">
        <f>MAX(0,L19-L20)</f>
        <v>577947.65</v>
      </c>
      <c r="M21" s="702">
        <f>MAX(0,M19-M20)</f>
        <v>577947.65</v>
      </c>
      <c r="N21" s="702">
        <f>MAX(0,N19-N20)</f>
        <v>577947.65</v>
      </c>
      <c r="O21" s="702">
        <f>MAX(0,O19-O20)</f>
        <v>577947.65</v>
      </c>
      <c r="P21" s="702">
        <f>MAX(0,P19-P20)</f>
        <v>577947.65</v>
      </c>
      <c r="Q21" s="702">
        <f>MAX(0,Q19-Q20)</f>
        <v>577947.65</v>
      </c>
      <c r="R21" s="702">
        <f>MAX(0,R19-R20)</f>
        <v>577947.65</v>
      </c>
      <c r="S21" s="702">
        <f>MAX(0,S19-S20)</f>
        <v>577947.65</v>
      </c>
      <c r="T21" s="702">
        <f>MAX(0,T19-T20)</f>
        <v>577947.65</v>
      </c>
      <c r="U21" s="702">
        <f>MAX(0,U19-U20)</f>
        <v>577947.65</v>
      </c>
      <c r="V21" s="702">
        <f>MAX(0,V19-V20)</f>
        <v>577947.65</v>
      </c>
      <c r="W21" s="702">
        <f>MAX(0,W19-W20)</f>
        <v>577947.65</v>
      </c>
      <c r="X21" s="702">
        <f>MAX(0,X19-X20)</f>
        <v>577947.65</v>
      </c>
      <c r="Y21" s="702">
        <f>MAX(0,Y19-Y20)</f>
        <v>577947.65</v>
      </c>
      <c r="Z21" s="702">
        <f>MAX(0,Z19-Z20)</f>
        <v>577947.65</v>
      </c>
      <c r="AA21" s="702">
        <f>MAX(0,AA19-AA20)</f>
        <v>577947.65</v>
      </c>
      <c r="AB21" s="702">
        <f>MAX(0,AB19-AB20)</f>
        <v>577947.65</v>
      </c>
      <c r="AC21" s="702">
        <f>MAX(0,AC19-AC20)</f>
        <v>577947.65</v>
      </c>
      <c r="AD21" s="702">
        <f>MAX(0,AD19-AD20)</f>
        <v>577947.65</v>
      </c>
      <c r="AE21" s="702">
        <f>MAX(0,AE19-AE20)</f>
        <v>577947.65</v>
      </c>
      <c r="AF21" s="702">
        <f>MAX(0,AF19-AF20)</f>
        <v>577947.65</v>
      </c>
      <c r="AG21" s="702">
        <f>MAX(0,AG19-AG20)</f>
        <v>577947.65</v>
      </c>
      <c r="AH21" s="702">
        <f>MAX(0,AH19-AH20)</f>
        <v>577947.65</v>
      </c>
      <c r="AI21" s="702">
        <f>MAX(0,AI19-AI20)</f>
        <v>577947.65</v>
      </c>
      <c r="AJ21" s="702">
        <f>MAX(0,AJ19-AJ20)</f>
        <v>577947.65</v>
      </c>
      <c r="AK21" s="702">
        <f>MAX(0,AK19-AK20)</f>
        <v>577947.65</v>
      </c>
      <c r="AL21" s="702">
        <f>MAX(0,AL19-AL20)</f>
        <v>577947.65</v>
      </c>
      <c r="AM21" s="702">
        <f>MAX(0,AM19-AM20)</f>
        <v>577947.65</v>
      </c>
      <c r="AN21" s="702">
        <f>MAX(0,AN19-AN20)</f>
        <v>577947.65</v>
      </c>
      <c r="AO21" s="702">
        <f>MAX(0,AO19-AO20)</f>
        <v>577947.65</v>
      </c>
      <c r="AP21" s="702">
        <f>MAX(0,AP19-AP20)</f>
        <v>577947.65</v>
      </c>
      <c r="AQ21" s="702">
        <f>MAX(0,AQ19-AQ20)</f>
        <v>577947.65</v>
      </c>
      <c r="AR21" s="702">
        <f>MAX(0,AR19-AR20)</f>
        <v>496264.65</v>
      </c>
      <c r="AS21" s="702">
        <f>MAX(0,AS19-AS20)</f>
        <v>496264.65</v>
      </c>
      <c r="AT21" s="702">
        <f>MAX(0,AT19-AT20)</f>
        <v>496264.65</v>
      </c>
      <c r="AU21" s="702">
        <f>MAX(0,AU19-AU20)</f>
        <v>414582.65</v>
      </c>
      <c r="AV21" s="702">
        <f>MAX(0,AV19-AV20)</f>
        <v>414582.65</v>
      </c>
      <c r="AW21" s="702">
        <f>MAX(0,AW19-AW20)</f>
        <v>414582.65</v>
      </c>
      <c r="AX21" s="702">
        <f>MAX(0,AX19-AX20)</f>
        <v>332900.65</v>
      </c>
      <c r="AY21" s="702">
        <f>MAX(0,AY19-AY20)</f>
        <v>332900.65</v>
      </c>
      <c r="AZ21" s="702">
        <f>MAX(0,AZ19-AZ20)</f>
        <v>332900.65</v>
      </c>
      <c r="BA21" s="702">
        <f>MAX(0,BA19-BA20)</f>
        <v>251218.65</v>
      </c>
      <c r="BB21" s="702">
        <f>MAX(0,BB19-BB20)</f>
        <v>251218.65</v>
      </c>
      <c r="BC21" s="702">
        <f>MAX(0,BC19-BC20)</f>
        <v>251218.65</v>
      </c>
      <c r="BD21" s="702">
        <f>MAX(0,BD19-BD20)</f>
        <v>192040.65</v>
      </c>
      <c r="BE21" s="702">
        <f>MAX(0,BE19-BE20)</f>
        <v>192040.65</v>
      </c>
      <c r="BF21" s="702">
        <f>MAX(0,BF19-BF20)</f>
        <v>192040.65</v>
      </c>
      <c r="BG21" s="702">
        <f>MAX(0,BG19-BG20)</f>
        <v>132864.65</v>
      </c>
      <c r="BH21" s="702">
        <f>MAX(0,BH19-BH20)</f>
        <v>132864.65</v>
      </c>
      <c r="BI21" s="702">
        <f>MAX(0,BI19-BI20)</f>
        <v>132864.65</v>
      </c>
      <c r="BJ21" s="702">
        <f>MAX(0,BJ19-BJ20)</f>
        <v>73688.65</v>
      </c>
      <c r="BK21" s="702">
        <f>MAX(0,BK19-BK20)</f>
        <v>73688.65</v>
      </c>
      <c r="BL21" s="702">
        <f>MAX(0,BL19-BL20)</f>
        <v>73688.65</v>
      </c>
      <c r="BM21" s="702">
        <f>MAX(0,BM19-BM20)</f>
        <v>14512.65</v>
      </c>
      <c r="BN21" s="702">
        <f>MAX(0,BN19-BN20)</f>
        <v>14512.65</v>
      </c>
      <c r="BO21" s="702">
        <f>MAX(0,BO19-BO20)</f>
        <v>14512.65</v>
      </c>
      <c r="BP21" s="702">
        <f>MAX(0,BP19-BP20)</f>
        <v>0</v>
      </c>
      <c r="BQ21" s="702">
        <f>MAX(0,BQ19-BQ20)</f>
        <v>0</v>
      </c>
      <c r="BR21" s="702">
        <f>MAX(0,BR19-BR20)</f>
        <v>0</v>
      </c>
      <c r="BS21" s="702">
        <f>MAX(0,BS19-BS20)</f>
        <v>0</v>
      </c>
      <c r="BT21" s="702">
        <f>MAX(0,BT19-BT20)</f>
        <v>0</v>
      </c>
      <c r="BU21" s="702">
        <f>MAX(0,BU19-BU20)</f>
        <v>0</v>
      </c>
      <c r="BV21" s="702">
        <f>MAX(0,BV19-BV20)</f>
        <v>0</v>
      </c>
      <c r="BW21" s="702">
        <f>MAX(0,BW19-BW20)</f>
        <v>0</v>
      </c>
      <c r="BX21" s="702">
        <f>MAX(0,BX19-BX20)</f>
        <v>0</v>
      </c>
      <c r="BY21" s="702">
        <f>MAX(0,BY19-BY20)</f>
        <v>0</v>
      </c>
      <c r="BZ21" s="702">
        <f>MAX(0,BZ19-BZ20)</f>
        <v>0</v>
      </c>
      <c r="CA21" s="702">
        <f>MAX(0,CA19-CA20)</f>
        <v>0</v>
      </c>
      <c r="CB21" s="702">
        <f>MAX(0,CB19-CB20)</f>
        <v>0</v>
      </c>
      <c r="CC21" s="702">
        <f>MAX(0,CC19-CC20)</f>
        <v>0</v>
      </c>
      <c r="CD21" s="702">
        <f>MAX(0,CD19-CD20)</f>
        <v>0</v>
      </c>
      <c r="CE21" s="702">
        <f>MAX(0,CE19-CE20)</f>
        <v>0</v>
      </c>
      <c r="CF21" s="702">
        <f>MAX(0,CF19-CF20)</f>
        <v>0</v>
      </c>
      <c r="CG21" s="702">
        <f>MAX(0,CG19-CG20)</f>
        <v>0</v>
      </c>
      <c r="CH21" s="702">
        <f>MAX(0,CH19-CH20)</f>
        <v>0</v>
      </c>
      <c r="CI21" s="702">
        <f>MAX(0,CI19-CI20)</f>
        <v>0</v>
      </c>
      <c r="CJ21" s="702">
        <f>MAX(0,CJ19-CJ20)</f>
        <v>0</v>
      </c>
      <c r="CK21" s="702">
        <f>MAX(0,CK19-CK20)</f>
        <v>0</v>
      </c>
      <c r="CL21" s="702">
        <f>MAX(0,CL19-CL20)</f>
        <v>0</v>
      </c>
      <c r="CM21" s="702">
        <f>MAX(0,CM19-CM20)</f>
        <v>0</v>
      </c>
      <c r="CN21" s="702">
        <f>MAX(0,CN19-CN20)</f>
        <v>0</v>
      </c>
      <c r="CO21" s="702">
        <f>MAX(0,CO19-CO20)</f>
        <v>0</v>
      </c>
      <c r="CP21" s="702">
        <f>MAX(0,CP19-CP20)</f>
        <v>0</v>
      </c>
      <c r="CQ21" s="702">
        <f>MAX(0,CQ19-CQ20)</f>
        <v>0</v>
      </c>
    </row>
    <row r="22" ht="15" customFormat="1" customHeight="1" s="381">
      <c r="A22" s="571" t="inlineStr">
        <is>
          <t>Reseda Steyn - Beginning Balance</t>
        </is>
      </c>
      <c r="C22" s="686">
        <f>IF(Projects!$G$13="Yes",Projects!$B$13*Assumptions!$B$47+Assumptions!$B$54*Assumptions!$B$48,0)</f>
        <v>602667.7</v>
      </c>
      <c r="D22" s="686">
        <f>C24</f>
        <v>602667.7</v>
      </c>
      <c r="E22" s="686">
        <f>D24</f>
        <v>602667.7</v>
      </c>
      <c r="F22" s="686">
        <f>E24</f>
        <v>602667.7</v>
      </c>
      <c r="G22" s="686">
        <f>F24</f>
        <v>602667.7</v>
      </c>
      <c r="H22" s="686">
        <f>G24</f>
        <v>602667.7</v>
      </c>
      <c r="I22" s="686">
        <f>H24</f>
        <v>602667.7</v>
      </c>
      <c r="J22" s="686">
        <f>I24</f>
        <v>602667.7</v>
      </c>
      <c r="K22" s="686">
        <f>J24</f>
        <v>602667.7</v>
      </c>
      <c r="L22" s="686">
        <f>K24</f>
        <v>602667.7</v>
      </c>
      <c r="M22" s="686">
        <f>L24</f>
        <v>602667.7</v>
      </c>
      <c r="N22" s="686">
        <f>M24</f>
        <v>602667.7</v>
      </c>
      <c r="O22" s="686">
        <f>N24</f>
        <v>602667.7</v>
      </c>
      <c r="P22" s="686">
        <f>O24</f>
        <v>602667.7</v>
      </c>
      <c r="Q22" s="686">
        <f>P24</f>
        <v>602667.7</v>
      </c>
      <c r="R22" s="686">
        <f>Q24</f>
        <v>602667.7</v>
      </c>
      <c r="S22" s="686">
        <f>R24</f>
        <v>602667.7</v>
      </c>
      <c r="T22" s="686">
        <f>S24</f>
        <v>602667.7</v>
      </c>
      <c r="U22" s="686">
        <f>T24</f>
        <v>602667.7</v>
      </c>
      <c r="V22" s="686">
        <f>U24</f>
        <v>602667.7</v>
      </c>
      <c r="W22" s="686">
        <f>V24</f>
        <v>602667.7</v>
      </c>
      <c r="X22" s="686">
        <f>W24</f>
        <v>602667.7</v>
      </c>
      <c r="Y22" s="686">
        <f>X24</f>
        <v>602667.7</v>
      </c>
      <c r="Z22" s="686">
        <f>Y24</f>
        <v>602667.7</v>
      </c>
      <c r="AA22" s="686">
        <f>Z24</f>
        <v>602667.7</v>
      </c>
      <c r="AB22" s="686">
        <f>AA24</f>
        <v>602667.7</v>
      </c>
      <c r="AC22" s="686">
        <f>AB24</f>
        <v>602667.7</v>
      </c>
      <c r="AD22" s="686">
        <f>AC24</f>
        <v>602667.7</v>
      </c>
      <c r="AE22" s="686">
        <f>AD24</f>
        <v>602667.7</v>
      </c>
      <c r="AF22" s="686">
        <f>AE24</f>
        <v>602667.7</v>
      </c>
      <c r="AG22" s="686">
        <f>AF24</f>
        <v>602667.7</v>
      </c>
      <c r="AH22" s="686">
        <f>AG24</f>
        <v>602667.7</v>
      </c>
      <c r="AI22" s="686">
        <f>AH24</f>
        <v>602667.7</v>
      </c>
      <c r="AJ22" s="686">
        <f>AI24</f>
        <v>602667.7</v>
      </c>
      <c r="AK22" s="686">
        <f>AJ24</f>
        <v>602667.7</v>
      </c>
      <c r="AL22" s="686">
        <f>AK24</f>
        <v>602667.7</v>
      </c>
      <c r="AM22" s="686">
        <f>AL24</f>
        <v>602667.7</v>
      </c>
      <c r="AN22" s="686">
        <f>AM24</f>
        <v>602667.7</v>
      </c>
      <c r="AO22" s="686">
        <f>AN24</f>
        <v>602667.7</v>
      </c>
      <c r="AP22" s="686">
        <f>AO24</f>
        <v>602667.7</v>
      </c>
      <c r="AQ22" s="686">
        <f>AP24</f>
        <v>602667.7</v>
      </c>
      <c r="AR22" s="686">
        <f>AQ24</f>
        <v>602667.7</v>
      </c>
      <c r="AS22" s="686">
        <f>AR24</f>
        <v>602667.7</v>
      </c>
      <c r="AT22" s="686">
        <f>AS24</f>
        <v>602667.7</v>
      </c>
      <c r="AU22" s="686">
        <f>AT24</f>
        <v>602667.7</v>
      </c>
      <c r="AV22" s="686">
        <f>AU24</f>
        <v>602667.7</v>
      </c>
      <c r="AW22" s="686">
        <f>AV24</f>
        <v>602667.7</v>
      </c>
      <c r="AX22" s="686">
        <f>AW24</f>
        <v>602667.7</v>
      </c>
      <c r="AY22" s="686">
        <f>AX24</f>
        <v>602667.7</v>
      </c>
      <c r="AZ22" s="686">
        <f>AY24</f>
        <v>602667.7</v>
      </c>
      <c r="BA22" s="686">
        <f>AZ24</f>
        <v>602667.7</v>
      </c>
      <c r="BB22" s="686">
        <f>BA24</f>
        <v>0</v>
      </c>
      <c r="BC22" s="686">
        <f>BB24</f>
        <v>0</v>
      </c>
      <c r="BD22" s="686">
        <f>BC24</f>
        <v>0</v>
      </c>
      <c r="BE22" s="686">
        <f>BD24</f>
        <v>0</v>
      </c>
      <c r="BF22" s="686">
        <f>BE24</f>
        <v>0</v>
      </c>
      <c r="BG22" s="686">
        <f>BF24</f>
        <v>0</v>
      </c>
      <c r="BH22" s="686">
        <f>BG24</f>
        <v>0</v>
      </c>
      <c r="BI22" s="686">
        <f>BH24</f>
        <v>0</v>
      </c>
      <c r="BJ22" s="686">
        <f>BI24</f>
        <v>0</v>
      </c>
      <c r="BK22" s="686">
        <f>BJ24</f>
        <v>0</v>
      </c>
      <c r="BL22" s="686">
        <f>BK24</f>
        <v>0</v>
      </c>
      <c r="BM22" s="686">
        <f>BL24</f>
        <v>0</v>
      </c>
      <c r="BN22" s="686">
        <f>BM24</f>
        <v>0</v>
      </c>
      <c r="BO22" s="686">
        <f>BN24</f>
        <v>0</v>
      </c>
      <c r="BP22" s="686">
        <f>BO24</f>
        <v>0</v>
      </c>
      <c r="BQ22" s="686">
        <f>BP24</f>
        <v>0</v>
      </c>
      <c r="BR22" s="686">
        <f>BQ24</f>
        <v>0</v>
      </c>
      <c r="BS22" s="686">
        <f>BR24</f>
        <v>0</v>
      </c>
      <c r="BT22" s="686">
        <f>BS24</f>
        <v>0</v>
      </c>
      <c r="BU22" s="686">
        <f>BT24</f>
        <v>0</v>
      </c>
      <c r="BV22" s="686">
        <f>BU24</f>
        <v>0</v>
      </c>
      <c r="BW22" s="686">
        <f>BV24</f>
        <v>0</v>
      </c>
      <c r="BX22" s="686">
        <f>BW24</f>
        <v>0</v>
      </c>
      <c r="BY22" s="686">
        <f>BX24</f>
        <v>0</v>
      </c>
      <c r="BZ22" s="686">
        <f>BY24</f>
        <v>0</v>
      </c>
      <c r="CA22" s="686">
        <f>BZ24</f>
        <v>0</v>
      </c>
      <c r="CB22" s="686">
        <f>CA24</f>
        <v>0</v>
      </c>
      <c r="CC22" s="686">
        <f>CB24</f>
        <v>0</v>
      </c>
      <c r="CD22" s="686">
        <f>CC24</f>
        <v>0</v>
      </c>
      <c r="CE22" s="686">
        <f>CD24</f>
        <v>0</v>
      </c>
      <c r="CF22" s="686">
        <f>CE24</f>
        <v>0</v>
      </c>
      <c r="CG22" s="686">
        <f>CF24</f>
        <v>0</v>
      </c>
      <c r="CH22" s="686">
        <f>CG24</f>
        <v>0</v>
      </c>
      <c r="CI22" s="686">
        <f>CH24</f>
        <v>0</v>
      </c>
      <c r="CJ22" s="686">
        <f>CI24</f>
        <v>0</v>
      </c>
      <c r="CK22" s="686">
        <f>CJ24</f>
        <v>0</v>
      </c>
      <c r="CL22" s="686">
        <f>CK24</f>
        <v>0</v>
      </c>
      <c r="CM22" s="686">
        <f>CL24</f>
        <v>0</v>
      </c>
      <c r="CN22" s="686">
        <f>CM24</f>
        <v>0</v>
      </c>
      <c r="CO22" s="686">
        <f>CN24</f>
        <v>0</v>
      </c>
      <c r="CP22" s="686">
        <f>CO24</f>
        <v>0</v>
      </c>
      <c r="CQ22" s="686">
        <f>CP24</f>
        <v>0</v>
      </c>
    </row>
    <row r="23" ht="15" customFormat="1" customHeight="1" s="381">
      <c r="A23" s="703" t="inlineStr">
        <is>
          <t>Reseda Steyn - Payment</t>
        </is>
      </c>
      <c r="C23" s="704">
        <f>MIN(C22,Model!E163)</f>
        <v>0</v>
      </c>
      <c r="D23" s="704">
        <f>MIN(D22,Model!F163)</f>
        <v>0</v>
      </c>
      <c r="E23" s="704">
        <f>MIN(E22,Model!G163)</f>
        <v>0</v>
      </c>
      <c r="F23" s="704">
        <f>MIN(F22,Model!H163)</f>
        <v>0</v>
      </c>
      <c r="G23" s="704">
        <f>MIN(G22,Model!I163)</f>
        <v>0</v>
      </c>
      <c r="H23" s="704">
        <f>MIN(H22,Model!J163)</f>
        <v>0</v>
      </c>
      <c r="I23" s="704">
        <f>MIN(I22,Model!K163)</f>
        <v>0</v>
      </c>
      <c r="J23" s="704">
        <f>MIN(J22,Model!L163)</f>
        <v>0</v>
      </c>
      <c r="K23" s="704">
        <f>MIN(K22,Model!M163)</f>
        <v>0</v>
      </c>
      <c r="L23" s="704">
        <f>MIN(L22,Model!N163)</f>
        <v>0</v>
      </c>
      <c r="M23" s="704">
        <f>MIN(M22,Model!O163)</f>
        <v>0</v>
      </c>
      <c r="N23" s="704">
        <f>MIN(N22,Model!P163)</f>
        <v>0</v>
      </c>
      <c r="O23" s="704">
        <f>MIN(O22,Model!Q163)</f>
        <v>0</v>
      </c>
      <c r="P23" s="704">
        <f>MIN(P22,Model!R163)</f>
        <v>0</v>
      </c>
      <c r="Q23" s="704">
        <f>MIN(Q22,Model!S163)</f>
        <v>0</v>
      </c>
      <c r="R23" s="704">
        <f>MIN(R22,Model!T163)</f>
        <v>0</v>
      </c>
      <c r="S23" s="704">
        <f>MIN(S22,Model!U163)</f>
        <v>0</v>
      </c>
      <c r="T23" s="704">
        <f>MIN(T22,Model!V163)</f>
        <v>0</v>
      </c>
      <c r="U23" s="704">
        <f>MIN(U22,Model!W163)</f>
        <v>0</v>
      </c>
      <c r="V23" s="704">
        <f>MIN(V22,Model!X163)</f>
        <v>0</v>
      </c>
      <c r="W23" s="704">
        <f>MIN(W22,Model!Y163)</f>
        <v>0</v>
      </c>
      <c r="X23" s="704">
        <f>MIN(X22,Model!Z163)</f>
        <v>0</v>
      </c>
      <c r="Y23" s="704">
        <f>MIN(Y22,Model!AA163)</f>
        <v>0</v>
      </c>
      <c r="Z23" s="704">
        <f>MIN(Z22,Model!AB163)</f>
        <v>0</v>
      </c>
      <c r="AA23" s="704">
        <f>MIN(AA22,Model!AC163)</f>
        <v>0</v>
      </c>
      <c r="AB23" s="704">
        <f>MIN(AB22,Model!AD163)</f>
        <v>0</v>
      </c>
      <c r="AC23" s="704">
        <f>MIN(AC22,Model!AE163)</f>
        <v>0</v>
      </c>
      <c r="AD23" s="704">
        <f>MIN(AD22,Model!AF163)</f>
        <v>0</v>
      </c>
      <c r="AE23" s="704">
        <f>MIN(AE22,Model!AG163)</f>
        <v>0</v>
      </c>
      <c r="AF23" s="704">
        <f>MIN(AF22,Model!AH163)</f>
        <v>0</v>
      </c>
      <c r="AG23" s="704">
        <f>MIN(AG22,Model!AI163)</f>
        <v>0</v>
      </c>
      <c r="AH23" s="704">
        <f>MIN(AH22,Model!AJ163)</f>
        <v>0</v>
      </c>
      <c r="AI23" s="704">
        <f>MIN(AI22,Model!AK163)</f>
        <v>0</v>
      </c>
      <c r="AJ23" s="704">
        <f>MIN(AJ22,Model!AL163)</f>
        <v>0</v>
      </c>
      <c r="AK23" s="704">
        <f>MIN(AK22,Model!AM163)</f>
        <v>0</v>
      </c>
      <c r="AL23" s="704">
        <f>MIN(AL22,Model!AN163)</f>
        <v>0</v>
      </c>
      <c r="AM23" s="704">
        <f>MIN(AM22,Model!AO163)</f>
        <v>0</v>
      </c>
      <c r="AN23" s="704">
        <f>MIN(AN22,Model!AP163)</f>
        <v>0</v>
      </c>
      <c r="AO23" s="704">
        <f>MIN(AO22,Model!AQ163)</f>
        <v>0</v>
      </c>
      <c r="AP23" s="704">
        <f>MIN(AP22,Model!AR163)</f>
        <v>0</v>
      </c>
      <c r="AQ23" s="704">
        <f>MIN(AQ22,Model!AS163)</f>
        <v>0</v>
      </c>
      <c r="AR23" s="704">
        <f>MIN(AR22,Model!AT163)</f>
        <v>0</v>
      </c>
      <c r="AS23" s="704">
        <f>MIN(AS22,Model!AU163)</f>
        <v>0</v>
      </c>
      <c r="AT23" s="704">
        <f>MIN(AT22,Model!AV163)</f>
        <v>0</v>
      </c>
      <c r="AU23" s="704">
        <f>MIN(AU22,Model!AW163)</f>
        <v>0</v>
      </c>
      <c r="AV23" s="704">
        <f>MIN(AV22,Model!AX163)</f>
        <v>0</v>
      </c>
      <c r="AW23" s="704">
        <f>MIN(AW22,Model!AY163)</f>
        <v>0</v>
      </c>
      <c r="AX23" s="704">
        <f>MIN(AX22,Model!AZ163)</f>
        <v>0</v>
      </c>
      <c r="AY23" s="704">
        <f>MIN(AY22,Model!BA163)</f>
        <v>0</v>
      </c>
      <c r="AZ23" s="704">
        <f>MIN(AZ22,Model!BB163)</f>
        <v>0</v>
      </c>
      <c r="BA23" s="704">
        <f>MIN(BA22,Model!BC163)</f>
        <v>602667.7</v>
      </c>
      <c r="BB23" s="704">
        <f>MIN(BB22,Model!BD163)</f>
        <v>0</v>
      </c>
      <c r="BC23" s="704">
        <f>MIN(BC22,Model!BE163)</f>
        <v>0</v>
      </c>
      <c r="BD23" s="704">
        <f>MIN(BD22,Model!BF163)</f>
        <v>0</v>
      </c>
      <c r="BE23" s="704">
        <f>MIN(BE22,Model!BG163)</f>
        <v>0</v>
      </c>
      <c r="BF23" s="704">
        <f>MIN(BF22,Model!BH163)</f>
        <v>0</v>
      </c>
      <c r="BG23" s="704">
        <f>MIN(BG22,Model!BI163)</f>
        <v>0</v>
      </c>
      <c r="BH23" s="704">
        <f>MIN(BH22,Model!BJ163)</f>
        <v>0</v>
      </c>
      <c r="BI23" s="704">
        <f>MIN(BI22,Model!BK163)</f>
        <v>0</v>
      </c>
      <c r="BJ23" s="704">
        <f>MIN(BJ22,Model!BL163)</f>
        <v>0</v>
      </c>
      <c r="BK23" s="704">
        <f>MIN(BK22,Model!BM163)</f>
        <v>0</v>
      </c>
      <c r="BL23" s="704">
        <f>MIN(BL22,Model!BN163)</f>
        <v>0</v>
      </c>
      <c r="BM23" s="704">
        <f>MIN(BM22,Model!BO163)</f>
        <v>0</v>
      </c>
      <c r="BN23" s="704">
        <f>MIN(BN22,Model!BP163)</f>
        <v>0</v>
      </c>
      <c r="BO23" s="704">
        <f>MIN(BO22,Model!BQ163)</f>
        <v>0</v>
      </c>
      <c r="BP23" s="704">
        <f>MIN(BP22,Model!BR163)</f>
        <v>0</v>
      </c>
      <c r="BQ23" s="704">
        <f>MIN(BQ22,Model!BS163)</f>
        <v>0</v>
      </c>
      <c r="BR23" s="704">
        <f>MIN(BR22,Model!BT163)</f>
        <v>0</v>
      </c>
      <c r="BS23" s="704">
        <f>MIN(BS22,Model!BU163)</f>
        <v>0</v>
      </c>
      <c r="BT23" s="704">
        <f>MIN(BT22,Model!BV163)</f>
        <v>0</v>
      </c>
      <c r="BU23" s="704">
        <f>MIN(BU22,Model!BW163)</f>
        <v>0</v>
      </c>
      <c r="BV23" s="704">
        <f>MIN(BV22,Model!BX163)</f>
        <v>0</v>
      </c>
      <c r="BW23" s="704">
        <f>MIN(BW22,Model!BY163)</f>
        <v>0</v>
      </c>
      <c r="BX23" s="704">
        <f>MIN(BX22,Model!BZ163)</f>
        <v>0</v>
      </c>
      <c r="BY23" s="704">
        <f>MIN(BY22,Model!CA163)</f>
        <v>0</v>
      </c>
      <c r="BZ23" s="704">
        <f>MIN(BZ22,Model!CB163)</f>
        <v>0</v>
      </c>
      <c r="CA23" s="704">
        <f>MIN(CA22,Model!CC163)</f>
        <v>0</v>
      </c>
      <c r="CB23" s="704">
        <f>MIN(CB22,Model!CD163)</f>
        <v>0</v>
      </c>
      <c r="CC23" s="704">
        <f>MIN(CC22,Model!CE163)</f>
        <v>0</v>
      </c>
      <c r="CD23" s="704">
        <f>MIN(CD22,Model!CF163)</f>
        <v>0</v>
      </c>
      <c r="CE23" s="704">
        <f>MIN(CE22,Model!CG163)</f>
        <v>0</v>
      </c>
      <c r="CF23" s="704">
        <f>MIN(CF22,Model!CH163)</f>
        <v>0</v>
      </c>
      <c r="CG23" s="704">
        <f>MIN(CG22,Model!CI163)</f>
        <v>0</v>
      </c>
      <c r="CH23" s="704">
        <f>MIN(CH22,Model!CJ163)</f>
        <v>0</v>
      </c>
      <c r="CI23" s="704">
        <f>MIN(CI22,Model!CK163)</f>
        <v>0</v>
      </c>
      <c r="CJ23" s="704">
        <f>MIN(CJ22,Model!CL163)</f>
        <v>0</v>
      </c>
      <c r="CK23" s="704">
        <f>MIN(CK22,Model!CM163)</f>
        <v>0</v>
      </c>
      <c r="CL23" s="704">
        <f>MIN(CL22,Model!CN163)</f>
        <v>0</v>
      </c>
      <c r="CM23" s="704">
        <f>MIN(CM22,Model!CO163)</f>
        <v>0</v>
      </c>
      <c r="CN23" s="704">
        <f>MIN(CN22,Model!CP163)</f>
        <v>0</v>
      </c>
      <c r="CO23" s="704">
        <f>MIN(CO22,Model!CQ163)</f>
        <v>0</v>
      </c>
      <c r="CP23" s="704">
        <f>MIN(CP22,Model!CR163)</f>
        <v>0</v>
      </c>
      <c r="CQ23" s="704">
        <f>MIN(CQ22,Model!CS163)</f>
        <v>0</v>
      </c>
    </row>
    <row r="24" ht="15" customFormat="1" customHeight="1" s="381">
      <c r="A24" s="477" t="inlineStr">
        <is>
          <t>Reseda Steyn - Ending Balance</t>
        </is>
      </c>
      <c r="C24" s="702">
        <f>MAX(0,C22-C23)</f>
        <v>602667.7</v>
      </c>
      <c r="D24" s="702">
        <f>MAX(0,D22-D23)</f>
        <v>602667.7</v>
      </c>
      <c r="E24" s="702">
        <f>MAX(0,E22-E23)</f>
        <v>602667.7</v>
      </c>
      <c r="F24" s="702">
        <f>MAX(0,F22-F23)</f>
        <v>602667.7</v>
      </c>
      <c r="G24" s="702">
        <f>MAX(0,G22-G23)</f>
        <v>602667.7</v>
      </c>
      <c r="H24" s="702">
        <f>MAX(0,H22-H23)</f>
        <v>602667.7</v>
      </c>
      <c r="I24" s="702">
        <f>MAX(0,I22-I23)</f>
        <v>602667.7</v>
      </c>
      <c r="J24" s="702">
        <f>MAX(0,J22-J23)</f>
        <v>602667.7</v>
      </c>
      <c r="K24" s="702">
        <f>MAX(0,K22-K23)</f>
        <v>602667.7</v>
      </c>
      <c r="L24" s="702">
        <f>MAX(0,L22-L23)</f>
        <v>602667.7</v>
      </c>
      <c r="M24" s="702">
        <f>MAX(0,M22-M23)</f>
        <v>602667.7</v>
      </c>
      <c r="N24" s="702">
        <f>MAX(0,N22-N23)</f>
        <v>602667.7</v>
      </c>
      <c r="O24" s="702">
        <f>MAX(0,O22-O23)</f>
        <v>602667.7</v>
      </c>
      <c r="P24" s="702">
        <f>MAX(0,P22-P23)</f>
        <v>602667.7</v>
      </c>
      <c r="Q24" s="702">
        <f>MAX(0,Q22-Q23)</f>
        <v>602667.7</v>
      </c>
      <c r="R24" s="702">
        <f>MAX(0,R22-R23)</f>
        <v>602667.7</v>
      </c>
      <c r="S24" s="702">
        <f>MAX(0,S22-S23)</f>
        <v>602667.7</v>
      </c>
      <c r="T24" s="702">
        <f>MAX(0,T22-T23)</f>
        <v>602667.7</v>
      </c>
      <c r="U24" s="702">
        <f>MAX(0,U22-U23)</f>
        <v>602667.7</v>
      </c>
      <c r="V24" s="702">
        <f>MAX(0,V22-V23)</f>
        <v>602667.7</v>
      </c>
      <c r="W24" s="702">
        <f>MAX(0,W22-W23)</f>
        <v>602667.7</v>
      </c>
      <c r="X24" s="702">
        <f>MAX(0,X22-X23)</f>
        <v>602667.7</v>
      </c>
      <c r="Y24" s="702">
        <f>MAX(0,Y22-Y23)</f>
        <v>602667.7</v>
      </c>
      <c r="Z24" s="702">
        <f>MAX(0,Z22-Z23)</f>
        <v>602667.7</v>
      </c>
      <c r="AA24" s="702">
        <f>MAX(0,AA22-AA23)</f>
        <v>602667.7</v>
      </c>
      <c r="AB24" s="702">
        <f>MAX(0,AB22-AB23)</f>
        <v>602667.7</v>
      </c>
      <c r="AC24" s="702">
        <f>MAX(0,AC22-AC23)</f>
        <v>602667.7</v>
      </c>
      <c r="AD24" s="702">
        <f>MAX(0,AD22-AD23)</f>
        <v>602667.7</v>
      </c>
      <c r="AE24" s="702">
        <f>MAX(0,AE22-AE23)</f>
        <v>602667.7</v>
      </c>
      <c r="AF24" s="702">
        <f>MAX(0,AF22-AF23)</f>
        <v>602667.7</v>
      </c>
      <c r="AG24" s="702">
        <f>MAX(0,AG22-AG23)</f>
        <v>602667.7</v>
      </c>
      <c r="AH24" s="702">
        <f>MAX(0,AH22-AH23)</f>
        <v>602667.7</v>
      </c>
      <c r="AI24" s="702">
        <f>MAX(0,AI22-AI23)</f>
        <v>602667.7</v>
      </c>
      <c r="AJ24" s="702">
        <f>MAX(0,AJ22-AJ23)</f>
        <v>602667.7</v>
      </c>
      <c r="AK24" s="702">
        <f>MAX(0,AK22-AK23)</f>
        <v>602667.7</v>
      </c>
      <c r="AL24" s="702">
        <f>MAX(0,AL22-AL23)</f>
        <v>602667.7</v>
      </c>
      <c r="AM24" s="702">
        <f>MAX(0,AM22-AM23)</f>
        <v>602667.7</v>
      </c>
      <c r="AN24" s="702">
        <f>MAX(0,AN22-AN23)</f>
        <v>602667.7</v>
      </c>
      <c r="AO24" s="702">
        <f>MAX(0,AO22-AO23)</f>
        <v>602667.7</v>
      </c>
      <c r="AP24" s="702">
        <f>MAX(0,AP22-AP23)</f>
        <v>602667.7</v>
      </c>
      <c r="AQ24" s="702">
        <f>MAX(0,AQ22-AQ23)</f>
        <v>602667.7</v>
      </c>
      <c r="AR24" s="702">
        <f>MAX(0,AR22-AR23)</f>
        <v>602667.7</v>
      </c>
      <c r="AS24" s="702">
        <f>MAX(0,AS22-AS23)</f>
        <v>602667.7</v>
      </c>
      <c r="AT24" s="702">
        <f>MAX(0,AT22-AT23)</f>
        <v>602667.7</v>
      </c>
      <c r="AU24" s="702">
        <f>MAX(0,AU22-AU23)</f>
        <v>602667.7</v>
      </c>
      <c r="AV24" s="702">
        <f>MAX(0,AV22-AV23)</f>
        <v>602667.7</v>
      </c>
      <c r="AW24" s="702">
        <f>MAX(0,AW22-AW23)</f>
        <v>602667.7</v>
      </c>
      <c r="AX24" s="702">
        <f>MAX(0,AX22-AX23)</f>
        <v>602667.7</v>
      </c>
      <c r="AY24" s="702">
        <f>MAX(0,AY22-AY23)</f>
        <v>602667.7</v>
      </c>
      <c r="AZ24" s="702">
        <f>MAX(0,AZ22-AZ23)</f>
        <v>602667.7</v>
      </c>
      <c r="BA24" s="702">
        <f>MAX(0,BA22-BA23)</f>
        <v>0</v>
      </c>
      <c r="BB24" s="702">
        <f>MAX(0,BB22-BB23)</f>
        <v>0</v>
      </c>
      <c r="BC24" s="702">
        <f>MAX(0,BC22-BC23)</f>
        <v>0</v>
      </c>
      <c r="BD24" s="702">
        <f>MAX(0,BD22-BD23)</f>
        <v>0</v>
      </c>
      <c r="BE24" s="702">
        <f>MAX(0,BE22-BE23)</f>
        <v>0</v>
      </c>
      <c r="BF24" s="702">
        <f>MAX(0,BF22-BF23)</f>
        <v>0</v>
      </c>
      <c r="BG24" s="702">
        <f>MAX(0,BG22-BG23)</f>
        <v>0</v>
      </c>
      <c r="BH24" s="702">
        <f>MAX(0,BH22-BH23)</f>
        <v>0</v>
      </c>
      <c r="BI24" s="702">
        <f>MAX(0,BI22-BI23)</f>
        <v>0</v>
      </c>
      <c r="BJ24" s="702">
        <f>MAX(0,BJ22-BJ23)</f>
        <v>0</v>
      </c>
      <c r="BK24" s="702">
        <f>MAX(0,BK22-BK23)</f>
        <v>0</v>
      </c>
      <c r="BL24" s="702">
        <f>MAX(0,BL22-BL23)</f>
        <v>0</v>
      </c>
      <c r="BM24" s="702">
        <f>MAX(0,BM22-BM23)</f>
        <v>0</v>
      </c>
      <c r="BN24" s="702">
        <f>MAX(0,BN22-BN23)</f>
        <v>0</v>
      </c>
      <c r="BO24" s="702">
        <f>MAX(0,BO22-BO23)</f>
        <v>0</v>
      </c>
      <c r="BP24" s="702">
        <f>MAX(0,BP22-BP23)</f>
        <v>0</v>
      </c>
      <c r="BQ24" s="702">
        <f>MAX(0,BQ22-BQ23)</f>
        <v>0</v>
      </c>
      <c r="BR24" s="702">
        <f>MAX(0,BR22-BR23)</f>
        <v>0</v>
      </c>
      <c r="BS24" s="702">
        <f>MAX(0,BS22-BS23)</f>
        <v>0</v>
      </c>
      <c r="BT24" s="702">
        <f>MAX(0,BT22-BT23)</f>
        <v>0</v>
      </c>
      <c r="BU24" s="702">
        <f>MAX(0,BU22-BU23)</f>
        <v>0</v>
      </c>
      <c r="BV24" s="702">
        <f>MAX(0,BV22-BV23)</f>
        <v>0</v>
      </c>
      <c r="BW24" s="702">
        <f>MAX(0,BW22-BW23)</f>
        <v>0</v>
      </c>
      <c r="BX24" s="702">
        <f>MAX(0,BX22-BX23)</f>
        <v>0</v>
      </c>
      <c r="BY24" s="702">
        <f>MAX(0,BY22-BY23)</f>
        <v>0</v>
      </c>
      <c r="BZ24" s="702">
        <f>MAX(0,BZ22-BZ23)</f>
        <v>0</v>
      </c>
      <c r="CA24" s="702">
        <f>MAX(0,CA22-CA23)</f>
        <v>0</v>
      </c>
      <c r="CB24" s="702">
        <f>MAX(0,CB22-CB23)</f>
        <v>0</v>
      </c>
      <c r="CC24" s="702">
        <f>MAX(0,CC22-CC23)</f>
        <v>0</v>
      </c>
      <c r="CD24" s="702">
        <f>MAX(0,CD22-CD23)</f>
        <v>0</v>
      </c>
      <c r="CE24" s="702">
        <f>MAX(0,CE22-CE23)</f>
        <v>0</v>
      </c>
      <c r="CF24" s="702">
        <f>MAX(0,CF22-CF23)</f>
        <v>0</v>
      </c>
      <c r="CG24" s="702">
        <f>MAX(0,CG22-CG23)</f>
        <v>0</v>
      </c>
      <c r="CH24" s="702">
        <f>MAX(0,CH22-CH23)</f>
        <v>0</v>
      </c>
      <c r="CI24" s="702">
        <f>MAX(0,CI22-CI23)</f>
        <v>0</v>
      </c>
      <c r="CJ24" s="702">
        <f>MAX(0,CJ22-CJ23)</f>
        <v>0</v>
      </c>
      <c r="CK24" s="702">
        <f>MAX(0,CK22-CK23)</f>
        <v>0</v>
      </c>
      <c r="CL24" s="702">
        <f>MAX(0,CL22-CL23)</f>
        <v>0</v>
      </c>
      <c r="CM24" s="702">
        <f>MAX(0,CM22-CM23)</f>
        <v>0</v>
      </c>
      <c r="CN24" s="702">
        <f>MAX(0,CN22-CN23)</f>
        <v>0</v>
      </c>
      <c r="CO24" s="702">
        <f>MAX(0,CO22-CO23)</f>
        <v>0</v>
      </c>
      <c r="CP24" s="702">
        <f>MAX(0,CP22-CP23)</f>
        <v>0</v>
      </c>
      <c r="CQ24" s="702">
        <f>MAX(0,CQ22-CQ23)</f>
        <v>0</v>
      </c>
    </row>
    <row r="25" ht="15" customFormat="1" customHeight="1" s="381">
      <c r="A25" s="381" t="inlineStr">
        <is>
          <t>3rd St Steyn</t>
        </is>
      </c>
      <c r="B25" s="381" t="inlineStr">
        <is>
          <t>Beg Balance</t>
        </is>
      </c>
      <c r="C25" s="705">
        <f>IF(Projects!$G$14="Yes",Projects!$B$14*Assumptions!$B$47+Assumptions!$B$55*Assumptions!$B$48,0)</f>
        <v>563546.32</v>
      </c>
      <c r="D25" s="381">
        <f>C27</f>
        <v>563546.32</v>
      </c>
      <c r="E25" s="381">
        <f>D27</f>
        <v>563546.32</v>
      </c>
      <c r="F25" s="381">
        <f>E27</f>
        <v>563546.32</v>
      </c>
      <c r="G25" s="381">
        <f>F27</f>
        <v>563546.32</v>
      </c>
      <c r="H25" s="381">
        <f>G27</f>
        <v>563546.32</v>
      </c>
      <c r="I25" s="381">
        <f>H27</f>
        <v>563546.32</v>
      </c>
      <c r="J25" s="381">
        <f>I27</f>
        <v>563546.32</v>
      </c>
      <c r="K25" s="381">
        <f>J27</f>
        <v>563546.32</v>
      </c>
      <c r="L25" s="381">
        <f>K27</f>
        <v>563546.32</v>
      </c>
      <c r="M25" s="381">
        <f>L27</f>
        <v>563546.32</v>
      </c>
      <c r="N25" s="381">
        <f>M27</f>
        <v>563546.32</v>
      </c>
      <c r="O25" s="381">
        <f>N27</f>
        <v>563546.32</v>
      </c>
      <c r="P25" s="381">
        <f>O27</f>
        <v>563546.32</v>
      </c>
      <c r="Q25" s="381">
        <f>P27</f>
        <v>563546.32</v>
      </c>
      <c r="R25" s="381">
        <f>Q27</f>
        <v>563546.32</v>
      </c>
      <c r="S25" s="381">
        <f>R27</f>
        <v>563546.32</v>
      </c>
      <c r="T25" s="381">
        <f>S27</f>
        <v>563546.32</v>
      </c>
      <c r="U25" s="381">
        <f>T27</f>
        <v>563546.32</v>
      </c>
      <c r="V25" s="381">
        <f>U27</f>
        <v>563546.32</v>
      </c>
      <c r="W25" s="381">
        <f>V27</f>
        <v>563546.32</v>
      </c>
      <c r="X25" s="381">
        <f>W27</f>
        <v>563546.32</v>
      </c>
      <c r="Y25" s="381">
        <f>X27</f>
        <v>563546.32</v>
      </c>
      <c r="Z25" s="381">
        <f>Y27</f>
        <v>563546.32</v>
      </c>
      <c r="AA25" s="381">
        <f>Z27</f>
        <v>563546.32</v>
      </c>
      <c r="AB25" s="381">
        <f>AA27</f>
        <v>563546.32</v>
      </c>
      <c r="AC25" s="381">
        <f>AB27</f>
        <v>563546.32</v>
      </c>
      <c r="AD25" s="381">
        <f>AC27</f>
        <v>563546.32</v>
      </c>
      <c r="AE25" s="381">
        <f>AD27</f>
        <v>563546.32</v>
      </c>
      <c r="AF25" s="381">
        <f>AE27</f>
        <v>563546.32</v>
      </c>
      <c r="AG25" s="381">
        <f>AF27</f>
        <v>563546.32</v>
      </c>
      <c r="AH25" s="381">
        <f>AG27</f>
        <v>563546.32</v>
      </c>
      <c r="AI25" s="381">
        <f>AH27</f>
        <v>563546.32</v>
      </c>
      <c r="AJ25" s="381">
        <f>AI27</f>
        <v>563546.32</v>
      </c>
      <c r="AK25" s="381">
        <f>AJ27</f>
        <v>563546.32</v>
      </c>
      <c r="AL25" s="381">
        <f>AK27</f>
        <v>563546.32</v>
      </c>
      <c r="AM25" s="381">
        <f>AL27</f>
        <v>563546.32</v>
      </c>
      <c r="AN25" s="381">
        <f>AM27</f>
        <v>563546.32</v>
      </c>
      <c r="AO25" s="381">
        <f>AN27</f>
        <v>563546.32</v>
      </c>
      <c r="AP25" s="381">
        <f>AO27</f>
        <v>563546.32</v>
      </c>
      <c r="AQ25" s="381">
        <f>AP27</f>
        <v>563546.32</v>
      </c>
      <c r="AR25" s="381">
        <f>AQ27</f>
        <v>563546.32</v>
      </c>
      <c r="AS25" s="381">
        <f>AR27</f>
        <v>563546.32</v>
      </c>
      <c r="AT25" s="381">
        <f>AS27</f>
        <v>563546.32</v>
      </c>
      <c r="AU25" s="381">
        <f>AT27</f>
        <v>563546.32</v>
      </c>
      <c r="AV25" s="381">
        <f>AU27</f>
        <v>563546.32</v>
      </c>
      <c r="AW25" s="381">
        <f>AV27</f>
        <v>563546.32</v>
      </c>
      <c r="AX25" s="381">
        <f>AW27</f>
        <v>563546.32</v>
      </c>
      <c r="AY25" s="381">
        <f>AX27</f>
        <v>563546.32</v>
      </c>
      <c r="AZ25" s="381">
        <f>AY27</f>
        <v>563546.32</v>
      </c>
      <c r="BA25" s="381">
        <f>AZ27</f>
        <v>563546.32</v>
      </c>
      <c r="BB25" s="381">
        <f>BA27</f>
        <v>563546.32</v>
      </c>
      <c r="BC25" s="381">
        <f>BB27</f>
        <v>563546.32</v>
      </c>
      <c r="BD25" s="381">
        <f>BC27</f>
        <v>563546.32</v>
      </c>
      <c r="BE25" s="381">
        <f>BD27</f>
        <v>563546.32</v>
      </c>
      <c r="BF25" s="381">
        <f>BE27</f>
        <v>563546.32</v>
      </c>
      <c r="BG25" s="381">
        <f>BF27</f>
        <v>563546.32</v>
      </c>
      <c r="BH25" s="381">
        <f>BG27</f>
        <v>563546.32</v>
      </c>
      <c r="BI25" s="381">
        <f>BH27</f>
        <v>563546.32</v>
      </c>
      <c r="BJ25" s="381">
        <f>BI27</f>
        <v>563546.32</v>
      </c>
      <c r="BK25" s="381">
        <f>BJ27</f>
        <v>563546.32</v>
      </c>
      <c r="BL25" s="381">
        <f>BK27</f>
        <v>563546.32</v>
      </c>
      <c r="BM25" s="381">
        <f>BL27</f>
        <v>563546.32</v>
      </c>
      <c r="BN25" s="381">
        <f>BM27</f>
        <v>563546.32</v>
      </c>
      <c r="BO25" s="381">
        <f>BN27</f>
        <v>563546.32</v>
      </c>
      <c r="BP25" s="381">
        <f>BO27</f>
        <v>563546.32</v>
      </c>
      <c r="BQ25" s="381">
        <f>BP27</f>
        <v>563546.32</v>
      </c>
      <c r="BR25" s="381">
        <f>BQ27</f>
        <v>563546.32</v>
      </c>
      <c r="BS25" s="381">
        <f>BR27</f>
        <v>563546.32</v>
      </c>
      <c r="BT25" s="381">
        <f>BS27</f>
        <v>563546.32</v>
      </c>
      <c r="BU25" s="381">
        <f>BT27</f>
        <v>563546.32</v>
      </c>
      <c r="BV25" s="381">
        <f>BU27</f>
        <v>563546.32</v>
      </c>
      <c r="BW25" s="381">
        <f>BV27</f>
        <v>563546.32</v>
      </c>
      <c r="BX25" s="381">
        <f>BW27</f>
        <v>563546.32</v>
      </c>
      <c r="BY25" s="381">
        <f>BX27</f>
        <v>563546.32</v>
      </c>
      <c r="BZ25" s="381">
        <f>BY27</f>
        <v>490390.32</v>
      </c>
      <c r="CA25" s="381">
        <f>BZ27</f>
        <v>490390.32</v>
      </c>
      <c r="CB25" s="381">
        <f>CA27</f>
        <v>490390.32</v>
      </c>
      <c r="CC25" s="381">
        <f>CB27</f>
        <v>417235.32</v>
      </c>
      <c r="CD25" s="381">
        <f>CC27</f>
        <v>417235.32</v>
      </c>
      <c r="CE25" s="381">
        <f>CD27</f>
        <v>417235.32</v>
      </c>
      <c r="CF25" s="381">
        <f>CE27</f>
        <v>344080.32</v>
      </c>
      <c r="CG25" s="381">
        <f>CF27</f>
        <v>344080.32</v>
      </c>
      <c r="CH25" s="381">
        <f>CG27</f>
        <v>344080.32</v>
      </c>
      <c r="CI25" s="381">
        <f>CH27</f>
        <v>270925.32</v>
      </c>
      <c r="CJ25" s="381">
        <f>CI27</f>
        <v>197770.32</v>
      </c>
      <c r="CK25" s="381">
        <f>CJ27</f>
        <v>124615.32</v>
      </c>
      <c r="CL25" s="381">
        <f>CK27</f>
        <v>51460.3200000001</v>
      </c>
      <c r="CM25" s="381">
        <f>CL27</f>
        <v>0</v>
      </c>
      <c r="CN25" s="381">
        <f>CM27</f>
        <v>0</v>
      </c>
      <c r="CO25" s="381">
        <f>CN27</f>
        <v>0</v>
      </c>
      <c r="CP25" s="381">
        <f>CO27</f>
        <v>0</v>
      </c>
      <c r="CQ25" s="381">
        <f>CP27</f>
        <v>0</v>
      </c>
    </row>
    <row r="26" ht="15" customFormat="1" customHeight="1" s="381">
      <c r="B26" s="381" t="inlineStr">
        <is>
          <t>Payment</t>
        </is>
      </c>
      <c r="C26" s="705">
        <f>MIN(C25,Model!E164)</f>
        <v>0</v>
      </c>
      <c r="D26" s="381">
        <f>MIN(D25,Model!F164)</f>
        <v>0</v>
      </c>
      <c r="E26" s="381">
        <f>MIN(E25,Model!G164)</f>
        <v>0</v>
      </c>
      <c r="F26" s="381">
        <f>MIN(F25,Model!H164)</f>
        <v>0</v>
      </c>
      <c r="G26" s="381">
        <f>MIN(G25,Model!I164)</f>
        <v>0</v>
      </c>
      <c r="H26" s="381">
        <f>MIN(H25,Model!J164)</f>
        <v>0</v>
      </c>
      <c r="I26" s="381">
        <f>MIN(I25,Model!K164)</f>
        <v>0</v>
      </c>
      <c r="J26" s="381">
        <f>MIN(J25,Model!L164)</f>
        <v>0</v>
      </c>
      <c r="K26" s="381">
        <f>MIN(K25,Model!M164)</f>
        <v>0</v>
      </c>
      <c r="L26" s="381">
        <f>MIN(L25,Model!N164)</f>
        <v>0</v>
      </c>
      <c r="M26" s="381">
        <f>MIN(M25,Model!O164)</f>
        <v>0</v>
      </c>
      <c r="N26" s="381">
        <f>MIN(N25,Model!P164)</f>
        <v>0</v>
      </c>
      <c r="O26" s="381">
        <f>MIN(O25,Model!Q164)</f>
        <v>0</v>
      </c>
      <c r="P26" s="381">
        <f>MIN(P25,Model!R164)</f>
        <v>0</v>
      </c>
      <c r="Q26" s="381">
        <f>MIN(Q25,Model!S164)</f>
        <v>0</v>
      </c>
      <c r="R26" s="381">
        <f>MIN(R25,Model!T164)</f>
        <v>0</v>
      </c>
      <c r="S26" s="381">
        <f>MIN(S25,Model!U164)</f>
        <v>0</v>
      </c>
      <c r="T26" s="381">
        <f>MIN(T25,Model!V164)</f>
        <v>0</v>
      </c>
      <c r="U26" s="381">
        <f>MIN(U25,Model!W164)</f>
        <v>0</v>
      </c>
      <c r="V26" s="381">
        <f>MIN(V25,Model!X164)</f>
        <v>0</v>
      </c>
      <c r="W26" s="381">
        <f>MIN(W25,Model!Y164)</f>
        <v>0</v>
      </c>
      <c r="X26" s="381">
        <f>MIN(X25,Model!Z164)</f>
        <v>0</v>
      </c>
      <c r="Y26" s="381">
        <f>MIN(Y25,Model!AA164)</f>
        <v>0</v>
      </c>
      <c r="Z26" s="381">
        <f>MIN(Z25,Model!AB164)</f>
        <v>0</v>
      </c>
      <c r="AA26" s="381">
        <f>MIN(AA25,Model!AC164)</f>
        <v>0</v>
      </c>
      <c r="AB26" s="381">
        <f>MIN(AB25,Model!AD164)</f>
        <v>0</v>
      </c>
      <c r="AC26" s="381">
        <f>MIN(AC25,Model!AE164)</f>
        <v>0</v>
      </c>
      <c r="AD26" s="381">
        <f>MIN(AD25,Model!AF164)</f>
        <v>0</v>
      </c>
      <c r="AE26" s="381">
        <f>MIN(AE25,Model!AG164)</f>
        <v>0</v>
      </c>
      <c r="AF26" s="381">
        <f>MIN(AF25,Model!AH164)</f>
        <v>0</v>
      </c>
      <c r="AG26" s="381">
        <f>MIN(AG25,Model!AI164)</f>
        <v>0</v>
      </c>
      <c r="AH26" s="381">
        <f>MIN(AH25,Model!AJ164)</f>
        <v>0</v>
      </c>
      <c r="AI26" s="381">
        <f>MIN(AI25,Model!AK164)</f>
        <v>0</v>
      </c>
      <c r="AJ26" s="381">
        <f>MIN(AJ25,Model!AL164)</f>
        <v>0</v>
      </c>
      <c r="AK26" s="381">
        <f>MIN(AK25,Model!AM164)</f>
        <v>0</v>
      </c>
      <c r="AL26" s="381">
        <f>MIN(AL25,Model!AN164)</f>
        <v>0</v>
      </c>
      <c r="AM26" s="381">
        <f>MIN(AM25,Model!AO164)</f>
        <v>0</v>
      </c>
      <c r="AN26" s="381">
        <f>MIN(AN25,Model!AP164)</f>
        <v>0</v>
      </c>
      <c r="AO26" s="381">
        <f>MIN(AO25,Model!AQ164)</f>
        <v>0</v>
      </c>
      <c r="AP26" s="381">
        <f>MIN(AP25,Model!AR164)</f>
        <v>0</v>
      </c>
      <c r="AQ26" s="381">
        <f>MIN(AQ25,Model!AS164)</f>
        <v>0</v>
      </c>
      <c r="AR26" s="381">
        <f>MIN(AR25,Model!AT164)</f>
        <v>0</v>
      </c>
      <c r="AS26" s="381">
        <f>MIN(AS25,Model!AU164)</f>
        <v>0</v>
      </c>
      <c r="AT26" s="381">
        <f>MIN(AT25,Model!AV164)</f>
        <v>0</v>
      </c>
      <c r="AU26" s="381">
        <f>MIN(AU25,Model!AW164)</f>
        <v>0</v>
      </c>
      <c r="AV26" s="381">
        <f>MIN(AV25,Model!AX164)</f>
        <v>0</v>
      </c>
      <c r="AW26" s="381">
        <f>MIN(AW25,Model!AY164)</f>
        <v>0</v>
      </c>
      <c r="AX26" s="381">
        <f>MIN(AX25,Model!AZ164)</f>
        <v>0</v>
      </c>
      <c r="AY26" s="381">
        <f>MIN(AY25,Model!BA164)</f>
        <v>0</v>
      </c>
      <c r="AZ26" s="381">
        <f>MIN(AZ25,Model!BB164)</f>
        <v>0</v>
      </c>
      <c r="BA26" s="381">
        <f>MIN(BA25,Model!BC164)</f>
        <v>0</v>
      </c>
      <c r="BB26" s="381">
        <f>MIN(BB25,Model!BD164)</f>
        <v>0</v>
      </c>
      <c r="BC26" s="381">
        <f>MIN(BC25,Model!BE164)</f>
        <v>0</v>
      </c>
      <c r="BD26" s="381">
        <f>MIN(BD25,Model!BF164)</f>
        <v>0</v>
      </c>
      <c r="BE26" s="381">
        <f>MIN(BE25,Model!BG164)</f>
        <v>0</v>
      </c>
      <c r="BF26" s="381">
        <f>MIN(BF25,Model!BH164)</f>
        <v>0</v>
      </c>
      <c r="BG26" s="381">
        <f>MIN(BG25,Model!BI164)</f>
        <v>0</v>
      </c>
      <c r="BH26" s="381">
        <f>MIN(BH25,Model!BJ164)</f>
        <v>0</v>
      </c>
      <c r="BI26" s="381">
        <f>MIN(BI25,Model!BK164)</f>
        <v>0</v>
      </c>
      <c r="BJ26" s="381">
        <f>MIN(BJ25,Model!BL164)</f>
        <v>0</v>
      </c>
      <c r="BK26" s="381">
        <f>MIN(BK25,Model!BM164)</f>
        <v>0</v>
      </c>
      <c r="BL26" s="381">
        <f>MIN(BL25,Model!BN164)</f>
        <v>0</v>
      </c>
      <c r="BM26" s="381">
        <f>MIN(BM25,Model!BO164)</f>
        <v>0</v>
      </c>
      <c r="BN26" s="381">
        <f>MIN(BN25,Model!BP164)</f>
        <v>0</v>
      </c>
      <c r="BO26" s="381">
        <f>MIN(BO25,Model!BQ164)</f>
        <v>0</v>
      </c>
      <c r="BP26" s="381">
        <f>MIN(BP25,Model!BR164)</f>
        <v>0</v>
      </c>
      <c r="BQ26" s="381">
        <f>MIN(BQ25,Model!BS164)</f>
        <v>0</v>
      </c>
      <c r="BR26" s="381">
        <f>MIN(BR25,Model!BT164)</f>
        <v>0</v>
      </c>
      <c r="BS26" s="381">
        <f>MIN(BS25,Model!BU164)</f>
        <v>0</v>
      </c>
      <c r="BT26" s="381">
        <f>MIN(BT25,Model!BV164)</f>
        <v>0</v>
      </c>
      <c r="BU26" s="381">
        <f>MIN(BU25,Model!BW164)</f>
        <v>0</v>
      </c>
      <c r="BV26" s="381">
        <f>MIN(BV25,Model!BX164)</f>
        <v>0</v>
      </c>
      <c r="BW26" s="381">
        <f>MIN(BW25,Model!BY164)</f>
        <v>0</v>
      </c>
      <c r="BX26" s="381">
        <f>MIN(BX25,Model!BZ164)</f>
        <v>0</v>
      </c>
      <c r="BY26" s="381">
        <f>MIN(BY25,Model!CA164)</f>
        <v>73156</v>
      </c>
      <c r="BZ26" s="381">
        <f>MIN(BZ25,Model!CB164)</f>
        <v>0</v>
      </c>
      <c r="CA26" s="381">
        <f>MIN(CA25,Model!CC164)</f>
        <v>0</v>
      </c>
      <c r="CB26" s="381">
        <f>MIN(CB25,Model!CD164)</f>
        <v>73155</v>
      </c>
      <c r="CC26" s="381">
        <f>MIN(CC25,Model!CE164)</f>
        <v>0</v>
      </c>
      <c r="CD26" s="381">
        <f>MIN(CD25,Model!CF164)</f>
        <v>0</v>
      </c>
      <c r="CE26" s="381">
        <f>MIN(CE25,Model!CG164)</f>
        <v>73155</v>
      </c>
      <c r="CF26" s="381">
        <f>MIN(CF25,Model!CH164)</f>
        <v>0</v>
      </c>
      <c r="CG26" s="381">
        <f>MIN(CG25,Model!CI164)</f>
        <v>0</v>
      </c>
      <c r="CH26" s="381">
        <f>MIN(CH25,Model!CJ164)</f>
        <v>73155</v>
      </c>
      <c r="CI26" s="381">
        <f>MIN(CI25,Model!CK164)</f>
        <v>73155</v>
      </c>
      <c r="CJ26" s="381">
        <f>MIN(CJ25,Model!CL164)</f>
        <v>73155</v>
      </c>
      <c r="CK26" s="381">
        <f>MIN(CK25,Model!CM164)</f>
        <v>73155</v>
      </c>
      <c r="CL26" s="381">
        <f>MIN(CL25,Model!CN164)</f>
        <v>51460.3200000001</v>
      </c>
      <c r="CM26" s="381">
        <f>MIN(CM25,Model!CO164)</f>
        <v>0</v>
      </c>
      <c r="CN26" s="381">
        <f>MIN(CN25,Model!CP164)</f>
        <v>0</v>
      </c>
      <c r="CO26" s="381">
        <f>MIN(CO25,Model!CQ164)</f>
        <v>0</v>
      </c>
      <c r="CP26" s="381">
        <f>MIN(CP25,Model!CR164)</f>
        <v>0</v>
      </c>
      <c r="CQ26" s="381">
        <f>MIN(CQ25,Model!CS164)</f>
        <v>0</v>
      </c>
    </row>
    <row r="27" ht="15" customFormat="1" customHeight="1" s="381">
      <c r="B27" s="381" t="inlineStr">
        <is>
          <t>End Balance</t>
        </is>
      </c>
      <c r="C27" s="381">
        <f>MAX(0,C25-C26)</f>
        <v>563546.32</v>
      </c>
      <c r="D27" s="381">
        <f>MAX(0,D25-D26)</f>
        <v>563546.32</v>
      </c>
      <c r="E27" s="381">
        <f>MAX(0,E25-E26)</f>
        <v>563546.32</v>
      </c>
      <c r="F27" s="381">
        <f>MAX(0,F25-F26)</f>
        <v>563546.32</v>
      </c>
      <c r="G27" s="381">
        <f>MAX(0,G25-G26)</f>
        <v>563546.32</v>
      </c>
      <c r="H27" s="381">
        <f>MAX(0,H25-H26)</f>
        <v>563546.32</v>
      </c>
      <c r="I27" s="381">
        <f>MAX(0,I25-I26)</f>
        <v>563546.32</v>
      </c>
      <c r="J27" s="381">
        <f>MAX(0,J25-J26)</f>
        <v>563546.32</v>
      </c>
      <c r="K27" s="381">
        <f>MAX(0,K25-K26)</f>
        <v>563546.32</v>
      </c>
      <c r="L27" s="381">
        <f>MAX(0,L25-L26)</f>
        <v>563546.32</v>
      </c>
      <c r="M27" s="381">
        <f>MAX(0,M25-M26)</f>
        <v>563546.32</v>
      </c>
      <c r="N27" s="381">
        <f>MAX(0,N25-N26)</f>
        <v>563546.32</v>
      </c>
      <c r="O27" s="381">
        <f>MAX(0,O25-O26)</f>
        <v>563546.32</v>
      </c>
      <c r="P27" s="381">
        <f>MAX(0,P25-P26)</f>
        <v>563546.32</v>
      </c>
      <c r="Q27" s="381">
        <f>MAX(0,Q25-Q26)</f>
        <v>563546.32</v>
      </c>
      <c r="R27" s="381">
        <f>MAX(0,R25-R26)</f>
        <v>563546.32</v>
      </c>
      <c r="S27" s="381">
        <f>MAX(0,S25-S26)</f>
        <v>563546.32</v>
      </c>
      <c r="T27" s="381">
        <f>MAX(0,T25-T26)</f>
        <v>563546.32</v>
      </c>
      <c r="U27" s="381">
        <f>MAX(0,U25-U26)</f>
        <v>563546.32</v>
      </c>
      <c r="V27" s="381">
        <f>MAX(0,V25-V26)</f>
        <v>563546.32</v>
      </c>
      <c r="W27" s="381">
        <f>MAX(0,W25-W26)</f>
        <v>563546.32</v>
      </c>
      <c r="X27" s="381">
        <f>MAX(0,X25-X26)</f>
        <v>563546.32</v>
      </c>
      <c r="Y27" s="381">
        <f>MAX(0,Y25-Y26)</f>
        <v>563546.32</v>
      </c>
      <c r="Z27" s="381">
        <f>MAX(0,Z25-Z26)</f>
        <v>563546.32</v>
      </c>
      <c r="AA27" s="381">
        <f>MAX(0,AA25-AA26)</f>
        <v>563546.32</v>
      </c>
      <c r="AB27" s="381">
        <f>MAX(0,AB25-AB26)</f>
        <v>563546.32</v>
      </c>
      <c r="AC27" s="381">
        <f>MAX(0,AC25-AC26)</f>
        <v>563546.32</v>
      </c>
      <c r="AD27" s="381">
        <f>MAX(0,AD25-AD26)</f>
        <v>563546.32</v>
      </c>
      <c r="AE27" s="381">
        <f>MAX(0,AE25-AE26)</f>
        <v>563546.32</v>
      </c>
      <c r="AF27" s="381">
        <f>MAX(0,AF25-AF26)</f>
        <v>563546.32</v>
      </c>
      <c r="AG27" s="381">
        <f>MAX(0,AG25-AG26)</f>
        <v>563546.32</v>
      </c>
      <c r="AH27" s="381">
        <f>MAX(0,AH25-AH26)</f>
        <v>563546.32</v>
      </c>
      <c r="AI27" s="381">
        <f>MAX(0,AI25-AI26)</f>
        <v>563546.32</v>
      </c>
      <c r="AJ27" s="381">
        <f>MAX(0,AJ25-AJ26)</f>
        <v>563546.32</v>
      </c>
      <c r="AK27" s="381">
        <f>MAX(0,AK25-AK26)</f>
        <v>563546.32</v>
      </c>
      <c r="AL27" s="381">
        <f>MAX(0,AL25-AL26)</f>
        <v>563546.32</v>
      </c>
      <c r="AM27" s="381">
        <f>MAX(0,AM25-AM26)</f>
        <v>563546.32</v>
      </c>
      <c r="AN27" s="381">
        <f>MAX(0,AN25-AN26)</f>
        <v>563546.32</v>
      </c>
      <c r="AO27" s="381">
        <f>MAX(0,AO25-AO26)</f>
        <v>563546.32</v>
      </c>
      <c r="AP27" s="381">
        <f>MAX(0,AP25-AP26)</f>
        <v>563546.32</v>
      </c>
      <c r="AQ27" s="381">
        <f>MAX(0,AQ25-AQ26)</f>
        <v>563546.32</v>
      </c>
      <c r="AR27" s="381">
        <f>MAX(0,AR25-AR26)</f>
        <v>563546.32</v>
      </c>
      <c r="AS27" s="381">
        <f>MAX(0,AS25-AS26)</f>
        <v>563546.32</v>
      </c>
      <c r="AT27" s="381">
        <f>MAX(0,AT25-AT26)</f>
        <v>563546.32</v>
      </c>
      <c r="AU27" s="381">
        <f>MAX(0,AU25-AU26)</f>
        <v>563546.32</v>
      </c>
      <c r="AV27" s="381">
        <f>MAX(0,AV25-AV26)</f>
        <v>563546.32</v>
      </c>
      <c r="AW27" s="381">
        <f>MAX(0,AW25-AW26)</f>
        <v>563546.32</v>
      </c>
      <c r="AX27" s="381">
        <f>MAX(0,AX25-AX26)</f>
        <v>563546.32</v>
      </c>
      <c r="AY27" s="381">
        <f>MAX(0,AY25-AY26)</f>
        <v>563546.32</v>
      </c>
      <c r="AZ27" s="381">
        <f>MAX(0,AZ25-AZ26)</f>
        <v>563546.32</v>
      </c>
      <c r="BA27" s="381">
        <f>MAX(0,BA25-BA26)</f>
        <v>563546.32</v>
      </c>
      <c r="BB27" s="381">
        <f>MAX(0,BB25-BB26)</f>
        <v>563546.32</v>
      </c>
      <c r="BC27" s="381">
        <f>MAX(0,BC25-BC26)</f>
        <v>563546.32</v>
      </c>
      <c r="BD27" s="381">
        <f>MAX(0,BD25-BD26)</f>
        <v>563546.32</v>
      </c>
      <c r="BE27" s="381">
        <f>MAX(0,BE25-BE26)</f>
        <v>563546.32</v>
      </c>
      <c r="BF27" s="381">
        <f>MAX(0,BF25-BF26)</f>
        <v>563546.32</v>
      </c>
      <c r="BG27" s="381">
        <f>MAX(0,BG25-BG26)</f>
        <v>563546.32</v>
      </c>
      <c r="BH27" s="381">
        <f>MAX(0,BH25-BH26)</f>
        <v>563546.32</v>
      </c>
      <c r="BI27" s="381">
        <f>MAX(0,BI25-BI26)</f>
        <v>563546.32</v>
      </c>
      <c r="BJ27" s="381">
        <f>MAX(0,BJ25-BJ26)</f>
        <v>563546.32</v>
      </c>
      <c r="BK27" s="381">
        <f>MAX(0,BK25-BK26)</f>
        <v>563546.32</v>
      </c>
      <c r="BL27" s="381">
        <f>MAX(0,BL25-BL26)</f>
        <v>563546.32</v>
      </c>
      <c r="BM27" s="381">
        <f>MAX(0,BM25-BM26)</f>
        <v>563546.32</v>
      </c>
      <c r="BN27" s="381">
        <f>MAX(0,BN25-BN26)</f>
        <v>563546.32</v>
      </c>
      <c r="BO27" s="381">
        <f>MAX(0,BO25-BO26)</f>
        <v>563546.32</v>
      </c>
      <c r="BP27" s="381">
        <f>MAX(0,BP25-BP26)</f>
        <v>563546.32</v>
      </c>
      <c r="BQ27" s="381">
        <f>MAX(0,BQ25-BQ26)</f>
        <v>563546.32</v>
      </c>
      <c r="BR27" s="381">
        <f>MAX(0,BR25-BR26)</f>
        <v>563546.32</v>
      </c>
      <c r="BS27" s="381">
        <f>MAX(0,BS25-BS26)</f>
        <v>563546.32</v>
      </c>
      <c r="BT27" s="381">
        <f>MAX(0,BT25-BT26)</f>
        <v>563546.32</v>
      </c>
      <c r="BU27" s="381">
        <f>MAX(0,BU25-BU26)</f>
        <v>563546.32</v>
      </c>
      <c r="BV27" s="381">
        <f>MAX(0,BV25-BV26)</f>
        <v>563546.32</v>
      </c>
      <c r="BW27" s="381">
        <f>MAX(0,BW25-BW26)</f>
        <v>563546.32</v>
      </c>
      <c r="BX27" s="381">
        <f>MAX(0,BX25-BX26)</f>
        <v>563546.32</v>
      </c>
      <c r="BY27" s="381">
        <f>MAX(0,BY25-BY26)</f>
        <v>490390.32</v>
      </c>
      <c r="BZ27" s="381">
        <f>MAX(0,BZ25-BZ26)</f>
        <v>490390.32</v>
      </c>
      <c r="CA27" s="381">
        <f>MAX(0,CA25-CA26)</f>
        <v>490390.32</v>
      </c>
      <c r="CB27" s="381">
        <f>MAX(0,CB25-CB26)</f>
        <v>417235.32</v>
      </c>
      <c r="CC27" s="381">
        <f>MAX(0,CC25-CC26)</f>
        <v>417235.32</v>
      </c>
      <c r="CD27" s="381">
        <f>MAX(0,CD25-CD26)</f>
        <v>417235.32</v>
      </c>
      <c r="CE27" s="381">
        <f>MAX(0,CE25-CE26)</f>
        <v>344080.32</v>
      </c>
      <c r="CF27" s="381">
        <f>MAX(0,CF25-CF26)</f>
        <v>344080.32</v>
      </c>
      <c r="CG27" s="381">
        <f>MAX(0,CG25-CG26)</f>
        <v>344080.32</v>
      </c>
      <c r="CH27" s="381">
        <f>MAX(0,CH25-CH26)</f>
        <v>270925.32</v>
      </c>
      <c r="CI27" s="381">
        <f>MAX(0,CI25-CI26)</f>
        <v>197770.32</v>
      </c>
      <c r="CJ27" s="381">
        <f>MAX(0,CJ25-CJ26)</f>
        <v>124615.32</v>
      </c>
      <c r="CK27" s="381">
        <f>MAX(0,CK25-CK26)</f>
        <v>51460.3200000001</v>
      </c>
      <c r="CL27" s="381">
        <f>MAX(0,CL25-CL26)</f>
        <v>0</v>
      </c>
      <c r="CM27" s="381">
        <f>MAX(0,CM25-CM26)</f>
        <v>0</v>
      </c>
      <c r="CN27" s="381">
        <f>MAX(0,CN25-CN26)</f>
        <v>0</v>
      </c>
      <c r="CO27" s="381">
        <f>MAX(0,CO25-CO26)</f>
        <v>0</v>
      </c>
      <c r="CP27" s="381">
        <f>MAX(0,CP25-CP26)</f>
        <v>0</v>
      </c>
      <c r="CQ27" s="381">
        <f>MAX(0,CQ25-CQ26)</f>
        <v>0</v>
      </c>
    </row>
    <row r="30" ht="15" customFormat="1" customHeight="1" s="381">
      <c r="A30" s="689" t="inlineStr">
        <is>
          <t>POST-MODEL LIHTC PROJECTIONS (10-Year Credit = 40 Quarters)</t>
        </is>
      </c>
      <c r="B30" s="689" t="n"/>
      <c r="C30" s="689" t="n"/>
      <c r="D30" s="689" t="n"/>
      <c r="E30" s="689" t="n"/>
      <c r="F30" s="689" t="n"/>
      <c r="G30" s="689" t="n"/>
      <c r="H30" s="689" t="n"/>
      <c r="I30" s="689" t="n"/>
    </row>
    <row r="31" ht="15" customFormat="1" customHeight="1" s="381">
      <c r="A31" s="706" t="inlineStr">
        <is>
          <t>Last Quarterly LIHTC Rate</t>
        </is>
      </c>
    </row>
    <row r="32" ht="15" customFormat="1" customHeight="1" s="381">
      <c r="A32" s="707" t="inlineStr">
        <is>
          <t>Francis</t>
        </is>
      </c>
      <c r="B32" s="617">
        <f>LOOKUP(2,1/(Model!E162:CG162&gt;0),Model!E162:CG162)</f>
        <v>76499</v>
      </c>
    </row>
    <row r="33" ht="15" customFormat="1" customHeight="1" s="381">
      <c r="A33" s="707" t="inlineStr">
        <is>
          <t>3rd St</t>
        </is>
      </c>
      <c r="B33" s="617">
        <f>LOOKUP(2,1/(Model!E164:CG164&gt;0),Model!E164:CG164)</f>
        <v>73155</v>
      </c>
    </row>
    <row r="34" ht="15" customFormat="1" customHeight="1" s="381">
      <c r="A34" s="707" t="inlineStr">
        <is>
          <t>Reseda</t>
        </is>
      </c>
      <c r="B34" s="617">
        <f>LOOKUP(2,1/(Model!E163:CG163&gt;0),Model!E163:CG163)</f>
        <v>81362</v>
      </c>
    </row>
    <row r="36" ht="15" customFormat="1" customHeight="1" s="381">
      <c r="A36" s="706" t="inlineStr">
        <is>
          <t>In-Model Quarterly Payments</t>
        </is>
      </c>
    </row>
    <row r="37" ht="15" customFormat="1" customHeight="1" s="381">
      <c r="A37" s="707" t="inlineStr">
        <is>
          <t>Francis</t>
        </is>
      </c>
      <c r="B37" s="472">
        <f>SUMPRODUCT((Model!E162:CG162&gt;0)*1)</f>
        <v>14</v>
      </c>
    </row>
    <row r="38" ht="15" customFormat="1" customHeight="1" s="381">
      <c r="A38" s="707" t="inlineStr">
        <is>
          <t>3rd St</t>
        </is>
      </c>
      <c r="B38" s="472">
        <f>SUMPRODUCT((Model!E164:CG164&gt;0)*1)</f>
        <v>3</v>
      </c>
    </row>
    <row r="39" ht="15" customFormat="1" customHeight="1" s="381">
      <c r="A39" s="707" t="inlineStr">
        <is>
          <t>Reseda</t>
        </is>
      </c>
      <c r="B39" s="472">
        <f>SUMPRODUCT((Model!E163:CG163&gt;0)*1)</f>
        <v>11</v>
      </c>
    </row>
    <row r="41" ht="15" customFormat="1" customHeight="1" s="381">
      <c r="A41" s="706" t="inlineStr">
        <is>
          <t>Remaining Quarters (Post-Model)</t>
        </is>
      </c>
    </row>
    <row r="42" ht="15" customFormat="1" customHeight="1" s="381">
      <c r="A42" s="707" t="inlineStr">
        <is>
          <t>Francis</t>
        </is>
      </c>
      <c r="B42" s="472">
        <f>40-B37</f>
        <v>26</v>
      </c>
    </row>
    <row r="43" ht="15" customFormat="1" customHeight="1" s="381">
      <c r="A43" s="707" t="inlineStr">
        <is>
          <t>3rd St</t>
        </is>
      </c>
      <c r="B43" s="472">
        <f>40-B38</f>
        <v>37</v>
      </c>
    </row>
    <row r="44" ht="15" customFormat="1" customHeight="1" s="381">
      <c r="A44" s="707" t="inlineStr">
        <is>
          <t>Reseda</t>
        </is>
      </c>
      <c r="B44" s="472">
        <f>40-B39</f>
        <v>29</v>
      </c>
    </row>
    <row r="46" ht="15" customFormat="1" customHeight="1" s="381">
      <c r="A46" s="706" t="inlineStr">
        <is>
          <t>Post-Model Total LIHTC Revenue</t>
        </is>
      </c>
    </row>
    <row r="47" ht="15" customFormat="1" customHeight="1" s="381">
      <c r="A47" s="707" t="inlineStr">
        <is>
          <t>Francis</t>
        </is>
      </c>
      <c r="B47" s="617">
        <f>B32*B42</f>
        <v>1988974</v>
      </c>
    </row>
    <row r="48" ht="15" customFormat="1" customHeight="1" s="381">
      <c r="A48" s="707" t="inlineStr">
        <is>
          <t>3rd St</t>
        </is>
      </c>
      <c r="B48" s="617">
        <f>B33*B43</f>
        <v>2706735</v>
      </c>
    </row>
    <row r="49" ht="15" customFormat="1" customHeight="1" s="381">
      <c r="A49" s="707" t="inlineStr">
        <is>
          <t>Reseda</t>
        </is>
      </c>
      <c r="B49" s="617">
        <f>B34*B44</f>
        <v>2359498</v>
      </c>
    </row>
    <row r="51" ht="15" customFormat="1" customHeight="1" s="381">
      <c r="A51" s="689" t="inlineStr">
        <is>
          <t>3RD ST POST-MODEL PIK AMORTIZATION</t>
        </is>
      </c>
      <c r="B51" s="689" t="n"/>
      <c r="C51" s="689" t="n"/>
      <c r="D51" s="689" t="n"/>
      <c r="E51" s="689" t="n"/>
      <c r="F51" s="689" t="n"/>
      <c r="G51" s="689" t="n"/>
    </row>
    <row r="52" ht="15" customFormat="1" customHeight="1" s="381">
      <c r="A52" s="706" t="inlineStr">
        <is>
          <t>Quarter</t>
        </is>
      </c>
      <c r="B52" s="706" t="inlineStr">
        <is>
          <t>LIHTC Rev</t>
        </is>
      </c>
      <c r="C52" s="706" t="inlineStr">
        <is>
          <t>Steyn Bal</t>
        </is>
      </c>
      <c r="D52" s="706" t="inlineStr">
        <is>
          <t>Steyn Pmt</t>
        </is>
      </c>
      <c r="E52" s="706" t="inlineStr">
        <is>
          <t>PIK Bal</t>
        </is>
      </c>
      <c r="F52" s="706" t="inlineStr">
        <is>
          <t>PIK Interest</t>
        </is>
      </c>
      <c r="G52" s="706" t="inlineStr">
        <is>
          <t>PIK Pmt</t>
        </is>
      </c>
    </row>
    <row r="53" ht="15" customFormat="1" customHeight="1" s="381">
      <c r="A53" s="472" t="n">
        <v>1</v>
      </c>
      <c r="B53" s="617">
        <f>$B$33</f>
        <v>73155</v>
      </c>
      <c r="C53" s="617">
        <f>CH27</f>
        <v>270925.32</v>
      </c>
      <c r="D53" s="617">
        <f>MIN(C53,B53)</f>
        <v>73155</v>
      </c>
      <c r="E53" s="617">
        <f>Model!CJ241</f>
        <v>570021.547005172</v>
      </c>
      <c r="F53" s="617">
        <f>E53*Assumptions!$B$59</f>
        <v>21375.8080126939</v>
      </c>
      <c r="G53" s="617">
        <f>MIN(E53+F53,MAX(0,B53-D53))</f>
        <v>0</v>
      </c>
    </row>
    <row r="54" ht="15" customFormat="1" customHeight="1" s="381">
      <c r="A54" s="472" t="n">
        <v>2</v>
      </c>
      <c r="B54" s="617">
        <f>$B$33</f>
        <v>73155</v>
      </c>
      <c r="C54" s="617">
        <f>MAX(0,C53-D53)</f>
        <v>197770.32</v>
      </c>
      <c r="D54" s="617">
        <f>MIN(C54,B54)</f>
        <v>73155</v>
      </c>
      <c r="E54" s="617">
        <f>MAX(0,E53+F53-G53)</f>
        <v>591397.355017866</v>
      </c>
      <c r="F54" s="617">
        <f>E54*Assumptions!$B$59</f>
        <v>22177.40081317</v>
      </c>
      <c r="G54" s="617">
        <f>MIN(E54+F54,MAX(0,B54-D54))</f>
        <v>0</v>
      </c>
    </row>
    <row r="55" ht="15" customFormat="1" customHeight="1" s="381">
      <c r="A55" s="472" t="n">
        <v>3</v>
      </c>
      <c r="B55" s="617">
        <f>$B$33</f>
        <v>73155</v>
      </c>
      <c r="C55" s="617">
        <f>MAX(0,C54-D54)</f>
        <v>124615.32</v>
      </c>
      <c r="D55" s="617">
        <f>MIN(C55,B55)</f>
        <v>73155</v>
      </c>
      <c r="E55" s="617">
        <f>MAX(0,E54+F54-G54)</f>
        <v>613574.755831036</v>
      </c>
      <c r="F55" s="617">
        <f>E55*Assumptions!$B$59</f>
        <v>23009.0533436638</v>
      </c>
      <c r="G55" s="617">
        <f>MIN(E55+F55,MAX(0,B55-D55))</f>
        <v>0</v>
      </c>
    </row>
    <row r="56" ht="15" customFormat="1" customHeight="1" s="381">
      <c r="A56" s="472" t="n">
        <v>4</v>
      </c>
      <c r="B56" s="617">
        <f>$B$33</f>
        <v>73155</v>
      </c>
      <c r="C56" s="617">
        <f>MAX(0,C55-D55)</f>
        <v>51460.3200000001</v>
      </c>
      <c r="D56" s="617">
        <f>MIN(C56,B56)</f>
        <v>51460.3200000001</v>
      </c>
      <c r="E56" s="617">
        <f>MAX(0,E55+F55-G55)</f>
        <v>636583.8091747</v>
      </c>
      <c r="F56" s="617">
        <f>E56*Assumptions!$B$59</f>
        <v>23871.8928440512</v>
      </c>
      <c r="G56" s="617">
        <f>MIN(E56+F56,MAX(0,B56-D56))</f>
        <v>21694.6799999999</v>
      </c>
    </row>
    <row r="57" ht="15" customFormat="1" customHeight="1" s="381">
      <c r="A57" s="472" t="n">
        <v>5</v>
      </c>
      <c r="B57" s="617">
        <f>$B$33</f>
        <v>73155</v>
      </c>
      <c r="C57" s="617">
        <f>MAX(0,C56-D56)</f>
        <v>0</v>
      </c>
      <c r="D57" s="617">
        <f>MIN(C57,B57)</f>
        <v>0</v>
      </c>
      <c r="E57" s="617">
        <f>MAX(0,E56+F56-G56)</f>
        <v>638761.022018751</v>
      </c>
      <c r="F57" s="617">
        <f>E57*Assumptions!$B$59</f>
        <v>23953.5383257032</v>
      </c>
      <c r="G57" s="617">
        <f>MIN(E57+F57,MAX(0,B57-D57))</f>
        <v>73155</v>
      </c>
    </row>
    <row r="58" ht="15" customFormat="1" customHeight="1" s="381">
      <c r="A58" s="472" t="n">
        <v>6</v>
      </c>
      <c r="B58" s="617">
        <f>$B$33</f>
        <v>73155</v>
      </c>
      <c r="C58" s="617">
        <f>MAX(0,C57-D57)</f>
        <v>0</v>
      </c>
      <c r="D58" s="617">
        <f>MIN(C58,B58)</f>
        <v>0</v>
      </c>
      <c r="E58" s="617">
        <f>MAX(0,E57+F57-G57)</f>
        <v>589559.560344454</v>
      </c>
      <c r="F58" s="617">
        <f>E58*Assumptions!$B$59</f>
        <v>22108.483512917</v>
      </c>
      <c r="G58" s="617">
        <f>MIN(E58+F58,MAX(0,B58-D58))</f>
        <v>73155</v>
      </c>
    </row>
    <row r="59" ht="15" customFormat="1" customHeight="1" s="381">
      <c r="A59" s="472" t="n">
        <v>7</v>
      </c>
      <c r="B59" s="617">
        <f>$B$33</f>
        <v>73155</v>
      </c>
      <c r="C59" s="617">
        <f>MAX(0,C58-D58)</f>
        <v>0</v>
      </c>
      <c r="D59" s="617">
        <f>MIN(C59,B59)</f>
        <v>0</v>
      </c>
      <c r="E59" s="617">
        <f>MAX(0,E58+F58-G58)</f>
        <v>538513.043857371</v>
      </c>
      <c r="F59" s="617">
        <f>E59*Assumptions!$B$59</f>
        <v>20194.2391446514</v>
      </c>
      <c r="G59" s="617">
        <f>MIN(E59+F59,MAX(0,B59-D59))</f>
        <v>73155</v>
      </c>
    </row>
    <row r="60" ht="15" customFormat="1" customHeight="1" s="381">
      <c r="A60" s="472" t="n">
        <v>8</v>
      </c>
      <c r="B60" s="617">
        <f>$B$33</f>
        <v>73155</v>
      </c>
      <c r="C60" s="617">
        <f>MAX(0,C59-D59)</f>
        <v>0</v>
      </c>
      <c r="D60" s="617">
        <f>MIN(C60,B60)</f>
        <v>0</v>
      </c>
      <c r="E60" s="617">
        <f>MAX(0,E59+F59-G59)</f>
        <v>485552.283002023</v>
      </c>
      <c r="F60" s="617">
        <f>E60*Assumptions!$B$59</f>
        <v>18208.2106125758</v>
      </c>
      <c r="G60" s="617">
        <f>MIN(E60+F60,MAX(0,B60-D60))</f>
        <v>73155</v>
      </c>
    </row>
    <row r="61" ht="15" customFormat="1" customHeight="1" s="381">
      <c r="A61" s="472" t="n">
        <v>9</v>
      </c>
      <c r="B61" s="617">
        <f>$B$33</f>
        <v>73155</v>
      </c>
      <c r="C61" s="617">
        <f>MAX(0,C60-D60)</f>
        <v>0</v>
      </c>
      <c r="D61" s="617">
        <f>MIN(C61,B61)</f>
        <v>0</v>
      </c>
      <c r="E61" s="617">
        <f>MAX(0,E60+F60-G60)</f>
        <v>430605.493614598</v>
      </c>
      <c r="F61" s="617">
        <f>E61*Assumptions!$B$59</f>
        <v>16147.7060105474</v>
      </c>
      <c r="G61" s="617">
        <f>MIN(E61+F61,MAX(0,B61-D61))</f>
        <v>73155</v>
      </c>
    </row>
    <row r="62" ht="15" customFormat="1" customHeight="1" s="381">
      <c r="A62" s="472" t="n">
        <v>10</v>
      </c>
      <c r="B62" s="617">
        <f>$B$33</f>
        <v>73155</v>
      </c>
      <c r="C62" s="617">
        <f>MAX(0,C61-D61)</f>
        <v>0</v>
      </c>
      <c r="D62" s="617">
        <f>MIN(C62,B62)</f>
        <v>0</v>
      </c>
      <c r="E62" s="617">
        <f>MAX(0,E61+F61-G61)</f>
        <v>373598.199625146</v>
      </c>
      <c r="F62" s="617">
        <f>E62*Assumptions!$B$59</f>
        <v>14009.932485943</v>
      </c>
      <c r="G62" s="617">
        <f>MIN(E62+F62,MAX(0,B62-D62))</f>
        <v>73155</v>
      </c>
    </row>
    <row r="63" ht="15" customFormat="1" customHeight="1" s="381">
      <c r="A63" s="472" t="n">
        <v>11</v>
      </c>
      <c r="B63" s="617">
        <f>$B$33</f>
        <v>73155</v>
      </c>
      <c r="C63" s="617">
        <f>MAX(0,C62-D62)</f>
        <v>0</v>
      </c>
      <c r="D63" s="617">
        <f>MIN(C63,B63)</f>
        <v>0</v>
      </c>
      <c r="E63" s="617">
        <f>MAX(0,E62+F62-G62)</f>
        <v>314453.132111089</v>
      </c>
      <c r="F63" s="617">
        <f>E63*Assumptions!$B$59</f>
        <v>11791.9924541658</v>
      </c>
      <c r="G63" s="617">
        <f>MIN(E63+F63,MAX(0,B63-D63))</f>
        <v>73155</v>
      </c>
    </row>
    <row r="64" ht="15" customFormat="1" customHeight="1" s="381">
      <c r="A64" s="472" t="n">
        <v>12</v>
      </c>
      <c r="B64" s="617">
        <f>$B$33</f>
        <v>73155</v>
      </c>
      <c r="C64" s="617">
        <f>MAX(0,C63-D63)</f>
        <v>0</v>
      </c>
      <c r="D64" s="617">
        <f>MIN(C64,B64)</f>
        <v>0</v>
      </c>
      <c r="E64" s="617">
        <f>MAX(0,E63+F63-G63)</f>
        <v>253090.124565255</v>
      </c>
      <c r="F64" s="617">
        <f>E64*Assumptions!$B$59</f>
        <v>9490.87967119705</v>
      </c>
      <c r="G64" s="617">
        <f>MIN(E64+F64,MAX(0,B64-D64))</f>
        <v>73155</v>
      </c>
    </row>
    <row r="65" ht="15" customFormat="1" customHeight="1" s="381">
      <c r="A65" s="472" t="n">
        <v>13</v>
      </c>
      <c r="B65" s="617">
        <f>$B$33</f>
        <v>73155</v>
      </c>
      <c r="C65" s="617">
        <f>MAX(0,C64-D64)</f>
        <v>0</v>
      </c>
      <c r="D65" s="617">
        <f>MIN(C65,B65)</f>
        <v>0</v>
      </c>
      <c r="E65" s="617">
        <f>MAX(0,E64+F64-G64)</f>
        <v>189426.004236452</v>
      </c>
      <c r="F65" s="617">
        <f>E65*Assumptions!$B$59</f>
        <v>7103.47515886694</v>
      </c>
      <c r="G65" s="617">
        <f>MIN(E65+F65,MAX(0,B65-D65))</f>
        <v>73155</v>
      </c>
    </row>
    <row r="66" ht="15" customFormat="1" customHeight="1" s="381">
      <c r="A66" s="472" t="n">
        <v>14</v>
      </c>
      <c r="B66" s="617">
        <f>$B$33</f>
        <v>73155</v>
      </c>
      <c r="C66" s="617">
        <f>MAX(0,C65-D65)</f>
        <v>0</v>
      </c>
      <c r="D66" s="617">
        <f>MIN(C66,B66)</f>
        <v>0</v>
      </c>
      <c r="E66" s="617">
        <f>MAX(0,E65+F65-G65)</f>
        <v>123374.479395319</v>
      </c>
      <c r="F66" s="617">
        <f>E66*Assumptions!$B$59</f>
        <v>4626.54297732445</v>
      </c>
      <c r="G66" s="617">
        <f>MIN(E66+F66,MAX(0,B66-D66))</f>
        <v>73155</v>
      </c>
    </row>
    <row r="67" ht="15" customFormat="1" customHeight="1" s="381">
      <c r="A67" s="472" t="n">
        <v>15</v>
      </c>
      <c r="B67" s="617">
        <f>$B$33</f>
        <v>73155</v>
      </c>
      <c r="C67" s="617">
        <f>MAX(0,C66-D66)</f>
        <v>0</v>
      </c>
      <c r="D67" s="617">
        <f>MIN(C67,B67)</f>
        <v>0</v>
      </c>
      <c r="E67" s="617">
        <f>MAX(0,E66+F66-G66)</f>
        <v>54846.0223726431</v>
      </c>
      <c r="F67" s="617">
        <f>E67*Assumptions!$B$59</f>
        <v>2056.72583897412</v>
      </c>
      <c r="G67" s="617">
        <f>MIN(E67+F67,MAX(0,B67-D67))</f>
        <v>56902.7482116172</v>
      </c>
    </row>
    <row r="68" ht="15" customFormat="1" customHeight="1" s="381">
      <c r="A68" s="472" t="n">
        <v>16</v>
      </c>
      <c r="B68" s="617">
        <f>$B$33</f>
        <v>73155</v>
      </c>
      <c r="C68" s="617">
        <f>MAX(0,C67-D67)</f>
        <v>0</v>
      </c>
      <c r="D68" s="617">
        <f>MIN(C68,B68)</f>
        <v>0</v>
      </c>
      <c r="E68" s="617">
        <f>MAX(0,E67+F67-G67)</f>
        <v>0</v>
      </c>
      <c r="F68" s="617">
        <f>E68*Assumptions!$B$59</f>
        <v>0</v>
      </c>
      <c r="G68" s="617">
        <f>MIN(E68+F68,MAX(0,B68-D68))</f>
        <v>0</v>
      </c>
    </row>
    <row r="69" ht="15" customFormat="1" customHeight="1" s="381">
      <c r="A69" s="472" t="n">
        <v>17</v>
      </c>
      <c r="B69" s="617">
        <f>$B$33</f>
        <v>73155</v>
      </c>
      <c r="C69" s="617">
        <f>MAX(0,C68-D68)</f>
        <v>0</v>
      </c>
      <c r="D69" s="617">
        <f>MIN(C69,B69)</f>
        <v>0</v>
      </c>
      <c r="E69" s="617">
        <f>MAX(0,E68+F68-G68)</f>
        <v>0</v>
      </c>
      <c r="F69" s="617">
        <f>E69*Assumptions!$B$59</f>
        <v>0</v>
      </c>
      <c r="G69" s="617">
        <f>MIN(E69+F69,MAX(0,B69-D69))</f>
        <v>0</v>
      </c>
    </row>
    <row r="70" ht="15" customFormat="1" customHeight="1" s="381">
      <c r="A70" s="472" t="n">
        <v>18</v>
      </c>
      <c r="B70" s="617">
        <f>$B$33</f>
        <v>73155</v>
      </c>
      <c r="C70" s="617">
        <f>MAX(0,C69-D69)</f>
        <v>0</v>
      </c>
      <c r="D70" s="617">
        <f>MIN(C70,B70)</f>
        <v>0</v>
      </c>
      <c r="E70" s="617">
        <f>MAX(0,E69+F69-G69)</f>
        <v>0</v>
      </c>
      <c r="F70" s="617">
        <f>E70*Assumptions!$B$59</f>
        <v>0</v>
      </c>
      <c r="G70" s="617">
        <f>MIN(E70+F70,MAX(0,B70-D70))</f>
        <v>0</v>
      </c>
    </row>
    <row r="71" ht="15" customFormat="1" customHeight="1" s="381">
      <c r="A71" s="472" t="n">
        <v>19</v>
      </c>
      <c r="B71" s="617">
        <f>$B$33</f>
        <v>73155</v>
      </c>
      <c r="C71" s="617">
        <f>MAX(0,C70-D70)</f>
        <v>0</v>
      </c>
      <c r="D71" s="617">
        <f>MIN(C71,B71)</f>
        <v>0</v>
      </c>
      <c r="E71" s="617">
        <f>MAX(0,E70+F70-G70)</f>
        <v>0</v>
      </c>
      <c r="F71" s="617">
        <f>E71*Assumptions!$B$59</f>
        <v>0</v>
      </c>
      <c r="G71" s="617">
        <f>MIN(E71+F71,MAX(0,B71-D71))</f>
        <v>0</v>
      </c>
    </row>
    <row r="72" ht="15" customFormat="1" customHeight="1" s="381">
      <c r="A72" s="472" t="n">
        <v>20</v>
      </c>
      <c r="B72" s="617">
        <f>$B$33</f>
        <v>73155</v>
      </c>
      <c r="C72" s="617">
        <f>MAX(0,C71-D71)</f>
        <v>0</v>
      </c>
      <c r="D72" s="617">
        <f>MIN(C72,B72)</f>
        <v>0</v>
      </c>
      <c r="E72" s="617">
        <f>MAX(0,E71+F71-G71)</f>
        <v>0</v>
      </c>
      <c r="F72" s="617">
        <f>E72*Assumptions!$B$59</f>
        <v>0</v>
      </c>
      <c r="G72" s="617">
        <f>MIN(E72+F72,MAX(0,B72-D72))</f>
        <v>0</v>
      </c>
    </row>
    <row r="73" ht="15" customFormat="1" customHeight="1" s="381">
      <c r="A73" s="472" t="n">
        <v>21</v>
      </c>
      <c r="B73" s="617">
        <f>$B$33</f>
        <v>73155</v>
      </c>
      <c r="C73" s="617">
        <f>MAX(0,C72-D72)</f>
        <v>0</v>
      </c>
      <c r="D73" s="617">
        <f>MIN(C73,B73)</f>
        <v>0</v>
      </c>
      <c r="E73" s="617">
        <f>MAX(0,E72+F72-G72)</f>
        <v>0</v>
      </c>
      <c r="F73" s="617">
        <f>E73*Assumptions!$B$59</f>
        <v>0</v>
      </c>
      <c r="G73" s="617">
        <f>MIN(E73+F73,MAX(0,B73-D73))</f>
        <v>0</v>
      </c>
    </row>
    <row r="74" ht="15" customFormat="1" customHeight="1" s="381">
      <c r="A74" s="472" t="n">
        <v>22</v>
      </c>
      <c r="B74" s="617">
        <f>$B$33</f>
        <v>73155</v>
      </c>
      <c r="C74" s="617">
        <f>MAX(0,C73-D73)</f>
        <v>0</v>
      </c>
      <c r="D74" s="617">
        <f>MIN(C74,B74)</f>
        <v>0</v>
      </c>
      <c r="E74" s="617">
        <f>MAX(0,E73+F73-G73)</f>
        <v>0</v>
      </c>
      <c r="F74" s="617">
        <f>E74*Assumptions!$B$59</f>
        <v>0</v>
      </c>
      <c r="G74" s="617">
        <f>MIN(E74+F74,MAX(0,B74-D74))</f>
        <v>0</v>
      </c>
    </row>
    <row r="75" ht="15" customFormat="1" customHeight="1" s="381">
      <c r="A75" s="472" t="n">
        <v>23</v>
      </c>
      <c r="B75" s="617">
        <f>$B$33</f>
        <v>73155</v>
      </c>
      <c r="C75" s="617">
        <f>MAX(0,C74-D74)</f>
        <v>0</v>
      </c>
      <c r="D75" s="617">
        <f>MIN(C75,B75)</f>
        <v>0</v>
      </c>
      <c r="E75" s="617">
        <f>MAX(0,E74+F74-G74)</f>
        <v>0</v>
      </c>
      <c r="F75" s="617">
        <f>E75*Assumptions!$B$59</f>
        <v>0</v>
      </c>
      <c r="G75" s="617">
        <f>MIN(E75+F75,MAX(0,B75-D75))</f>
        <v>0</v>
      </c>
    </row>
    <row r="76" ht="15" customFormat="1" customHeight="1" s="381">
      <c r="A76" s="472" t="n">
        <v>24</v>
      </c>
      <c r="B76" s="617">
        <f>$B$33</f>
        <v>73155</v>
      </c>
      <c r="C76" s="617">
        <f>MAX(0,C75-D75)</f>
        <v>0</v>
      </c>
      <c r="D76" s="617">
        <f>MIN(C76,B76)</f>
        <v>0</v>
      </c>
      <c r="E76" s="617">
        <f>MAX(0,E75+F75-G75)</f>
        <v>0</v>
      </c>
      <c r="F76" s="617">
        <f>E76*Assumptions!$B$59</f>
        <v>0</v>
      </c>
      <c r="G76" s="617">
        <f>MIN(E76+F76,MAX(0,B76-D76))</f>
        <v>0</v>
      </c>
    </row>
    <row r="77" ht="15" customFormat="1" customHeight="1" s="381">
      <c r="A77" s="472" t="n">
        <v>25</v>
      </c>
      <c r="B77" s="617">
        <f>$B$33</f>
        <v>73155</v>
      </c>
      <c r="C77" s="617">
        <f>MAX(0,C76-D76)</f>
        <v>0</v>
      </c>
      <c r="D77" s="617">
        <f>MIN(C77,B77)</f>
        <v>0</v>
      </c>
      <c r="E77" s="617">
        <f>MAX(0,E76+F76-G76)</f>
        <v>0</v>
      </c>
      <c r="F77" s="617">
        <f>E77*Assumptions!$B$59</f>
        <v>0</v>
      </c>
      <c r="G77" s="617">
        <f>MIN(E77+F77,MAX(0,B77-D77))</f>
        <v>0</v>
      </c>
    </row>
    <row r="78" ht="15" customFormat="1" customHeight="1" s="381">
      <c r="A78" s="472" t="n">
        <v>26</v>
      </c>
      <c r="B78" s="617">
        <f>$B$33</f>
        <v>73155</v>
      </c>
      <c r="C78" s="617">
        <f>MAX(0,C77-D77)</f>
        <v>0</v>
      </c>
      <c r="D78" s="617">
        <f>MIN(C78,B78)</f>
        <v>0</v>
      </c>
      <c r="E78" s="617">
        <f>MAX(0,E77+F77-G77)</f>
        <v>0</v>
      </c>
      <c r="F78" s="617">
        <f>E78*Assumptions!$B$59</f>
        <v>0</v>
      </c>
      <c r="G78" s="617">
        <f>MIN(E78+F78,MAX(0,B78-D78))</f>
        <v>0</v>
      </c>
    </row>
    <row r="79" ht="15" customFormat="1" customHeight="1" s="381">
      <c r="A79" s="472" t="n">
        <v>27</v>
      </c>
      <c r="B79" s="617">
        <f>$B$33</f>
        <v>73155</v>
      </c>
      <c r="C79" s="617">
        <f>MAX(0,C78-D78)</f>
        <v>0</v>
      </c>
      <c r="D79" s="617">
        <f>MIN(C79,B79)</f>
        <v>0</v>
      </c>
      <c r="E79" s="617">
        <f>MAX(0,E78+F78-G78)</f>
        <v>0</v>
      </c>
      <c r="F79" s="617">
        <f>E79*Assumptions!$B$59</f>
        <v>0</v>
      </c>
      <c r="G79" s="617">
        <f>MIN(E79+F79,MAX(0,B79-D79))</f>
        <v>0</v>
      </c>
    </row>
    <row r="80" ht="15" customFormat="1" customHeight="1" s="381">
      <c r="A80" s="472" t="n">
        <v>28</v>
      </c>
      <c r="B80" s="617">
        <f>$B$33</f>
        <v>73155</v>
      </c>
      <c r="C80" s="617">
        <f>MAX(0,C79-D79)</f>
        <v>0</v>
      </c>
      <c r="D80" s="617">
        <f>MIN(C80,B80)</f>
        <v>0</v>
      </c>
      <c r="E80" s="617">
        <f>MAX(0,E79+F79-G79)</f>
        <v>0</v>
      </c>
      <c r="F80" s="617">
        <f>E80*Assumptions!$B$59</f>
        <v>0</v>
      </c>
      <c r="G80" s="617">
        <f>MIN(E80+F80,MAX(0,B80-D80))</f>
        <v>0</v>
      </c>
    </row>
    <row r="81" ht="15" customFormat="1" customHeight="1" s="381">
      <c r="A81" s="472" t="n">
        <v>29</v>
      </c>
      <c r="B81" s="617">
        <f>$B$33</f>
        <v>73155</v>
      </c>
      <c r="C81" s="617">
        <f>MAX(0,C80-D80)</f>
        <v>0</v>
      </c>
      <c r="D81" s="617">
        <f>MIN(C81,B81)</f>
        <v>0</v>
      </c>
      <c r="E81" s="617">
        <f>MAX(0,E80+F80-G80)</f>
        <v>0</v>
      </c>
      <c r="F81" s="617">
        <f>E81*Assumptions!$B$59</f>
        <v>0</v>
      </c>
      <c r="G81" s="617">
        <f>MIN(E81+F81,MAX(0,B81-D81))</f>
        <v>0</v>
      </c>
    </row>
    <row r="82" ht="15" customFormat="1" customHeight="1" s="381">
      <c r="A82" s="472" t="n">
        <v>30</v>
      </c>
      <c r="B82" s="617">
        <f>$B$33</f>
        <v>73155</v>
      </c>
      <c r="C82" s="617">
        <f>MAX(0,C81-D81)</f>
        <v>0</v>
      </c>
      <c r="D82" s="617">
        <f>MIN(C82,B82)</f>
        <v>0</v>
      </c>
      <c r="E82" s="617">
        <f>MAX(0,E81+F81-G81)</f>
        <v>0</v>
      </c>
      <c r="F82" s="617">
        <f>E82*Assumptions!$B$59</f>
        <v>0</v>
      </c>
      <c r="G82" s="617">
        <f>MIN(E82+F82,MAX(0,B82-D82))</f>
        <v>0</v>
      </c>
    </row>
    <row r="83" ht="15" customFormat="1" customHeight="1" s="381">
      <c r="A83" s="472" t="n">
        <v>31</v>
      </c>
      <c r="B83" s="617">
        <f>$B$33</f>
        <v>73155</v>
      </c>
      <c r="C83" s="617">
        <f>MAX(0,C82-D82)</f>
        <v>0</v>
      </c>
      <c r="D83" s="617">
        <f>MIN(C83,B83)</f>
        <v>0</v>
      </c>
      <c r="E83" s="617">
        <f>MAX(0,E82+F82-G82)</f>
        <v>0</v>
      </c>
      <c r="F83" s="617">
        <f>E83*Assumptions!$B$59</f>
        <v>0</v>
      </c>
      <c r="G83" s="617">
        <f>MIN(E83+F83,MAX(0,B83-D83))</f>
        <v>0</v>
      </c>
    </row>
    <row r="84" ht="15" customFormat="1" customHeight="1" s="381">
      <c r="A84" s="472" t="n">
        <v>32</v>
      </c>
      <c r="B84" s="617">
        <f>$B$33</f>
        <v>73155</v>
      </c>
      <c r="C84" s="617">
        <f>MAX(0,C83-D83)</f>
        <v>0</v>
      </c>
      <c r="D84" s="617">
        <f>MIN(C84,B84)</f>
        <v>0</v>
      </c>
      <c r="E84" s="617">
        <f>MAX(0,E83+F83-G83)</f>
        <v>0</v>
      </c>
      <c r="F84" s="617">
        <f>E84*Assumptions!$B$59</f>
        <v>0</v>
      </c>
      <c r="G84" s="617">
        <f>MIN(E84+F84,MAX(0,B84-D84))</f>
        <v>0</v>
      </c>
    </row>
    <row r="85" ht="15" customFormat="1" customHeight="1" s="381">
      <c r="A85" s="472" t="n">
        <v>33</v>
      </c>
      <c r="B85" s="617">
        <f>$B$33</f>
        <v>73155</v>
      </c>
      <c r="C85" s="617">
        <f>MAX(0,C84-D84)</f>
        <v>0</v>
      </c>
      <c r="D85" s="617">
        <f>MIN(C85,B85)</f>
        <v>0</v>
      </c>
      <c r="E85" s="617">
        <f>MAX(0,E84+F84-G84)</f>
        <v>0</v>
      </c>
      <c r="F85" s="617">
        <f>E85*Assumptions!$B$59</f>
        <v>0</v>
      </c>
      <c r="G85" s="617">
        <f>MIN(E85+F85,MAX(0,B85-D85))</f>
        <v>0</v>
      </c>
    </row>
    <row r="86" ht="15" customFormat="1" customHeight="1" s="381">
      <c r="A86" s="472" t="n">
        <v>34</v>
      </c>
      <c r="B86" s="617">
        <f>$B$33</f>
        <v>73155</v>
      </c>
      <c r="C86" s="617">
        <f>MAX(0,C85-D85)</f>
        <v>0</v>
      </c>
      <c r="D86" s="617">
        <f>MIN(C86,B86)</f>
        <v>0</v>
      </c>
      <c r="E86" s="617">
        <f>MAX(0,E85+F85-G85)</f>
        <v>0</v>
      </c>
      <c r="F86" s="617">
        <f>E86*Assumptions!$B$59</f>
        <v>0</v>
      </c>
      <c r="G86" s="617">
        <f>MIN(E86+F86,MAX(0,B86-D86))</f>
        <v>0</v>
      </c>
    </row>
    <row r="87" ht="15" customFormat="1" customHeight="1" s="381">
      <c r="A87" s="472" t="n">
        <v>35</v>
      </c>
      <c r="B87" s="617">
        <f>$B$33</f>
        <v>73155</v>
      </c>
      <c r="C87" s="617">
        <f>MAX(0,C86-D86)</f>
        <v>0</v>
      </c>
      <c r="D87" s="617">
        <f>MIN(C87,B87)</f>
        <v>0</v>
      </c>
      <c r="E87" s="617">
        <f>MAX(0,E86+F86-G86)</f>
        <v>0</v>
      </c>
      <c r="F87" s="617">
        <f>E87*Assumptions!$B$59</f>
        <v>0</v>
      </c>
      <c r="G87" s="617">
        <f>MIN(E87+F87,MAX(0,B87-D87))</f>
        <v>0</v>
      </c>
    </row>
    <row r="88" ht="15" customFormat="1" customHeight="1" s="381">
      <c r="A88" s="472" t="n">
        <v>36</v>
      </c>
      <c r="B88" s="617">
        <f>$B$33</f>
        <v>73155</v>
      </c>
      <c r="C88" s="617">
        <f>MAX(0,C87-D87)</f>
        <v>0</v>
      </c>
      <c r="D88" s="617">
        <f>MIN(C88,B88)</f>
        <v>0</v>
      </c>
      <c r="E88" s="617">
        <f>MAX(0,E87+F87-G87)</f>
        <v>0</v>
      </c>
      <c r="F88" s="617">
        <f>E88*Assumptions!$B$59</f>
        <v>0</v>
      </c>
      <c r="G88" s="617">
        <f>MIN(E88+F88,MAX(0,B88-D88))</f>
        <v>0</v>
      </c>
    </row>
    <row r="89" ht="15" customFormat="1" customHeight="1" s="381">
      <c r="A89" s="472" t="n">
        <v>37</v>
      </c>
      <c r="B89" s="617">
        <f>$B$33</f>
        <v>73155</v>
      </c>
      <c r="C89" s="617">
        <f>MAX(0,C88-D88)</f>
        <v>0</v>
      </c>
      <c r="D89" s="617">
        <f>MIN(C89,B89)</f>
        <v>0</v>
      </c>
      <c r="E89" s="617">
        <f>MAX(0,E88+F88-G88)</f>
        <v>0</v>
      </c>
      <c r="F89" s="617">
        <f>E89*Assumptions!$B$59</f>
        <v>0</v>
      </c>
      <c r="G89" s="617">
        <f>MIN(E89+F89,MAX(0,B89-D89))</f>
        <v>0</v>
      </c>
    </row>
    <row r="90" ht="15" customFormat="1" customHeight="1" s="381">
      <c r="A90" s="472" t="n">
        <v>38</v>
      </c>
      <c r="B90" s="617">
        <f>$B$33</f>
        <v>73155</v>
      </c>
      <c r="C90" s="617">
        <f>MAX(0,C89-D89)</f>
        <v>0</v>
      </c>
      <c r="D90" s="617">
        <f>MIN(C90,B90)</f>
        <v>0</v>
      </c>
      <c r="E90" s="617">
        <f>MAX(0,E89+F89-G89)</f>
        <v>0</v>
      </c>
      <c r="F90" s="617">
        <f>E90*Assumptions!$B$59</f>
        <v>0</v>
      </c>
      <c r="G90" s="617">
        <f>MIN(E90+F90,MAX(0,B90-D90))</f>
        <v>0</v>
      </c>
    </row>
    <row r="91" ht="15" customFormat="1" customHeight="1" s="381">
      <c r="A91" s="472" t="n">
        <v>39</v>
      </c>
      <c r="B91" s="617">
        <f>$B$33</f>
        <v>73155</v>
      </c>
      <c r="C91" s="617">
        <f>MAX(0,C90-D90)</f>
        <v>0</v>
      </c>
      <c r="D91" s="617">
        <f>MIN(C91,B91)</f>
        <v>0</v>
      </c>
      <c r="E91" s="617">
        <f>MAX(0,E90+F90-G90)</f>
        <v>0</v>
      </c>
      <c r="F91" s="617">
        <f>E91*Assumptions!$B$59</f>
        <v>0</v>
      </c>
      <c r="G91" s="617">
        <f>MIN(E91+F91,MAX(0,B91-D91))</f>
        <v>0</v>
      </c>
    </row>
    <row r="92" ht="15" customFormat="1" customHeight="1" s="381">
      <c r="A92" s="472" t="n">
        <v>40</v>
      </c>
      <c r="B92" s="617">
        <f>$B$33</f>
        <v>73155</v>
      </c>
      <c r="C92" s="617">
        <f>MAX(0,C91-D91)</f>
        <v>0</v>
      </c>
      <c r="D92" s="617">
        <f>MIN(C92,B92)</f>
        <v>0</v>
      </c>
      <c r="E92" s="617">
        <f>MAX(0,E91+F91-G91)</f>
        <v>0</v>
      </c>
      <c r="F92" s="617">
        <f>E92*Assumptions!$B$59</f>
        <v>0</v>
      </c>
      <c r="G92" s="617">
        <f>MIN(E92+F92,MAX(0,B92-D92))</f>
        <v>0</v>
      </c>
    </row>
    <row r="93" ht="15" customFormat="1" customHeight="1" s="381">
      <c r="A93" s="706" t="inlineStr">
        <is>
          <t>NOTE: two month-index conventions on this sheet. Rows 3-27: col C = month 1 (= Model col E).</t>
        </is>
      </c>
      <c r="D93" s="708">
        <f>SUM(D53:D92)</f>
        <v>270925.32</v>
      </c>
      <c r="F93" s="708">
        <f>SUM(F53:F92)</f>
        <v>240125.881206445</v>
      </c>
      <c r="G93" s="708">
        <f>SUM(G53:G92)</f>
        <v>810147.428211617</v>
      </c>
    </row>
    <row r="94" ht="15" customHeight="1" s="467">
      <c r="A94" s="381" t="inlineStr">
        <is>
          <t>Rows 96-101: col C = month -2 (= Model col B). Check which block you are in before editing.</t>
        </is>
      </c>
    </row>
    <row r="95" ht="15" customFormat="1" customHeight="1" s="381">
      <c r="A95" s="381" t="inlineStr">
        <is>
          <t>BD MEMO ROWS  (moved from Model rows 203-207, 214)</t>
        </is>
      </c>
    </row>
    <row r="96" ht="15" customFormat="1" customHeight="1" s="381">
      <c r="A96" s="453" t="inlineStr">
        <is>
          <t>BD Construction Billing (memo)</t>
        </is>
      </c>
      <c r="B96" s="709">
        <f>SUM(Actuals!C112:N112)</f>
        <v>-1293870.53</v>
      </c>
      <c r="C96" s="454">
        <f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454">
        <f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454">
        <f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454">
        <f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454">
        <f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454">
        <f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454">
        <f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454">
        <f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454">
        <f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454">
        <f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454">
        <f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454">
        <f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454">
        <f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454">
        <f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454">
        <f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454">
        <f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454">
        <f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454">
        <f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454">
        <f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454">
        <f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454">
        <f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454">
        <f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454">
        <f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454">
        <f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454">
        <f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454">
        <f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454">
        <f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5861079.30390194</v>
      </c>
      <c r="AD96" s="454">
        <f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5994005.60273776</v>
      </c>
      <c r="AE96" s="454">
        <f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6035112.35834396</v>
      </c>
      <c r="AF96" s="454">
        <f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5983485.02811007</v>
      </c>
      <c r="AG96" s="454">
        <f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5842232.11548131</v>
      </c>
      <c r="AH96" s="454">
        <f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5777250.3695534</v>
      </c>
      <c r="AI96" s="454">
        <f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6142515.40265656</v>
      </c>
      <c r="AJ96" s="454">
        <f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6475987.30521332</v>
      </c>
      <c r="AK96" s="454">
        <f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6856633.85427146</v>
      </c>
      <c r="AL96" s="454">
        <f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6976003.90203676</v>
      </c>
      <c r="AM96" s="454">
        <f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7318974.16637944</v>
      </c>
      <c r="AN96" s="454">
        <f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7701057.05487896</v>
      </c>
      <c r="AO96" s="454">
        <f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8536656.58395956</v>
      </c>
      <c r="AP96" s="454">
        <f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9387512.61613138</v>
      </c>
      <c r="AQ96" s="454">
        <f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10318145.2079899</v>
      </c>
      <c r="AR96" s="454">
        <f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10647144</v>
      </c>
      <c r="AS96" s="454">
        <f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11189706</v>
      </c>
      <c r="AT96" s="454">
        <f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11568018</v>
      </c>
      <c r="AU96" s="454">
        <f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11760399</v>
      </c>
      <c r="AV96" s="454">
        <f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11854128</v>
      </c>
      <c r="AW96" s="454">
        <f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12241794</v>
      </c>
      <c r="AX96" s="454">
        <f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12124431</v>
      </c>
      <c r="AY96" s="454">
        <f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11826393</v>
      </c>
      <c r="AZ96" s="454">
        <f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11365344</v>
      </c>
      <c r="BA96" s="454">
        <f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10785459</v>
      </c>
      <c r="BB96" s="454">
        <f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10352658</v>
      </c>
      <c r="BC96" s="454">
        <f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10010952</v>
      </c>
      <c r="BD96" s="454">
        <f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9763509</v>
      </c>
      <c r="BE96" s="454">
        <f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9704574</v>
      </c>
      <c r="BF96" s="454">
        <f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9701880</v>
      </c>
      <c r="BG96" s="454">
        <f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9755625</v>
      </c>
      <c r="BH96" s="454">
        <f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10078002</v>
      </c>
      <c r="BI96" s="454">
        <f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10434696</v>
      </c>
      <c r="BJ96" s="454">
        <f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10407687</v>
      </c>
      <c r="BK96" s="454">
        <f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10417158</v>
      </c>
      <c r="BL96" s="454">
        <f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10664883</v>
      </c>
      <c r="BM96" s="454">
        <f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10736742</v>
      </c>
      <c r="BN96" s="454">
        <f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10624533</v>
      </c>
      <c r="BO96" s="454">
        <f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9952569</v>
      </c>
      <c r="BP96" s="454">
        <f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9258027</v>
      </c>
      <c r="BQ96" s="454">
        <f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8783472</v>
      </c>
      <c r="BR96" s="454">
        <f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8159178</v>
      </c>
      <c r="BS96" s="454">
        <f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7420524</v>
      </c>
      <c r="BT96" s="454">
        <f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6292893</v>
      </c>
      <c r="BU96" s="454">
        <f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5139747</v>
      </c>
      <c r="BV96" s="454">
        <f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4126617</v>
      </c>
      <c r="BW96" s="454">
        <f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3194637</v>
      </c>
      <c r="BX96" s="454">
        <f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2296026</v>
      </c>
      <c r="BY96" s="454">
        <f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1579683</v>
      </c>
      <c r="BZ96" s="454">
        <f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968721</v>
      </c>
      <c r="CA96" s="454">
        <f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397755</v>
      </c>
      <c r="CB96" s="454">
        <f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454">
        <f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454">
        <f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454">
        <f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454">
        <f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454">
        <f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454">
        <f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454">
        <f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454">
        <f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454">
        <f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454">
        <f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454">
        <f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454">
        <f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454">
        <f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454">
        <f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454">
        <f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454">
        <f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454">
        <f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454">
        <f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454">
        <f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454">
        <f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454">
        <f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454">
        <f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454">
        <f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454">
        <f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454">
        <f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454">
        <f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454">
        <f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454">
        <f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454">
        <f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454">
        <f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ht="15" customFormat="1" customHeight="1" s="381">
      <c r="A97" s="453" t="inlineStr">
        <is>
          <t>BD Revenue — CB + fees (memo)</t>
        </is>
      </c>
      <c r="C97" s="454">
        <f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454">
        <f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454">
        <f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454">
        <f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454">
        <f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454">
        <f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454">
        <f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454">
        <f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454">
        <f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454">
        <f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454">
        <f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454">
        <f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454">
        <f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454">
        <f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454">
        <f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454">
        <f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454">
        <f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454">
        <f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454">
        <f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454">
        <f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454">
        <f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454">
        <f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454">
        <f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454">
        <f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454">
        <f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454">
        <f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454">
        <f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6451465.86926087</v>
      </c>
      <c r="AD97" s="454">
        <f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6584392.16809669</v>
      </c>
      <c r="AE97" s="454">
        <f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6625498.92370289</v>
      </c>
      <c r="AF97" s="454">
        <f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6573871.593469</v>
      </c>
      <c r="AG97" s="454">
        <f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6524052.6882363</v>
      </c>
      <c r="AH97" s="454">
        <f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6384554.82751626</v>
      </c>
      <c r="AI97" s="454">
        <f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6858171.76061942</v>
      </c>
      <c r="AJ97" s="454">
        <f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7281936.91317618</v>
      </c>
      <c r="AK97" s="454">
        <f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7845072.23032758</v>
      </c>
      <c r="AL97" s="454">
        <f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7938470.05678312</v>
      </c>
      <c r="AM97" s="454">
        <f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8346499.61150625</v>
      </c>
      <c r="AN97" s="454">
        <f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8614900.05973787</v>
      </c>
      <c r="AO97" s="454">
        <f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9540792.83881847</v>
      </c>
      <c r="AP97" s="454">
        <f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10481942.1209903</v>
      </c>
      <c r="AQ97" s="454">
        <f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11520926.6128488</v>
      </c>
      <c r="AR97" s="454">
        <f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11940218.6548589</v>
      </c>
      <c r="AS97" s="454">
        <f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12482780.6548589</v>
      </c>
      <c r="AT97" s="454">
        <f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12861092.6548589</v>
      </c>
      <c r="AU97" s="454">
        <f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13161825.5548589</v>
      </c>
      <c r="AV97" s="454">
        <f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13297849.9031018</v>
      </c>
      <c r="AW97" s="454">
        <f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13505899.5</v>
      </c>
      <c r="AX97" s="454">
        <f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13388536.5</v>
      </c>
      <c r="AY97" s="454">
        <f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13090498.5</v>
      </c>
      <c r="AZ97" s="454">
        <f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12737801.4</v>
      </c>
      <c r="BA97" s="454">
        <f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12139857.75</v>
      </c>
      <c r="BB97" s="454">
        <f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11688998.1</v>
      </c>
      <c r="BC97" s="454">
        <f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11347292.1</v>
      </c>
      <c r="BD97" s="454">
        <f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11099849.1</v>
      </c>
      <c r="BE97" s="454">
        <f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11058972.75</v>
      </c>
      <c r="BF97" s="454">
        <f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11074337.4</v>
      </c>
      <c r="BG97" s="454">
        <f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11091965.1</v>
      </c>
      <c r="BH97" s="454">
        <f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11432400.75</v>
      </c>
      <c r="BI97" s="454">
        <f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11807153.4</v>
      </c>
      <c r="BJ97" s="454">
        <f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11653733.85</v>
      </c>
      <c r="BK97" s="454">
        <f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11482618.35</v>
      </c>
      <c r="BL97" s="454">
        <f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11730343.35</v>
      </c>
      <c r="BM97" s="454">
        <f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11802202.35</v>
      </c>
      <c r="BN97" s="454">
        <f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11798345.25</v>
      </c>
      <c r="BO97" s="454">
        <f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10999970.7</v>
      </c>
      <c r="BP97" s="454">
        <f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10124842.2</v>
      </c>
      <c r="BQ97" s="454">
        <f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9650287.2</v>
      </c>
      <c r="BR97" s="454">
        <f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9025993.2</v>
      </c>
      <c r="BS97" s="454">
        <f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8377632.45</v>
      </c>
      <c r="BT97" s="454">
        <f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7177766.85</v>
      </c>
      <c r="BU97" s="454">
        <f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5898210.3</v>
      </c>
      <c r="BV97" s="454">
        <f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4794787.05</v>
      </c>
      <c r="BW97" s="454">
        <f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3790572.45</v>
      </c>
      <c r="BX97" s="454">
        <f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2765550.9</v>
      </c>
      <c r="BY97" s="454">
        <f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1958914.65</v>
      </c>
      <c r="BZ97" s="454">
        <f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1275718.05</v>
      </c>
      <c r="CA97" s="454">
        <f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578341.5</v>
      </c>
      <c r="CB97" s="454">
        <f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454">
        <f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454">
        <f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454">
        <f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454">
        <f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454">
        <f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454">
        <f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454">
        <f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454">
        <f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454">
        <f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454">
        <f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454">
        <f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454">
        <f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454">
        <f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454">
        <f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454">
        <f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454">
        <f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454">
        <f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454">
        <f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454">
        <f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454">
        <f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454">
        <f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454">
        <f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454">
        <f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454">
        <f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454">
        <f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454">
        <f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454">
        <f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454">
        <f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454">
        <f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454">
        <f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ht="15" customFormat="1" customHeight="1" s="381">
      <c r="A98" s="453" t="inlineStr">
        <is>
          <t>BD Share of fees (memo) = BD fees / GP excl. bonding</t>
        </is>
      </c>
      <c r="C98" s="455">
        <f>IFERROR((C97-C96)/(Model!B107-(Model!B105+Model!B106)),0)</f>
        <v>0</v>
      </c>
      <c r="D98" s="455">
        <f>IFERROR((D97-D96)/(Model!C107-(Model!C105+Model!C106)),0)</f>
        <v>0</v>
      </c>
      <c r="E98" s="455">
        <f>IFERROR((E97-E96)/(Model!D107-(Model!D105+Model!D106)),0)</f>
        <v>0</v>
      </c>
      <c r="F98" s="455">
        <f>IFERROR((F97-F96)/(Model!E107-(Model!E105+Model!E106)),0)</f>
        <v>0</v>
      </c>
      <c r="G98" s="455">
        <f>IFERROR((G97-G96)/(Model!F107-(Model!F105+Model!F106)),0)</f>
        <v>0</v>
      </c>
      <c r="H98" s="455">
        <f>IFERROR((H97-H96)/(Model!G107-(Model!G105+Model!G106)),0)</f>
        <v>0</v>
      </c>
      <c r="I98" s="455">
        <f>IFERROR((I97-I96)/(Model!H107-(Model!H105+Model!H106)),0)</f>
        <v>0</v>
      </c>
      <c r="J98" s="455">
        <f>IFERROR((J97-J96)/(Model!I107-(Model!I105+Model!I106)),0)</f>
        <v>0</v>
      </c>
      <c r="K98" s="455">
        <f>IFERROR((K97-K96)/(Model!J107-(Model!J105+Model!J106)),0)</f>
        <v>0</v>
      </c>
      <c r="L98" s="455">
        <f>IFERROR((L97-L96)/(Model!K107-(Model!K105+Model!K106)),0)</f>
        <v>0</v>
      </c>
      <c r="M98" s="455">
        <f>IFERROR((M97-M96)/(Model!L107-(Model!L105+Model!L106)),0)</f>
        <v>0</v>
      </c>
      <c r="N98" s="455">
        <f>IFERROR((N97-N96)/(Model!M107-(Model!M105+Model!M106)),0)</f>
        <v>0</v>
      </c>
      <c r="O98" s="455">
        <f>IFERROR((O97-O96)/(Model!N107-(Model!N105+Model!N106)),0)</f>
        <v>0.104556461499269</v>
      </c>
      <c r="P98" s="455">
        <f>IFERROR((P97-P96)/(Model!O107-(Model!O105+Model!O106)),0)</f>
        <v>0.107709136572421</v>
      </c>
      <c r="Q98" s="455">
        <f>IFERROR((Q97-Q96)/(Model!P107-(Model!P105+Model!P106)),0)</f>
        <v>0.111373033839094</v>
      </c>
      <c r="R98" s="455">
        <f>IFERROR((R97-R96)/(Model!Q107-(Model!Q105+Model!Q106)),0)</f>
        <v>0.115440425722028</v>
      </c>
      <c r="S98" s="455">
        <f>IFERROR((S97-S96)/(Model!R107-(Model!R105+Model!R106)),0)</f>
        <v>0.178609493272763</v>
      </c>
      <c r="T98" s="455">
        <f>IFERROR((T97-T96)/(Model!S107-(Model!S105+Model!S106)),0)</f>
        <v>0.235550531340563</v>
      </c>
      <c r="U98" s="455">
        <f>IFERROR((U97-U96)/(Model!T107-(Model!T105+Model!T106)),0)</f>
        <v>0.328396848115462</v>
      </c>
      <c r="V98" s="455">
        <f>IFERROR((V97-V96)/(Model!U107-(Model!U105+Model!U106)),0)</f>
        <v>0.34480184250829</v>
      </c>
      <c r="W98" s="455">
        <f>IFERROR((W97-W96)/(Model!V107-(Model!V105+Model!V106)),0)</f>
        <v>0.345716277926066</v>
      </c>
      <c r="X98" s="455">
        <f>IFERROR((X97-X96)/(Model!W107-(Model!W105+Model!W106)),0)</f>
        <v>0.346570171294739</v>
      </c>
      <c r="Y98" s="455">
        <f>IFERROR((Y97-Y96)/(Model!X107-(Model!X105+Model!X106)),0)</f>
        <v>0.417334261743278</v>
      </c>
      <c r="Z98" s="455">
        <f>IFERROR((Z97-Z96)/(Model!Y107-(Model!Y105+Model!Y106)),0)</f>
        <v>0.417334261743278</v>
      </c>
      <c r="AA98" s="455">
        <f>IFERROR((AA97-AA96)/(Model!Z107-(Model!Z105+Model!Z106)),0)</f>
        <v>0.417334261743278</v>
      </c>
      <c r="AB98" s="455">
        <f>IFERROR((AB97-AB96)/(Model!AA107-(Model!AA105+Model!AA106)),0)</f>
        <v>0.390865563561959</v>
      </c>
      <c r="AC98" s="455">
        <f>IFERROR((AC97-AC96)/(Model!AB107-(Model!AB105+Model!AB106)),0)</f>
        <v>0.498145977374212</v>
      </c>
      <c r="AD98" s="455">
        <f>IFERROR((AD97-AD96)/(Model!AC107-(Model!AC105+Model!AC106)),0)</f>
        <v>0.498145977374212</v>
      </c>
      <c r="AE98" s="455">
        <f>IFERROR((AE97-AE96)/(Model!AD107-(Model!AD105+Model!AD106)),0)</f>
        <v>0.498145977374212</v>
      </c>
      <c r="AF98" s="455">
        <f>IFERROR((AF97-AF96)/(Model!AE107-(Model!AE105+Model!AE106)),0)</f>
        <v>0.439659298972966</v>
      </c>
      <c r="AG98" s="455">
        <f>IFERROR((AG97-AG96)/(Model!AF107-(Model!AF105+Model!AF106)),0)</f>
        <v>0.443509559744492</v>
      </c>
      <c r="AH98" s="455">
        <f>IFERROR((AH97-AH96)/(Model!AG107-(Model!AG105+Model!AG106)),0)</f>
        <v>0.483262285908019</v>
      </c>
      <c r="AI98" s="455">
        <f>IFERROR((AI97-AI96)/(Model!AH107-(Model!AH105+Model!AH106)),0)</f>
        <v>0.524279384630844</v>
      </c>
      <c r="AJ98" s="455">
        <f>IFERROR((AJ97-AJ96)/(Model!AI107-(Model!AI105+Model!AI106)),0)</f>
        <v>0.509025738932653</v>
      </c>
      <c r="AK98" s="455">
        <f>IFERROR((AK97-AK96)/(Model!AJ107-(Model!AJ105+Model!AJ106)),0)</f>
        <v>0.643313383367964</v>
      </c>
      <c r="AL98" s="455">
        <f>IFERROR((AL97-AL96)/(Model!AK107-(Model!AK105+Model!AK106)),0)</f>
        <v>0.637180385117287</v>
      </c>
      <c r="AM98" s="455">
        <f>IFERROR((AM97-AM96)/(Model!AL107-(Model!AL105+Model!AL106)),0)</f>
        <v>0.535315876512217</v>
      </c>
      <c r="AN98" s="455">
        <f>IFERROR((AN97-AN96)/(Model!AM107-(Model!AM105+Model!AM106)),0)</f>
        <v>0.734555108084425</v>
      </c>
      <c r="AO98" s="455">
        <f>IFERROR((AO97-AO96)/(Model!AN107-(Model!AN105+Model!AN106)),0)</f>
        <v>0.752517052818365</v>
      </c>
      <c r="AP98" s="455">
        <f>IFERROR((AP97-AP96)/(Model!AO107-(Model!AO105+Model!AO106)),0)</f>
        <v>0.768202189678231</v>
      </c>
      <c r="AQ98" s="455">
        <f>IFERROR((AQ97-AQ96)/(Model!AP107-(Model!AP105+Model!AP106)),0)</f>
        <v>0.784585414285899</v>
      </c>
      <c r="AR98" s="455">
        <f>IFERROR((AR97-AR96)/(Model!AQ107-(Model!AQ105+Model!AQ106)),0)</f>
        <v>0.796567414653734</v>
      </c>
      <c r="AS98" s="455">
        <f>IFERROR((AS97-AS96)/(Model!AR107-(Model!AR105+Model!AR106)),0)</f>
        <v>0.796567414653734</v>
      </c>
      <c r="AT98" s="455">
        <f>IFERROR((AT97-AT96)/(Model!AS107-(Model!AS105+Model!AS106)),0)</f>
        <v>0.796567414653734</v>
      </c>
      <c r="AU98" s="455">
        <f>IFERROR((AU97-AU96)/(Model!AT107-(Model!AT105+Model!AT106)),0)</f>
        <v>0.809296415759796</v>
      </c>
      <c r="AV98" s="455">
        <f>IFERROR((AV97-AV96)/(Model!AU107-(Model!AU105+Model!AU106)),0)</f>
        <v>0.705479252960805</v>
      </c>
      <c r="AW98" s="455">
        <f>IFERROR((AW97-AW96)/(Model!AV107-(Model!AV105+Model!AV106)),0)</f>
        <v>0.889109926571815</v>
      </c>
      <c r="AX98" s="455">
        <f>IFERROR((AX97-AX96)/(Model!AW107-(Model!AW105+Model!AW106)),0)</f>
        <v>0.889109926571815</v>
      </c>
      <c r="AY98" s="455">
        <f>IFERROR((AY97-AY96)/(Model!AX107-(Model!AX105+Model!AX106)),0)</f>
        <v>0.889109926571815</v>
      </c>
      <c r="AZ98" s="455">
        <f>IFERROR((AZ97-AZ96)/(Model!AY107-(Model!AY105+Model!AY106)),0)</f>
        <v>0.896962365193284</v>
      </c>
      <c r="BA98" s="455">
        <f>IFERROR((BA97-BA96)/(Model!AZ107-(Model!AZ105+Model!AZ106)),0)</f>
        <v>0.895731777409744</v>
      </c>
      <c r="BB98" s="455">
        <f>IFERROR((BB97-BB96)/(Model!BA107-(Model!BA105+Model!BA106)),0)</f>
        <v>0.894471440284929</v>
      </c>
      <c r="BC98" s="455">
        <f>IFERROR((BC97-BC96)/(Model!BB107-(Model!BB105+Model!BB106)),0)</f>
        <v>0.894471440284929</v>
      </c>
      <c r="BD98" s="455">
        <f>IFERROR((BD97-BD96)/(Model!BC107-(Model!BC105+Model!BC106)),0)</f>
        <v>0.894471440284929</v>
      </c>
      <c r="BE98" s="455">
        <f>IFERROR((BE97-BE96)/(Model!BD107-(Model!BD105+Model!BD106)),0)</f>
        <v>0.895731777409744</v>
      </c>
      <c r="BF98" s="455">
        <f>IFERROR((BF97-BF96)/(Model!BE107-(Model!BE105+Model!BE106)),0)</f>
        <v>0.896962365193284</v>
      </c>
      <c r="BG98" s="455">
        <f>IFERROR((BG97-BG96)/(Model!BF107-(Model!BF105+Model!BF106)),0)</f>
        <v>0.894471440284929</v>
      </c>
      <c r="BH98" s="455">
        <f>IFERROR((BH97-BH96)/(Model!BG107-(Model!BG105+Model!BG106)),0)</f>
        <v>0.895731777409744</v>
      </c>
      <c r="BI98" s="455">
        <f>IFERROR((BI97-BI96)/(Model!BH107-(Model!BH105+Model!BH106)),0)</f>
        <v>0.771453776969615</v>
      </c>
      <c r="BJ98" s="455">
        <f>IFERROR((BJ97-BJ96)/(Model!BI107-(Model!BI105+Model!BI106)),0)</f>
        <v>1</v>
      </c>
      <c r="BK98" s="455">
        <f>IFERROR((BK97-BK96)/(Model!BJ107-(Model!BJ105+Model!BJ106)),0)</f>
        <v>1</v>
      </c>
      <c r="BL98" s="455">
        <f>IFERROR((BL97-BL96)/(Model!BK107-(Model!BK105+Model!BK106)),0)</f>
        <v>1</v>
      </c>
      <c r="BM98" s="455">
        <f>IFERROR((BM97-BM96)/(Model!BL107-(Model!BL105+Model!BL106)),0)</f>
        <v>1</v>
      </c>
      <c r="BN98" s="455">
        <f>IFERROR((BN97-BN96)/(Model!BM107-(Model!BM105+Model!BM106)),0)</f>
        <v>1</v>
      </c>
      <c r="BO98" s="455">
        <f>IFERROR((BO97-BO96)/(Model!BN107-(Model!BN105+Model!BN106)),0)</f>
        <v>1</v>
      </c>
      <c r="BP98" s="455">
        <f>IFERROR((BP97-BP96)/(Model!BO107-(Model!BO105+Model!BO106)),0)</f>
        <v>1</v>
      </c>
      <c r="BQ98" s="455">
        <f>IFERROR((BQ97-BQ96)/(Model!BP107-(Model!BP105+Model!BP106)),0)</f>
        <v>0.999999999999999</v>
      </c>
      <c r="BR98" s="455">
        <f>IFERROR((BR97-BR96)/(Model!BQ107-(Model!BQ105+Model!BQ106)),0)</f>
        <v>0.999999999999999</v>
      </c>
      <c r="BS98" s="455">
        <f>IFERROR((BS97-BS96)/(Model!BR107-(Model!BR105+Model!BR106)),0)</f>
        <v>1</v>
      </c>
      <c r="BT98" s="455">
        <f>IFERROR((BT97-BT96)/(Model!BS107-(Model!BS105+Model!BS106)),0)</f>
        <v>1</v>
      </c>
      <c r="BU98" s="455">
        <f>IFERROR((BU97-BU96)/(Model!BT107-(Model!BT105+Model!BT106)),0)</f>
        <v>1</v>
      </c>
      <c r="BV98" s="455">
        <f>IFERROR((BV97-BV96)/(Model!BU107-(Model!BU105+Model!BU106)),0)</f>
        <v>1</v>
      </c>
      <c r="BW98" s="455">
        <f>IFERROR((BW97-BW96)/(Model!BV107-(Model!BV105+Model!BV106)),0)</f>
        <v>0.999999999999999</v>
      </c>
      <c r="BX98" s="455">
        <f>IFERROR((BX97-BX96)/(Model!BW107-(Model!BW105+Model!BW106)),0)</f>
        <v>1</v>
      </c>
      <c r="BY98" s="455">
        <f>IFERROR((BY97-BY96)/(Model!BX107-(Model!BX105+Model!BX106)),0)</f>
        <v>1</v>
      </c>
      <c r="BZ98" s="455">
        <f>IFERROR((BZ97-BZ96)/(Model!BY107-(Model!BY105+Model!BY106)),0)</f>
        <v>0.999999999999999</v>
      </c>
      <c r="CA98" s="455">
        <f>IFERROR((CA97-CA96)/(Model!BZ107-(Model!BZ105+Model!BZ106)),0)</f>
        <v>1</v>
      </c>
      <c r="CB98" s="455">
        <f>IFERROR((CB97-CB96)/(Model!CA107-(Model!CA105+Model!CA106)),0)</f>
        <v>0</v>
      </c>
      <c r="CC98" s="455">
        <f>IFERROR((CC97-CC96)/(Model!CB107-(Model!CB105+Model!CB106)),0)</f>
        <v>0</v>
      </c>
      <c r="CD98" s="455">
        <f>IFERROR((CD97-CD96)/(Model!CC107-(Model!CC105+Model!CC106)),0)</f>
        <v>0</v>
      </c>
      <c r="CE98" s="455">
        <f>IFERROR((CE97-CE96)/(Model!CD107-(Model!CD105+Model!CD106)),0)</f>
        <v>0</v>
      </c>
      <c r="CF98" s="455">
        <f>IFERROR((CF97-CF96)/(Model!CE107-(Model!CE105+Model!CE106)),0)</f>
        <v>0</v>
      </c>
      <c r="CG98" s="455">
        <f>IFERROR((CG97-CG96)/(Model!CF107-(Model!CF105+Model!CF106)),0)</f>
        <v>0</v>
      </c>
      <c r="CH98" s="455">
        <f>IFERROR((CH97-CH96)/(Model!CG107-(Model!CG105+Model!CG106)),0)</f>
        <v>0</v>
      </c>
      <c r="CI98" s="455">
        <f>IFERROR((CI97-CI96)/(Model!CH107-(Model!CH105+Model!CH106)),0)</f>
        <v>0</v>
      </c>
      <c r="CJ98" s="455">
        <f>IFERROR((CJ97-CJ96)/(Model!CI107-(Model!CI105+Model!CI106)),0)</f>
        <v>0</v>
      </c>
      <c r="CK98" s="455">
        <f>IFERROR((CK97-CK96)/(Model!CJ107-(Model!CJ105+Model!CJ106)),0)</f>
        <v>0</v>
      </c>
      <c r="CL98" s="455">
        <f>IFERROR((CL97-CL96)/(Model!CK107-(Model!CK105+Model!CK106)),0)</f>
        <v>0</v>
      </c>
      <c r="CM98" s="455">
        <f>IFERROR((CM97-CM96)/(Model!CL107-(Model!CL105+Model!CL106)),0)</f>
        <v>0</v>
      </c>
      <c r="CN98" s="455">
        <f>IFERROR((CN97-CN96)/(Model!CM107-(Model!CM105+Model!CM106)),0)</f>
        <v>0</v>
      </c>
      <c r="CO98" s="455">
        <f>IFERROR((CO97-CO96)/(Model!CN107-(Model!CN105+Model!CN106)),0)</f>
        <v>0</v>
      </c>
      <c r="CP98" s="455">
        <f>IFERROR((CP97-CP96)/(Model!CO107-(Model!CO105+Model!CO106)),0)</f>
        <v>0</v>
      </c>
      <c r="CQ98" s="455">
        <f>IFERROR((CQ97-CQ96)/(Model!CP107-(Model!CP105+Model!CP106)),0)</f>
        <v>0</v>
      </c>
      <c r="CR98" s="455">
        <f>IFERROR((CR97-CR96)/(Model!CQ107-(Model!CQ105+Model!CQ106)),0)</f>
        <v>0</v>
      </c>
      <c r="CS98" s="455">
        <f>IFERROR((CS97-CS96)/(Model!CR107-(Model!CR105+Model!CR106)),0)</f>
        <v>0</v>
      </c>
      <c r="CT98" s="455">
        <f>IFERROR((CT97-CT96)/(Model!CS107-(Model!CS105+Model!CS106)),0)</f>
        <v>0</v>
      </c>
      <c r="CU98" s="455">
        <f>IFERROR((CU97-CU96)/(Model!CT107-(Model!CT105+Model!CT106)),0)</f>
        <v>0</v>
      </c>
      <c r="CV98" s="455">
        <f>IFERROR((CV97-CV96)/(Model!CU107-(Model!CU105+Model!CU106)),0)</f>
        <v>0</v>
      </c>
      <c r="CW98" s="455">
        <f>IFERROR((CW97-CW96)/(Model!CV107-(Model!CV105+Model!CV106)),0)</f>
        <v>0</v>
      </c>
      <c r="CX98" s="455">
        <f>IFERROR((CX97-CX96)/(Model!CW107-(Model!CW105+Model!CW106)),0)</f>
        <v>0</v>
      </c>
      <c r="CY98" s="455">
        <f>IFERROR((CY97-CY96)/(Model!CX107-(Model!CX105+Model!CX106)),0)</f>
        <v>0</v>
      </c>
      <c r="CZ98" s="455">
        <f>IFERROR((CZ97-CZ96)/(Model!CY107-(Model!CY105+Model!CY106)),0)</f>
        <v>0</v>
      </c>
      <c r="DA98" s="455">
        <f>IFERROR((DA97-DA96)/(Model!CZ107-(Model!CZ105+Model!CZ106)),0)</f>
        <v>0</v>
      </c>
      <c r="DB98" s="455">
        <f>IFERROR((DB97-DB96)/(Model!DA107-(Model!DA105+Model!DA106)),0)</f>
        <v>0</v>
      </c>
      <c r="DC98" s="455">
        <f>IFERROR((DC97-DC96)/(Model!DB107-(Model!DB105+Model!DB106)),0)</f>
        <v>0</v>
      </c>
      <c r="DD98" s="455">
        <f>IFERROR((DD97-DD96)/(Model!DC107-(Model!DC105+Model!DC106)),0)</f>
        <v>0</v>
      </c>
      <c r="DE98" s="455">
        <f>IFERROR((DE97-DE96)/(Model!DD107-(Model!DD105+Model!DD106)),0)</f>
        <v>0</v>
      </c>
      <c r="DF98" s="455">
        <f>IFERROR((DF97-DF96)/(Model!DE107-(Model!DE105+Model!DE106)),0)</f>
        <v>0</v>
      </c>
    </row>
    <row r="99" ht="15" customFormat="1" customHeight="1" s="381">
      <c r="A99" s="453" t="inlineStr">
        <is>
          <t>GC Gross Profit (memo) = GP excl. bonding + SUM(R23:R53) + State Tax(55)</t>
        </is>
      </c>
      <c r="B99" s="709">
        <f>SUM(Actuals!C17:N17)</f>
        <v>2316186.69</v>
      </c>
      <c r="C99" s="454">
        <f>Model!B107+SUM(Model!B111:B141)+Model!B143-(Model!B105+Model!B106)</f>
        <v>-39878.1399999999</v>
      </c>
      <c r="D99" s="454">
        <f>Model!C107+SUM(Model!C111:C141)+Model!C143-(Model!C105+Model!C106)</f>
        <v>-311309.31</v>
      </c>
      <c r="E99" s="454">
        <f>Model!D107+SUM(Model!D111:D141)+Model!D143-(Model!D105+Model!D106)</f>
        <v>242246.78</v>
      </c>
      <c r="F99" s="454">
        <f>Model!E107+SUM(Model!E111:E141)+Model!E143-(Model!E105+Model!E106)</f>
        <v>373926.69</v>
      </c>
      <c r="G99" s="454">
        <f>Model!F107+SUM(Model!F111:F141)+Model!F143-(Model!F105+Model!F106)</f>
        <v>35871.8500000002</v>
      </c>
      <c r="H99" s="454">
        <f>Model!G107+SUM(Model!G111:G141)+Model!G143-(Model!G105+Model!G106)</f>
        <v>328803.92</v>
      </c>
      <c r="I99" s="454">
        <f>Model!H107+SUM(Model!H111:H141)+Model!H143-(Model!H105+Model!H106)</f>
        <v>-76035.185416696</v>
      </c>
      <c r="J99" s="454">
        <f>Model!I107+SUM(Model!I111:I141)+Model!I143-(Model!I105+Model!I106)</f>
        <v>258990.296473439</v>
      </c>
      <c r="K99" s="454">
        <f>Model!J107+SUM(Model!J111:J141)+Model!J143-(Model!J105+Model!J106)</f>
        <v>246722.752978079</v>
      </c>
      <c r="L99" s="454">
        <f>Model!K107+SUM(Model!K111:K141)+Model!K143-(Model!K105+Model!K106)</f>
        <v>228381.398752175</v>
      </c>
      <c r="M99" s="454">
        <f>Model!L107+SUM(Model!L111:L141)+Model!L143-(Model!L105+Model!L106)</f>
        <v>266538.647526589</v>
      </c>
      <c r="N99" s="454">
        <f>Model!M107+SUM(Model!M111:M141)+Model!M143-(Model!M105+Model!M106)</f>
        <v>170524.974394201</v>
      </c>
      <c r="O99" s="454">
        <f>Model!N107+SUM(Model!N111:N141)+Model!N143-(Model!N105+Model!N106)</f>
        <v>284300.439214778</v>
      </c>
      <c r="P99" s="454">
        <f>Model!O107+SUM(Model!O111:O141)+Model!O143-(Model!O105+Model!O106)</f>
        <v>320203.764697035</v>
      </c>
      <c r="Q99" s="454">
        <f>Model!P107+SUM(Model!P111:P141)+Model!P143-(Model!P105+Model!P106)</f>
        <v>292277.140054829</v>
      </c>
      <c r="R99" s="454">
        <f>Model!Q107+SUM(Model!Q111:Q141)+Model!Q143-(Model!Q105+Model!Q106)</f>
        <v>254854.105563098</v>
      </c>
      <c r="S99" s="454">
        <f>Model!R107+SUM(Model!R111:R141)+Model!R143-(Model!R105+Model!R106)</f>
        <v>380855.70959863</v>
      </c>
      <c r="T99" s="454">
        <f>Model!S107+SUM(Model!S111:S141)+Model!S143-(Model!S105+Model!S106)</f>
        <v>488293.926956525</v>
      </c>
      <c r="U99" s="454">
        <f>Model!T107+SUM(Model!T111:T141)+Model!T143-(Model!T105+Model!T106)</f>
        <v>524175.958590165</v>
      </c>
      <c r="V99" s="454">
        <f>Model!U107+SUM(Model!U111:U141)+Model!U143-(Model!U105+Model!U106)</f>
        <v>471617.623509604</v>
      </c>
      <c r="W99" s="454">
        <f>Model!V107+SUM(Model!V111:V141)+Model!V143-(Model!V105+Model!V106)</f>
        <v>468834.722851967</v>
      </c>
      <c r="X99" s="454">
        <f>Model!W107+SUM(Model!W111:W141)+Model!W143-(Model!W105+Model!W106)</f>
        <v>466249.329055466</v>
      </c>
      <c r="Y99" s="454">
        <f>Model!X107+SUM(Model!X111:X141)+Model!X143-(Model!X105+Model!X106)</f>
        <v>574532.091489354</v>
      </c>
      <c r="Z99" s="454">
        <f>Model!Y107+SUM(Model!Y111:Y141)+Model!Y143-(Model!Y105+Model!Y106)</f>
        <v>574532.091489354</v>
      </c>
      <c r="AA99" s="454">
        <f>Model!Z107+SUM(Model!Z111:Z141)+Model!Z143-(Model!Z105+Model!Z106)</f>
        <v>574532.091489354</v>
      </c>
      <c r="AB99" s="454">
        <f>Model!AA107+SUM(Model!AA111:AA141)+Model!AA143-(Model!AA105+Model!AA106)</f>
        <v>652748.776111131</v>
      </c>
      <c r="AC99" s="454">
        <f>Model!AB107+SUM(Model!AB111:AB141)+Model!AB143-(Model!AB105+Model!AB106)</f>
        <v>604667.306867575</v>
      </c>
      <c r="AD99" s="454">
        <f>Model!AC107+SUM(Model!AC111:AC141)+Model!AC143-(Model!AC105+Model!AC106)</f>
        <v>595133.963941575</v>
      </c>
      <c r="AE99" s="454">
        <f>Model!AD107+SUM(Model!AD111:AD141)+Model!AD143-(Model!AD105+Model!AD106)</f>
        <v>595133.963941575</v>
      </c>
      <c r="AF99" s="454">
        <f>Model!AE107+SUM(Model!AE111:AE141)+Model!AE143-(Model!AE105+Model!AE106)</f>
        <v>752793.604810123</v>
      </c>
      <c r="AG99" s="454">
        <f>Model!AF107+SUM(Model!AF111:AF141)+Model!AF143-(Model!AF105+Model!AF106)</f>
        <v>947296.225405785</v>
      </c>
      <c r="AH99" s="454">
        <f>Model!AG107+SUM(Model!AG111:AG141)+Model!AG143-(Model!AG105+Model!AG106)</f>
        <v>666642.88421446</v>
      </c>
      <c r="AI99" s="454">
        <f>Model!AH107+SUM(Model!AH111:AH141)+Model!AH143-(Model!AH105+Model!AH106)</f>
        <v>774994.78421446</v>
      </c>
      <c r="AJ99" s="454">
        <f>Model!AI107+SUM(Model!AI111:AI141)+Model!AI143-(Model!AI105+Model!AI106)</f>
        <v>993284.16378221</v>
      </c>
      <c r="AK99" s="454">
        <f>Model!AJ107+SUM(Model!AJ111:AJ141)+Model!AJ143-(Model!AJ105+Model!AJ106)</f>
        <v>946446.533066574</v>
      </c>
      <c r="AL99" s="454">
        <f>Model!AK107+SUM(Model!AK111:AK141)+Model!AK143-(Model!AK105+Model!AK106)</f>
        <v>920474.311756824</v>
      </c>
      <c r="AM99" s="454">
        <f>Model!AL107+SUM(Model!AL111:AL141)+Model!AL143-(Model!AL105+Model!AL106)</f>
        <v>1329441.18315417</v>
      </c>
      <c r="AN99" s="454">
        <f>Model!AM107+SUM(Model!AM111:AM141)+Model!AM143-(Model!AM105+Model!AM106)</f>
        <v>654043.027225345</v>
      </c>
      <c r="AO99" s="454">
        <f>Model!AN107+SUM(Model!AN111:AN141)+Model!AN143-(Model!AN105+Model!AN106)</f>
        <v>744336.277225345</v>
      </c>
      <c r="AP99" s="454">
        <f>Model!AO107+SUM(Model!AO111:AO141)+Model!AO143-(Model!AO105+Model!AO106)</f>
        <v>824905.517440824</v>
      </c>
      <c r="AQ99" s="454">
        <f>Model!AP107+SUM(Model!AP111:AP141)+Model!AP143-(Model!AP105+Model!AP106)</f>
        <v>933257.417440825</v>
      </c>
      <c r="AR99" s="454">
        <f>Model!AQ107+SUM(Model!AQ111:AQ141)+Model!AQ143-(Model!AQ105+Model!AQ106)</f>
        <v>1023550.66744082</v>
      </c>
      <c r="AS99" s="454">
        <f>Model!AR107+SUM(Model!AR111:AR141)+Model!AR143-(Model!AR105+Model!AR106)</f>
        <v>1023550.66744082</v>
      </c>
      <c r="AT99" s="454">
        <f>Model!AS107+SUM(Model!AS111:AS141)+Model!AS143-(Model!AS105+Model!AS106)</f>
        <v>1023550.66744082</v>
      </c>
      <c r="AU99" s="454">
        <f>Model!AT107+SUM(Model!AT111:AT141)+Model!AT143-(Model!AT105+Model!AT106)</f>
        <v>1131902.56744082</v>
      </c>
      <c r="AV99" s="454">
        <f>Model!AU107+SUM(Model!AU111:AU141)+Model!AU143-(Model!AU105+Model!AU106)</f>
        <v>1446683.50103716</v>
      </c>
      <c r="AW99" s="454">
        <f>Model!AV107+SUM(Model!AV111:AV141)+Model!AV143-(Model!AV105+Model!AV106)</f>
        <v>822007.308524693</v>
      </c>
      <c r="AX99" s="454">
        <f>Model!AW107+SUM(Model!AW111:AW141)+Model!AW143-(Model!AW105+Model!AW106)</f>
        <v>822007.308524693</v>
      </c>
      <c r="AY99" s="454">
        <f>Model!AX107+SUM(Model!AX111:AX141)+Model!AX143-(Model!AX105+Model!AX106)</f>
        <v>822007.308524693</v>
      </c>
      <c r="AZ99" s="454">
        <f>Model!AY107+SUM(Model!AY111:AY141)+Model!AY143-(Model!AY105+Model!AY106)</f>
        <v>930359.208524693</v>
      </c>
      <c r="BA99" s="454">
        <f>Model!AZ107+SUM(Model!AZ111:AZ141)+Model!AZ143-(Model!AZ105+Model!AZ106)</f>
        <v>912300.558524693</v>
      </c>
      <c r="BB99" s="454">
        <f>Model!BA107+SUM(Model!BA111:BA141)+Model!BA143-(Model!BA105+Model!BA106)</f>
        <v>884323.418544482</v>
      </c>
      <c r="BC99" s="454">
        <f>Model!BB107+SUM(Model!BB111:BB141)+Model!BB143-(Model!BB105+Model!BB106)</f>
        <v>884323.418544482</v>
      </c>
      <c r="BD99" s="454">
        <f>Model!BC107+SUM(Model!BC111:BC141)+Model!BC143-(Model!BC105+Model!BC106)</f>
        <v>884323.418544482</v>
      </c>
      <c r="BE99" s="454">
        <f>Model!BD107+SUM(Model!BD111:BD141)+Model!BD143-(Model!BD105+Model!BD106)</f>
        <v>902382.068544483</v>
      </c>
      <c r="BF99" s="454">
        <f>Model!BE107+SUM(Model!BE111:BE141)+Model!BE143-(Model!BE105+Model!BE106)</f>
        <v>920440.718544483</v>
      </c>
      <c r="BG99" s="454">
        <f>Model!BF107+SUM(Model!BF111:BF141)+Model!BF143-(Model!BF105+Model!BF106)</f>
        <v>884323.418544482</v>
      </c>
      <c r="BH99" s="454">
        <f>Model!BG107+SUM(Model!BG111:BG141)+Model!BG143-(Model!BG105+Model!BG106)</f>
        <v>902382.068544483</v>
      </c>
      <c r="BI99" s="454">
        <f>Model!BH107+SUM(Model!BH111:BH141)+Model!BH143-(Model!BH105+Model!BH106)</f>
        <v>1169376.99360008</v>
      </c>
      <c r="BJ99" s="454">
        <f>Model!BI107+SUM(Model!BI111:BI141)+Model!BI143-(Model!BI105+Model!BI106)</f>
        <v>636370.527675936</v>
      </c>
      <c r="BK99" s="454">
        <f>Model!BJ107+SUM(Model!BJ111:BJ141)+Model!BJ143-(Model!BJ105+Model!BJ106)</f>
        <v>455784.027675936</v>
      </c>
      <c r="BL99" s="454">
        <f>Model!BK107+SUM(Model!BK111:BK141)+Model!BK143-(Model!BK105+Model!BK106)</f>
        <v>455784.027675936</v>
      </c>
      <c r="BM99" s="454">
        <f>Model!BL107+SUM(Model!BL111:BL141)+Model!BL143-(Model!BL105+Model!BL106)</f>
        <v>455784.027675936</v>
      </c>
      <c r="BN99" s="454">
        <f>Model!BM107+SUM(Model!BM111:BM141)+Model!BM143-(Model!BM105+Model!BM106)</f>
        <v>554019.067896122</v>
      </c>
      <c r="BO99" s="454">
        <f>Model!BN107+SUM(Model!BN111:BN141)+Model!BN143-(Model!BN105+Model!BN106)</f>
        <v>427608.517896121</v>
      </c>
      <c r="BP99" s="454">
        <f>Model!BO107+SUM(Model!BO111:BO141)+Model!BO143-(Model!BO105+Model!BO106)</f>
        <v>247022.017896121</v>
      </c>
      <c r="BQ99" s="454">
        <f>Model!BP107+SUM(Model!BP111:BP141)+Model!BP143-(Model!BP105+Model!BP106)</f>
        <v>247022.017896122</v>
      </c>
      <c r="BR99" s="454">
        <f>Model!BQ107+SUM(Model!BQ111:BQ141)+Model!BQ143-(Model!BQ105+Model!BQ106)</f>
        <v>247022.017896122</v>
      </c>
      <c r="BS99" s="454">
        <f>Model!BR107+SUM(Model!BR111:BR141)+Model!BR143-(Model!BR105+Model!BR106)</f>
        <v>337315.267896122</v>
      </c>
      <c r="BT99" s="454">
        <f>Model!BS107+SUM(Model!BS111:BS141)+Model!BS143-(Model!BS105+Model!BS106)</f>
        <v>265080.667896121</v>
      </c>
      <c r="BU99" s="454">
        <f>Model!BT107+SUM(Model!BT111:BT141)+Model!BT143-(Model!BT105+Model!BT106)</f>
        <v>138670.117896122</v>
      </c>
      <c r="BV99" s="454">
        <f>Model!BU107+SUM(Model!BU111:BU141)+Model!BU143-(Model!BU105+Model!BU106)</f>
        <v>48376.8678961216</v>
      </c>
      <c r="BW99" s="454">
        <f>Model!BV107+SUM(Model!BV111:BV141)+Model!BV143-(Model!BV105+Model!BV106)</f>
        <v>-23857.7321038781</v>
      </c>
      <c r="BX99" s="454">
        <f>Model!BW107+SUM(Model!BW111:BW141)+Model!BW143-(Model!BW105+Model!BW106)</f>
        <v>-150268.282103878</v>
      </c>
      <c r="BY99" s="454">
        <f>Model!BX107+SUM(Model!BX111:BX141)+Model!BX143-(Model!BX105+Model!BX106)</f>
        <v>-240561.532103878</v>
      </c>
      <c r="BZ99" s="454">
        <f>Model!BY107+SUM(Model!BY111:BY141)+Model!BY143-(Model!BY105+Model!BY106)</f>
        <v>-323115.329079289</v>
      </c>
      <c r="CA99" s="454">
        <f>Model!BZ107+SUM(Model!BZ111:BZ141)+Model!BZ143-(Model!BZ105+Model!BZ106)</f>
        <v>-449525.879079289</v>
      </c>
      <c r="CB99" s="454">
        <f>Model!CA107+SUM(Model!CA111:CA141)+Model!CA143-(Model!CA105+Model!CA106)</f>
        <v>-630112.379079289</v>
      </c>
      <c r="CC99" s="454">
        <f>Model!CB107+SUM(Model!CB111:CB141)+Model!CB143-(Model!CB105+Model!CB106)</f>
        <v>-630112.379079289</v>
      </c>
      <c r="CD99" s="454">
        <f>Model!CC107+SUM(Model!CC111:CC141)+Model!CC143-(Model!CC105+Model!CC106)</f>
        <v>-630112.379079289</v>
      </c>
      <c r="CE99" s="454">
        <f>Model!CD107+SUM(Model!CD111:CD141)+Model!CD143-(Model!CD105+Model!CD106)</f>
        <v>-630112.379079289</v>
      </c>
      <c r="CF99" s="454">
        <f>Model!CE107+SUM(Model!CE111:CE141)+Model!CE143-(Model!CE105+Model!CE106)</f>
        <v>-630112.379079289</v>
      </c>
      <c r="CG99" s="454">
        <f>Model!CF107+SUM(Model!CF111:CF141)+Model!CF143-(Model!CF105+Model!CF106)</f>
        <v>-630112.379079289</v>
      </c>
      <c r="CH99" s="454">
        <f>Model!CG107+SUM(Model!CG111:CG141)+Model!CG143-(Model!CG105+Model!CG106)</f>
        <v>-630112.379079289</v>
      </c>
      <c r="CI99" s="454">
        <f>Model!CH107+SUM(Model!CH111:CH141)+Model!CH143-(Model!CH105+Model!CH106)</f>
        <v>-630112.379079289</v>
      </c>
      <c r="CJ99" s="454">
        <f>Model!CI107+SUM(Model!CI111:CI141)+Model!CI143-(Model!CI105+Model!CI106)</f>
        <v>-630112.379079289</v>
      </c>
      <c r="CK99" s="454">
        <f>Model!CJ107+SUM(Model!CJ111:CJ141)+Model!CJ143-(Model!CJ105+Model!CJ106)</f>
        <v>-630112.379079289</v>
      </c>
      <c r="CL99" s="454">
        <f>Model!CK107+SUM(Model!CK111:CK141)+Model!CK143-(Model!CK105+Model!CK106)</f>
        <v>-640637.959994208</v>
      </c>
      <c r="CM99" s="454">
        <f>Model!CL107+SUM(Model!CL111:CL141)+Model!CL143-(Model!CL105+Model!CL106)</f>
        <v>-640637.959994208</v>
      </c>
      <c r="CN99" s="454">
        <f>Model!CM107+SUM(Model!CM111:CM141)+Model!CM143-(Model!CM105+Model!CM106)</f>
        <v>-640637.959994208</v>
      </c>
      <c r="CO99" s="454">
        <f>Model!CN107+SUM(Model!CN111:CN141)+Model!CN143-(Model!CN105+Model!CN106)</f>
        <v>-640637.959994208</v>
      </c>
      <c r="CP99" s="454">
        <f>Model!CO107+SUM(Model!CO111:CO141)+Model!CO143-(Model!CO105+Model!CO106)</f>
        <v>-640637.959994208</v>
      </c>
      <c r="CQ99" s="454">
        <f>Model!CP107+SUM(Model!CP111:CP141)+Model!CP143-(Model!CP105+Model!CP106)</f>
        <v>-640637.959994208</v>
      </c>
      <c r="CR99" s="454">
        <f>Model!CQ107+SUM(Model!CQ111:CQ141)+Model!CQ143-(Model!CQ105+Model!CQ106)</f>
        <v>-640637.959994208</v>
      </c>
      <c r="CS99" s="454">
        <f>Model!CR107+SUM(Model!CR111:CR141)+Model!CR143-(Model!CR105+Model!CR106)</f>
        <v>-640637.959994208</v>
      </c>
      <c r="CT99" s="454">
        <f>Model!CS107+SUM(Model!CS111:CS141)+Model!CS143-(Model!CS105+Model!CS106)</f>
        <v>-640637.959994208</v>
      </c>
      <c r="CU99" s="454">
        <f>Model!CT107+SUM(Model!CT111:CT141)+Model!CT143-(Model!CT105+Model!CT106)</f>
        <v>-576547.282477231</v>
      </c>
      <c r="CV99" s="454">
        <f>Model!CU107+SUM(Model!CU111:CU141)+Model!CU143-(Model!CU105+Model!CU106)</f>
        <v>-576547.282477231</v>
      </c>
      <c r="CW99" s="454">
        <f>Model!CV107+SUM(Model!CV111:CV141)+Model!CV143-(Model!CV105+Model!CV106)</f>
        <v>-576547.282477231</v>
      </c>
      <c r="CX99" s="454">
        <f>Model!CW107+SUM(Model!CW111:CW141)+Model!CW143-(Model!CW105+Model!CW106)</f>
        <v>-586001.561460109</v>
      </c>
      <c r="CY99" s="454">
        <f>Model!CX107+SUM(Model!CX111:CX141)+Model!CX143-(Model!CX105+Model!CX106)</f>
        <v>-586001.561460109</v>
      </c>
      <c r="CZ99" s="454">
        <f>Model!CY107+SUM(Model!CY111:CY141)+Model!CY143-(Model!CY105+Model!CY106)</f>
        <v>-586001.561460109</v>
      </c>
      <c r="DA99" s="454">
        <f>Model!CZ107+SUM(Model!CZ111:CZ141)+Model!CZ143-(Model!CZ105+Model!CZ106)</f>
        <v>-586001.561460109</v>
      </c>
      <c r="DB99" s="454">
        <f>Model!DA107+SUM(Model!DA111:DA141)+Model!DA143-(Model!DA105+Model!DA106)</f>
        <v>-586001.561460109</v>
      </c>
      <c r="DC99" s="454">
        <f>Model!DB107+SUM(Model!DB111:DB141)+Model!DB143-(Model!DB105+Model!DB106)</f>
        <v>-586001.561460109</v>
      </c>
      <c r="DD99" s="454">
        <f>Model!DC107+SUM(Model!DC111:DC141)+Model!DC143-(Model!DC105+Model!DC106)</f>
        <v>-586001.561460109</v>
      </c>
      <c r="DE99" s="454">
        <f>Model!DD107+SUM(Model!DD111:DD141)+Model!DD143-(Model!DD105+Model!DD106)</f>
        <v>-586001.561460109</v>
      </c>
      <c r="DF99" s="454">
        <f>Model!DE107+SUM(Model!DE111:DE141)+Model!DE143-(Model!DE105+Model!DE106)</f>
        <v>-586001.561460109</v>
      </c>
    </row>
    <row r="100" ht="15" customFormat="1" customHeight="1" s="381">
      <c r="A100" s="453" t="inlineStr">
        <is>
          <t>BD Allocated GP (memo)</t>
        </is>
      </c>
      <c r="B100" s="709">
        <f>SUM(Actuals!C55:N55)</f>
        <v>-1707648.08</v>
      </c>
      <c r="C100" s="456">
        <f>C98*C99</f>
        <v>0</v>
      </c>
      <c r="D100" s="456">
        <f>D98*D99</f>
        <v>0</v>
      </c>
      <c r="E100" s="456">
        <f>E98*E99</f>
        <v>0</v>
      </c>
      <c r="F100" s="456">
        <f>F98*F99</f>
        <v>0</v>
      </c>
      <c r="G100" s="456">
        <f>G98*G99</f>
        <v>0</v>
      </c>
      <c r="H100" s="456">
        <f>H98*H99</f>
        <v>0</v>
      </c>
      <c r="I100" s="456">
        <f>I98*I99</f>
        <v>0</v>
      </c>
      <c r="J100" s="456">
        <f>J98*J99</f>
        <v>0</v>
      </c>
      <c r="K100" s="456">
        <f>K98*K99</f>
        <v>0</v>
      </c>
      <c r="L100" s="456">
        <f>L98*L99</f>
        <v>0</v>
      </c>
      <c r="M100" s="456">
        <f>M98*M99</f>
        <v>0</v>
      </c>
      <c r="N100" s="456">
        <f>N98*N99</f>
        <v>0</v>
      </c>
      <c r="O100" s="456">
        <f>O98*O99</f>
        <v>29725.4479269852</v>
      </c>
      <c r="P100" s="456">
        <f>P98*P99</f>
        <v>34488.8710227562</v>
      </c>
      <c r="Q100" s="456">
        <f>Q98*Q99</f>
        <v>32551.7918097201</v>
      </c>
      <c r="R100" s="456">
        <f>R98*R99</f>
        <v>29420.4664432106</v>
      </c>
      <c r="S100" s="456">
        <f>S98*S99</f>
        <v>68024.4453014499</v>
      </c>
      <c r="T100" s="456">
        <f>T98*T99</f>
        <v>115017.893944979</v>
      </c>
      <c r="U100" s="456">
        <f>U98*U99</f>
        <v>172137.732658911</v>
      </c>
      <c r="V100" s="456">
        <f>V98*V99</f>
        <v>162614.625545493</v>
      </c>
      <c r="W100" s="456">
        <f>W98*W99</f>
        <v>162083.795346881</v>
      </c>
      <c r="X100" s="456">
        <f>X98*X99</f>
        <v>161588.10983681</v>
      </c>
      <c r="Y100" s="456">
        <f>Y98*Y99</f>
        <v>239771.926249531</v>
      </c>
      <c r="Z100" s="456">
        <f>Z98*Z99</f>
        <v>239771.926249531</v>
      </c>
      <c r="AA100" s="456">
        <f>AA98*AA99</f>
        <v>239771.926249531</v>
      </c>
      <c r="AB100" s="456">
        <f>AB98*AB99</f>
        <v>255137.018239057</v>
      </c>
      <c r="AC100" s="456">
        <f>AC98*AC99</f>
        <v>301212.586565781</v>
      </c>
      <c r="AD100" s="456">
        <f>AD98*AD99</f>
        <v>296463.590136265</v>
      </c>
      <c r="AE100" s="456">
        <f>AE98*AE99</f>
        <v>296463.590136265</v>
      </c>
      <c r="AF100" s="456">
        <f>AF98*AF99</f>
        <v>330972.708562151</v>
      </c>
      <c r="AG100" s="456">
        <f>AG98*AG99</f>
        <v>420134.931877339</v>
      </c>
      <c r="AH100" s="456">
        <f>AH98*AH99</f>
        <v>322163.364109795</v>
      </c>
      <c r="AI100" s="456">
        <f>AI98*AI99</f>
        <v>406313.788560071</v>
      </c>
      <c r="AJ100" s="456">
        <f>AJ98*AJ99</f>
        <v>505607.205439341</v>
      </c>
      <c r="AK100" s="456">
        <f>AK98*AK99</f>
        <v>608861.721363937</v>
      </c>
      <c r="AL100" s="456">
        <f>AL98*AL99</f>
        <v>586508.176455783</v>
      </c>
      <c r="AM100" s="456">
        <f>AM98*AM99</f>
        <v>711670.972231611</v>
      </c>
      <c r="AN100" s="456">
        <f>AN98*AN99</f>
        <v>480430.646555377</v>
      </c>
      <c r="AO100" s="456">
        <f>AO98*AO99</f>
        <v>560125.74164341</v>
      </c>
      <c r="AP100" s="456">
        <f>AP98*AP99</f>
        <v>633694.224775695</v>
      </c>
      <c r="AQ100" s="456">
        <f>AQ98*AQ99</f>
        <v>732220.157498198</v>
      </c>
      <c r="AR100" s="456">
        <f>AR98*AR99</f>
        <v>815327.108930442</v>
      </c>
      <c r="AS100" s="456">
        <f>AS98*AS99</f>
        <v>815327.108930442</v>
      </c>
      <c r="AT100" s="456">
        <f>AT98*AT99</f>
        <v>815327.108930442</v>
      </c>
      <c r="AU100" s="456">
        <f>AU98*AU99</f>
        <v>916044.690819169</v>
      </c>
      <c r="AV100" s="456">
        <f>AV98*AV99</f>
        <v>1020605.19558242</v>
      </c>
      <c r="AW100" s="456">
        <f>AW98*AW99</f>
        <v>730854.857723885</v>
      </c>
      <c r="AX100" s="456">
        <f>AX98*AX99</f>
        <v>730854.857723885</v>
      </c>
      <c r="AY100" s="456">
        <f>AY98*AY99</f>
        <v>730854.857723885</v>
      </c>
      <c r="AZ100" s="456">
        <f>AZ98*AZ99</f>
        <v>834497.196157661</v>
      </c>
      <c r="BA100" s="456">
        <f>BA98*BA99</f>
        <v>817176.600819225</v>
      </c>
      <c r="BB100" s="456">
        <f>BB98*BB99</f>
        <v>791002.041863176</v>
      </c>
      <c r="BC100" s="456">
        <f>BC98*BC99</f>
        <v>791002.041863176</v>
      </c>
      <c r="BD100" s="456">
        <f>BD98*BD99</f>
        <v>791002.041863176</v>
      </c>
      <c r="BE100" s="456">
        <f>BE98*BE99</f>
        <v>808292.294160031</v>
      </c>
      <c r="BF100" s="456">
        <f>BF98*BF99</f>
        <v>825600.683925865</v>
      </c>
      <c r="BG100" s="456">
        <f>BG98*BG99</f>
        <v>791002.041863176</v>
      </c>
      <c r="BH100" s="456">
        <f>BH98*BH99</f>
        <v>808292.294160031</v>
      </c>
      <c r="BI100" s="456">
        <f>BI98*BI99</f>
        <v>902120.298414157</v>
      </c>
      <c r="BJ100" s="456">
        <f>BJ98*BJ99</f>
        <v>636370.527675936</v>
      </c>
      <c r="BK100" s="456">
        <f>BK98*BK99</f>
        <v>455784.027675936</v>
      </c>
      <c r="BL100" s="456">
        <f>BL98*BL99</f>
        <v>455784.027675936</v>
      </c>
      <c r="BM100" s="456">
        <f>BM98*BM99</f>
        <v>455784.027675936</v>
      </c>
      <c r="BN100" s="456">
        <f>BN98*BN99</f>
        <v>554019.067896122</v>
      </c>
      <c r="BO100" s="456">
        <f>BO98*BO99</f>
        <v>427608.517896121</v>
      </c>
      <c r="BP100" s="456">
        <f>BP98*BP99</f>
        <v>247022.017896121</v>
      </c>
      <c r="BQ100" s="456">
        <f>BQ98*BQ99</f>
        <v>247022.017896122</v>
      </c>
      <c r="BR100" s="456">
        <f>BR98*BR99</f>
        <v>247022.017896122</v>
      </c>
      <c r="BS100" s="456">
        <f>BS98*BS99</f>
        <v>337315.267896122</v>
      </c>
      <c r="BT100" s="456">
        <f>BT98*BT99</f>
        <v>265080.667896122</v>
      </c>
      <c r="BU100" s="456">
        <f>BU98*BU99</f>
        <v>138670.117896122</v>
      </c>
      <c r="BV100" s="456">
        <f>BV98*BV99</f>
        <v>48376.8678961216</v>
      </c>
      <c r="BW100" s="456">
        <f>BW98*BW99</f>
        <v>-23857.7321038781</v>
      </c>
      <c r="BX100" s="456">
        <f>BX98*BX99</f>
        <v>-150268.282103878</v>
      </c>
      <c r="BY100" s="456">
        <f>BY98*BY99</f>
        <v>-240561.532103878</v>
      </c>
      <c r="BZ100" s="456">
        <f>BZ98*BZ99</f>
        <v>-323115.329079289</v>
      </c>
      <c r="CA100" s="456">
        <f>CA98*CA99</f>
        <v>-449525.879079289</v>
      </c>
      <c r="CB100" s="456">
        <f>CB98*CB99</f>
        <v>0</v>
      </c>
      <c r="CC100" s="456">
        <f>CC98*CC99</f>
        <v>0</v>
      </c>
      <c r="CD100" s="456">
        <f>CD98*CD99</f>
        <v>0</v>
      </c>
      <c r="CE100" s="456">
        <f>CE98*CE99</f>
        <v>0</v>
      </c>
      <c r="CF100" s="456">
        <f>CF98*CF99</f>
        <v>0</v>
      </c>
      <c r="CG100" s="456">
        <f>CG98*CG99</f>
        <v>0</v>
      </c>
      <c r="CH100" s="456">
        <f>CH98*CH99</f>
        <v>0</v>
      </c>
      <c r="CI100" s="456">
        <f>CI98*CI99</f>
        <v>0</v>
      </c>
      <c r="CJ100" s="456">
        <f>CJ98*CJ99</f>
        <v>0</v>
      </c>
      <c r="CK100" s="456">
        <f>CK98*CK99</f>
        <v>0</v>
      </c>
      <c r="CL100" s="456">
        <f>CL98*CL99</f>
        <v>0</v>
      </c>
      <c r="CM100" s="456">
        <f>CM98*CM99</f>
        <v>0</v>
      </c>
      <c r="CN100" s="456">
        <f>CN98*CN99</f>
        <v>0</v>
      </c>
      <c r="CO100" s="456">
        <f>CO98*CO99</f>
        <v>0</v>
      </c>
      <c r="CP100" s="456">
        <f>CP98*CP99</f>
        <v>0</v>
      </c>
      <c r="CQ100" s="456">
        <f>CQ98*CQ99</f>
        <v>0</v>
      </c>
      <c r="CR100" s="456">
        <f>CR98*CR99</f>
        <v>0</v>
      </c>
      <c r="CS100" s="456">
        <f>CS98*CS99</f>
        <v>0</v>
      </c>
      <c r="CT100" s="456">
        <f>CT98*CT99</f>
        <v>0</v>
      </c>
      <c r="CU100" s="456">
        <f>CU98*CU99</f>
        <v>0</v>
      </c>
      <c r="CV100" s="456">
        <f>CV98*CV99</f>
        <v>0</v>
      </c>
      <c r="CW100" s="456">
        <f>CW98*CW99</f>
        <v>0</v>
      </c>
      <c r="CX100" s="456">
        <f>CX98*CX99</f>
        <v>0</v>
      </c>
      <c r="CY100" s="456">
        <f>CY98*CY99</f>
        <v>0</v>
      </c>
      <c r="CZ100" s="456">
        <f>CZ98*CZ99</f>
        <v>0</v>
      </c>
      <c r="DA100" s="456">
        <f>DA98*DA99</f>
        <v>0</v>
      </c>
      <c r="DB100" s="456">
        <f>DB98*DB99</f>
        <v>0</v>
      </c>
      <c r="DC100" s="456">
        <f>DC98*DC99</f>
        <v>0</v>
      </c>
      <c r="DD100" s="456">
        <f>DD98*DD99</f>
        <v>0</v>
      </c>
      <c r="DE100" s="456">
        <f>DE98*DE99</f>
        <v>0</v>
      </c>
      <c r="DF100" s="456">
        <f>DF98*DF99</f>
        <v>0</v>
      </c>
    </row>
    <row r="101" ht="15" customFormat="1" customHeight="1" s="381">
      <c r="A101" s="453" t="inlineStr">
        <is>
          <t>HVN BD Construction Billing (memo)</t>
        </is>
      </c>
      <c r="C101" s="458">
        <f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458">
        <f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458">
        <f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458">
        <f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458">
        <f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458">
        <f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458">
        <f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458">
        <f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458">
        <f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458">
        <f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458">
        <f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458">
        <f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458">
        <f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458">
        <f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458">
        <f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458">
        <f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458">
        <f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458">
        <f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458">
        <f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458">
        <f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458">
        <f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458">
        <f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458">
        <f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458">
        <f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458">
        <f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458">
        <f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458">
        <f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458">
        <f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458">
        <f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458">
        <f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458">
        <f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458">
        <f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458">
        <f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458">
        <f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458">
        <f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1902816.025398</v>
      </c>
      <c r="AL101" s="458">
        <f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1395721.653254</v>
      </c>
      <c r="AM101" s="458">
        <f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1081276.905573</v>
      </c>
      <c r="AN101" s="458">
        <f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696180</v>
      </c>
      <c r="AO101" s="458">
        <f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798270</v>
      </c>
      <c r="AP101" s="458">
        <f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892830</v>
      </c>
      <c r="AQ101" s="458">
        <f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1451361</v>
      </c>
      <c r="AR101" s="458">
        <f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1626258</v>
      </c>
      <c r="AS101" s="458">
        <f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1786656</v>
      </c>
      <c r="AT101" s="458">
        <f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1924866</v>
      </c>
      <c r="AU101" s="458">
        <f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2033904</v>
      </c>
      <c r="AV101" s="458">
        <f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2107956</v>
      </c>
      <c r="AW101" s="458">
        <f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2142921</v>
      </c>
      <c r="AX101" s="458">
        <f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2136702</v>
      </c>
      <c r="AY101" s="458">
        <f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2089446</v>
      </c>
      <c r="AZ101" s="458">
        <f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2003520</v>
      </c>
      <c r="BA101" s="458">
        <f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1883406</v>
      </c>
      <c r="BB101" s="458">
        <f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1735287</v>
      </c>
      <c r="BC101" s="458">
        <f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1964376</v>
      </c>
      <c r="BD101" s="458">
        <f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1562811</v>
      </c>
      <c r="BE101" s="458">
        <f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1550154</v>
      </c>
      <c r="BF101" s="458">
        <f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1531596</v>
      </c>
      <c r="BG101" s="458">
        <f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1508946</v>
      </c>
      <c r="BH101" s="458">
        <f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1482528</v>
      </c>
      <c r="BI101" s="458">
        <f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1849116</v>
      </c>
      <c r="BJ101" s="458">
        <f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1527975</v>
      </c>
      <c r="BK101" s="458">
        <f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1668210</v>
      </c>
      <c r="BL101" s="458">
        <f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1785630</v>
      </c>
      <c r="BM101" s="458">
        <f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1874250</v>
      </c>
      <c r="BN101" s="458">
        <f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1929390</v>
      </c>
      <c r="BO101" s="458">
        <f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1948110</v>
      </c>
      <c r="BP101" s="458">
        <f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1929390</v>
      </c>
      <c r="BQ101" s="458">
        <f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1874250</v>
      </c>
      <c r="BR101" s="458">
        <f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1785630</v>
      </c>
      <c r="BS101" s="458">
        <f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1668210</v>
      </c>
      <c r="BT101" s="458">
        <f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1527975</v>
      </c>
      <c r="BU101" s="458">
        <f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1371810</v>
      </c>
      <c r="BV101" s="458">
        <f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892830</v>
      </c>
      <c r="BW101" s="458">
        <f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798270</v>
      </c>
      <c r="BX101" s="458">
        <f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696180</v>
      </c>
      <c r="BY101" s="458">
        <f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592230</v>
      </c>
      <c r="BZ101" s="458">
        <f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491415</v>
      </c>
      <c r="CA101" s="458">
        <f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397755</v>
      </c>
      <c r="CB101" s="458">
        <f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458">
        <f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458">
        <f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458">
        <f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458">
        <f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458">
        <f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458">
        <f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458">
        <f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458">
        <f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458">
        <f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458">
        <f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458">
        <f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458">
        <f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458">
        <f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458">
        <f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458">
        <f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458">
        <f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458">
        <f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458">
        <f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458">
        <f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458">
        <f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458">
        <f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458">
        <f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458">
        <f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458">
        <f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458">
        <f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458">
        <f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458">
        <f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458">
        <f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458">
        <f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458">
        <f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CH4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71875" defaultRowHeight="15" zeroHeight="0" outlineLevelRow="0"/>
  <cols>
    <col width="30" customWidth="1" style="381" min="1" max="1"/>
    <col width="16" customWidth="1" style="381" min="2" max="4"/>
    <col width="12" customWidth="1" style="381" min="5" max="86"/>
  </cols>
  <sheetData>
    <row r="1" ht="15.75" customFormat="1" customHeight="1" s="381">
      <c r="A1" s="480" t="inlineStr">
        <is>
          <t>Project P&amp;L — Development Fee Income</t>
        </is>
      </c>
      <c r="B1" s="472" t="n"/>
      <c r="C1" s="472" t="n"/>
      <c r="D1" s="472" t="n"/>
      <c r="E1" s="472" t="n"/>
      <c r="F1" s="472" t="n"/>
      <c r="G1" s="472" t="n"/>
      <c r="H1" s="472" t="n"/>
      <c r="I1" s="472" t="n"/>
      <c r="J1" s="472" t="n"/>
      <c r="K1" s="472" t="n"/>
      <c r="L1" s="472" t="n"/>
      <c r="M1" s="472" t="n"/>
      <c r="N1" s="472" t="n"/>
      <c r="O1" s="472" t="n"/>
      <c r="P1" s="472" t="n"/>
      <c r="Q1" s="472" t="n"/>
      <c r="R1" s="472" t="n"/>
      <c r="S1" s="472" t="n"/>
      <c r="T1" s="472" t="n"/>
      <c r="U1" s="472" t="n"/>
      <c r="V1" s="472" t="n"/>
      <c r="W1" s="472" t="n"/>
      <c r="X1" s="472" t="n"/>
      <c r="Y1" s="472" t="n"/>
      <c r="Z1" s="472" t="n"/>
      <c r="AA1" s="472" t="n"/>
      <c r="AB1" s="472" t="n"/>
      <c r="AC1" s="472" t="n"/>
      <c r="AD1" s="472" t="n"/>
      <c r="AE1" s="472" t="n"/>
      <c r="AF1" s="472" t="n"/>
      <c r="AG1" s="472" t="n"/>
      <c r="AH1" s="472" t="n"/>
      <c r="AI1" s="472" t="n"/>
      <c r="AJ1" s="472" t="n"/>
      <c r="AK1" s="472" t="n"/>
      <c r="AL1" s="472" t="n"/>
      <c r="AM1" s="472" t="n"/>
      <c r="AN1" s="472" t="n"/>
      <c r="AO1" s="472" t="n"/>
      <c r="AP1" s="472" t="n"/>
      <c r="AQ1" s="472" t="n"/>
      <c r="AR1" s="472" t="n"/>
      <c r="AS1" s="472" t="n"/>
      <c r="AT1" s="472" t="n"/>
      <c r="AU1" s="472" t="n"/>
      <c r="AV1" s="472" t="n"/>
      <c r="AW1" s="472" t="n"/>
      <c r="AX1" s="472" t="n"/>
      <c r="AY1" s="472" t="n"/>
      <c r="AZ1" s="472" t="n"/>
      <c r="BA1" s="472" t="n"/>
      <c r="BB1" s="472" t="n"/>
      <c r="BC1" s="472" t="n"/>
      <c r="BD1" s="472" t="n"/>
      <c r="BE1" s="472" t="n"/>
      <c r="BF1" s="472" t="n"/>
      <c r="BG1" s="472" t="n"/>
      <c r="BH1" s="472" t="n"/>
      <c r="BI1" s="472" t="n"/>
      <c r="BJ1" s="472" t="n"/>
      <c r="BK1" s="472" t="n"/>
      <c r="BL1" s="472" t="n"/>
      <c r="BM1" s="472" t="n"/>
      <c r="BN1" s="472" t="n"/>
      <c r="BO1" s="472" t="n"/>
      <c r="BP1" s="472" t="n"/>
      <c r="BQ1" s="472" t="n"/>
      <c r="BR1" s="472" t="n"/>
      <c r="BS1" s="472" t="n"/>
      <c r="BT1" s="472" t="n"/>
      <c r="BU1" s="472" t="n"/>
      <c r="BV1" s="472" t="n"/>
      <c r="BW1" s="472" t="n"/>
      <c r="BX1" s="472" t="n"/>
      <c r="BY1" s="472" t="n"/>
      <c r="BZ1" s="472" t="n"/>
      <c r="CA1" s="472" t="n"/>
      <c r="CB1" s="472" t="n"/>
      <c r="CC1" s="472" t="n"/>
      <c r="CD1" s="472" t="n"/>
      <c r="CE1" s="472" t="n"/>
      <c r="CF1" s="472" t="n"/>
      <c r="CG1" s="472" t="n"/>
      <c r="CH1" s="472" t="n"/>
    </row>
    <row r="2" ht="15" customFormat="1" customHeight="1" s="381">
      <c r="A2" s="472" t="n"/>
      <c r="B2" s="472" t="n"/>
      <c r="C2" s="710" t="n"/>
      <c r="D2" s="710" t="n"/>
      <c r="E2" s="710" t="n"/>
      <c r="F2" s="710" t="n"/>
      <c r="G2" s="710" t="n"/>
      <c r="H2" s="710" t="n"/>
      <c r="I2" s="710" t="n"/>
      <c r="J2" s="710" t="n"/>
      <c r="K2" s="710" t="n"/>
      <c r="L2" s="710" t="n"/>
      <c r="M2" s="710" t="n"/>
      <c r="N2" s="710" t="n"/>
      <c r="O2" s="710" t="n"/>
      <c r="P2" s="710" t="n"/>
      <c r="Q2" s="710" t="n"/>
      <c r="R2" s="710" t="n"/>
      <c r="S2" s="710" t="n"/>
      <c r="T2" s="710" t="n"/>
      <c r="U2" s="710" t="n"/>
      <c r="V2" s="710" t="n"/>
      <c r="W2" s="710" t="n"/>
      <c r="X2" s="710" t="n"/>
      <c r="Y2" s="710" t="n"/>
      <c r="Z2" s="710" t="n"/>
      <c r="AA2" s="710" t="n"/>
      <c r="AB2" s="710" t="n"/>
      <c r="AC2" s="710" t="n"/>
      <c r="AD2" s="710" t="n"/>
      <c r="AE2" s="710" t="n"/>
      <c r="AF2" s="710" t="n"/>
      <c r="AG2" s="710" t="n"/>
      <c r="AH2" s="710" t="n"/>
      <c r="AI2" s="710" t="n"/>
      <c r="AJ2" s="710" t="n"/>
      <c r="AK2" s="710" t="n"/>
      <c r="AL2" s="710" t="n"/>
      <c r="AM2" s="710" t="n"/>
      <c r="AN2" s="710" t="n"/>
      <c r="AO2" s="710" t="n"/>
      <c r="AP2" s="710" t="n"/>
      <c r="AQ2" s="710" t="n"/>
      <c r="AR2" s="710" t="n"/>
      <c r="AS2" s="710" t="n"/>
      <c r="AT2" s="710" t="n"/>
      <c r="AU2" s="710" t="n"/>
      <c r="AV2" s="710" t="n"/>
      <c r="AW2" s="710" t="n"/>
      <c r="AX2" s="710" t="n"/>
      <c r="AY2" s="710" t="n"/>
      <c r="AZ2" s="710" t="n"/>
      <c r="BA2" s="710" t="n"/>
      <c r="BB2" s="710" t="n"/>
      <c r="BC2" s="710" t="n"/>
      <c r="BD2" s="710" t="n"/>
      <c r="BE2" s="710" t="n"/>
      <c r="BF2" s="710" t="n"/>
      <c r="BG2" s="710" t="n"/>
      <c r="BH2" s="710" t="n"/>
      <c r="BI2" s="710" t="n"/>
      <c r="BJ2" s="710" t="n"/>
      <c r="BK2" s="710" t="n"/>
      <c r="BL2" s="710" t="n"/>
      <c r="BM2" s="710" t="n"/>
      <c r="BN2" s="710" t="n"/>
      <c r="BO2" s="710" t="n"/>
      <c r="BP2" s="710" t="n"/>
      <c r="BQ2" s="710" t="n"/>
      <c r="BR2" s="710" t="n"/>
      <c r="BS2" s="710" t="n"/>
      <c r="BT2" s="710" t="n"/>
      <c r="BU2" s="710" t="n"/>
      <c r="BV2" s="710" t="n"/>
      <c r="BW2" s="710" t="n"/>
      <c r="BX2" s="710" t="n"/>
      <c r="BY2" s="710" t="n"/>
      <c r="BZ2" s="710" t="n"/>
      <c r="CA2" s="710" t="n"/>
      <c r="CB2" s="710" t="n"/>
      <c r="CC2" s="710" t="n"/>
      <c r="CD2" s="710" t="n"/>
      <c r="CE2" s="710" t="n"/>
      <c r="CF2" s="710" t="n"/>
      <c r="CG2" s="710" t="n"/>
      <c r="CH2" s="710" t="n"/>
    </row>
    <row r="3" ht="15" customFormat="1" customHeight="1" s="381">
      <c r="A3" s="711" t="n"/>
      <c r="B3" s="712" t="inlineStr">
        <is>
          <t>In-Model</t>
        </is>
      </c>
      <c r="C3" s="712" t="inlineStr">
        <is>
          <t>Post-Model</t>
        </is>
      </c>
      <c r="D3" s="712" t="inlineStr">
        <is>
          <t>Lifetime Total</t>
        </is>
      </c>
      <c r="E3" s="472" t="n"/>
      <c r="F3" s="472" t="n"/>
      <c r="G3" s="472" t="n"/>
      <c r="H3" s="472" t="n"/>
      <c r="I3" s="472" t="n"/>
      <c r="J3" s="472" t="n"/>
      <c r="K3" s="472" t="n"/>
      <c r="L3" s="472" t="n"/>
      <c r="M3" s="472" t="n"/>
      <c r="N3" s="472" t="n"/>
      <c r="O3" s="472" t="n"/>
      <c r="P3" s="472" t="n"/>
      <c r="Q3" s="472" t="n"/>
      <c r="R3" s="472" t="n"/>
      <c r="S3" s="472" t="n"/>
      <c r="T3" s="472" t="n"/>
      <c r="U3" s="472" t="n"/>
      <c r="V3" s="472" t="n"/>
      <c r="W3" s="472" t="n"/>
      <c r="X3" s="472" t="n"/>
      <c r="Y3" s="472" t="n"/>
      <c r="Z3" s="472" t="n"/>
      <c r="AA3" s="472" t="n"/>
      <c r="AB3" s="472" t="n"/>
      <c r="AC3" s="472" t="n"/>
      <c r="AD3" s="472" t="n"/>
      <c r="AE3" s="472" t="n"/>
      <c r="AF3" s="472" t="n"/>
      <c r="AG3" s="472" t="n"/>
      <c r="AH3" s="472" t="n"/>
      <c r="AI3" s="472" t="n"/>
      <c r="AJ3" s="472" t="n"/>
      <c r="AK3" s="472" t="n"/>
      <c r="AL3" s="472" t="n"/>
      <c r="AM3" s="472" t="n"/>
      <c r="AN3" s="472" t="n"/>
      <c r="AO3" s="472" t="n"/>
      <c r="AP3" s="472" t="n"/>
      <c r="AQ3" s="472" t="n"/>
      <c r="AR3" s="472" t="n"/>
      <c r="AS3" s="472" t="n"/>
      <c r="AT3" s="472" t="n"/>
      <c r="AU3" s="472" t="n"/>
      <c r="AV3" s="472" t="n"/>
      <c r="AW3" s="472" t="n"/>
      <c r="AX3" s="472" t="n"/>
      <c r="AY3" s="472" t="n"/>
      <c r="AZ3" s="472" t="n"/>
      <c r="BA3" s="472" t="n"/>
      <c r="BB3" s="472" t="n"/>
      <c r="BC3" s="472" t="n"/>
      <c r="BD3" s="472" t="n"/>
      <c r="BE3" s="472" t="n"/>
      <c r="BF3" s="472" t="n"/>
      <c r="BG3" s="472" t="n"/>
      <c r="BH3" s="472" t="n"/>
      <c r="BI3" s="472" t="n"/>
      <c r="BJ3" s="472" t="n"/>
      <c r="BK3" s="472" t="n"/>
      <c r="BL3" s="472" t="n"/>
      <c r="BM3" s="472" t="n"/>
      <c r="BN3" s="472" t="n"/>
      <c r="BO3" s="472" t="n"/>
      <c r="BP3" s="472" t="n"/>
      <c r="BQ3" s="472" t="n"/>
      <c r="BR3" s="472" t="n"/>
      <c r="BS3" s="472" t="n"/>
      <c r="BT3" s="472" t="n"/>
      <c r="BU3" s="472" t="n"/>
      <c r="BV3" s="472" t="n"/>
      <c r="BW3" s="472" t="n"/>
      <c r="BX3" s="472" t="n"/>
      <c r="BY3" s="472" t="n"/>
      <c r="BZ3" s="472" t="n"/>
      <c r="CA3" s="472" t="n"/>
      <c r="CB3" s="472" t="n"/>
      <c r="CC3" s="472" t="n"/>
      <c r="CD3" s="472" t="n"/>
      <c r="CE3" s="472" t="n"/>
      <c r="CF3" s="472" t="n"/>
      <c r="CG3" s="472" t="n"/>
      <c r="CH3" s="472" t="n"/>
    </row>
    <row r="4" ht="15" customFormat="1" customHeight="1" s="381">
      <c r="A4" s="472" t="n"/>
      <c r="B4" s="617" t="n"/>
      <c r="C4" s="617" t="n"/>
      <c r="D4" s="617" t="n"/>
      <c r="E4" s="472" t="n"/>
      <c r="F4" s="472" t="n"/>
      <c r="G4" s="472" t="n"/>
      <c r="H4" s="472" t="n"/>
      <c r="I4" s="472" t="n"/>
      <c r="J4" s="472" t="n"/>
      <c r="K4" s="472" t="n"/>
      <c r="L4" s="472" t="n"/>
      <c r="M4" s="472" t="n"/>
      <c r="N4" s="472" t="n"/>
      <c r="O4" s="472" t="n"/>
      <c r="P4" s="472" t="n"/>
      <c r="Q4" s="472" t="n"/>
      <c r="R4" s="472" t="n"/>
      <c r="S4" s="472" t="n"/>
      <c r="T4" s="472" t="n"/>
      <c r="U4" s="472" t="n"/>
      <c r="V4" s="472" t="n"/>
      <c r="W4" s="472" t="n"/>
      <c r="X4" s="472" t="n"/>
      <c r="Y4" s="472" t="n"/>
      <c r="Z4" s="472" t="n"/>
      <c r="AA4" s="472" t="n"/>
      <c r="AB4" s="472" t="n"/>
      <c r="AC4" s="472" t="n"/>
      <c r="AD4" s="472" t="n"/>
      <c r="AE4" s="472" t="n"/>
      <c r="AF4" s="472" t="n"/>
      <c r="AG4" s="472" t="n"/>
      <c r="AH4" s="472" t="n"/>
      <c r="AI4" s="472" t="n"/>
      <c r="AJ4" s="472" t="n"/>
      <c r="AK4" s="472" t="n"/>
      <c r="AL4" s="472" t="n"/>
      <c r="AM4" s="472" t="n"/>
      <c r="AN4" s="472" t="n"/>
      <c r="AO4" s="472" t="n"/>
      <c r="AP4" s="472" t="n"/>
      <c r="AQ4" s="472" t="n"/>
      <c r="AR4" s="472" t="n"/>
      <c r="AS4" s="472" t="n"/>
      <c r="AT4" s="472" t="n"/>
      <c r="AU4" s="472" t="n"/>
      <c r="AV4" s="472" t="n"/>
      <c r="AW4" s="472" t="n"/>
      <c r="AX4" s="472" t="n"/>
      <c r="AY4" s="472" t="n"/>
      <c r="AZ4" s="472" t="n"/>
      <c r="BA4" s="472" t="n"/>
      <c r="BB4" s="472" t="n"/>
      <c r="BC4" s="472" t="n"/>
      <c r="BD4" s="472" t="n"/>
      <c r="BE4" s="472" t="n"/>
      <c r="BF4" s="472" t="n"/>
      <c r="BG4" s="472" t="n"/>
      <c r="BH4" s="472" t="n"/>
      <c r="BI4" s="472" t="n"/>
      <c r="BJ4" s="472" t="n"/>
      <c r="BK4" s="472" t="n"/>
      <c r="BL4" s="472" t="n"/>
      <c r="BM4" s="472" t="n"/>
      <c r="BN4" s="472" t="n"/>
      <c r="BO4" s="472" t="n"/>
      <c r="BP4" s="472" t="n"/>
      <c r="BQ4" s="472" t="n"/>
      <c r="BR4" s="472" t="n"/>
      <c r="BS4" s="472" t="n"/>
      <c r="BT4" s="472" t="n"/>
      <c r="BU4" s="472" t="n"/>
      <c r="BV4" s="472" t="n"/>
      <c r="BW4" s="472" t="n"/>
      <c r="BX4" s="472" t="n"/>
      <c r="BY4" s="472" t="n"/>
      <c r="BZ4" s="472" t="n"/>
      <c r="CA4" s="472" t="n"/>
      <c r="CB4" s="472" t="n"/>
      <c r="CC4" s="472" t="n"/>
      <c r="CD4" s="472" t="n"/>
      <c r="CE4" s="472" t="n"/>
      <c r="CF4" s="472" t="n"/>
      <c r="CG4" s="472" t="n"/>
      <c r="CH4" s="472" t="n"/>
    </row>
    <row r="5" ht="15" customFormat="1" customHeight="1" s="381">
      <c r="A5" s="713" t="inlineStr">
        <is>
          <t>Francis</t>
        </is>
      </c>
      <c r="B5" s="714" t="n"/>
      <c r="C5" s="714" t="n"/>
      <c r="D5" s="714" t="n"/>
      <c r="E5" s="617" t="n"/>
      <c r="F5" s="617" t="n"/>
      <c r="G5" s="617" t="n"/>
      <c r="H5" s="617" t="n"/>
      <c r="I5" s="617" t="n"/>
      <c r="J5" s="617" t="n"/>
      <c r="K5" s="617" t="n"/>
      <c r="L5" s="617" t="n"/>
      <c r="M5" s="617" t="n"/>
      <c r="N5" s="617" t="n"/>
      <c r="O5" s="617" t="n"/>
      <c r="P5" s="617" t="n"/>
      <c r="Q5" s="617" t="n"/>
      <c r="R5" s="617" t="n"/>
      <c r="S5" s="617" t="n"/>
      <c r="T5" s="617" t="n"/>
      <c r="U5" s="617" t="n"/>
      <c r="V5" s="617" t="n"/>
      <c r="W5" s="617" t="n"/>
      <c r="X5" s="617" t="n"/>
      <c r="Y5" s="617" t="n"/>
      <c r="Z5" s="617" t="n"/>
      <c r="AA5" s="617" t="n"/>
      <c r="AB5" s="617" t="n"/>
      <c r="AC5" s="617" t="n"/>
      <c r="AD5" s="617" t="n"/>
      <c r="AE5" s="617" t="n"/>
      <c r="AF5" s="617" t="n"/>
      <c r="AG5" s="617" t="n"/>
      <c r="AH5" s="617" t="n"/>
      <c r="AI5" s="617" t="n"/>
      <c r="AJ5" s="617" t="n"/>
      <c r="AK5" s="617" t="n"/>
      <c r="AL5" s="617" t="n"/>
      <c r="AM5" s="617" t="n"/>
      <c r="AN5" s="617" t="n"/>
      <c r="AO5" s="617" t="n"/>
      <c r="AP5" s="617" t="n"/>
      <c r="AQ5" s="617" t="n"/>
      <c r="AR5" s="617" t="n"/>
      <c r="AS5" s="617" t="n"/>
      <c r="AT5" s="617" t="n"/>
      <c r="AU5" s="617" t="n"/>
      <c r="AV5" s="617" t="n"/>
      <c r="AW5" s="617" t="n"/>
      <c r="AX5" s="617" t="n"/>
      <c r="AY5" s="617" t="n"/>
      <c r="AZ5" s="617" t="n"/>
      <c r="BA5" s="617" t="n"/>
      <c r="BB5" s="617" t="n"/>
      <c r="BC5" s="617" t="n"/>
      <c r="BD5" s="617" t="n"/>
      <c r="BE5" s="617" t="n"/>
      <c r="BF5" s="617" t="n"/>
      <c r="BG5" s="617" t="n"/>
      <c r="BH5" s="617" t="n"/>
      <c r="BI5" s="617" t="n"/>
      <c r="BJ5" s="617" t="n"/>
      <c r="BK5" s="617" t="n"/>
      <c r="BL5" s="617" t="n"/>
      <c r="BM5" s="617" t="n"/>
      <c r="BN5" s="617" t="n"/>
      <c r="BO5" s="617" t="n"/>
      <c r="BP5" s="617" t="n"/>
      <c r="BQ5" s="617" t="n"/>
      <c r="BR5" s="617" t="n"/>
      <c r="BS5" s="617" t="n"/>
      <c r="BT5" s="617" t="n"/>
      <c r="BU5" s="617" t="n"/>
      <c r="BV5" s="617" t="n"/>
      <c r="BW5" s="617" t="n"/>
      <c r="BX5" s="617" t="n"/>
      <c r="BY5" s="617" t="n"/>
      <c r="BZ5" s="617" t="n"/>
      <c r="CA5" s="617" t="n"/>
      <c r="CB5" s="617" t="n"/>
      <c r="CC5" s="617" t="n"/>
      <c r="CD5" s="617" t="n"/>
      <c r="CE5" s="617" t="n"/>
      <c r="CF5" s="617" t="n"/>
      <c r="CG5" s="617" t="n"/>
      <c r="CH5" s="617" t="n"/>
    </row>
    <row r="6" ht="15" customFormat="1" customHeight="1" s="381">
      <c r="A6" s="715" t="inlineStr">
        <is>
          <t>LIHTC Revenue</t>
        </is>
      </c>
      <c r="B6" s="716">
        <f>SUM(Model!E162:CG162)</f>
        <v>987482</v>
      </c>
      <c r="C6" s="716">
        <f>Helpers!B47</f>
        <v>1988974</v>
      </c>
      <c r="D6" s="716">
        <f>B6+C6</f>
        <v>2976456</v>
      </c>
      <c r="E6" s="617" t="n"/>
      <c r="F6" s="617" t="n"/>
      <c r="G6" s="617" t="n"/>
      <c r="H6" s="617" t="n"/>
      <c r="I6" s="617" t="n"/>
      <c r="J6" s="617" t="n"/>
      <c r="K6" s="617" t="n"/>
      <c r="L6" s="617" t="n"/>
      <c r="M6" s="617" t="n"/>
      <c r="N6" s="617" t="n"/>
      <c r="O6" s="617" t="n"/>
      <c r="P6" s="617" t="n"/>
      <c r="Q6" s="617" t="n"/>
      <c r="R6" s="617" t="n"/>
      <c r="S6" s="617" t="n"/>
      <c r="T6" s="617" t="n"/>
      <c r="U6" s="617" t="n"/>
      <c r="V6" s="617" t="n"/>
      <c r="W6" s="617" t="n"/>
      <c r="X6" s="617" t="n"/>
      <c r="Y6" s="617" t="n"/>
      <c r="Z6" s="617" t="n"/>
      <c r="AA6" s="617" t="n"/>
      <c r="AB6" s="617" t="n"/>
      <c r="AC6" s="617" t="n"/>
      <c r="AD6" s="617" t="n"/>
      <c r="AE6" s="617" t="n"/>
      <c r="AF6" s="617" t="n"/>
      <c r="AG6" s="617" t="n"/>
      <c r="AH6" s="617" t="n"/>
      <c r="AI6" s="617" t="n"/>
      <c r="AJ6" s="617" t="n"/>
      <c r="AK6" s="617" t="n"/>
      <c r="AL6" s="617" t="n"/>
      <c r="AM6" s="617" t="n"/>
      <c r="AN6" s="617" t="n"/>
      <c r="AO6" s="617" t="n"/>
      <c r="AP6" s="617" t="n"/>
      <c r="AQ6" s="617" t="n"/>
      <c r="AR6" s="617" t="n"/>
      <c r="AS6" s="617" t="n"/>
      <c r="AT6" s="617" t="n"/>
      <c r="AU6" s="617" t="n"/>
      <c r="AV6" s="617" t="n"/>
      <c r="AW6" s="617" t="n"/>
      <c r="AX6" s="617" t="n"/>
      <c r="AY6" s="617" t="n"/>
      <c r="AZ6" s="617" t="n"/>
      <c r="BA6" s="617" t="n"/>
      <c r="BB6" s="617" t="n"/>
      <c r="BC6" s="617" t="n"/>
      <c r="BD6" s="617" t="n"/>
      <c r="BE6" s="617" t="n"/>
      <c r="BF6" s="617" t="n"/>
      <c r="BG6" s="617" t="n"/>
      <c r="BH6" s="617" t="n"/>
      <c r="BI6" s="617" t="n"/>
      <c r="BJ6" s="617" t="n"/>
      <c r="BK6" s="617" t="n"/>
      <c r="BL6" s="617" t="n"/>
      <c r="BM6" s="617" t="n"/>
      <c r="BN6" s="617" t="n"/>
      <c r="BO6" s="617" t="n"/>
      <c r="BP6" s="617" t="n"/>
      <c r="BQ6" s="617" t="n"/>
      <c r="BR6" s="617" t="n"/>
      <c r="BS6" s="617" t="n"/>
      <c r="BT6" s="617" t="n"/>
      <c r="BU6" s="617" t="n"/>
      <c r="BV6" s="617" t="n"/>
      <c r="BW6" s="617" t="n"/>
      <c r="BX6" s="617" t="n"/>
      <c r="BY6" s="617" t="n"/>
      <c r="BZ6" s="617" t="n"/>
      <c r="CA6" s="617" t="n"/>
      <c r="CB6" s="617" t="n"/>
      <c r="CC6" s="617" t="n"/>
      <c r="CD6" s="617" t="n"/>
      <c r="CE6" s="617" t="n"/>
      <c r="CF6" s="617" t="n"/>
      <c r="CG6" s="617" t="n"/>
      <c r="CH6" s="617" t="n"/>
    </row>
    <row r="7" ht="15" customFormat="1" customHeight="1" s="381">
      <c r="A7" s="472" t="inlineStr">
        <is>
          <t>GMP Fee (1%)</t>
        </is>
      </c>
      <c r="B7" s="617">
        <f>-Projects!$B$7*Assumptions!$B$47</f>
        <v>-427947.65</v>
      </c>
      <c r="C7" s="617" t="n">
        <v>0</v>
      </c>
      <c r="D7" s="617">
        <f>B7+C7</f>
        <v>-427947.65</v>
      </c>
      <c r="E7" s="617" t="n"/>
      <c r="F7" s="617" t="n"/>
      <c r="G7" s="617" t="n"/>
      <c r="H7" s="617" t="n"/>
      <c r="I7" s="617" t="n"/>
      <c r="J7" s="617" t="n"/>
      <c r="K7" s="617" t="n"/>
      <c r="L7" s="617" t="n"/>
      <c r="M7" s="617" t="n"/>
      <c r="N7" s="617" t="n"/>
      <c r="O7" s="617" t="n"/>
      <c r="P7" s="617" t="n"/>
      <c r="Q7" s="617" t="n"/>
      <c r="R7" s="617" t="n"/>
      <c r="S7" s="617" t="n"/>
      <c r="T7" s="617" t="n"/>
      <c r="U7" s="617" t="n"/>
      <c r="V7" s="617" t="n"/>
      <c r="W7" s="617" t="n"/>
      <c r="X7" s="617" t="n"/>
      <c r="Y7" s="617" t="n"/>
      <c r="Z7" s="617" t="n"/>
      <c r="AA7" s="617" t="n"/>
      <c r="AB7" s="617" t="n"/>
      <c r="AC7" s="617" t="n"/>
      <c r="AD7" s="617" t="n"/>
      <c r="AE7" s="617" t="n"/>
      <c r="AF7" s="617" t="n"/>
      <c r="AG7" s="617" t="n"/>
      <c r="AH7" s="617" t="n"/>
      <c r="AI7" s="617" t="n"/>
      <c r="AJ7" s="617" t="n"/>
      <c r="AK7" s="617" t="n"/>
      <c r="AL7" s="617" t="n"/>
      <c r="AM7" s="617" t="n"/>
      <c r="AN7" s="617" t="n"/>
      <c r="AO7" s="617" t="n"/>
      <c r="AP7" s="617" t="n"/>
      <c r="AQ7" s="617" t="n"/>
      <c r="AR7" s="617" t="n"/>
      <c r="AS7" s="617" t="n"/>
      <c r="AT7" s="617" t="n"/>
      <c r="AU7" s="617" t="n"/>
      <c r="AV7" s="617" t="n"/>
      <c r="AW7" s="617" t="n"/>
      <c r="AX7" s="617" t="n"/>
      <c r="AY7" s="617" t="n"/>
      <c r="AZ7" s="617" t="n"/>
      <c r="BA7" s="617" t="n"/>
      <c r="BB7" s="617" t="n"/>
      <c r="BC7" s="617" t="n"/>
      <c r="BD7" s="617" t="n"/>
      <c r="BE7" s="617" t="n"/>
      <c r="BF7" s="617" t="n"/>
      <c r="BG7" s="617" t="n"/>
      <c r="BH7" s="617" t="n"/>
      <c r="BI7" s="617" t="n"/>
      <c r="BJ7" s="617" t="n"/>
      <c r="BK7" s="617" t="n"/>
      <c r="BL7" s="617" t="n"/>
      <c r="BM7" s="617" t="n"/>
      <c r="BN7" s="617" t="n"/>
      <c r="BO7" s="617" t="n"/>
      <c r="BP7" s="617" t="n"/>
      <c r="BQ7" s="617" t="n"/>
      <c r="BR7" s="617" t="n"/>
      <c r="BS7" s="617" t="n"/>
      <c r="BT7" s="617" t="n"/>
      <c r="BU7" s="617" t="n"/>
      <c r="BV7" s="617" t="n"/>
      <c r="BW7" s="617" t="n"/>
      <c r="BX7" s="617" t="n"/>
      <c r="BY7" s="617" t="n"/>
      <c r="BZ7" s="617" t="n"/>
      <c r="CA7" s="617" t="n"/>
      <c r="CB7" s="617" t="n"/>
      <c r="CC7" s="617" t="n"/>
      <c r="CD7" s="617" t="n"/>
      <c r="CE7" s="617" t="n"/>
      <c r="CF7" s="617" t="n"/>
      <c r="CG7" s="617" t="n"/>
      <c r="CH7" s="617" t="n"/>
    </row>
    <row r="8" ht="15" customFormat="1" customHeight="1" s="381">
      <c r="A8" s="715" t="inlineStr">
        <is>
          <t>Liquidity Guarantee Fee (3%)</t>
        </is>
      </c>
      <c r="B8" s="716">
        <f>-Assumptions!$B$53*Assumptions!$B$48</f>
        <v>-150000</v>
      </c>
      <c r="C8" s="716" t="n">
        <v>0</v>
      </c>
      <c r="D8" s="716">
        <f>B8+C8</f>
        <v>-150000</v>
      </c>
      <c r="E8" s="472" t="n"/>
      <c r="F8" s="472" t="n"/>
      <c r="G8" s="472" t="n"/>
      <c r="H8" s="472" t="n"/>
      <c r="I8" s="472" t="n"/>
      <c r="J8" s="472" t="n"/>
      <c r="K8" s="472" t="n"/>
      <c r="L8" s="472" t="n"/>
      <c r="M8" s="472" t="n"/>
      <c r="N8" s="472" t="n"/>
      <c r="O8" s="472" t="n"/>
      <c r="P8" s="472" t="n"/>
      <c r="Q8" s="472" t="n"/>
      <c r="R8" s="472" t="n"/>
      <c r="S8" s="472" t="n"/>
      <c r="T8" s="472" t="n"/>
      <c r="U8" s="472" t="n"/>
      <c r="V8" s="472" t="n"/>
      <c r="W8" s="472" t="n"/>
      <c r="X8" s="472" t="n"/>
      <c r="Y8" s="472" t="n"/>
      <c r="Z8" s="472" t="n"/>
      <c r="AA8" s="472" t="n"/>
      <c r="AB8" s="472" t="n"/>
      <c r="AC8" s="472" t="n"/>
      <c r="AD8" s="472" t="n"/>
      <c r="AE8" s="472" t="n"/>
      <c r="AF8" s="472" t="n"/>
      <c r="AG8" s="472" t="n"/>
      <c r="AH8" s="472" t="n"/>
      <c r="AI8" s="472" t="n"/>
      <c r="AJ8" s="472" t="n"/>
      <c r="AK8" s="472" t="n"/>
      <c r="AL8" s="472" t="n"/>
      <c r="AM8" s="472" t="n"/>
      <c r="AN8" s="472" t="n"/>
      <c r="AO8" s="472" t="n"/>
      <c r="AP8" s="472" t="n"/>
      <c r="AQ8" s="472" t="n"/>
      <c r="AR8" s="472" t="n"/>
      <c r="AS8" s="472" t="n"/>
      <c r="AT8" s="472" t="n"/>
      <c r="AU8" s="472" t="n"/>
      <c r="AV8" s="472" t="n"/>
      <c r="AW8" s="472" t="n"/>
      <c r="AX8" s="472" t="n"/>
      <c r="AY8" s="472" t="n"/>
      <c r="AZ8" s="472" t="n"/>
      <c r="BA8" s="472" t="n"/>
      <c r="BB8" s="472" t="n"/>
      <c r="BC8" s="472" t="n"/>
      <c r="BD8" s="472" t="n"/>
      <c r="BE8" s="472" t="n"/>
      <c r="BF8" s="472" t="n"/>
      <c r="BG8" s="472" t="n"/>
      <c r="BH8" s="472" t="n"/>
      <c r="BI8" s="472" t="n"/>
      <c r="BJ8" s="472" t="n"/>
      <c r="BK8" s="472" t="n"/>
      <c r="BL8" s="472" t="n"/>
      <c r="BM8" s="472" t="n"/>
      <c r="BN8" s="472" t="n"/>
      <c r="BO8" s="472" t="n"/>
      <c r="BP8" s="472" t="n"/>
      <c r="BQ8" s="472" t="n"/>
      <c r="BR8" s="472" t="n"/>
      <c r="BS8" s="472" t="n"/>
      <c r="BT8" s="472" t="n"/>
      <c r="BU8" s="472" t="n"/>
      <c r="BV8" s="472" t="n"/>
      <c r="BW8" s="472" t="n"/>
      <c r="BX8" s="472" t="n"/>
      <c r="BY8" s="472" t="n"/>
      <c r="BZ8" s="472" t="n"/>
      <c r="CA8" s="472" t="n"/>
      <c r="CB8" s="472" t="n"/>
      <c r="CC8" s="472" t="n"/>
      <c r="CD8" s="472" t="n"/>
      <c r="CE8" s="472" t="n"/>
      <c r="CF8" s="472" t="n"/>
      <c r="CG8" s="472" t="n"/>
      <c r="CH8" s="472" t="n"/>
    </row>
    <row r="9" ht="15" customFormat="1" customHeight="1" s="381">
      <c r="A9" s="472" t="inlineStr">
        <is>
          <t>PIK Interest</t>
        </is>
      </c>
      <c r="B9" s="617" t="n">
        <v>0</v>
      </c>
      <c r="C9" s="617" t="n">
        <v>0</v>
      </c>
      <c r="D9" s="617">
        <f>B9+C9</f>
        <v>0</v>
      </c>
      <c r="E9" s="472" t="n"/>
      <c r="F9" s="472" t="n"/>
      <c r="G9" s="472" t="n"/>
      <c r="H9" s="472" t="n"/>
      <c r="I9" s="472" t="n"/>
      <c r="J9" s="472" t="n"/>
      <c r="K9" s="472" t="n"/>
      <c r="L9" s="472" t="n"/>
      <c r="M9" s="472" t="n"/>
      <c r="N9" s="472" t="n"/>
      <c r="O9" s="472" t="n"/>
      <c r="P9" s="472" t="n"/>
      <c r="Q9" s="472" t="n"/>
      <c r="R9" s="472" t="n"/>
      <c r="S9" s="472" t="n"/>
      <c r="T9" s="472" t="n"/>
      <c r="U9" s="472" t="n"/>
      <c r="V9" s="472" t="n"/>
      <c r="W9" s="472" t="n"/>
      <c r="X9" s="472" t="n"/>
      <c r="Y9" s="472" t="n"/>
      <c r="Z9" s="472" t="n"/>
      <c r="AA9" s="472" t="n"/>
      <c r="AB9" s="472" t="n"/>
      <c r="AC9" s="472" t="n"/>
      <c r="AD9" s="472" t="n"/>
      <c r="AE9" s="472" t="n"/>
      <c r="AF9" s="472" t="n"/>
      <c r="AG9" s="472" t="n"/>
      <c r="AH9" s="472" t="n"/>
      <c r="AI9" s="472" t="n"/>
      <c r="AJ9" s="472" t="n"/>
      <c r="AK9" s="472" t="n"/>
      <c r="AL9" s="472" t="n"/>
      <c r="AM9" s="472" t="n"/>
      <c r="AN9" s="472" t="n"/>
      <c r="AO9" s="472" t="n"/>
      <c r="AP9" s="472" t="n"/>
      <c r="AQ9" s="472" t="n"/>
      <c r="AR9" s="472" t="n"/>
      <c r="AS9" s="472" t="n"/>
      <c r="AT9" s="472" t="n"/>
      <c r="AU9" s="472" t="n"/>
      <c r="AV9" s="472" t="n"/>
      <c r="AW9" s="472" t="n"/>
      <c r="AX9" s="472" t="n"/>
      <c r="AY9" s="472" t="n"/>
      <c r="AZ9" s="472" t="n"/>
      <c r="BA9" s="472" t="n"/>
      <c r="BB9" s="472" t="n"/>
      <c r="BC9" s="472" t="n"/>
      <c r="BD9" s="472" t="n"/>
      <c r="BE9" s="472" t="n"/>
      <c r="BF9" s="472" t="n"/>
      <c r="BG9" s="472" t="n"/>
      <c r="BH9" s="472" t="n"/>
      <c r="BI9" s="472" t="n"/>
      <c r="BJ9" s="472" t="n"/>
      <c r="BK9" s="472" t="n"/>
      <c r="BL9" s="472" t="n"/>
      <c r="BM9" s="472" t="n"/>
      <c r="BN9" s="472" t="n"/>
      <c r="BO9" s="472" t="n"/>
      <c r="BP9" s="472" t="n"/>
      <c r="BQ9" s="472" t="n"/>
      <c r="BR9" s="472" t="n"/>
      <c r="BS9" s="472" t="n"/>
      <c r="BT9" s="472" t="n"/>
      <c r="BU9" s="472" t="n"/>
      <c r="BV9" s="472" t="n"/>
      <c r="BW9" s="472" t="n"/>
      <c r="BX9" s="472" t="n"/>
      <c r="BY9" s="472" t="n"/>
      <c r="BZ9" s="472" t="n"/>
      <c r="CA9" s="472" t="n"/>
      <c r="CB9" s="472" t="n"/>
      <c r="CC9" s="472" t="n"/>
      <c r="CD9" s="472" t="n"/>
      <c r="CE9" s="472" t="n"/>
      <c r="CF9" s="472" t="n"/>
      <c r="CG9" s="472" t="n"/>
      <c r="CH9" s="472" t="n"/>
    </row>
    <row r="10" ht="15" customFormat="1" customHeight="1" s="381">
      <c r="A10" s="626" t="inlineStr">
        <is>
          <t>Net Income to Six Peak</t>
        </is>
      </c>
      <c r="B10" s="629">
        <f>SUM(B6:B9)</f>
        <v>409534.35</v>
      </c>
      <c r="C10" s="629">
        <f>SUM(C6:C9)</f>
        <v>1988974</v>
      </c>
      <c r="D10" s="629">
        <f>SUM(D6:D9)</f>
        <v>2398508.35</v>
      </c>
      <c r="E10" s="617" t="n"/>
      <c r="F10" s="617" t="n"/>
      <c r="G10" s="617" t="n"/>
      <c r="H10" s="617" t="n"/>
      <c r="I10" s="617" t="n"/>
      <c r="J10" s="617" t="n"/>
      <c r="K10" s="617" t="n"/>
      <c r="L10" s="617" t="n"/>
      <c r="M10" s="617" t="n"/>
      <c r="N10" s="617" t="n"/>
      <c r="O10" s="617" t="n"/>
      <c r="P10" s="617" t="n"/>
      <c r="Q10" s="617" t="n"/>
      <c r="R10" s="617" t="n"/>
      <c r="S10" s="617" t="n"/>
      <c r="T10" s="617" t="n"/>
      <c r="U10" s="617" t="n"/>
      <c r="V10" s="617" t="n"/>
      <c r="W10" s="617" t="n"/>
      <c r="X10" s="617" t="n"/>
      <c r="Y10" s="617" t="n"/>
      <c r="Z10" s="617" t="n"/>
      <c r="AA10" s="617" t="n"/>
      <c r="AB10" s="617" t="n"/>
      <c r="AC10" s="617" t="n"/>
      <c r="AD10" s="617" t="n"/>
      <c r="AE10" s="617" t="n"/>
      <c r="AF10" s="617" t="n"/>
      <c r="AG10" s="617" t="n"/>
      <c r="AH10" s="617" t="n"/>
      <c r="AI10" s="617" t="n"/>
      <c r="AJ10" s="617" t="n"/>
      <c r="AK10" s="617" t="n"/>
      <c r="AL10" s="617" t="n"/>
      <c r="AM10" s="617" t="n"/>
      <c r="AN10" s="617" t="n"/>
      <c r="AO10" s="617" t="n"/>
      <c r="AP10" s="617" t="n"/>
      <c r="AQ10" s="617" t="n"/>
      <c r="AR10" s="617" t="n"/>
      <c r="AS10" s="617" t="n"/>
      <c r="AT10" s="617" t="n"/>
      <c r="AU10" s="617" t="n"/>
      <c r="AV10" s="617" t="n"/>
      <c r="AW10" s="617" t="n"/>
      <c r="AX10" s="617" t="n"/>
      <c r="AY10" s="617" t="n"/>
      <c r="AZ10" s="617" t="n"/>
      <c r="BA10" s="617" t="n"/>
      <c r="BB10" s="617" t="n"/>
      <c r="BC10" s="617" t="n"/>
      <c r="BD10" s="617" t="n"/>
      <c r="BE10" s="617" t="n"/>
      <c r="BF10" s="617" t="n"/>
      <c r="BG10" s="617" t="n"/>
      <c r="BH10" s="617" t="n"/>
      <c r="BI10" s="617" t="n"/>
      <c r="BJ10" s="617" t="n"/>
      <c r="BK10" s="617" t="n"/>
      <c r="BL10" s="617" t="n"/>
      <c r="BM10" s="617" t="n"/>
      <c r="BN10" s="617" t="n"/>
      <c r="BO10" s="617" t="n"/>
      <c r="BP10" s="617" t="n"/>
      <c r="BQ10" s="617" t="n"/>
      <c r="BR10" s="617" t="n"/>
      <c r="BS10" s="617" t="n"/>
      <c r="BT10" s="617" t="n"/>
      <c r="BU10" s="617" t="n"/>
      <c r="BV10" s="617" t="n"/>
      <c r="BW10" s="617" t="n"/>
      <c r="BX10" s="617" t="n"/>
      <c r="BY10" s="617" t="n"/>
      <c r="BZ10" s="617" t="n"/>
      <c r="CA10" s="617" t="n"/>
      <c r="CB10" s="617" t="n"/>
      <c r="CC10" s="617" t="n"/>
      <c r="CD10" s="617" t="n"/>
      <c r="CE10" s="617" t="n"/>
      <c r="CF10" s="617" t="n"/>
      <c r="CG10" s="617" t="n"/>
      <c r="CH10" s="617" t="n"/>
    </row>
    <row r="11" ht="15" customFormat="1" customHeight="1" s="381">
      <c r="A11" s="717" t="n"/>
      <c r="B11" s="718" t="n"/>
      <c r="C11" s="718" t="n"/>
      <c r="D11" s="718" t="n"/>
      <c r="E11" s="617" t="n"/>
      <c r="F11" s="617" t="n"/>
      <c r="G11" s="617" t="n"/>
      <c r="H11" s="617" t="n"/>
      <c r="I11" s="617" t="n"/>
      <c r="J11" s="617" t="n"/>
      <c r="K11" s="617" t="n"/>
      <c r="L11" s="617" t="n"/>
      <c r="M11" s="617" t="n"/>
      <c r="N11" s="617" t="n"/>
      <c r="O11" s="617" t="n"/>
      <c r="P11" s="617" t="n"/>
      <c r="Q11" s="617" t="n"/>
      <c r="R11" s="617" t="n"/>
      <c r="S11" s="617" t="n"/>
      <c r="T11" s="617" t="n"/>
      <c r="U11" s="617" t="n"/>
      <c r="V11" s="617" t="n"/>
      <c r="W11" s="617" t="n"/>
      <c r="X11" s="617" t="n"/>
      <c r="Y11" s="617" t="n"/>
      <c r="Z11" s="617" t="n"/>
      <c r="AA11" s="617" t="n"/>
      <c r="AB11" s="617" t="n"/>
      <c r="AC11" s="617" t="n"/>
      <c r="AD11" s="617" t="n"/>
      <c r="AE11" s="617" t="n"/>
      <c r="AF11" s="617" t="n"/>
      <c r="AG11" s="617" t="n"/>
      <c r="AH11" s="617" t="n"/>
      <c r="AI11" s="617" t="n"/>
      <c r="AJ11" s="617" t="n"/>
      <c r="AK11" s="617" t="n"/>
      <c r="AL11" s="617" t="n"/>
      <c r="AM11" s="617" t="n"/>
      <c r="AN11" s="617" t="n"/>
      <c r="AO11" s="617" t="n"/>
      <c r="AP11" s="617" t="n"/>
      <c r="AQ11" s="617" t="n"/>
      <c r="AR11" s="617" t="n"/>
      <c r="AS11" s="617" t="n"/>
      <c r="AT11" s="617" t="n"/>
      <c r="AU11" s="617" t="n"/>
      <c r="AV11" s="617" t="n"/>
      <c r="AW11" s="617" t="n"/>
      <c r="AX11" s="617" t="n"/>
      <c r="AY11" s="617" t="n"/>
      <c r="AZ11" s="617" t="n"/>
      <c r="BA11" s="617" t="n"/>
      <c r="BB11" s="617" t="n"/>
      <c r="BC11" s="617" t="n"/>
      <c r="BD11" s="617" t="n"/>
      <c r="BE11" s="617" t="n"/>
      <c r="BF11" s="617" t="n"/>
      <c r="BG11" s="617" t="n"/>
      <c r="BH11" s="617" t="n"/>
      <c r="BI11" s="617" t="n"/>
      <c r="BJ11" s="617" t="n"/>
      <c r="BK11" s="617" t="n"/>
      <c r="BL11" s="617" t="n"/>
      <c r="BM11" s="617" t="n"/>
      <c r="BN11" s="617" t="n"/>
      <c r="BO11" s="617" t="n"/>
      <c r="BP11" s="617" t="n"/>
      <c r="BQ11" s="617" t="n"/>
      <c r="BR11" s="617" t="n"/>
      <c r="BS11" s="617" t="n"/>
      <c r="BT11" s="617" t="n"/>
      <c r="BU11" s="617" t="n"/>
      <c r="BV11" s="617" t="n"/>
      <c r="BW11" s="617" t="n"/>
      <c r="BX11" s="617" t="n"/>
      <c r="BY11" s="617" t="n"/>
      <c r="BZ11" s="617" t="n"/>
      <c r="CA11" s="617" t="n"/>
      <c r="CB11" s="617" t="n"/>
      <c r="CC11" s="617" t="n"/>
      <c r="CD11" s="617" t="n"/>
      <c r="CE11" s="617" t="n"/>
      <c r="CF11" s="617" t="n"/>
      <c r="CG11" s="617" t="n"/>
      <c r="CH11" s="617" t="n"/>
    </row>
    <row r="12" ht="15" customFormat="1" customHeight="1" s="381">
      <c r="A12" s="689" t="inlineStr">
        <is>
          <t>3rd Street</t>
        </is>
      </c>
      <c r="B12" s="689" t="n"/>
      <c r="C12" s="719" t="n"/>
      <c r="D12" s="719" t="n"/>
      <c r="E12" s="617" t="n"/>
      <c r="F12" s="617" t="n"/>
      <c r="G12" s="617" t="n"/>
      <c r="H12" s="617" t="n"/>
      <c r="I12" s="617" t="n"/>
      <c r="J12" s="617" t="n"/>
      <c r="K12" s="617" t="n"/>
      <c r="L12" s="617" t="n"/>
      <c r="M12" s="617" t="n"/>
      <c r="N12" s="617" t="n"/>
      <c r="O12" s="617" t="n"/>
      <c r="P12" s="617" t="n"/>
      <c r="Q12" s="617" t="n"/>
      <c r="R12" s="617" t="n"/>
      <c r="S12" s="617" t="n"/>
      <c r="T12" s="617" t="n"/>
      <c r="U12" s="617" t="n"/>
      <c r="V12" s="617" t="n"/>
      <c r="W12" s="617" t="n"/>
      <c r="X12" s="617" t="n"/>
      <c r="Y12" s="617" t="n"/>
      <c r="Z12" s="617" t="n"/>
      <c r="AA12" s="617" t="n"/>
      <c r="AB12" s="617" t="n"/>
      <c r="AC12" s="617" t="n"/>
      <c r="AD12" s="617" t="n"/>
      <c r="AE12" s="617" t="n"/>
      <c r="AF12" s="617" t="n"/>
      <c r="AG12" s="617" t="n"/>
      <c r="AH12" s="617" t="n"/>
      <c r="AI12" s="617" t="n"/>
      <c r="AJ12" s="617" t="n"/>
      <c r="AK12" s="617" t="n"/>
      <c r="AL12" s="617" t="n"/>
      <c r="AM12" s="617" t="n"/>
      <c r="AN12" s="617" t="n"/>
      <c r="AO12" s="617" t="n"/>
      <c r="AP12" s="617" t="n"/>
      <c r="AQ12" s="617" t="n"/>
      <c r="AR12" s="617" t="n"/>
      <c r="AS12" s="617" t="n"/>
      <c r="AT12" s="617" t="n"/>
      <c r="AU12" s="617" t="n"/>
      <c r="AV12" s="617" t="n"/>
      <c r="AW12" s="617" t="n"/>
      <c r="AX12" s="617" t="n"/>
      <c r="AY12" s="617" t="n"/>
      <c r="AZ12" s="617" t="n"/>
      <c r="BA12" s="617" t="n"/>
      <c r="BB12" s="617" t="n"/>
      <c r="BC12" s="617" t="n"/>
      <c r="BD12" s="617" t="n"/>
      <c r="BE12" s="617" t="n"/>
      <c r="BF12" s="617" t="n"/>
      <c r="BG12" s="617" t="n"/>
      <c r="BH12" s="617" t="n"/>
      <c r="BI12" s="617" t="n"/>
      <c r="BJ12" s="617" t="n"/>
      <c r="BK12" s="617" t="n"/>
      <c r="BL12" s="617" t="n"/>
      <c r="BM12" s="617" t="n"/>
      <c r="BN12" s="617" t="n"/>
      <c r="BO12" s="617" t="n"/>
      <c r="BP12" s="617" t="n"/>
      <c r="BQ12" s="617" t="n"/>
      <c r="BR12" s="617" t="n"/>
      <c r="BS12" s="617" t="n"/>
      <c r="BT12" s="617" t="n"/>
      <c r="BU12" s="617" t="n"/>
      <c r="BV12" s="617" t="n"/>
      <c r="BW12" s="617" t="n"/>
      <c r="BX12" s="617" t="n"/>
      <c r="BY12" s="617" t="n"/>
      <c r="BZ12" s="617" t="n"/>
      <c r="CA12" s="617" t="n"/>
      <c r="CB12" s="617" t="n"/>
      <c r="CC12" s="617" t="n"/>
      <c r="CD12" s="617" t="n"/>
      <c r="CE12" s="617" t="n"/>
      <c r="CF12" s="617" t="n"/>
      <c r="CG12" s="617" t="n"/>
      <c r="CH12" s="617" t="n"/>
    </row>
    <row r="13" ht="15" customFormat="1" customHeight="1" s="381">
      <c r="A13" s="715" t="inlineStr">
        <is>
          <t>LIHTC Revenue</t>
        </is>
      </c>
      <c r="B13" s="716">
        <f>SUM(Model!E164:CG164)</f>
        <v>219466</v>
      </c>
      <c r="C13" s="716">
        <f>Helpers!B48</f>
        <v>2706735</v>
      </c>
      <c r="D13" s="716">
        <f>B13+C13</f>
        <v>2926201</v>
      </c>
      <c r="E13" s="617" t="n"/>
      <c r="F13" s="617" t="n"/>
      <c r="G13" s="617" t="n"/>
      <c r="H13" s="617" t="n"/>
      <c r="I13" s="617" t="n"/>
      <c r="J13" s="617" t="n"/>
      <c r="K13" s="617" t="n"/>
      <c r="L13" s="617" t="n"/>
      <c r="M13" s="617" t="n"/>
      <c r="N13" s="617" t="n"/>
      <c r="O13" s="617" t="n"/>
      <c r="P13" s="617" t="n"/>
      <c r="Q13" s="617" t="n"/>
      <c r="R13" s="617" t="n"/>
      <c r="S13" s="617" t="n"/>
      <c r="T13" s="617" t="n"/>
      <c r="U13" s="617" t="n"/>
      <c r="V13" s="617" t="n"/>
      <c r="W13" s="617" t="n"/>
      <c r="X13" s="617" t="n"/>
      <c r="Y13" s="617" t="n"/>
      <c r="Z13" s="617" t="n"/>
      <c r="AA13" s="617" t="n"/>
      <c r="AB13" s="617" t="n"/>
      <c r="AC13" s="617" t="n"/>
      <c r="AD13" s="617" t="n"/>
      <c r="AE13" s="617" t="n"/>
      <c r="AF13" s="617" t="n"/>
      <c r="AG13" s="617" t="n"/>
      <c r="AH13" s="617" t="n"/>
      <c r="AI13" s="617" t="n"/>
      <c r="AJ13" s="617" t="n"/>
      <c r="AK13" s="617" t="n"/>
      <c r="AL13" s="617" t="n"/>
      <c r="AM13" s="617" t="n"/>
      <c r="AN13" s="617" t="n"/>
      <c r="AO13" s="617" t="n"/>
      <c r="AP13" s="617" t="n"/>
      <c r="AQ13" s="617" t="n"/>
      <c r="AR13" s="617" t="n"/>
      <c r="AS13" s="617" t="n"/>
      <c r="AT13" s="617" t="n"/>
      <c r="AU13" s="617" t="n"/>
      <c r="AV13" s="617" t="n"/>
      <c r="AW13" s="617" t="n"/>
      <c r="AX13" s="617" t="n"/>
      <c r="AY13" s="617" t="n"/>
      <c r="AZ13" s="617" t="n"/>
      <c r="BA13" s="617" t="n"/>
      <c r="BB13" s="617" t="n"/>
      <c r="BC13" s="617" t="n"/>
      <c r="BD13" s="617" t="n"/>
      <c r="BE13" s="617" t="n"/>
      <c r="BF13" s="617" t="n"/>
      <c r="BG13" s="617" t="n"/>
      <c r="BH13" s="617" t="n"/>
      <c r="BI13" s="617" t="n"/>
      <c r="BJ13" s="617" t="n"/>
      <c r="BK13" s="617" t="n"/>
      <c r="BL13" s="617" t="n"/>
      <c r="BM13" s="617" t="n"/>
      <c r="BN13" s="617" t="n"/>
      <c r="BO13" s="617" t="n"/>
      <c r="BP13" s="617" t="n"/>
      <c r="BQ13" s="617" t="n"/>
      <c r="BR13" s="617" t="n"/>
      <c r="BS13" s="617" t="n"/>
      <c r="BT13" s="617" t="n"/>
      <c r="BU13" s="617" t="n"/>
      <c r="BV13" s="617" t="n"/>
      <c r="BW13" s="617" t="n"/>
      <c r="BX13" s="617" t="n"/>
      <c r="BY13" s="617" t="n"/>
      <c r="BZ13" s="617" t="n"/>
      <c r="CA13" s="617" t="n"/>
      <c r="CB13" s="617" t="n"/>
      <c r="CC13" s="617" t="n"/>
      <c r="CD13" s="617" t="n"/>
      <c r="CE13" s="617" t="n"/>
      <c r="CF13" s="617" t="n"/>
      <c r="CG13" s="617" t="n"/>
      <c r="CH13" s="617" t="n"/>
    </row>
    <row r="14" ht="15" customFormat="1" customHeight="1" s="381">
      <c r="A14" s="720" t="inlineStr">
        <is>
          <t>GMP Fee (1%)</t>
        </is>
      </c>
      <c r="B14" s="721">
        <f>-Projects!$B$14*Assumptions!$B$47</f>
        <v>-413546.32</v>
      </c>
      <c r="C14" s="721" t="n">
        <v>0</v>
      </c>
      <c r="D14" s="721">
        <f>B14+C14</f>
        <v>-413546.32</v>
      </c>
      <c r="E14" s="617" t="n"/>
      <c r="F14" s="617" t="n"/>
      <c r="G14" s="617" t="n"/>
      <c r="H14" s="617" t="n"/>
      <c r="I14" s="617" t="n"/>
      <c r="J14" s="617" t="n"/>
      <c r="K14" s="617" t="n"/>
      <c r="L14" s="617" t="n"/>
      <c r="M14" s="617" t="n"/>
      <c r="N14" s="617" t="n"/>
      <c r="O14" s="617" t="n"/>
      <c r="P14" s="617" t="n"/>
      <c r="Q14" s="617" t="n"/>
      <c r="R14" s="617" t="n"/>
      <c r="S14" s="617" t="n"/>
      <c r="T14" s="617" t="n"/>
      <c r="U14" s="617" t="n"/>
      <c r="V14" s="617" t="n"/>
      <c r="W14" s="617" t="n"/>
      <c r="X14" s="617" t="n"/>
      <c r="Y14" s="617" t="n"/>
      <c r="Z14" s="617" t="n"/>
      <c r="AA14" s="617" t="n"/>
      <c r="AB14" s="617" t="n"/>
      <c r="AC14" s="617" t="n"/>
      <c r="AD14" s="617" t="n"/>
      <c r="AE14" s="617" t="n"/>
      <c r="AF14" s="617" t="n"/>
      <c r="AG14" s="617" t="n"/>
      <c r="AH14" s="617" t="n"/>
      <c r="AI14" s="617" t="n"/>
      <c r="AJ14" s="617" t="n"/>
      <c r="AK14" s="617" t="n"/>
      <c r="AL14" s="617" t="n"/>
      <c r="AM14" s="617" t="n"/>
      <c r="AN14" s="617" t="n"/>
      <c r="AO14" s="617" t="n"/>
      <c r="AP14" s="617" t="n"/>
      <c r="AQ14" s="617" t="n"/>
      <c r="AR14" s="617" t="n"/>
      <c r="AS14" s="617" t="n"/>
      <c r="AT14" s="617" t="n"/>
      <c r="AU14" s="617" t="n"/>
      <c r="AV14" s="617" t="n"/>
      <c r="AW14" s="617" t="n"/>
      <c r="AX14" s="617" t="n"/>
      <c r="AY14" s="617" t="n"/>
      <c r="AZ14" s="617" t="n"/>
      <c r="BA14" s="617" t="n"/>
      <c r="BB14" s="617" t="n"/>
      <c r="BC14" s="617" t="n"/>
      <c r="BD14" s="617" t="n"/>
      <c r="BE14" s="617" t="n"/>
      <c r="BF14" s="617" t="n"/>
      <c r="BG14" s="617" t="n"/>
      <c r="BH14" s="617" t="n"/>
      <c r="BI14" s="617" t="n"/>
      <c r="BJ14" s="617" t="n"/>
      <c r="BK14" s="617" t="n"/>
      <c r="BL14" s="617" t="n"/>
      <c r="BM14" s="617" t="n"/>
      <c r="BN14" s="617" t="n"/>
      <c r="BO14" s="617" t="n"/>
      <c r="BP14" s="617" t="n"/>
      <c r="BQ14" s="617" t="n"/>
      <c r="BR14" s="617" t="n"/>
      <c r="BS14" s="617" t="n"/>
      <c r="BT14" s="617" t="n"/>
      <c r="BU14" s="617" t="n"/>
      <c r="BV14" s="617" t="n"/>
      <c r="BW14" s="617" t="n"/>
      <c r="BX14" s="617" t="n"/>
      <c r="BY14" s="617" t="n"/>
      <c r="BZ14" s="617" t="n"/>
      <c r="CA14" s="617" t="n"/>
      <c r="CB14" s="617" t="n"/>
      <c r="CC14" s="617" t="n"/>
      <c r="CD14" s="617" t="n"/>
      <c r="CE14" s="617" t="n"/>
      <c r="CF14" s="617" t="n"/>
      <c r="CG14" s="617" t="n"/>
      <c r="CH14" s="617" t="n"/>
    </row>
    <row r="15" ht="15" customFormat="1" customHeight="1" s="381">
      <c r="A15" s="715" t="inlineStr">
        <is>
          <t>Liquidity Guarantee Fee (3%)</t>
        </is>
      </c>
      <c r="B15" s="716">
        <f>-Assumptions!$B$55*Assumptions!$B$48</f>
        <v>-150000</v>
      </c>
      <c r="C15" s="716" t="n">
        <v>0</v>
      </c>
      <c r="D15" s="716">
        <f>B15+C15</f>
        <v>-150000</v>
      </c>
      <c r="E15" s="472" t="n"/>
      <c r="F15" s="472" t="n"/>
      <c r="G15" s="472" t="n"/>
      <c r="H15" s="472" t="n"/>
      <c r="I15" s="472" t="n"/>
      <c r="J15" s="472" t="n"/>
      <c r="K15" s="472" t="n"/>
      <c r="L15" s="472" t="n"/>
      <c r="M15" s="472" t="n"/>
      <c r="N15" s="472" t="n"/>
      <c r="O15" s="472" t="n"/>
      <c r="P15" s="472" t="n"/>
      <c r="Q15" s="472" t="n"/>
      <c r="R15" s="472" t="n"/>
      <c r="S15" s="472" t="n"/>
      <c r="T15" s="472" t="n"/>
      <c r="U15" s="472" t="n"/>
      <c r="V15" s="472" t="n"/>
      <c r="W15" s="472" t="n"/>
      <c r="X15" s="472" t="n"/>
      <c r="Y15" s="472" t="n"/>
      <c r="Z15" s="472" t="n"/>
      <c r="AA15" s="472" t="n"/>
      <c r="AB15" s="472" t="n"/>
      <c r="AC15" s="472" t="n"/>
      <c r="AD15" s="472" t="n"/>
      <c r="AE15" s="472" t="n"/>
      <c r="AF15" s="472" t="n"/>
      <c r="AG15" s="472" t="n"/>
      <c r="AH15" s="472" t="n"/>
      <c r="AI15" s="472" t="n"/>
      <c r="AJ15" s="472" t="n"/>
      <c r="AK15" s="472" t="n"/>
      <c r="AL15" s="472" t="n"/>
      <c r="AM15" s="472" t="n"/>
      <c r="AN15" s="472" t="n"/>
      <c r="AO15" s="472" t="n"/>
      <c r="AP15" s="472" t="n"/>
      <c r="AQ15" s="472" t="n"/>
      <c r="AR15" s="472" t="n"/>
      <c r="AS15" s="472" t="n"/>
      <c r="AT15" s="472" t="n"/>
      <c r="AU15" s="472" t="n"/>
      <c r="AV15" s="472" t="n"/>
      <c r="AW15" s="472" t="n"/>
      <c r="AX15" s="472" t="n"/>
      <c r="AY15" s="472" t="n"/>
      <c r="AZ15" s="472" t="n"/>
      <c r="BA15" s="472" t="n"/>
      <c r="BB15" s="472" t="n"/>
      <c r="BC15" s="472" t="n"/>
      <c r="BD15" s="472" t="n"/>
      <c r="BE15" s="472" t="n"/>
      <c r="BF15" s="472" t="n"/>
      <c r="BG15" s="472" t="n"/>
      <c r="BH15" s="472" t="n"/>
      <c r="BI15" s="472" t="n"/>
      <c r="BJ15" s="472" t="n"/>
      <c r="BK15" s="472" t="n"/>
      <c r="BL15" s="472" t="n"/>
      <c r="BM15" s="472" t="n"/>
      <c r="BN15" s="472" t="n"/>
      <c r="BO15" s="472" t="n"/>
      <c r="BP15" s="472" t="n"/>
      <c r="BQ15" s="472" t="n"/>
      <c r="BR15" s="472" t="n"/>
      <c r="BS15" s="472" t="n"/>
      <c r="BT15" s="472" t="n"/>
      <c r="BU15" s="472" t="n"/>
      <c r="BV15" s="472" t="n"/>
      <c r="BW15" s="472" t="n"/>
      <c r="BX15" s="472" t="n"/>
      <c r="BY15" s="472" t="n"/>
      <c r="BZ15" s="472" t="n"/>
      <c r="CA15" s="472" t="n"/>
      <c r="CB15" s="472" t="n"/>
      <c r="CC15" s="472" t="n"/>
      <c r="CD15" s="472" t="n"/>
      <c r="CE15" s="472" t="n"/>
      <c r="CF15" s="472" t="n"/>
      <c r="CG15" s="472" t="n"/>
      <c r="CH15" s="472" t="n"/>
    </row>
    <row r="16" ht="15" customFormat="1" customHeight="1" s="381">
      <c r="A16" s="720" t="inlineStr">
        <is>
          <t>PIK Interest</t>
        </is>
      </c>
      <c r="B16" s="721">
        <f>-SUM(Model!E238:CG238)</f>
        <v>-583237.358559202</v>
      </c>
      <c r="C16" s="721">
        <f>-Helpers!F93</f>
        <v>-240125.881206445</v>
      </c>
      <c r="D16" s="721">
        <f>B16+C16</f>
        <v>-823363.239765647</v>
      </c>
      <c r="E16" s="472" t="n"/>
      <c r="F16" s="472" t="n"/>
      <c r="G16" s="472" t="n"/>
      <c r="H16" s="472" t="n"/>
      <c r="I16" s="472" t="n"/>
      <c r="J16" s="472" t="n"/>
      <c r="K16" s="472" t="n"/>
      <c r="L16" s="472" t="n"/>
      <c r="M16" s="472" t="n"/>
      <c r="N16" s="472" t="n"/>
      <c r="O16" s="472" t="n"/>
      <c r="P16" s="472" t="n"/>
      <c r="Q16" s="472" t="n"/>
      <c r="R16" s="472" t="n"/>
      <c r="S16" s="472" t="n"/>
      <c r="T16" s="472" t="n"/>
      <c r="U16" s="472" t="n"/>
      <c r="V16" s="472" t="n"/>
      <c r="W16" s="472" t="n"/>
      <c r="X16" s="472" t="n"/>
      <c r="Y16" s="472" t="n"/>
      <c r="Z16" s="472" t="n"/>
      <c r="AA16" s="472" t="n"/>
      <c r="AB16" s="472" t="n"/>
      <c r="AC16" s="472" t="n"/>
      <c r="AD16" s="472" t="n"/>
      <c r="AE16" s="472" t="n"/>
      <c r="AF16" s="472" t="n"/>
      <c r="AG16" s="472" t="n"/>
      <c r="AH16" s="472" t="n"/>
      <c r="AI16" s="472" t="n"/>
      <c r="AJ16" s="472" t="n"/>
      <c r="AK16" s="472" t="n"/>
      <c r="AL16" s="472" t="n"/>
      <c r="AM16" s="472" t="n"/>
      <c r="AN16" s="472" t="n"/>
      <c r="AO16" s="472" t="n"/>
      <c r="AP16" s="472" t="n"/>
      <c r="AQ16" s="472" t="n"/>
      <c r="AR16" s="472" t="n"/>
      <c r="AS16" s="472" t="n"/>
      <c r="AT16" s="472" t="n"/>
      <c r="AU16" s="472" t="n"/>
      <c r="AV16" s="472" t="n"/>
      <c r="AW16" s="472" t="n"/>
      <c r="AX16" s="472" t="n"/>
      <c r="AY16" s="472" t="n"/>
      <c r="AZ16" s="472" t="n"/>
      <c r="BA16" s="472" t="n"/>
      <c r="BB16" s="472" t="n"/>
      <c r="BC16" s="472" t="n"/>
      <c r="BD16" s="472" t="n"/>
      <c r="BE16" s="472" t="n"/>
      <c r="BF16" s="472" t="n"/>
      <c r="BG16" s="472" t="n"/>
      <c r="BH16" s="472" t="n"/>
      <c r="BI16" s="472" t="n"/>
      <c r="BJ16" s="472" t="n"/>
      <c r="BK16" s="472" t="n"/>
      <c r="BL16" s="472" t="n"/>
      <c r="BM16" s="472" t="n"/>
      <c r="BN16" s="472" t="n"/>
      <c r="BO16" s="472" t="n"/>
      <c r="BP16" s="472" t="n"/>
      <c r="BQ16" s="472" t="n"/>
      <c r="BR16" s="472" t="n"/>
      <c r="BS16" s="472" t="n"/>
      <c r="BT16" s="472" t="n"/>
      <c r="BU16" s="472" t="n"/>
      <c r="BV16" s="472" t="n"/>
      <c r="BW16" s="472" t="n"/>
      <c r="BX16" s="472" t="n"/>
      <c r="BY16" s="472" t="n"/>
      <c r="BZ16" s="472" t="n"/>
      <c r="CA16" s="472" t="n"/>
      <c r="CB16" s="472" t="n"/>
      <c r="CC16" s="472" t="n"/>
      <c r="CD16" s="472" t="n"/>
      <c r="CE16" s="472" t="n"/>
      <c r="CF16" s="472" t="n"/>
      <c r="CG16" s="472" t="n"/>
      <c r="CH16" s="472" t="n"/>
    </row>
    <row r="17" ht="15" customFormat="1" customHeight="1" s="381">
      <c r="A17" s="480" t="inlineStr">
        <is>
          <t>Net Income to Six Peak</t>
        </is>
      </c>
      <c r="B17" s="618">
        <f>SUM(B13:B16)</f>
        <v>-927317.678559202</v>
      </c>
      <c r="C17" s="618">
        <f>SUM(C13:C16)</f>
        <v>2466609.11879355</v>
      </c>
      <c r="D17" s="618">
        <f>SUM(D13:D16)</f>
        <v>1539291.44023435</v>
      </c>
      <c r="E17" s="617" t="n"/>
      <c r="F17" s="617" t="n"/>
      <c r="G17" s="617" t="n"/>
      <c r="H17" s="617" t="n"/>
      <c r="I17" s="617" t="n"/>
      <c r="J17" s="617" t="n"/>
      <c r="K17" s="617" t="n"/>
      <c r="L17" s="617" t="n"/>
      <c r="M17" s="617" t="n"/>
      <c r="N17" s="617" t="n"/>
      <c r="O17" s="617" t="n"/>
      <c r="P17" s="617" t="n"/>
      <c r="Q17" s="617" t="n"/>
      <c r="R17" s="617" t="n"/>
      <c r="S17" s="617" t="n"/>
      <c r="T17" s="617" t="n"/>
      <c r="U17" s="617" t="n"/>
      <c r="V17" s="617" t="n"/>
      <c r="W17" s="617" t="n"/>
      <c r="X17" s="617" t="n"/>
      <c r="Y17" s="617" t="n"/>
      <c r="Z17" s="617" t="n"/>
      <c r="AA17" s="617" t="n"/>
      <c r="AB17" s="617" t="n"/>
      <c r="AC17" s="617" t="n"/>
      <c r="AD17" s="617" t="n"/>
      <c r="AE17" s="617" t="n"/>
      <c r="AF17" s="617" t="n"/>
      <c r="AG17" s="617" t="n"/>
      <c r="AH17" s="617" t="n"/>
      <c r="AI17" s="617" t="n"/>
      <c r="AJ17" s="617" t="n"/>
      <c r="AK17" s="617" t="n"/>
      <c r="AL17" s="617" t="n"/>
      <c r="AM17" s="617" t="n"/>
      <c r="AN17" s="617" t="n"/>
      <c r="AO17" s="617" t="n"/>
      <c r="AP17" s="617" t="n"/>
      <c r="AQ17" s="617" t="n"/>
      <c r="AR17" s="617" t="n"/>
      <c r="AS17" s="617" t="n"/>
      <c r="AT17" s="617" t="n"/>
      <c r="AU17" s="617" t="n"/>
      <c r="AV17" s="617" t="n"/>
      <c r="AW17" s="617" t="n"/>
      <c r="AX17" s="617" t="n"/>
      <c r="AY17" s="617" t="n"/>
      <c r="AZ17" s="617" t="n"/>
      <c r="BA17" s="617" t="n"/>
      <c r="BB17" s="617" t="n"/>
      <c r="BC17" s="617" t="n"/>
      <c r="BD17" s="617" t="n"/>
      <c r="BE17" s="617" t="n"/>
      <c r="BF17" s="617" t="n"/>
      <c r="BG17" s="617" t="n"/>
      <c r="BH17" s="617" t="n"/>
      <c r="BI17" s="617" t="n"/>
      <c r="BJ17" s="617" t="n"/>
      <c r="BK17" s="617" t="n"/>
      <c r="BL17" s="617" t="n"/>
      <c r="BM17" s="617" t="n"/>
      <c r="BN17" s="617" t="n"/>
      <c r="BO17" s="617" t="n"/>
      <c r="BP17" s="617" t="n"/>
      <c r="BQ17" s="617" t="n"/>
      <c r="BR17" s="617" t="n"/>
      <c r="BS17" s="617" t="n"/>
      <c r="BT17" s="617" t="n"/>
      <c r="BU17" s="617" t="n"/>
      <c r="BV17" s="617" t="n"/>
      <c r="BW17" s="617" t="n"/>
      <c r="BX17" s="617" t="n"/>
      <c r="BY17" s="617" t="n"/>
      <c r="BZ17" s="617" t="n"/>
      <c r="CA17" s="617" t="n"/>
      <c r="CB17" s="617" t="n"/>
      <c r="CC17" s="617" t="n"/>
      <c r="CD17" s="617" t="n"/>
      <c r="CE17" s="617" t="n"/>
      <c r="CF17" s="617" t="n"/>
      <c r="CG17" s="617" t="n"/>
      <c r="CH17" s="617" t="n"/>
    </row>
    <row r="18" ht="15" customFormat="1" customHeight="1" s="381">
      <c r="A18" s="722" t="n"/>
      <c r="B18" s="723" t="n"/>
      <c r="C18" s="723" t="n"/>
      <c r="D18" s="723" t="n"/>
      <c r="E18" s="617" t="n"/>
      <c r="F18" s="617" t="n"/>
      <c r="G18" s="617" t="n"/>
      <c r="H18" s="617" t="n"/>
      <c r="I18" s="617" t="n"/>
      <c r="J18" s="617" t="n"/>
      <c r="K18" s="617" t="n"/>
      <c r="L18" s="617" t="n"/>
      <c r="M18" s="617" t="n"/>
      <c r="N18" s="617" t="n"/>
      <c r="O18" s="617" t="n"/>
      <c r="P18" s="617" t="n"/>
      <c r="Q18" s="617" t="n"/>
      <c r="R18" s="617" t="n"/>
      <c r="S18" s="617" t="n"/>
      <c r="T18" s="617" t="n"/>
      <c r="U18" s="617" t="n"/>
      <c r="V18" s="617" t="n"/>
      <c r="W18" s="617" t="n"/>
      <c r="X18" s="617" t="n"/>
      <c r="Y18" s="617" t="n"/>
      <c r="Z18" s="617" t="n"/>
      <c r="AA18" s="617" t="n"/>
      <c r="AB18" s="617" t="n"/>
      <c r="AC18" s="617" t="n"/>
      <c r="AD18" s="617" t="n"/>
      <c r="AE18" s="617" t="n"/>
      <c r="AF18" s="617" t="n"/>
      <c r="AG18" s="617" t="n"/>
      <c r="AH18" s="617" t="n"/>
      <c r="AI18" s="617" t="n"/>
      <c r="AJ18" s="617" t="n"/>
      <c r="AK18" s="617" t="n"/>
      <c r="AL18" s="617" t="n"/>
      <c r="AM18" s="617" t="n"/>
      <c r="AN18" s="617" t="n"/>
      <c r="AO18" s="617" t="n"/>
      <c r="AP18" s="617" t="n"/>
      <c r="AQ18" s="617" t="n"/>
      <c r="AR18" s="617" t="n"/>
      <c r="AS18" s="617" t="n"/>
      <c r="AT18" s="617" t="n"/>
      <c r="AU18" s="617" t="n"/>
      <c r="AV18" s="617" t="n"/>
      <c r="AW18" s="617" t="n"/>
      <c r="AX18" s="617" t="n"/>
      <c r="AY18" s="617" t="n"/>
      <c r="AZ18" s="617" t="n"/>
      <c r="BA18" s="617" t="n"/>
      <c r="BB18" s="617" t="n"/>
      <c r="BC18" s="617" t="n"/>
      <c r="BD18" s="617" t="n"/>
      <c r="BE18" s="617" t="n"/>
      <c r="BF18" s="617" t="n"/>
      <c r="BG18" s="617" t="n"/>
      <c r="BH18" s="617" t="n"/>
      <c r="BI18" s="617" t="n"/>
      <c r="BJ18" s="617" t="n"/>
      <c r="BK18" s="617" t="n"/>
      <c r="BL18" s="617" t="n"/>
      <c r="BM18" s="617" t="n"/>
      <c r="BN18" s="617" t="n"/>
      <c r="BO18" s="617" t="n"/>
      <c r="BP18" s="617" t="n"/>
      <c r="BQ18" s="617" t="n"/>
      <c r="BR18" s="617" t="n"/>
      <c r="BS18" s="617" t="n"/>
      <c r="BT18" s="617" t="n"/>
      <c r="BU18" s="617" t="n"/>
      <c r="BV18" s="617" t="n"/>
      <c r="BW18" s="617" t="n"/>
      <c r="BX18" s="617" t="n"/>
      <c r="BY18" s="617" t="n"/>
      <c r="BZ18" s="617" t="n"/>
      <c r="CA18" s="617" t="n"/>
      <c r="CB18" s="617" t="n"/>
      <c r="CC18" s="617" t="n"/>
      <c r="CD18" s="617" t="n"/>
      <c r="CE18" s="617" t="n"/>
      <c r="CF18" s="617" t="n"/>
      <c r="CG18" s="617" t="n"/>
      <c r="CH18" s="617" t="n"/>
    </row>
    <row r="19" ht="15" customFormat="1" customHeight="1" s="381">
      <c r="A19" s="724" t="inlineStr">
        <is>
          <t>Reseda</t>
        </is>
      </c>
      <c r="B19" s="725" t="n"/>
      <c r="C19" s="725" t="n"/>
      <c r="D19" s="725" t="n"/>
      <c r="E19" s="617" t="n"/>
      <c r="F19" s="617" t="n"/>
      <c r="G19" s="617" t="n"/>
      <c r="H19" s="617" t="n"/>
      <c r="I19" s="617" t="n"/>
      <c r="J19" s="617" t="n"/>
      <c r="K19" s="617" t="n"/>
      <c r="L19" s="617" t="n"/>
      <c r="M19" s="617" t="n"/>
      <c r="N19" s="617" t="n"/>
      <c r="O19" s="617" t="n"/>
      <c r="P19" s="617" t="n"/>
      <c r="Q19" s="617" t="n"/>
      <c r="R19" s="617" t="n"/>
      <c r="S19" s="617" t="n"/>
      <c r="T19" s="617" t="n"/>
      <c r="U19" s="617" t="n"/>
      <c r="V19" s="617" t="n"/>
      <c r="W19" s="617" t="n"/>
      <c r="X19" s="617" t="n"/>
      <c r="Y19" s="617" t="n"/>
      <c r="Z19" s="617" t="n"/>
      <c r="AA19" s="617" t="n"/>
      <c r="AB19" s="617" t="n"/>
      <c r="AC19" s="617" t="n"/>
      <c r="AD19" s="617" t="n"/>
      <c r="AE19" s="617" t="n"/>
      <c r="AF19" s="617" t="n"/>
      <c r="AG19" s="617" t="n"/>
      <c r="AH19" s="617" t="n"/>
      <c r="AI19" s="617" t="n"/>
      <c r="AJ19" s="617" t="n"/>
      <c r="AK19" s="617" t="n"/>
      <c r="AL19" s="617" t="n"/>
      <c r="AM19" s="617" t="n"/>
      <c r="AN19" s="617" t="n"/>
      <c r="AO19" s="617" t="n"/>
      <c r="AP19" s="617" t="n"/>
      <c r="AQ19" s="617" t="n"/>
      <c r="AR19" s="617" t="n"/>
      <c r="AS19" s="617" t="n"/>
      <c r="AT19" s="617" t="n"/>
      <c r="AU19" s="617" t="n"/>
      <c r="AV19" s="617" t="n"/>
      <c r="AW19" s="617" t="n"/>
      <c r="AX19" s="617" t="n"/>
      <c r="AY19" s="617" t="n"/>
      <c r="AZ19" s="617" t="n"/>
      <c r="BA19" s="617" t="n"/>
      <c r="BB19" s="617" t="n"/>
      <c r="BC19" s="617" t="n"/>
      <c r="BD19" s="617" t="n"/>
      <c r="BE19" s="617" t="n"/>
      <c r="BF19" s="617" t="n"/>
      <c r="BG19" s="617" t="n"/>
      <c r="BH19" s="617" t="n"/>
      <c r="BI19" s="617" t="n"/>
      <c r="BJ19" s="617" t="n"/>
      <c r="BK19" s="617" t="n"/>
      <c r="BL19" s="617" t="n"/>
      <c r="BM19" s="617" t="n"/>
      <c r="BN19" s="617" t="n"/>
      <c r="BO19" s="617" t="n"/>
      <c r="BP19" s="617" t="n"/>
      <c r="BQ19" s="617" t="n"/>
      <c r="BR19" s="617" t="n"/>
      <c r="BS19" s="617" t="n"/>
      <c r="BT19" s="617" t="n"/>
      <c r="BU19" s="617" t="n"/>
      <c r="BV19" s="617" t="n"/>
      <c r="BW19" s="617" t="n"/>
      <c r="BX19" s="617" t="n"/>
      <c r="BY19" s="617" t="n"/>
      <c r="BZ19" s="617" t="n"/>
      <c r="CA19" s="617" t="n"/>
      <c r="CB19" s="617" t="n"/>
      <c r="CC19" s="617" t="n"/>
      <c r="CD19" s="617" t="n"/>
      <c r="CE19" s="617" t="n"/>
      <c r="CF19" s="617" t="n"/>
      <c r="CG19" s="617" t="n"/>
      <c r="CH19" s="617" t="n"/>
    </row>
    <row r="20" ht="15" customFormat="1" customHeight="1" s="381">
      <c r="A20" s="726" t="inlineStr">
        <is>
          <t>LIHTC Revenue</t>
        </is>
      </c>
      <c r="B20" s="727">
        <f>SUM(Model!E163:CG163)</f>
        <v>1599927</v>
      </c>
      <c r="C20" s="727">
        <f>Helpers!B49</f>
        <v>2359498</v>
      </c>
      <c r="D20" s="727">
        <f>B20+C20</f>
        <v>3959425</v>
      </c>
      <c r="E20" s="472" t="n"/>
      <c r="F20" s="472" t="n"/>
      <c r="G20" s="472" t="n"/>
      <c r="H20" s="472" t="n"/>
      <c r="I20" s="472" t="n"/>
      <c r="J20" s="472" t="n"/>
      <c r="K20" s="472" t="n"/>
      <c r="L20" s="472" t="n"/>
      <c r="M20" s="472" t="n"/>
      <c r="N20" s="472" t="n"/>
      <c r="O20" s="472" t="n"/>
      <c r="P20" s="472" t="n"/>
      <c r="Q20" s="472" t="n"/>
      <c r="R20" s="472" t="n"/>
      <c r="S20" s="472" t="n"/>
      <c r="T20" s="472" t="n"/>
      <c r="U20" s="472" t="n"/>
      <c r="V20" s="472" t="n"/>
      <c r="W20" s="472" t="n"/>
      <c r="X20" s="472" t="n"/>
      <c r="Y20" s="472" t="n"/>
      <c r="Z20" s="472" t="n"/>
      <c r="AA20" s="472" t="n"/>
      <c r="AB20" s="472" t="n"/>
      <c r="AC20" s="472" t="n"/>
      <c r="AD20" s="472" t="n"/>
      <c r="AE20" s="472" t="n"/>
      <c r="AF20" s="472" t="n"/>
      <c r="AG20" s="472" t="n"/>
      <c r="AH20" s="472" t="n"/>
      <c r="AI20" s="472" t="n"/>
      <c r="AJ20" s="472" t="n"/>
      <c r="AK20" s="472" t="n"/>
      <c r="AL20" s="472" t="n"/>
      <c r="AM20" s="472" t="n"/>
      <c r="AN20" s="472" t="n"/>
      <c r="AO20" s="472" t="n"/>
      <c r="AP20" s="472" t="n"/>
      <c r="AQ20" s="472" t="n"/>
      <c r="AR20" s="472" t="n"/>
      <c r="AS20" s="472" t="n"/>
      <c r="AT20" s="472" t="n"/>
      <c r="AU20" s="472" t="n"/>
      <c r="AV20" s="472" t="n"/>
      <c r="AW20" s="472" t="n"/>
      <c r="AX20" s="472" t="n"/>
      <c r="AY20" s="472" t="n"/>
      <c r="AZ20" s="472" t="n"/>
      <c r="BA20" s="472" t="n"/>
      <c r="BB20" s="472" t="n"/>
      <c r="BC20" s="472" t="n"/>
      <c r="BD20" s="472" t="n"/>
      <c r="BE20" s="472" t="n"/>
      <c r="BF20" s="472" t="n"/>
      <c r="BG20" s="472" t="n"/>
      <c r="BH20" s="472" t="n"/>
      <c r="BI20" s="472" t="n"/>
      <c r="BJ20" s="472" t="n"/>
      <c r="BK20" s="472" t="n"/>
      <c r="BL20" s="472" t="n"/>
      <c r="BM20" s="472" t="n"/>
      <c r="BN20" s="472" t="n"/>
      <c r="BO20" s="472" t="n"/>
      <c r="BP20" s="472" t="n"/>
      <c r="BQ20" s="472" t="n"/>
      <c r="BR20" s="472" t="n"/>
      <c r="BS20" s="472" t="n"/>
      <c r="BT20" s="472" t="n"/>
      <c r="BU20" s="472" t="n"/>
      <c r="BV20" s="472" t="n"/>
      <c r="BW20" s="472" t="n"/>
      <c r="BX20" s="472" t="n"/>
      <c r="BY20" s="472" t="n"/>
      <c r="BZ20" s="472" t="n"/>
      <c r="CA20" s="472" t="n"/>
      <c r="CB20" s="472" t="n"/>
      <c r="CC20" s="472" t="n"/>
      <c r="CD20" s="472" t="n"/>
      <c r="CE20" s="472" t="n"/>
      <c r="CF20" s="472" t="n"/>
      <c r="CG20" s="472" t="n"/>
      <c r="CH20" s="472" t="n"/>
    </row>
    <row r="21" ht="15" customFormat="1" customHeight="1" s="381">
      <c r="A21" s="728" t="inlineStr">
        <is>
          <t>GMP Fee (1%)</t>
        </is>
      </c>
      <c r="B21" s="729">
        <f>-Projects!$B$13*Assumptions!$B$47</f>
        <v>-452667.7</v>
      </c>
      <c r="C21" s="729" t="n">
        <v>0</v>
      </c>
      <c r="D21" s="729">
        <f>B21+C21</f>
        <v>-452667.7</v>
      </c>
      <c r="E21" s="472" t="n"/>
      <c r="F21" s="472" t="n"/>
      <c r="G21" s="472" t="n"/>
      <c r="H21" s="472" t="n"/>
      <c r="I21" s="472" t="n"/>
      <c r="J21" s="472" t="n"/>
      <c r="K21" s="472" t="n"/>
      <c r="L21" s="472" t="n"/>
      <c r="M21" s="472" t="n"/>
      <c r="N21" s="472" t="n"/>
      <c r="O21" s="472" t="n"/>
      <c r="P21" s="472" t="n"/>
      <c r="Q21" s="472" t="n"/>
      <c r="R21" s="472" t="n"/>
      <c r="S21" s="472" t="n"/>
      <c r="T21" s="472" t="n"/>
      <c r="U21" s="472" t="n"/>
      <c r="V21" s="472" t="n"/>
      <c r="W21" s="472" t="n"/>
      <c r="X21" s="472" t="n"/>
      <c r="Y21" s="472" t="n"/>
      <c r="Z21" s="472" t="n"/>
      <c r="AA21" s="472" t="n"/>
      <c r="AB21" s="472" t="n"/>
      <c r="AC21" s="472" t="n"/>
      <c r="AD21" s="472" t="n"/>
      <c r="AE21" s="472" t="n"/>
      <c r="AF21" s="472" t="n"/>
      <c r="AG21" s="472" t="n"/>
      <c r="AH21" s="472" t="n"/>
      <c r="AI21" s="472" t="n"/>
      <c r="AJ21" s="472" t="n"/>
      <c r="AK21" s="472" t="n"/>
      <c r="AL21" s="472" t="n"/>
      <c r="AM21" s="472" t="n"/>
      <c r="AN21" s="472" t="n"/>
      <c r="AO21" s="472" t="n"/>
      <c r="AP21" s="472" t="n"/>
      <c r="AQ21" s="472" t="n"/>
      <c r="AR21" s="472" t="n"/>
      <c r="AS21" s="472" t="n"/>
      <c r="AT21" s="472" t="n"/>
      <c r="AU21" s="472" t="n"/>
      <c r="AV21" s="472" t="n"/>
      <c r="AW21" s="472" t="n"/>
      <c r="AX21" s="472" t="n"/>
      <c r="AY21" s="472" t="n"/>
      <c r="AZ21" s="472" t="n"/>
      <c r="BA21" s="472" t="n"/>
      <c r="BB21" s="472" t="n"/>
      <c r="BC21" s="472" t="n"/>
      <c r="BD21" s="472" t="n"/>
      <c r="BE21" s="472" t="n"/>
      <c r="BF21" s="472" t="n"/>
      <c r="BG21" s="472" t="n"/>
      <c r="BH21" s="472" t="n"/>
      <c r="BI21" s="472" t="n"/>
      <c r="BJ21" s="472" t="n"/>
      <c r="BK21" s="472" t="n"/>
      <c r="BL21" s="472" t="n"/>
      <c r="BM21" s="472" t="n"/>
      <c r="BN21" s="472" t="n"/>
      <c r="BO21" s="472" t="n"/>
      <c r="BP21" s="472" t="n"/>
      <c r="BQ21" s="472" t="n"/>
      <c r="BR21" s="472" t="n"/>
      <c r="BS21" s="472" t="n"/>
      <c r="BT21" s="472" t="n"/>
      <c r="BU21" s="472" t="n"/>
      <c r="BV21" s="472" t="n"/>
      <c r="BW21" s="472" t="n"/>
      <c r="BX21" s="472" t="n"/>
      <c r="BY21" s="472" t="n"/>
      <c r="BZ21" s="472" t="n"/>
      <c r="CA21" s="472" t="n"/>
      <c r="CB21" s="472" t="n"/>
      <c r="CC21" s="472" t="n"/>
      <c r="CD21" s="472" t="n"/>
      <c r="CE21" s="472" t="n"/>
      <c r="CF21" s="472" t="n"/>
      <c r="CG21" s="472" t="n"/>
      <c r="CH21" s="472" t="n"/>
    </row>
    <row r="22" ht="15" customFormat="1" customHeight="1" s="381">
      <c r="A22" s="726" t="inlineStr">
        <is>
          <t>Liquidity Guarantee Fee (3%)</t>
        </is>
      </c>
      <c r="B22" s="727">
        <f>-Assumptions!$B$54*Assumptions!$B$48</f>
        <v>-150000</v>
      </c>
      <c r="C22" s="727" t="n">
        <v>0</v>
      </c>
      <c r="D22" s="727">
        <f>B22+C22</f>
        <v>-150000</v>
      </c>
      <c r="E22" s="617" t="n"/>
      <c r="F22" s="617" t="n"/>
      <c r="G22" s="617" t="n"/>
      <c r="H22" s="617" t="n"/>
      <c r="I22" s="617" t="n"/>
      <c r="J22" s="617" t="n"/>
      <c r="K22" s="617" t="n"/>
      <c r="L22" s="617" t="n"/>
      <c r="M22" s="617" t="n"/>
      <c r="N22" s="617" t="n"/>
      <c r="O22" s="617" t="n"/>
      <c r="P22" s="617" t="n"/>
      <c r="Q22" s="617" t="n"/>
      <c r="R22" s="617" t="n"/>
      <c r="S22" s="617" t="n"/>
      <c r="T22" s="617" t="n"/>
      <c r="U22" s="617" t="n"/>
      <c r="V22" s="617" t="n"/>
      <c r="W22" s="617" t="n"/>
      <c r="X22" s="617" t="n"/>
      <c r="Y22" s="617" t="n"/>
      <c r="Z22" s="617" t="n"/>
      <c r="AA22" s="617" t="n"/>
      <c r="AB22" s="617" t="n"/>
      <c r="AC22" s="617" t="n"/>
      <c r="AD22" s="617" t="n"/>
      <c r="AE22" s="617" t="n"/>
      <c r="AF22" s="617" t="n"/>
      <c r="AG22" s="617" t="n"/>
      <c r="AH22" s="617" t="n"/>
      <c r="AI22" s="617" t="n"/>
      <c r="AJ22" s="617" t="n"/>
      <c r="AK22" s="617" t="n"/>
      <c r="AL22" s="617" t="n"/>
      <c r="AM22" s="617" t="n"/>
      <c r="AN22" s="617" t="n"/>
      <c r="AO22" s="617" t="n"/>
      <c r="AP22" s="617" t="n"/>
      <c r="AQ22" s="617" t="n"/>
      <c r="AR22" s="617" t="n"/>
      <c r="AS22" s="617" t="n"/>
      <c r="AT22" s="617" t="n"/>
      <c r="AU22" s="617" t="n"/>
      <c r="AV22" s="617" t="n"/>
      <c r="AW22" s="617" t="n"/>
      <c r="AX22" s="617" t="n"/>
      <c r="AY22" s="617" t="n"/>
      <c r="AZ22" s="617" t="n"/>
      <c r="BA22" s="617" t="n"/>
      <c r="BB22" s="617" t="n"/>
      <c r="BC22" s="617" t="n"/>
      <c r="BD22" s="617" t="n"/>
      <c r="BE22" s="617" t="n"/>
      <c r="BF22" s="617" t="n"/>
      <c r="BG22" s="617" t="n"/>
      <c r="BH22" s="617" t="n"/>
      <c r="BI22" s="617" t="n"/>
      <c r="BJ22" s="617" t="n"/>
      <c r="BK22" s="617" t="n"/>
      <c r="BL22" s="617" t="n"/>
      <c r="BM22" s="617" t="n"/>
      <c r="BN22" s="617" t="n"/>
      <c r="BO22" s="617" t="n"/>
      <c r="BP22" s="617" t="n"/>
      <c r="BQ22" s="617" t="n"/>
      <c r="BR22" s="617" t="n"/>
      <c r="BS22" s="617" t="n"/>
      <c r="BT22" s="617" t="n"/>
      <c r="BU22" s="617" t="n"/>
      <c r="BV22" s="617" t="n"/>
      <c r="BW22" s="617" t="n"/>
      <c r="BX22" s="617" t="n"/>
      <c r="BY22" s="617" t="n"/>
      <c r="BZ22" s="617" t="n"/>
      <c r="CA22" s="617" t="n"/>
      <c r="CB22" s="617" t="n"/>
      <c r="CC22" s="617" t="n"/>
      <c r="CD22" s="617" t="n"/>
      <c r="CE22" s="617" t="n"/>
      <c r="CF22" s="617" t="n"/>
      <c r="CG22" s="617" t="n"/>
      <c r="CH22" s="617" t="n"/>
    </row>
    <row r="23" ht="15" customFormat="1" customHeight="1" s="381">
      <c r="A23" s="472" t="inlineStr">
        <is>
          <t>PIK Interest</t>
        </is>
      </c>
      <c r="B23" s="617">
        <f>-SUM(Model!E243:CG243)</f>
        <v>-735311.322547972</v>
      </c>
      <c r="C23" s="617" t="n">
        <v>0</v>
      </c>
      <c r="D23" s="617">
        <f>B23+C23</f>
        <v>-735311.322547972</v>
      </c>
      <c r="E23" s="617" t="n"/>
      <c r="F23" s="617" t="n"/>
      <c r="G23" s="617" t="n"/>
      <c r="H23" s="617" t="n"/>
      <c r="I23" s="617" t="n"/>
      <c r="J23" s="617" t="n"/>
      <c r="K23" s="617" t="n"/>
      <c r="L23" s="617" t="n"/>
      <c r="M23" s="617" t="n"/>
      <c r="N23" s="617" t="n"/>
      <c r="O23" s="617" t="n"/>
      <c r="P23" s="617" t="n"/>
      <c r="Q23" s="617" t="n"/>
      <c r="R23" s="617" t="n"/>
      <c r="S23" s="617" t="n"/>
      <c r="T23" s="617" t="n"/>
      <c r="U23" s="617" t="n"/>
      <c r="V23" s="617" t="n"/>
      <c r="W23" s="617" t="n"/>
      <c r="X23" s="617" t="n"/>
      <c r="Y23" s="617" t="n"/>
      <c r="Z23" s="617" t="n"/>
      <c r="AA23" s="617" t="n"/>
      <c r="AB23" s="617" t="n"/>
      <c r="AC23" s="617" t="n"/>
      <c r="AD23" s="617" t="n"/>
      <c r="AE23" s="617" t="n"/>
      <c r="AF23" s="617" t="n"/>
      <c r="AG23" s="617" t="n"/>
      <c r="AH23" s="617" t="n"/>
      <c r="AI23" s="617" t="n"/>
      <c r="AJ23" s="617" t="n"/>
      <c r="AK23" s="617" t="n"/>
      <c r="AL23" s="617" t="n"/>
      <c r="AM23" s="617" t="n"/>
      <c r="AN23" s="617" t="n"/>
      <c r="AO23" s="617" t="n"/>
      <c r="AP23" s="617" t="n"/>
      <c r="AQ23" s="617" t="n"/>
      <c r="AR23" s="617" t="n"/>
      <c r="AS23" s="617" t="n"/>
      <c r="AT23" s="617" t="n"/>
      <c r="AU23" s="617" t="n"/>
      <c r="AV23" s="617" t="n"/>
      <c r="AW23" s="617" t="n"/>
      <c r="AX23" s="617" t="n"/>
      <c r="AY23" s="617" t="n"/>
      <c r="AZ23" s="617" t="n"/>
      <c r="BA23" s="617" t="n"/>
      <c r="BB23" s="617" t="n"/>
      <c r="BC23" s="617" t="n"/>
      <c r="BD23" s="617" t="n"/>
      <c r="BE23" s="617" t="n"/>
      <c r="BF23" s="617" t="n"/>
      <c r="BG23" s="617" t="n"/>
      <c r="BH23" s="617" t="n"/>
      <c r="BI23" s="617" t="n"/>
      <c r="BJ23" s="617" t="n"/>
      <c r="BK23" s="617" t="n"/>
      <c r="BL23" s="617" t="n"/>
      <c r="BM23" s="617" t="n"/>
      <c r="BN23" s="617" t="n"/>
      <c r="BO23" s="617" t="n"/>
      <c r="BP23" s="617" t="n"/>
      <c r="BQ23" s="617" t="n"/>
      <c r="BR23" s="617" t="n"/>
      <c r="BS23" s="617" t="n"/>
      <c r="BT23" s="617" t="n"/>
      <c r="BU23" s="617" t="n"/>
      <c r="BV23" s="617" t="n"/>
      <c r="BW23" s="617" t="n"/>
      <c r="BX23" s="617" t="n"/>
      <c r="BY23" s="617" t="n"/>
      <c r="BZ23" s="617" t="n"/>
      <c r="CA23" s="617" t="n"/>
      <c r="CB23" s="617" t="n"/>
      <c r="CC23" s="617" t="n"/>
      <c r="CD23" s="617" t="n"/>
      <c r="CE23" s="617" t="n"/>
      <c r="CF23" s="617" t="n"/>
      <c r="CG23" s="617" t="n"/>
      <c r="CH23" s="617" t="n"/>
    </row>
    <row r="24" ht="15" customFormat="1" customHeight="1" s="381">
      <c r="A24" s="631" t="inlineStr">
        <is>
          <t>Net Income to Six Peak</t>
        </is>
      </c>
      <c r="B24" s="632">
        <f>SUM(B20:B23)</f>
        <v>261947.977452028</v>
      </c>
      <c r="C24" s="632">
        <f>SUM(C20:C23)</f>
        <v>2359498</v>
      </c>
      <c r="D24" s="632">
        <f>SUM(D20:D23)</f>
        <v>2621445.97745203</v>
      </c>
      <c r="E24" s="617" t="n"/>
      <c r="F24" s="617" t="n"/>
      <c r="G24" s="617" t="n"/>
      <c r="H24" s="617" t="n"/>
      <c r="I24" s="617" t="n"/>
      <c r="J24" s="617" t="n"/>
      <c r="K24" s="617" t="n"/>
      <c r="L24" s="617" t="n"/>
      <c r="M24" s="617" t="n"/>
      <c r="N24" s="617" t="n"/>
      <c r="O24" s="617" t="n"/>
      <c r="P24" s="617" t="n"/>
      <c r="Q24" s="617" t="n"/>
      <c r="R24" s="617" t="n"/>
      <c r="S24" s="617" t="n"/>
      <c r="T24" s="617" t="n"/>
      <c r="U24" s="617" t="n"/>
      <c r="V24" s="617" t="n"/>
      <c r="W24" s="617" t="n"/>
      <c r="X24" s="617" t="n"/>
      <c r="Y24" s="617" t="n"/>
      <c r="Z24" s="617" t="n"/>
      <c r="AA24" s="617" t="n"/>
      <c r="AB24" s="617" t="n"/>
      <c r="AC24" s="617" t="n"/>
      <c r="AD24" s="617" t="n"/>
      <c r="AE24" s="617" t="n"/>
      <c r="AF24" s="617" t="n"/>
      <c r="AG24" s="617" t="n"/>
      <c r="AH24" s="617" t="n"/>
      <c r="AI24" s="617" t="n"/>
      <c r="AJ24" s="617" t="n"/>
      <c r="AK24" s="617" t="n"/>
      <c r="AL24" s="617" t="n"/>
      <c r="AM24" s="617" t="n"/>
      <c r="AN24" s="617" t="n"/>
      <c r="AO24" s="617" t="n"/>
      <c r="AP24" s="617" t="n"/>
      <c r="AQ24" s="617" t="n"/>
      <c r="AR24" s="617" t="n"/>
      <c r="AS24" s="617" t="n"/>
      <c r="AT24" s="617" t="n"/>
      <c r="AU24" s="617" t="n"/>
      <c r="AV24" s="617" t="n"/>
      <c r="AW24" s="617" t="n"/>
      <c r="AX24" s="617" t="n"/>
      <c r="AY24" s="617" t="n"/>
      <c r="AZ24" s="617" t="n"/>
      <c r="BA24" s="617" t="n"/>
      <c r="BB24" s="617" t="n"/>
      <c r="BC24" s="617" t="n"/>
      <c r="BD24" s="617" t="n"/>
      <c r="BE24" s="617" t="n"/>
      <c r="BF24" s="617" t="n"/>
      <c r="BG24" s="617" t="n"/>
      <c r="BH24" s="617" t="n"/>
      <c r="BI24" s="617" t="n"/>
      <c r="BJ24" s="617" t="n"/>
      <c r="BK24" s="617" t="n"/>
      <c r="BL24" s="617" t="n"/>
      <c r="BM24" s="617" t="n"/>
      <c r="BN24" s="617" t="n"/>
      <c r="BO24" s="617" t="n"/>
      <c r="BP24" s="617" t="n"/>
      <c r="BQ24" s="617" t="n"/>
      <c r="BR24" s="617" t="n"/>
      <c r="BS24" s="617" t="n"/>
      <c r="BT24" s="617" t="n"/>
      <c r="BU24" s="617" t="n"/>
      <c r="BV24" s="617" t="n"/>
      <c r="BW24" s="617" t="n"/>
      <c r="BX24" s="617" t="n"/>
      <c r="BY24" s="617" t="n"/>
      <c r="BZ24" s="617" t="n"/>
      <c r="CA24" s="617" t="n"/>
      <c r="CB24" s="617" t="n"/>
      <c r="CC24" s="617" t="n"/>
      <c r="CD24" s="617" t="n"/>
      <c r="CE24" s="617" t="n"/>
      <c r="CF24" s="617" t="n"/>
      <c r="CG24" s="617" t="n"/>
      <c r="CH24" s="617" t="n"/>
    </row>
    <row r="25" ht="15" customFormat="1" customHeight="1" s="381">
      <c r="A25" s="707" t="n"/>
      <c r="B25" s="730" t="n"/>
      <c r="C25" s="730" t="n"/>
      <c r="D25" s="730" t="n"/>
      <c r="E25" s="617" t="n"/>
      <c r="F25" s="617" t="n"/>
      <c r="G25" s="617" t="n"/>
      <c r="H25" s="617" t="n"/>
      <c r="I25" s="617" t="n"/>
      <c r="J25" s="617" t="n"/>
      <c r="K25" s="617" t="n"/>
      <c r="L25" s="617" t="n"/>
      <c r="M25" s="617" t="n"/>
      <c r="N25" s="617" t="n"/>
      <c r="O25" s="617" t="n"/>
      <c r="P25" s="617" t="n"/>
      <c r="Q25" s="617" t="n"/>
      <c r="R25" s="617" t="n"/>
      <c r="S25" s="617" t="n"/>
      <c r="T25" s="617" t="n"/>
      <c r="U25" s="617" t="n"/>
      <c r="V25" s="617" t="n"/>
      <c r="W25" s="617" t="n"/>
      <c r="X25" s="617" t="n"/>
      <c r="Y25" s="617" t="n"/>
      <c r="Z25" s="617" t="n"/>
      <c r="AA25" s="617" t="n"/>
      <c r="AB25" s="617" t="n"/>
      <c r="AC25" s="617" t="n"/>
      <c r="AD25" s="617" t="n"/>
      <c r="AE25" s="617" t="n"/>
      <c r="AF25" s="617" t="n"/>
      <c r="AG25" s="617" t="n"/>
      <c r="AH25" s="617" t="n"/>
      <c r="AI25" s="617" t="n"/>
      <c r="AJ25" s="617" t="n"/>
      <c r="AK25" s="617" t="n"/>
      <c r="AL25" s="617" t="n"/>
      <c r="AM25" s="617" t="n"/>
      <c r="AN25" s="617" t="n"/>
      <c r="AO25" s="617" t="n"/>
      <c r="AP25" s="617" t="n"/>
      <c r="AQ25" s="617" t="n"/>
      <c r="AR25" s="617" t="n"/>
      <c r="AS25" s="617" t="n"/>
      <c r="AT25" s="617" t="n"/>
      <c r="AU25" s="617" t="n"/>
      <c r="AV25" s="617" t="n"/>
      <c r="AW25" s="617" t="n"/>
      <c r="AX25" s="617" t="n"/>
      <c r="AY25" s="617" t="n"/>
      <c r="AZ25" s="617" t="n"/>
      <c r="BA25" s="617" t="n"/>
      <c r="BB25" s="617" t="n"/>
      <c r="BC25" s="617" t="n"/>
      <c r="BD25" s="617" t="n"/>
      <c r="BE25" s="617" t="n"/>
      <c r="BF25" s="617" t="n"/>
      <c r="BG25" s="617" t="n"/>
      <c r="BH25" s="617" t="n"/>
      <c r="BI25" s="617" t="n"/>
      <c r="BJ25" s="617" t="n"/>
      <c r="BK25" s="617" t="n"/>
      <c r="BL25" s="617" t="n"/>
      <c r="BM25" s="617" t="n"/>
      <c r="BN25" s="617" t="n"/>
      <c r="BO25" s="617" t="n"/>
      <c r="BP25" s="617" t="n"/>
      <c r="BQ25" s="617" t="n"/>
      <c r="BR25" s="617" t="n"/>
      <c r="BS25" s="617" t="n"/>
      <c r="BT25" s="617" t="n"/>
      <c r="BU25" s="617" t="n"/>
      <c r="BV25" s="617" t="n"/>
      <c r="BW25" s="617" t="n"/>
      <c r="BX25" s="617" t="n"/>
      <c r="BY25" s="617" t="n"/>
      <c r="BZ25" s="617" t="n"/>
      <c r="CA25" s="617" t="n"/>
      <c r="CB25" s="617" t="n"/>
      <c r="CC25" s="617" t="n"/>
      <c r="CD25" s="617" t="n"/>
      <c r="CE25" s="617" t="n"/>
      <c r="CF25" s="617" t="n"/>
      <c r="CG25" s="617" t="n"/>
      <c r="CH25" s="617" t="n"/>
    </row>
    <row r="26" ht="15" customFormat="1" customHeight="1" s="381">
      <c r="A26" s="731" t="inlineStr">
        <is>
          <t>COMBINED</t>
        </is>
      </c>
      <c r="B26" s="732" t="n"/>
      <c r="C26" s="732" t="n"/>
      <c r="D26" s="732" t="n"/>
      <c r="E26" s="617" t="n"/>
      <c r="F26" s="617" t="n"/>
      <c r="G26" s="617" t="n"/>
      <c r="H26" s="617" t="n"/>
      <c r="I26" s="617" t="n"/>
      <c r="J26" s="617" t="n"/>
      <c r="K26" s="617" t="n"/>
      <c r="L26" s="617" t="n"/>
      <c r="M26" s="617" t="n"/>
      <c r="N26" s="617" t="n"/>
      <c r="O26" s="617" t="n"/>
      <c r="P26" s="617" t="n"/>
      <c r="Q26" s="617" t="n"/>
      <c r="R26" s="617" t="n"/>
      <c r="S26" s="617" t="n"/>
      <c r="T26" s="617" t="n"/>
      <c r="U26" s="617" t="n"/>
      <c r="V26" s="617" t="n"/>
      <c r="W26" s="617" t="n"/>
      <c r="X26" s="617" t="n"/>
      <c r="Y26" s="617" t="n"/>
      <c r="Z26" s="617" t="n"/>
      <c r="AA26" s="617" t="n"/>
      <c r="AB26" s="617" t="n"/>
      <c r="AC26" s="617" t="n"/>
      <c r="AD26" s="617" t="n"/>
      <c r="AE26" s="617" t="n"/>
      <c r="AF26" s="617" t="n"/>
      <c r="AG26" s="617" t="n"/>
      <c r="AH26" s="617" t="n"/>
      <c r="AI26" s="617" t="n"/>
      <c r="AJ26" s="617" t="n"/>
      <c r="AK26" s="617" t="n"/>
      <c r="AL26" s="617" t="n"/>
      <c r="AM26" s="617" t="n"/>
      <c r="AN26" s="617" t="n"/>
      <c r="AO26" s="617" t="n"/>
      <c r="AP26" s="617" t="n"/>
      <c r="AQ26" s="617" t="n"/>
      <c r="AR26" s="617" t="n"/>
      <c r="AS26" s="617" t="n"/>
      <c r="AT26" s="617" t="n"/>
      <c r="AU26" s="617" t="n"/>
      <c r="AV26" s="617" t="n"/>
      <c r="AW26" s="617" t="n"/>
      <c r="AX26" s="617" t="n"/>
      <c r="AY26" s="617" t="n"/>
      <c r="AZ26" s="617" t="n"/>
      <c r="BA26" s="617" t="n"/>
      <c r="BB26" s="617" t="n"/>
      <c r="BC26" s="617" t="n"/>
      <c r="BD26" s="617" t="n"/>
      <c r="BE26" s="617" t="n"/>
      <c r="BF26" s="617" t="n"/>
      <c r="BG26" s="617" t="n"/>
      <c r="BH26" s="617" t="n"/>
      <c r="BI26" s="617" t="n"/>
      <c r="BJ26" s="617" t="n"/>
      <c r="BK26" s="617" t="n"/>
      <c r="BL26" s="617" t="n"/>
      <c r="BM26" s="617" t="n"/>
      <c r="BN26" s="617" t="n"/>
      <c r="BO26" s="617" t="n"/>
      <c r="BP26" s="617" t="n"/>
      <c r="BQ26" s="617" t="n"/>
      <c r="BR26" s="617" t="n"/>
      <c r="BS26" s="617" t="n"/>
      <c r="BT26" s="617" t="n"/>
      <c r="BU26" s="617" t="n"/>
      <c r="BV26" s="617" t="n"/>
      <c r="BW26" s="617" t="n"/>
      <c r="BX26" s="617" t="n"/>
      <c r="BY26" s="617" t="n"/>
      <c r="BZ26" s="617" t="n"/>
      <c r="CA26" s="617" t="n"/>
      <c r="CB26" s="617" t="n"/>
      <c r="CC26" s="617" t="n"/>
      <c r="CD26" s="617" t="n"/>
      <c r="CE26" s="617" t="n"/>
      <c r="CF26" s="617" t="n"/>
      <c r="CG26" s="617" t="n"/>
      <c r="CH26" s="617" t="n"/>
    </row>
    <row r="27" ht="15" customFormat="1" customHeight="1" s="381">
      <c r="A27" s="733" t="inlineStr">
        <is>
          <t>Total LIHTC Revenue</t>
        </is>
      </c>
      <c r="B27" s="734">
        <f>B6+B13+B20</f>
        <v>2806875</v>
      </c>
      <c r="C27" s="734">
        <f>C6+C13+C20</f>
        <v>7055207</v>
      </c>
      <c r="D27" s="734">
        <f>D6+D13+D20</f>
        <v>9862082</v>
      </c>
      <c r="E27" s="472" t="n"/>
      <c r="F27" s="472" t="n"/>
      <c r="G27" s="472" t="n"/>
      <c r="H27" s="472" t="n"/>
      <c r="I27" s="472" t="n"/>
      <c r="J27" s="472" t="n"/>
      <c r="K27" s="472" t="n"/>
      <c r="L27" s="472" t="n"/>
      <c r="M27" s="472" t="n"/>
      <c r="N27" s="472" t="n"/>
      <c r="O27" s="472" t="n"/>
      <c r="P27" s="472" t="n"/>
      <c r="Q27" s="472" t="n"/>
      <c r="R27" s="472" t="n"/>
      <c r="S27" s="472" t="n"/>
      <c r="T27" s="472" t="n"/>
      <c r="U27" s="472" t="n"/>
      <c r="V27" s="472" t="n"/>
      <c r="W27" s="472" t="n"/>
      <c r="X27" s="472" t="n"/>
      <c r="Y27" s="472" t="n"/>
      <c r="Z27" s="472" t="n"/>
      <c r="AA27" s="472" t="n"/>
      <c r="AB27" s="472" t="n"/>
      <c r="AC27" s="472" t="n"/>
      <c r="AD27" s="472" t="n"/>
      <c r="AE27" s="472" t="n"/>
      <c r="AF27" s="472" t="n"/>
      <c r="AG27" s="472" t="n"/>
      <c r="AH27" s="472" t="n"/>
      <c r="AI27" s="472" t="n"/>
      <c r="AJ27" s="472" t="n"/>
      <c r="AK27" s="472" t="n"/>
      <c r="AL27" s="472" t="n"/>
      <c r="AM27" s="472" t="n"/>
      <c r="AN27" s="472" t="n"/>
      <c r="AO27" s="472" t="n"/>
      <c r="AP27" s="472" t="n"/>
      <c r="AQ27" s="472" t="n"/>
      <c r="AR27" s="472" t="n"/>
      <c r="AS27" s="472" t="n"/>
      <c r="AT27" s="472" t="n"/>
      <c r="AU27" s="472" t="n"/>
      <c r="AV27" s="472" t="n"/>
      <c r="AW27" s="472" t="n"/>
      <c r="AX27" s="472" t="n"/>
      <c r="AY27" s="472" t="n"/>
      <c r="AZ27" s="472" t="n"/>
      <c r="BA27" s="472" t="n"/>
      <c r="BB27" s="472" t="n"/>
      <c r="BC27" s="472" t="n"/>
      <c r="BD27" s="472" t="n"/>
      <c r="BE27" s="472" t="n"/>
      <c r="BF27" s="472" t="n"/>
      <c r="BG27" s="472" t="n"/>
      <c r="BH27" s="472" t="n"/>
      <c r="BI27" s="472" t="n"/>
      <c r="BJ27" s="472" t="n"/>
      <c r="BK27" s="472" t="n"/>
      <c r="BL27" s="472" t="n"/>
      <c r="BM27" s="472" t="n"/>
      <c r="BN27" s="472" t="n"/>
      <c r="BO27" s="472" t="n"/>
      <c r="BP27" s="472" t="n"/>
      <c r="BQ27" s="472" t="n"/>
      <c r="BR27" s="472" t="n"/>
      <c r="BS27" s="472" t="n"/>
      <c r="BT27" s="472" t="n"/>
      <c r="BU27" s="472" t="n"/>
      <c r="BV27" s="472" t="n"/>
      <c r="BW27" s="472" t="n"/>
      <c r="BX27" s="472" t="n"/>
      <c r="BY27" s="472" t="n"/>
      <c r="BZ27" s="472" t="n"/>
      <c r="CA27" s="472" t="n"/>
      <c r="CB27" s="472" t="n"/>
      <c r="CC27" s="472" t="n"/>
      <c r="CD27" s="472" t="n"/>
      <c r="CE27" s="472" t="n"/>
      <c r="CF27" s="472" t="n"/>
      <c r="CG27" s="472" t="n"/>
      <c r="CH27" s="472" t="n"/>
    </row>
    <row r="28" ht="15" customFormat="1" customHeight="1" s="381">
      <c r="A28" s="472" t="inlineStr">
        <is>
          <t>Total GMP Fees</t>
        </is>
      </c>
      <c r="B28" s="617">
        <f>B7+B14+B21</f>
        <v>-1294161.67</v>
      </c>
      <c r="C28" s="617">
        <f>C7+C14+C21</f>
        <v>0</v>
      </c>
      <c r="D28" s="617">
        <f>D7+D14+D21</f>
        <v>-1294161.67</v>
      </c>
      <c r="E28" s="472" t="n"/>
      <c r="F28" s="472" t="n"/>
      <c r="G28" s="472" t="n"/>
      <c r="H28" s="472" t="n"/>
      <c r="I28" s="472" t="n"/>
      <c r="J28" s="472" t="n"/>
      <c r="K28" s="472" t="n"/>
      <c r="L28" s="472" t="n"/>
      <c r="M28" s="472" t="n"/>
      <c r="N28" s="472" t="n"/>
      <c r="O28" s="472" t="n"/>
      <c r="P28" s="472" t="n"/>
      <c r="Q28" s="472" t="n"/>
      <c r="R28" s="472" t="n"/>
      <c r="S28" s="472" t="n"/>
      <c r="T28" s="472" t="n"/>
      <c r="U28" s="472" t="n"/>
      <c r="V28" s="472" t="n"/>
      <c r="W28" s="472" t="n"/>
      <c r="X28" s="472" t="n"/>
      <c r="Y28" s="472" t="n"/>
      <c r="Z28" s="472" t="n"/>
      <c r="AA28" s="472" t="n"/>
      <c r="AB28" s="472" t="n"/>
      <c r="AC28" s="472" t="n"/>
      <c r="AD28" s="472" t="n"/>
      <c r="AE28" s="472" t="n"/>
      <c r="AF28" s="472" t="n"/>
      <c r="AG28" s="472" t="n"/>
      <c r="AH28" s="472" t="n"/>
      <c r="AI28" s="472" t="n"/>
      <c r="AJ28" s="472" t="n"/>
      <c r="AK28" s="472" t="n"/>
      <c r="AL28" s="472" t="n"/>
      <c r="AM28" s="472" t="n"/>
      <c r="AN28" s="472" t="n"/>
      <c r="AO28" s="472" t="n"/>
      <c r="AP28" s="472" t="n"/>
      <c r="AQ28" s="472" t="n"/>
      <c r="AR28" s="472" t="n"/>
      <c r="AS28" s="472" t="n"/>
      <c r="AT28" s="472" t="n"/>
      <c r="AU28" s="472" t="n"/>
      <c r="AV28" s="472" t="n"/>
      <c r="AW28" s="472" t="n"/>
      <c r="AX28" s="472" t="n"/>
      <c r="AY28" s="472" t="n"/>
      <c r="AZ28" s="472" t="n"/>
      <c r="BA28" s="472" t="n"/>
      <c r="BB28" s="472" t="n"/>
      <c r="BC28" s="472" t="n"/>
      <c r="BD28" s="472" t="n"/>
      <c r="BE28" s="472" t="n"/>
      <c r="BF28" s="472" t="n"/>
      <c r="BG28" s="472" t="n"/>
      <c r="BH28" s="472" t="n"/>
      <c r="BI28" s="472" t="n"/>
      <c r="BJ28" s="472" t="n"/>
      <c r="BK28" s="472" t="n"/>
      <c r="BL28" s="472" t="n"/>
      <c r="BM28" s="472" t="n"/>
      <c r="BN28" s="472" t="n"/>
      <c r="BO28" s="472" t="n"/>
      <c r="BP28" s="472" t="n"/>
      <c r="BQ28" s="472" t="n"/>
      <c r="BR28" s="472" t="n"/>
      <c r="BS28" s="472" t="n"/>
      <c r="BT28" s="472" t="n"/>
      <c r="BU28" s="472" t="n"/>
      <c r="BV28" s="472" t="n"/>
      <c r="BW28" s="472" t="n"/>
      <c r="BX28" s="472" t="n"/>
      <c r="BY28" s="472" t="n"/>
      <c r="BZ28" s="472" t="n"/>
      <c r="CA28" s="472" t="n"/>
      <c r="CB28" s="472" t="n"/>
      <c r="CC28" s="472" t="n"/>
      <c r="CD28" s="472" t="n"/>
      <c r="CE28" s="472" t="n"/>
      <c r="CF28" s="472" t="n"/>
      <c r="CG28" s="472" t="n"/>
      <c r="CH28" s="472" t="n"/>
    </row>
    <row r="29" ht="15" customFormat="1" customHeight="1" s="381">
      <c r="A29" s="735" t="inlineStr">
        <is>
          <t>Total Liquidity Fees</t>
        </is>
      </c>
      <c r="B29" s="736">
        <f>B8+B15+B22</f>
        <v>-450000</v>
      </c>
      <c r="C29" s="736">
        <f>C8+C15+C22</f>
        <v>0</v>
      </c>
      <c r="D29" s="736">
        <f>D8+D15+D22</f>
        <v>-450000</v>
      </c>
      <c r="E29" s="617" t="n"/>
      <c r="F29" s="617" t="n"/>
      <c r="G29" s="617" t="n"/>
      <c r="H29" s="617" t="n"/>
      <c r="I29" s="617" t="n"/>
      <c r="J29" s="617" t="n"/>
      <c r="K29" s="617" t="n"/>
      <c r="L29" s="617" t="n"/>
      <c r="M29" s="617" t="n"/>
      <c r="N29" s="617" t="n"/>
      <c r="O29" s="617" t="n"/>
      <c r="P29" s="617" t="n"/>
      <c r="Q29" s="617" t="n"/>
      <c r="R29" s="617" t="n"/>
      <c r="S29" s="617" t="n"/>
      <c r="T29" s="617" t="n"/>
      <c r="U29" s="617" t="n"/>
      <c r="V29" s="617" t="n"/>
      <c r="W29" s="617" t="n"/>
      <c r="X29" s="617" t="n"/>
      <c r="Y29" s="617" t="n"/>
      <c r="Z29" s="617" t="n"/>
      <c r="AA29" s="617" t="n"/>
      <c r="AB29" s="617" t="n"/>
      <c r="AC29" s="617" t="n"/>
      <c r="AD29" s="617" t="n"/>
      <c r="AE29" s="617" t="n"/>
      <c r="AF29" s="617" t="n"/>
      <c r="AG29" s="617" t="n"/>
      <c r="AH29" s="617" t="n"/>
      <c r="AI29" s="617" t="n"/>
      <c r="AJ29" s="617" t="n"/>
      <c r="AK29" s="617" t="n"/>
      <c r="AL29" s="617" t="n"/>
      <c r="AM29" s="617" t="n"/>
      <c r="AN29" s="617" t="n"/>
      <c r="AO29" s="617" t="n"/>
      <c r="AP29" s="617" t="n"/>
      <c r="AQ29" s="617" t="n"/>
      <c r="AR29" s="617" t="n"/>
      <c r="AS29" s="617" t="n"/>
      <c r="AT29" s="617" t="n"/>
      <c r="AU29" s="617" t="n"/>
      <c r="AV29" s="617" t="n"/>
      <c r="AW29" s="617" t="n"/>
      <c r="AX29" s="617" t="n"/>
      <c r="AY29" s="617" t="n"/>
      <c r="AZ29" s="617" t="n"/>
      <c r="BA29" s="617" t="n"/>
      <c r="BB29" s="617" t="n"/>
      <c r="BC29" s="617" t="n"/>
      <c r="BD29" s="617" t="n"/>
      <c r="BE29" s="617" t="n"/>
      <c r="BF29" s="617" t="n"/>
      <c r="BG29" s="617" t="n"/>
      <c r="BH29" s="617" t="n"/>
      <c r="BI29" s="617" t="n"/>
      <c r="BJ29" s="617" t="n"/>
      <c r="BK29" s="617" t="n"/>
      <c r="BL29" s="617" t="n"/>
      <c r="BM29" s="617" t="n"/>
      <c r="BN29" s="617" t="n"/>
      <c r="BO29" s="617" t="n"/>
      <c r="BP29" s="617" t="n"/>
      <c r="BQ29" s="617" t="n"/>
      <c r="BR29" s="617" t="n"/>
      <c r="BS29" s="617" t="n"/>
      <c r="BT29" s="617" t="n"/>
      <c r="BU29" s="617" t="n"/>
      <c r="BV29" s="617" t="n"/>
      <c r="BW29" s="617" t="n"/>
      <c r="BX29" s="617" t="n"/>
      <c r="BY29" s="617" t="n"/>
      <c r="BZ29" s="617" t="n"/>
      <c r="CA29" s="617" t="n"/>
      <c r="CB29" s="617" t="n"/>
      <c r="CC29" s="617" t="n"/>
      <c r="CD29" s="617" t="n"/>
      <c r="CE29" s="617" t="n"/>
      <c r="CF29" s="617" t="n"/>
      <c r="CG29" s="617" t="n"/>
      <c r="CH29" s="617" t="n"/>
    </row>
    <row r="30" ht="15" customFormat="1" customHeight="1" s="381">
      <c r="A30" s="737" t="inlineStr">
        <is>
          <t>Total PIK Interest</t>
        </is>
      </c>
      <c r="B30" s="738">
        <f>B9+B16+B23</f>
        <v>-1318548.68110717</v>
      </c>
      <c r="C30" s="738">
        <f>C9+C16+C23</f>
        <v>-240125.881206445</v>
      </c>
      <c r="D30" s="738">
        <f>D9+D16+D23</f>
        <v>-1558674.56231362</v>
      </c>
      <c r="E30" s="617" t="n"/>
      <c r="F30" s="617" t="n"/>
      <c r="G30" s="617" t="n"/>
      <c r="H30" s="617" t="n"/>
      <c r="I30" s="617" t="n"/>
      <c r="J30" s="617" t="n"/>
      <c r="K30" s="617" t="n"/>
      <c r="L30" s="617" t="n"/>
      <c r="M30" s="617" t="n"/>
      <c r="N30" s="617" t="n"/>
      <c r="O30" s="617" t="n"/>
      <c r="P30" s="617" t="n"/>
      <c r="Q30" s="617" t="n"/>
      <c r="R30" s="617" t="n"/>
      <c r="S30" s="617" t="n"/>
      <c r="T30" s="617" t="n"/>
      <c r="U30" s="617" t="n"/>
      <c r="V30" s="617" t="n"/>
      <c r="W30" s="617" t="n"/>
      <c r="X30" s="617" t="n"/>
      <c r="Y30" s="617" t="n"/>
      <c r="Z30" s="617" t="n"/>
      <c r="AA30" s="617" t="n"/>
      <c r="AB30" s="617" t="n"/>
      <c r="AC30" s="617" t="n"/>
      <c r="AD30" s="617" t="n"/>
      <c r="AE30" s="617" t="n"/>
      <c r="AF30" s="617" t="n"/>
      <c r="AG30" s="617" t="n"/>
      <c r="AH30" s="617" t="n"/>
      <c r="AI30" s="617" t="n"/>
      <c r="AJ30" s="617" t="n"/>
      <c r="AK30" s="617" t="n"/>
      <c r="AL30" s="617" t="n"/>
      <c r="AM30" s="617" t="n"/>
      <c r="AN30" s="617" t="n"/>
      <c r="AO30" s="617" t="n"/>
      <c r="AP30" s="617" t="n"/>
      <c r="AQ30" s="617" t="n"/>
      <c r="AR30" s="617" t="n"/>
      <c r="AS30" s="617" t="n"/>
      <c r="AT30" s="617" t="n"/>
      <c r="AU30" s="617" t="n"/>
      <c r="AV30" s="617" t="n"/>
      <c r="AW30" s="617" t="n"/>
      <c r="AX30" s="617" t="n"/>
      <c r="AY30" s="617" t="n"/>
      <c r="AZ30" s="617" t="n"/>
      <c r="BA30" s="617" t="n"/>
      <c r="BB30" s="617" t="n"/>
      <c r="BC30" s="617" t="n"/>
      <c r="BD30" s="617" t="n"/>
      <c r="BE30" s="617" t="n"/>
      <c r="BF30" s="617" t="n"/>
      <c r="BG30" s="617" t="n"/>
      <c r="BH30" s="617" t="n"/>
      <c r="BI30" s="617" t="n"/>
      <c r="BJ30" s="617" t="n"/>
      <c r="BK30" s="617" t="n"/>
      <c r="BL30" s="617" t="n"/>
      <c r="BM30" s="617" t="n"/>
      <c r="BN30" s="617" t="n"/>
      <c r="BO30" s="617" t="n"/>
      <c r="BP30" s="617" t="n"/>
      <c r="BQ30" s="617" t="n"/>
      <c r="BR30" s="617" t="n"/>
      <c r="BS30" s="617" t="n"/>
      <c r="BT30" s="617" t="n"/>
      <c r="BU30" s="617" t="n"/>
      <c r="BV30" s="617" t="n"/>
      <c r="BW30" s="617" t="n"/>
      <c r="BX30" s="617" t="n"/>
      <c r="BY30" s="617" t="n"/>
      <c r="BZ30" s="617" t="n"/>
      <c r="CA30" s="617" t="n"/>
      <c r="CB30" s="617" t="n"/>
      <c r="CC30" s="617" t="n"/>
      <c r="CD30" s="617" t="n"/>
      <c r="CE30" s="617" t="n"/>
      <c r="CF30" s="617" t="n"/>
      <c r="CG30" s="617" t="n"/>
      <c r="CH30" s="617" t="n"/>
    </row>
    <row r="31" ht="15" customFormat="1" customHeight="1" s="381">
      <c r="A31" s="480" t="inlineStr">
        <is>
          <t>Combined Net Income to Six Peak</t>
        </is>
      </c>
      <c r="B31" s="618">
        <f>B10+B17+B24</f>
        <v>-255835.351107174</v>
      </c>
      <c r="C31" s="618">
        <f>C10+C17+C24</f>
        <v>6815081.11879356</v>
      </c>
      <c r="D31" s="618">
        <f>D10+D17+D24</f>
        <v>6559245.76768638</v>
      </c>
      <c r="E31" s="617" t="n"/>
      <c r="F31" s="617" t="n"/>
      <c r="G31" s="617" t="n"/>
      <c r="H31" s="617" t="n"/>
      <c r="I31" s="617" t="n"/>
      <c r="J31" s="617" t="n"/>
      <c r="K31" s="617" t="n"/>
      <c r="L31" s="617" t="n"/>
      <c r="M31" s="617" t="n"/>
      <c r="N31" s="617" t="n"/>
      <c r="O31" s="617" t="n"/>
      <c r="P31" s="617" t="n"/>
      <c r="Q31" s="617" t="n"/>
      <c r="R31" s="617" t="n"/>
      <c r="S31" s="617" t="n"/>
      <c r="T31" s="617" t="n"/>
      <c r="U31" s="617" t="n"/>
      <c r="V31" s="617" t="n"/>
      <c r="W31" s="617" t="n"/>
      <c r="X31" s="617" t="n"/>
      <c r="Y31" s="617" t="n"/>
      <c r="Z31" s="617" t="n"/>
      <c r="AA31" s="617" t="n"/>
      <c r="AB31" s="617" t="n"/>
      <c r="AC31" s="617" t="n"/>
      <c r="AD31" s="617" t="n"/>
      <c r="AE31" s="617" t="n"/>
      <c r="AF31" s="617" t="n"/>
      <c r="AG31" s="617" t="n"/>
      <c r="AH31" s="617" t="n"/>
      <c r="AI31" s="617" t="n"/>
      <c r="AJ31" s="617" t="n"/>
      <c r="AK31" s="617" t="n"/>
      <c r="AL31" s="617" t="n"/>
      <c r="AM31" s="617" t="n"/>
      <c r="AN31" s="617" t="n"/>
      <c r="AO31" s="617" t="n"/>
      <c r="AP31" s="617" t="n"/>
      <c r="AQ31" s="617" t="n"/>
      <c r="AR31" s="617" t="n"/>
      <c r="AS31" s="617" t="n"/>
      <c r="AT31" s="617" t="n"/>
      <c r="AU31" s="617" t="n"/>
      <c r="AV31" s="617" t="n"/>
      <c r="AW31" s="617" t="n"/>
      <c r="AX31" s="617" t="n"/>
      <c r="AY31" s="617" t="n"/>
      <c r="AZ31" s="617" t="n"/>
      <c r="BA31" s="617" t="n"/>
      <c r="BB31" s="617" t="n"/>
      <c r="BC31" s="617" t="n"/>
      <c r="BD31" s="617" t="n"/>
      <c r="BE31" s="617" t="n"/>
      <c r="BF31" s="617" t="n"/>
      <c r="BG31" s="617" t="n"/>
      <c r="BH31" s="617" t="n"/>
      <c r="BI31" s="617" t="n"/>
      <c r="BJ31" s="617" t="n"/>
      <c r="BK31" s="617" t="n"/>
      <c r="BL31" s="617" t="n"/>
      <c r="BM31" s="617" t="n"/>
      <c r="BN31" s="617" t="n"/>
      <c r="BO31" s="617" t="n"/>
      <c r="BP31" s="617" t="n"/>
      <c r="BQ31" s="617" t="n"/>
      <c r="BR31" s="617" t="n"/>
      <c r="BS31" s="617" t="n"/>
      <c r="BT31" s="617" t="n"/>
      <c r="BU31" s="617" t="n"/>
      <c r="BV31" s="617" t="n"/>
      <c r="BW31" s="617" t="n"/>
      <c r="BX31" s="617" t="n"/>
      <c r="BY31" s="617" t="n"/>
      <c r="BZ31" s="617" t="n"/>
      <c r="CA31" s="617" t="n"/>
      <c r="CB31" s="617" t="n"/>
      <c r="CC31" s="617" t="n"/>
      <c r="CD31" s="617" t="n"/>
      <c r="CE31" s="617" t="n"/>
      <c r="CF31" s="617" t="n"/>
      <c r="CG31" s="617" t="n"/>
      <c r="CH31" s="617" t="n"/>
    </row>
    <row r="32" ht="15" customFormat="1" customHeight="1" s="381">
      <c r="A32" s="739" t="n"/>
      <c r="B32" s="740" t="n"/>
      <c r="C32" s="740" t="n"/>
      <c r="D32" s="740" t="n"/>
      <c r="E32" s="472" t="n"/>
      <c r="F32" s="472" t="n"/>
      <c r="G32" s="472" t="n"/>
      <c r="H32" s="472" t="n"/>
      <c r="I32" s="472" t="n"/>
      <c r="J32" s="472" t="n"/>
      <c r="K32" s="472" t="n"/>
      <c r="L32" s="472" t="n"/>
      <c r="M32" s="472" t="n"/>
      <c r="N32" s="472" t="n"/>
      <c r="O32" s="472" t="n"/>
      <c r="P32" s="472" t="n"/>
      <c r="Q32" s="472" t="n"/>
      <c r="R32" s="472" t="n"/>
      <c r="S32" s="472" t="n"/>
      <c r="T32" s="472" t="n"/>
      <c r="U32" s="472" t="n"/>
      <c r="V32" s="472" t="n"/>
      <c r="W32" s="472" t="n"/>
      <c r="X32" s="472" t="n"/>
      <c r="Y32" s="472" t="n"/>
      <c r="Z32" s="472" t="n"/>
      <c r="AA32" s="472" t="n"/>
      <c r="AB32" s="472" t="n"/>
      <c r="AC32" s="472" t="n"/>
      <c r="AD32" s="472" t="n"/>
      <c r="AE32" s="472" t="n"/>
      <c r="AF32" s="472" t="n"/>
      <c r="AG32" s="472" t="n"/>
      <c r="AH32" s="472" t="n"/>
      <c r="AI32" s="472" t="n"/>
      <c r="AJ32" s="472" t="n"/>
      <c r="AK32" s="472" t="n"/>
      <c r="AL32" s="472" t="n"/>
      <c r="AM32" s="472" t="n"/>
      <c r="AN32" s="472" t="n"/>
      <c r="AO32" s="472" t="n"/>
      <c r="AP32" s="472" t="n"/>
      <c r="AQ32" s="472" t="n"/>
      <c r="AR32" s="472" t="n"/>
      <c r="AS32" s="472" t="n"/>
      <c r="AT32" s="472" t="n"/>
      <c r="AU32" s="472" t="n"/>
      <c r="AV32" s="472" t="n"/>
      <c r="AW32" s="472" t="n"/>
      <c r="AX32" s="472" t="n"/>
      <c r="AY32" s="472" t="n"/>
      <c r="AZ32" s="472" t="n"/>
      <c r="BA32" s="472" t="n"/>
      <c r="BB32" s="472" t="n"/>
      <c r="BC32" s="472" t="n"/>
      <c r="BD32" s="472" t="n"/>
      <c r="BE32" s="472" t="n"/>
      <c r="BF32" s="472" t="n"/>
      <c r="BG32" s="472" t="n"/>
      <c r="BH32" s="472" t="n"/>
      <c r="BI32" s="472" t="n"/>
      <c r="BJ32" s="472" t="n"/>
      <c r="BK32" s="472" t="n"/>
      <c r="BL32" s="472" t="n"/>
      <c r="BM32" s="472" t="n"/>
      <c r="BN32" s="472" t="n"/>
      <c r="BO32" s="472" t="n"/>
      <c r="BP32" s="472" t="n"/>
      <c r="BQ32" s="472" t="n"/>
      <c r="BR32" s="472" t="n"/>
      <c r="BS32" s="472" t="n"/>
      <c r="BT32" s="472" t="n"/>
      <c r="BU32" s="472" t="n"/>
      <c r="BV32" s="472" t="n"/>
      <c r="BW32" s="472" t="n"/>
      <c r="BX32" s="472" t="n"/>
      <c r="BY32" s="472" t="n"/>
      <c r="BZ32" s="472" t="n"/>
      <c r="CA32" s="472" t="n"/>
      <c r="CB32" s="472" t="n"/>
      <c r="CC32" s="472" t="n"/>
      <c r="CD32" s="472" t="n"/>
      <c r="CE32" s="472" t="n"/>
      <c r="CF32" s="472" t="n"/>
      <c r="CG32" s="472" t="n"/>
      <c r="CH32" s="472" t="n"/>
    </row>
    <row r="33" ht="15" customFormat="1" customHeight="1" s="381">
      <c r="A33" s="707" t="n"/>
      <c r="B33" s="730" t="n"/>
      <c r="C33" s="730" t="n"/>
      <c r="D33" s="730" t="n"/>
      <c r="E33" s="617" t="n"/>
      <c r="F33" s="617" t="n"/>
      <c r="G33" s="617" t="n"/>
      <c r="H33" s="617" t="n"/>
      <c r="I33" s="617" t="n"/>
      <c r="J33" s="617" t="n"/>
      <c r="K33" s="617" t="n"/>
      <c r="L33" s="617" t="n"/>
      <c r="M33" s="617" t="n"/>
      <c r="N33" s="617" t="n"/>
      <c r="O33" s="617" t="n"/>
      <c r="P33" s="617" t="n"/>
      <c r="Q33" s="617" t="n"/>
      <c r="R33" s="617" t="n"/>
      <c r="S33" s="617" t="n"/>
      <c r="T33" s="617" t="n"/>
      <c r="U33" s="617" t="n"/>
      <c r="V33" s="617" t="n"/>
      <c r="W33" s="617" t="n"/>
      <c r="X33" s="617" t="n"/>
      <c r="Y33" s="617" t="n"/>
      <c r="Z33" s="617" t="n"/>
      <c r="AA33" s="617" t="n"/>
      <c r="AB33" s="617" t="n"/>
      <c r="AC33" s="617" t="n"/>
      <c r="AD33" s="617" t="n"/>
      <c r="AE33" s="617" t="n"/>
      <c r="AF33" s="617" t="n"/>
      <c r="AG33" s="617" t="n"/>
      <c r="AH33" s="617" t="n"/>
      <c r="AI33" s="617" t="n"/>
      <c r="AJ33" s="617" t="n"/>
      <c r="AK33" s="617" t="n"/>
      <c r="AL33" s="617" t="n"/>
      <c r="AM33" s="617" t="n"/>
      <c r="AN33" s="617" t="n"/>
      <c r="AO33" s="617" t="n"/>
      <c r="AP33" s="617" t="n"/>
      <c r="AQ33" s="617" t="n"/>
      <c r="AR33" s="617" t="n"/>
      <c r="AS33" s="617" t="n"/>
      <c r="AT33" s="617" t="n"/>
      <c r="AU33" s="617" t="n"/>
      <c r="AV33" s="617" t="n"/>
      <c r="AW33" s="617" t="n"/>
      <c r="AX33" s="617" t="n"/>
      <c r="AY33" s="617" t="n"/>
      <c r="AZ33" s="617" t="n"/>
      <c r="BA33" s="617" t="n"/>
      <c r="BB33" s="617" t="n"/>
      <c r="BC33" s="617" t="n"/>
      <c r="BD33" s="617" t="n"/>
      <c r="BE33" s="617" t="n"/>
      <c r="BF33" s="617" t="n"/>
      <c r="BG33" s="617" t="n"/>
      <c r="BH33" s="617" t="n"/>
      <c r="BI33" s="617" t="n"/>
      <c r="BJ33" s="617" t="n"/>
      <c r="BK33" s="617" t="n"/>
      <c r="BL33" s="617" t="n"/>
      <c r="BM33" s="617" t="n"/>
      <c r="BN33" s="617" t="n"/>
      <c r="BO33" s="617" t="n"/>
      <c r="BP33" s="617" t="n"/>
      <c r="BQ33" s="617" t="n"/>
      <c r="BR33" s="617" t="n"/>
      <c r="BS33" s="617" t="n"/>
      <c r="BT33" s="617" t="n"/>
      <c r="BU33" s="617" t="n"/>
      <c r="BV33" s="617" t="n"/>
      <c r="BW33" s="617" t="n"/>
      <c r="BX33" s="617" t="n"/>
      <c r="BY33" s="617" t="n"/>
      <c r="BZ33" s="617" t="n"/>
      <c r="CA33" s="617" t="n"/>
      <c r="CB33" s="617" t="n"/>
      <c r="CC33" s="617" t="n"/>
      <c r="CD33" s="617" t="n"/>
      <c r="CE33" s="617" t="n"/>
      <c r="CF33" s="617" t="n"/>
      <c r="CG33" s="617" t="n"/>
      <c r="CH33" s="617" t="n"/>
    </row>
    <row r="34" ht="15" customFormat="1" customHeight="1" s="381">
      <c r="A34" s="739" t="n"/>
      <c r="B34" s="740" t="n"/>
      <c r="C34" s="740" t="n"/>
      <c r="D34" s="740" t="n"/>
    </row>
    <row r="35" ht="15" customFormat="1" customHeight="1" s="381">
      <c r="A35" s="717" t="n"/>
      <c r="B35" s="718" t="n"/>
      <c r="C35" s="718" t="n"/>
      <c r="D35" s="718" t="n"/>
    </row>
    <row r="37" ht="15" customFormat="1" customHeight="1" s="381">
      <c r="A37" s="741" t="n"/>
    </row>
    <row r="38" ht="15" customFormat="1" customHeight="1" s="381">
      <c r="A38" s="742" t="n"/>
    </row>
    <row r="39" ht="15" customFormat="1" customHeight="1" s="381">
      <c r="A39" s="742" t="n"/>
    </row>
    <row r="40" ht="15" customFormat="1" customHeight="1" s="381">
      <c r="A40" s="742" t="inlineStr">
        <is>
          <t>Interest Carry = Steyn balance accrual (GMP + Liquidity unpaid balance interest)</t>
        </is>
      </c>
    </row>
    <row r="41" ht="15" customFormat="1" customHeight="1" s="381">
      <c r="A41" s="742" t="inlineStr">
        <is>
          <t>PIK Interest = 15% annual (3.75% quarterly) on Project Investment Capital</t>
        </is>
      </c>
    </row>
    <row r="42" ht="15" customFormat="1" customHeight="1" s="381">
      <c r="A42" s="742" t="inlineStr">
        <is>
          <t>3rd St: 36 remaining quarterly LIHTC payments at $73,155; PIK balance of $570K fully repaid post-model</t>
        </is>
      </c>
    </row>
    <row r="43" ht="15" customFormat="1" customHeight="1" s="381">
      <c r="A43" s="742" t="inlineStr">
        <is>
          <t>Reseda: 28 remaining quarterly LIHTC payments at $81,362; PIK and Steyn fully repaid in-model</t>
        </is>
      </c>
    </row>
    <row r="44" ht="15" customFormat="1" customHeight="1" s="381">
      <c r="A44" s="742" t="inlineStr">
        <is>
          <t>Reseda: 28 post-model quarterly LIHTC payments at $81,362; PIK and Steyn fully repaid in-model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DF53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2" customWidth="1" style="381" min="1" max="1"/>
    <col width="15" customWidth="1" style="381" min="2" max="2"/>
    <col width="12" customWidth="1" style="381" min="3" max="3"/>
    <col width="14" customWidth="1" style="381" min="4" max="6"/>
    <col width="12" customWidth="1" style="381" min="7" max="7"/>
    <col width="11" customWidth="1" style="381" min="8" max="10"/>
    <col width="14" customWidth="1" style="381" min="11" max="97"/>
    <col width="12" customWidth="1" style="381" min="98" max="110"/>
  </cols>
  <sheetData>
    <row r="1" ht="17.25" customFormat="1" customHeight="1" s="381">
      <c r="A1" s="477" t="inlineStr">
        <is>
          <t>BD COMMISSION — PER-DEAL ENGINE</t>
        </is>
      </c>
    </row>
    <row r="2" ht="15" customFormat="1" customHeight="1" s="381">
      <c r="A2" s="472" t="inlineStr">
        <is>
          <t>Advance rate (x GMP)</t>
        </is>
      </c>
      <c r="B2" s="743" t="n">
        <v>0.0025</v>
      </c>
    </row>
    <row r="3" ht="15" customFormat="1" customHeight="1" s="381">
      <c r="A3" s="472" t="inlineStr">
        <is>
          <t>Profit commission rate</t>
        </is>
      </c>
      <c r="B3" s="744" t="n">
        <v>0.1</v>
      </c>
    </row>
    <row r="4" ht="15" customFormat="1" customHeight="1" s="381"/>
    <row r="5" ht="30" customFormat="1" customHeight="1" s="381">
      <c r="A5" s="745" t="inlineStr">
        <is>
          <t>FY</t>
        </is>
      </c>
      <c r="B5" s="745" t="inlineStr">
        <is>
          <t>First m#</t>
        </is>
      </c>
      <c r="C5" s="745" t="inlineStr">
        <is>
          <t>Last m#</t>
        </is>
      </c>
      <c r="D5" s="746" t="inlineStr">
        <is>
          <t>BD Constr Billing</t>
        </is>
      </c>
      <c r="E5" s="746" t="inlineStr">
        <is>
          <t>HVN Billing</t>
        </is>
      </c>
      <c r="F5" s="746" t="inlineStr">
        <is>
          <t>Non-HVN Billing</t>
        </is>
      </c>
      <c r="G5" s="747" t="inlineStr">
        <is>
          <t>HVN Tier Rate</t>
        </is>
      </c>
    </row>
    <row r="6" ht="15" customFormat="1" customHeight="1" s="381">
      <c r="A6" s="386" t="n">
        <v>2026</v>
      </c>
      <c r="B6" s="386" t="n">
        <v>-2</v>
      </c>
      <c r="C6" s="386" t="n">
        <v>9</v>
      </c>
      <c r="D6" s="486">
        <f>SUM(Helpers!C96:N96)</f>
        <v>0</v>
      </c>
      <c r="E6" s="486">
        <f>SUM(Helpers!C101:N101)</f>
        <v>0</v>
      </c>
      <c r="F6" s="486">
        <f>D6-E6</f>
        <v>0</v>
      </c>
      <c r="G6" s="748">
        <f>IF(F6&gt;=Assumptions!$B$86,Assumptions!$C$86,IF(F6&gt;=Assumptions!$B$85,Assumptions!$C$85,IF(F6&gt;=Assumptions!$B$84,Assumptions!$C$84,Assumptions!$C$83)))</f>
        <v>0.25</v>
      </c>
    </row>
    <row r="7" ht="15" customFormat="1" customHeight="1" s="381">
      <c r="A7" s="386" t="n">
        <v>2027</v>
      </c>
      <c r="B7" s="386" t="n">
        <v>10</v>
      </c>
      <c r="C7" s="386" t="n">
        <v>21</v>
      </c>
      <c r="D7" s="486">
        <f>SUM(Helpers!O96:Z96)</f>
        <v>26182677.7591805</v>
      </c>
      <c r="E7" s="486">
        <f>SUM(Helpers!O101:Z101)</f>
        <v>24699166.9350593</v>
      </c>
      <c r="F7" s="486">
        <f>D7-E7</f>
        <v>1483510.82412124</v>
      </c>
      <c r="G7" s="748">
        <f>IF(F7&gt;=Assumptions!$B$86,Assumptions!$C$86,IF(F7&gt;=Assumptions!$B$85,Assumptions!$C$85,IF(F7&gt;=Assumptions!$B$84,Assumptions!$C$84,Assumptions!$C$83)))</f>
        <v>0.25</v>
      </c>
    </row>
    <row r="8" ht="15" customFormat="1" customHeight="1" s="381">
      <c r="A8" s="386" t="n">
        <v>2028</v>
      </c>
      <c r="B8" s="386" t="n">
        <v>22</v>
      </c>
      <c r="C8" s="386" t="n">
        <v>33</v>
      </c>
      <c r="D8" s="486">
        <f>SUM(Helpers!AA96:AL96)</f>
        <v>72261420.9414803</v>
      </c>
      <c r="E8" s="486">
        <f>SUM(Helpers!AA101:AL101)</f>
        <v>35966633.9093678</v>
      </c>
      <c r="F8" s="486">
        <f>D8-E8</f>
        <v>36294787.0321126</v>
      </c>
      <c r="G8" s="748">
        <f>IF(F8&gt;=Assumptions!$B$86,Assumptions!$C$86,IF(F8&gt;=Assumptions!$B$85,Assumptions!$C$85,IF(F8&gt;=Assumptions!$B$84,Assumptions!$C$84,Assumptions!$C$83)))</f>
        <v>0.5</v>
      </c>
    </row>
    <row r="9" ht="15" customFormat="1" customHeight="1" s="381">
      <c r="A9" s="386" t="n">
        <v>2029</v>
      </c>
      <c r="B9" s="386" t="n">
        <v>34</v>
      </c>
      <c r="C9" s="386" t="n">
        <v>45</v>
      </c>
      <c r="D9" s="486">
        <f>SUM(Helpers!AM96:AX96)</f>
        <v>124647965.629339</v>
      </c>
      <c r="E9" s="486">
        <f>SUM(Helpers!AM101:AX101)</f>
        <v>18679180.905573</v>
      </c>
      <c r="F9" s="486">
        <f>D9-E9</f>
        <v>105968784.723766</v>
      </c>
      <c r="G9" s="748">
        <f>IF(F9&gt;=Assumptions!$B$86,Assumptions!$C$86,IF(F9&gt;=Assumptions!$B$85,Assumptions!$C$85,IF(F9&gt;=Assumptions!$B$84,Assumptions!$C$84,Assumptions!$C$83)))</f>
        <v>1</v>
      </c>
    </row>
    <row r="10" ht="15" customFormat="1" customHeight="1" s="381">
      <c r="A10" s="386" t="n">
        <v>2030</v>
      </c>
      <c r="B10" s="386" t="n">
        <v>46</v>
      </c>
      <c r="C10" s="386" t="n">
        <v>57</v>
      </c>
      <c r="D10" s="486">
        <f>SUM(Helpers!AY96:BJ96)</f>
        <v>124186779</v>
      </c>
      <c r="E10" s="486">
        <f>SUM(Helpers!AY101:BJ101)</f>
        <v>20689161</v>
      </c>
      <c r="F10" s="486">
        <f>D10-E10</f>
        <v>103497618</v>
      </c>
      <c r="G10" s="748">
        <f>IF(F10&gt;=Assumptions!$B$86,Assumptions!$C$86,IF(F10&gt;=Assumptions!$B$85,Assumptions!$C$85,IF(F10&gt;=Assumptions!$B$84,Assumptions!$C$84,Assumptions!$C$83)))</f>
        <v>1</v>
      </c>
    </row>
    <row r="11" ht="15" customFormat="1" customHeight="1" s="381">
      <c r="A11" s="386" t="n">
        <v>2031</v>
      </c>
      <c r="B11" s="386" t="n">
        <v>58</v>
      </c>
      <c r="C11" s="386" t="n">
        <v>69</v>
      </c>
      <c r="D11" s="486">
        <f>SUM(Helpers!BK96:BV96)</f>
        <v>101576343</v>
      </c>
      <c r="E11" s="486">
        <f>SUM(Helpers!BK101:BV101)</f>
        <v>20255685</v>
      </c>
      <c r="F11" s="486">
        <f>D11-E11</f>
        <v>81320658</v>
      </c>
      <c r="G11" s="748">
        <f>IF(F11&gt;=Assumptions!$B$86,Assumptions!$C$86,IF(F11&gt;=Assumptions!$B$85,Assumptions!$C$85,IF(F11&gt;=Assumptions!$B$84,Assumptions!$C$84,Assumptions!$C$83)))</f>
        <v>1</v>
      </c>
    </row>
    <row r="12" ht="15" customFormat="1" customHeight="1" s="381">
      <c r="A12" s="386" t="n">
        <v>2032</v>
      </c>
      <c r="B12" s="386" t="n">
        <v>70</v>
      </c>
      <c r="C12" s="386" t="n">
        <v>81</v>
      </c>
      <c r="D12" s="486">
        <f>SUM(Helpers!BW96:CH96)</f>
        <v>8436822</v>
      </c>
      <c r="E12" s="486">
        <f>SUM(Helpers!BW101:CH101)</f>
        <v>2975850</v>
      </c>
      <c r="F12" s="486">
        <f>D12-E12</f>
        <v>5460972</v>
      </c>
      <c r="G12" s="748">
        <f>IF(F12&gt;=Assumptions!$B$86,Assumptions!$C$86,IF(F12&gt;=Assumptions!$B$85,Assumptions!$C$85,IF(F12&gt;=Assumptions!$B$84,Assumptions!$C$84,Assumptions!$C$83)))</f>
        <v>0.25</v>
      </c>
    </row>
    <row r="13" ht="15" customFormat="1" customHeight="1" s="381">
      <c r="A13" s="386" t="n">
        <v>2033</v>
      </c>
      <c r="B13" s="386" t="n">
        <v>82</v>
      </c>
      <c r="C13" s="386" t="n">
        <v>93</v>
      </c>
      <c r="D13" s="486">
        <f>SUM(Helpers!CI96:CT96)</f>
        <v>0</v>
      </c>
      <c r="E13" s="486">
        <f>SUM(Helpers!CI101:CT101)</f>
        <v>0</v>
      </c>
      <c r="F13" s="486">
        <f>D13-E13</f>
        <v>0</v>
      </c>
      <c r="G13" s="748">
        <f>IF(F13&gt;=Assumptions!$B$86,Assumptions!$C$86,IF(F13&gt;=Assumptions!$B$85,Assumptions!$C$85,IF(F13&gt;=Assumptions!$B$84,Assumptions!$C$84,Assumptions!$C$83)))</f>
        <v>0.25</v>
      </c>
    </row>
    <row r="14" ht="15" customFormat="1" customHeight="1" s="381">
      <c r="A14" s="386" t="n">
        <v>2034</v>
      </c>
      <c r="B14" s="386" t="n">
        <v>94</v>
      </c>
      <c r="C14" s="386" t="n">
        <v>105</v>
      </c>
      <c r="D14" s="486">
        <f>SUM(Helpers!CU96:DF96)</f>
        <v>0</v>
      </c>
      <c r="E14" s="486">
        <f>SUM(Helpers!CU101:DF101)</f>
        <v>0</v>
      </c>
      <c r="F14" s="486">
        <f>D14-E14</f>
        <v>0</v>
      </c>
      <c r="G14" s="748">
        <f>IF(F14&gt;=Assumptions!$B$86,Assumptions!$C$86,IF(F14&gt;=Assumptions!$B$85,Assumptions!$C$85,IF(F14&gt;=Assumptions!$B$84,Assumptions!$C$84,Assumptions!$C$83)))</f>
        <v>0.25</v>
      </c>
    </row>
    <row r="15" ht="15" customFormat="1" customHeight="1" s="381">
      <c r="A15" s="627" t="inlineStr">
        <is>
          <t>Month #</t>
        </is>
      </c>
      <c r="C15" s="386">
        <f>Model!B3</f>
        <v>-2</v>
      </c>
      <c r="D15" s="386">
        <f>Model!C3</f>
        <v>-1</v>
      </c>
      <c r="E15" s="386">
        <f>Model!D3</f>
        <v>0</v>
      </c>
      <c r="F15" s="386">
        <f>Model!E3</f>
        <v>1</v>
      </c>
      <c r="G15" s="386">
        <f>Model!F3</f>
        <v>2</v>
      </c>
      <c r="H15" s="386">
        <f>Model!G3</f>
        <v>3</v>
      </c>
      <c r="I15" s="386">
        <f>Model!H3</f>
        <v>4</v>
      </c>
      <c r="J15" s="386">
        <f>Model!I3</f>
        <v>5</v>
      </c>
      <c r="K15" s="386">
        <f>Model!J3</f>
        <v>6</v>
      </c>
      <c r="L15" s="386">
        <f>Model!K3</f>
        <v>7</v>
      </c>
      <c r="M15" s="386">
        <f>Model!L3</f>
        <v>8</v>
      </c>
      <c r="N15" s="386">
        <f>Model!M3</f>
        <v>9</v>
      </c>
      <c r="O15" s="386">
        <f>Model!N3</f>
        <v>10</v>
      </c>
      <c r="P15" s="386">
        <f>Model!O3</f>
        <v>11</v>
      </c>
      <c r="Q15" s="386">
        <f>Model!P3</f>
        <v>12</v>
      </c>
      <c r="R15" s="386">
        <f>Model!Q3</f>
        <v>13</v>
      </c>
      <c r="S15" s="386">
        <f>Model!R3</f>
        <v>14</v>
      </c>
      <c r="T15" s="386">
        <f>Model!S3</f>
        <v>15</v>
      </c>
      <c r="U15" s="386">
        <f>Model!T3</f>
        <v>16</v>
      </c>
      <c r="V15" s="386">
        <f>Model!U3</f>
        <v>17</v>
      </c>
      <c r="W15" s="386">
        <f>Model!V3</f>
        <v>18</v>
      </c>
      <c r="X15" s="386">
        <f>Model!W3</f>
        <v>19</v>
      </c>
      <c r="Y15" s="386">
        <f>Model!X3</f>
        <v>20</v>
      </c>
      <c r="Z15" s="386">
        <f>Model!Y3</f>
        <v>21</v>
      </c>
      <c r="AA15" s="386">
        <f>Model!Z3</f>
        <v>22</v>
      </c>
      <c r="AB15" s="386">
        <f>Model!AA3</f>
        <v>23</v>
      </c>
      <c r="AC15" s="386">
        <f>Model!AB3</f>
        <v>24</v>
      </c>
      <c r="AD15" s="386">
        <f>Model!AC3</f>
        <v>25</v>
      </c>
      <c r="AE15" s="386">
        <f>Model!AD3</f>
        <v>26</v>
      </c>
      <c r="AF15" s="386">
        <f>Model!AE3</f>
        <v>27</v>
      </c>
      <c r="AG15" s="386">
        <f>Model!AF3</f>
        <v>28</v>
      </c>
      <c r="AH15" s="386">
        <f>Model!AG3</f>
        <v>29</v>
      </c>
      <c r="AI15" s="386">
        <f>Model!AH3</f>
        <v>30</v>
      </c>
      <c r="AJ15" s="386">
        <f>Model!AI3</f>
        <v>31</v>
      </c>
      <c r="AK15" s="386">
        <f>Model!AJ3</f>
        <v>32</v>
      </c>
      <c r="AL15" s="386">
        <f>Model!AK3</f>
        <v>33</v>
      </c>
      <c r="AM15" s="386">
        <f>Model!AL3</f>
        <v>34</v>
      </c>
      <c r="AN15" s="386">
        <f>Model!AM3</f>
        <v>35</v>
      </c>
      <c r="AO15" s="386">
        <f>Model!AN3</f>
        <v>36</v>
      </c>
      <c r="AP15" s="386">
        <f>Model!AO3</f>
        <v>37</v>
      </c>
      <c r="AQ15" s="386">
        <f>Model!AP3</f>
        <v>38</v>
      </c>
      <c r="AR15" s="386">
        <f>Model!AQ3</f>
        <v>39</v>
      </c>
      <c r="AS15" s="386">
        <f>Model!AR3</f>
        <v>40</v>
      </c>
      <c r="AT15" s="386">
        <f>Model!AS3</f>
        <v>41</v>
      </c>
      <c r="AU15" s="386">
        <f>Model!AT3</f>
        <v>42</v>
      </c>
      <c r="AV15" s="386">
        <f>Model!AU3</f>
        <v>43</v>
      </c>
      <c r="AW15" s="386">
        <f>Model!AV3</f>
        <v>44</v>
      </c>
      <c r="AX15" s="386">
        <f>Model!AW3</f>
        <v>45</v>
      </c>
      <c r="AY15" s="386">
        <f>Model!AX3</f>
        <v>46</v>
      </c>
      <c r="AZ15" s="386">
        <f>Model!AY3</f>
        <v>47</v>
      </c>
      <c r="BA15" s="386">
        <f>Model!AZ3</f>
        <v>48</v>
      </c>
      <c r="BB15" s="386">
        <f>Model!BA3</f>
        <v>49</v>
      </c>
      <c r="BC15" s="386">
        <f>Model!BB3</f>
        <v>50</v>
      </c>
      <c r="BD15" s="386">
        <f>Model!BC3</f>
        <v>51</v>
      </c>
      <c r="BE15" s="386">
        <f>Model!BD3</f>
        <v>52</v>
      </c>
      <c r="BF15" s="386">
        <f>Model!BE3</f>
        <v>53</v>
      </c>
      <c r="BG15" s="386">
        <f>Model!BF3</f>
        <v>54</v>
      </c>
      <c r="BH15" s="386">
        <f>Model!BG3</f>
        <v>55</v>
      </c>
      <c r="BI15" s="386">
        <f>Model!BH3</f>
        <v>56</v>
      </c>
      <c r="BJ15" s="386">
        <f>Model!BI3</f>
        <v>57</v>
      </c>
      <c r="BK15" s="386">
        <f>Model!BJ3</f>
        <v>58</v>
      </c>
      <c r="BL15" s="386">
        <f>Model!BK3</f>
        <v>59</v>
      </c>
      <c r="BM15" s="386">
        <f>Model!BL3</f>
        <v>60</v>
      </c>
      <c r="BN15" s="386">
        <f>Model!BM3</f>
        <v>61</v>
      </c>
      <c r="BO15" s="386">
        <f>Model!BN3</f>
        <v>62</v>
      </c>
      <c r="BP15" s="386">
        <f>Model!BO3</f>
        <v>63</v>
      </c>
      <c r="BQ15" s="386">
        <f>Model!BP3</f>
        <v>64</v>
      </c>
      <c r="BR15" s="386">
        <f>Model!BQ3</f>
        <v>65</v>
      </c>
      <c r="BS15" s="386">
        <f>Model!BR3</f>
        <v>66</v>
      </c>
      <c r="BT15" s="386">
        <f>Model!BS3</f>
        <v>67</v>
      </c>
      <c r="BU15" s="386">
        <f>Model!BT3</f>
        <v>68</v>
      </c>
      <c r="BV15" s="386">
        <f>Model!BU3</f>
        <v>69</v>
      </c>
      <c r="BW15" s="386">
        <f>Model!BV3</f>
        <v>70</v>
      </c>
      <c r="BX15" s="386">
        <f>Model!BW3</f>
        <v>71</v>
      </c>
      <c r="BY15" s="386">
        <f>Model!BX3</f>
        <v>72</v>
      </c>
      <c r="BZ15" s="386">
        <f>Model!BY3</f>
        <v>73</v>
      </c>
      <c r="CA15" s="386">
        <f>Model!BZ3</f>
        <v>74</v>
      </c>
      <c r="CB15" s="386">
        <f>Model!CA3</f>
        <v>75</v>
      </c>
      <c r="CC15" s="386">
        <f>Model!CB3</f>
        <v>76</v>
      </c>
      <c r="CD15" s="386">
        <f>Model!CC3</f>
        <v>77</v>
      </c>
      <c r="CE15" s="386">
        <f>Model!CD3</f>
        <v>78</v>
      </c>
      <c r="CF15" s="386">
        <f>Model!CE3</f>
        <v>79</v>
      </c>
      <c r="CG15" s="386">
        <f>Model!CF3</f>
        <v>80</v>
      </c>
      <c r="CH15" s="386">
        <f>Model!CG3</f>
        <v>81</v>
      </c>
      <c r="CI15" s="386">
        <f>Model!CH3</f>
        <v>82</v>
      </c>
      <c r="CJ15" s="386">
        <f>Model!CI3</f>
        <v>83</v>
      </c>
      <c r="CK15" s="386">
        <f>Model!CJ3</f>
        <v>84</v>
      </c>
      <c r="CL15" s="386">
        <f>Model!CK3</f>
        <v>85</v>
      </c>
      <c r="CM15" s="386">
        <f>Model!CL3</f>
        <v>86</v>
      </c>
      <c r="CN15" s="386">
        <f>Model!CM3</f>
        <v>87</v>
      </c>
      <c r="CO15" s="386">
        <f>Model!CN3</f>
        <v>88</v>
      </c>
      <c r="CP15" s="386">
        <f>Model!CO3</f>
        <v>89</v>
      </c>
      <c r="CQ15" s="386">
        <f>Model!CP3</f>
        <v>90</v>
      </c>
      <c r="CR15" s="386">
        <f>Model!CQ3</f>
        <v>91</v>
      </c>
      <c r="CS15" s="386">
        <f>Model!CR3</f>
        <v>92</v>
      </c>
      <c r="CT15" s="386">
        <f>Model!CS3</f>
        <v>93</v>
      </c>
      <c r="CU15" s="386">
        <f>Model!CT3</f>
        <v>94</v>
      </c>
      <c r="CV15" s="386">
        <f>Model!CU3</f>
        <v>95</v>
      </c>
      <c r="CW15" s="386">
        <f>Model!CV3</f>
        <v>96</v>
      </c>
      <c r="CX15" s="386">
        <f>Model!CW3</f>
        <v>97</v>
      </c>
      <c r="CY15" s="386">
        <f>Model!CX3</f>
        <v>98</v>
      </c>
      <c r="CZ15" s="386">
        <f>Model!CY3</f>
        <v>99</v>
      </c>
      <c r="DA15" s="386">
        <f>Model!CZ3</f>
        <v>100</v>
      </c>
      <c r="DB15" s="386">
        <f>Model!DA3</f>
        <v>101</v>
      </c>
      <c r="DC15" s="386">
        <f>Model!DB3</f>
        <v>102</v>
      </c>
      <c r="DD15" s="386">
        <f>Model!DC3</f>
        <v>103</v>
      </c>
      <c r="DE15" s="386">
        <f>Model!DD3</f>
        <v>104</v>
      </c>
      <c r="DF15" s="386">
        <f>Model!DE3</f>
        <v>105</v>
      </c>
    </row>
    <row r="16" ht="15" customFormat="1" customHeight="1" s="381">
      <c r="A16" s="627" t="inlineStr">
        <is>
          <t>Total GC opex (rows23-55, incl BD comm + State Tax, +)</t>
        </is>
      </c>
      <c r="C16" s="486">
        <f>-SUM(Model!B111:B143)</f>
        <v>260601.5</v>
      </c>
      <c r="D16" s="486">
        <f>-SUM(Model!C111:C143)</f>
        <v>260308.54</v>
      </c>
      <c r="E16" s="486">
        <f>-SUM(Model!D111:D143)</f>
        <v>351937.74</v>
      </c>
      <c r="F16" s="486">
        <f>-SUM(Model!E111:E143)</f>
        <v>73431.56</v>
      </c>
      <c r="G16" s="486">
        <f>-SUM(Model!F111:F143)</f>
        <v>437914.85</v>
      </c>
      <c r="H16" s="486">
        <f>-SUM(Model!G111:G143)</f>
        <v>322841.21</v>
      </c>
      <c r="I16" s="486">
        <f>-SUM(Model!H111:H143)</f>
        <v>529245.725</v>
      </c>
      <c r="J16" s="486">
        <f>-SUM(Model!I111:I143)</f>
        <v>484245.725</v>
      </c>
      <c r="K16" s="486">
        <f>-SUM(Model!J111:J143)</f>
        <v>484245.725</v>
      </c>
      <c r="L16" s="486">
        <f>-SUM(Model!K111:K143)</f>
        <v>484245.725</v>
      </c>
      <c r="M16" s="486">
        <f>-SUM(Model!L111:L143)</f>
        <v>523512.391666667</v>
      </c>
      <c r="N16" s="486">
        <f>-SUM(Model!M111:M143)</f>
        <v>531416.558333333</v>
      </c>
      <c r="O16" s="486">
        <f>-SUM(Model!N111:N143)</f>
        <v>590193.648333333</v>
      </c>
      <c r="P16" s="486">
        <f>-SUM(Model!O111:O143)</f>
        <v>566667.420208333</v>
      </c>
      <c r="Q16" s="486">
        <f>-SUM(Model!P111:P143)</f>
        <v>528693.648333333</v>
      </c>
      <c r="R16" s="486">
        <f>-SUM(Model!Q111:Q143)</f>
        <v>537190.854633333</v>
      </c>
      <c r="S16" s="486">
        <f>-SUM(Model!R111:R143)</f>
        <v>647250.479633333</v>
      </c>
      <c r="T16" s="486">
        <f>-SUM(Model!S111:S143)</f>
        <v>618790.517133333</v>
      </c>
      <c r="U16" s="486">
        <f>-SUM(Model!T111:T143)</f>
        <v>608793.942133333</v>
      </c>
      <c r="V16" s="486">
        <f>-SUM(Model!U111:U143)</f>
        <v>626607.402133333</v>
      </c>
      <c r="W16" s="486">
        <f>-SUM(Model!V111:V143)</f>
        <v>580500.479633333</v>
      </c>
      <c r="X16" s="486">
        <f>-SUM(Model!W111:W143)</f>
        <v>580500.479633333</v>
      </c>
      <c r="Y16" s="486">
        <f>-SUM(Model!X111:X143)</f>
        <v>580500.479633333</v>
      </c>
      <c r="Z16" s="486">
        <f>-SUM(Model!Y111:Y143)</f>
        <v>643066.306083333</v>
      </c>
      <c r="AA16" s="486">
        <f>-SUM(Model!Z111:Z143)</f>
        <v>580500.479633333</v>
      </c>
      <c r="AB16" s="486">
        <f>-SUM(Model!AA111:AA143)</f>
        <v>580500.479633333</v>
      </c>
      <c r="AC16" s="486">
        <f>-SUM(Model!AB111:AB143)</f>
        <v>580500.479633333</v>
      </c>
      <c r="AD16" s="486">
        <f>-SUM(Model!AC111:AC143)</f>
        <v>635033.822559333</v>
      </c>
      <c r="AE16" s="486">
        <f>-SUM(Model!AD111:AD143)</f>
        <v>590033.822559333</v>
      </c>
      <c r="AF16" s="486">
        <f>-SUM(Model!AE111:AE143)</f>
        <v>590033.822559333</v>
      </c>
      <c r="AG16" s="486">
        <f>-SUM(Model!AF111:AF143)</f>
        <v>590033.822559333</v>
      </c>
      <c r="AH16" s="486">
        <f>-SUM(Model!AG111:AG143)</f>
        <v>590033.822559333</v>
      </c>
      <c r="AI16" s="486">
        <f>-SUM(Model!AH111:AH143)</f>
        <v>635033.822559333</v>
      </c>
      <c r="AJ16" s="486">
        <f>-SUM(Model!AI111:AI143)</f>
        <v>635033.822559333</v>
      </c>
      <c r="AK16" s="486">
        <f>-SUM(Model!AJ111:AJ143)</f>
        <v>590033.822559333</v>
      </c>
      <c r="AL16" s="486">
        <f>-SUM(Model!AK111:AK143)</f>
        <v>599240.360059333</v>
      </c>
      <c r="AM16" s="486">
        <f>-SUM(Model!AL111:AL143)</f>
        <v>627533.822559333</v>
      </c>
      <c r="AN16" s="486">
        <f>-SUM(Model!AM111:AM143)</f>
        <v>627533.822559333</v>
      </c>
      <c r="AO16" s="486">
        <f>-SUM(Model!AN111:AN143)</f>
        <v>635033.822559333</v>
      </c>
      <c r="AP16" s="486">
        <f>-SUM(Model!AO111:AO143)</f>
        <v>637257.832343853</v>
      </c>
      <c r="AQ16" s="486">
        <f>-SUM(Model!AP111:AP143)</f>
        <v>637257.832343853</v>
      </c>
      <c r="AR16" s="486">
        <f>-SUM(Model!AQ111:AQ143)</f>
        <v>644757.832343853</v>
      </c>
      <c r="AS16" s="486">
        <f>-SUM(Model!AR111:AR143)</f>
        <v>637257.832343853</v>
      </c>
      <c r="AT16" s="486">
        <f>-SUM(Model!AS111:AS143)</f>
        <v>599757.832343853</v>
      </c>
      <c r="AU16" s="486">
        <f>-SUM(Model!AT111:AT143)</f>
        <v>599757.832343853</v>
      </c>
      <c r="AV16" s="486">
        <f>-SUM(Model!AU111:AU143)</f>
        <v>599757.832343853</v>
      </c>
      <c r="AW16" s="486">
        <f>-SUM(Model!AV111:AV143)</f>
        <v>644757.832343853</v>
      </c>
      <c r="AX16" s="486">
        <f>-SUM(Model!AW111:AW143)</f>
        <v>637257.832343853</v>
      </c>
      <c r="AY16" s="486">
        <f>-SUM(Model!AX111:AX143)</f>
        <v>599757.832343853</v>
      </c>
      <c r="AZ16" s="486">
        <f>-SUM(Model!AY111:AY143)</f>
        <v>599757.832343853</v>
      </c>
      <c r="BA16" s="486">
        <f>-SUM(Model!AZ111:AZ143)</f>
        <v>599757.832343853</v>
      </c>
      <c r="BB16" s="486">
        <f>-SUM(Model!BA111:BA143)</f>
        <v>647176.322324064</v>
      </c>
      <c r="BC16" s="486">
        <f>-SUM(Model!BB111:BB143)</f>
        <v>654676.322324064</v>
      </c>
      <c r="BD16" s="486">
        <f>-SUM(Model!BC111:BC143)</f>
        <v>647176.322324064</v>
      </c>
      <c r="BE16" s="486">
        <f>-SUM(Model!BD111:BD143)</f>
        <v>647176.322324064</v>
      </c>
      <c r="BF16" s="486">
        <f>-SUM(Model!BE111:BE143)</f>
        <v>654676.322324064</v>
      </c>
      <c r="BG16" s="486">
        <f>-SUM(Model!BF111:BF143)</f>
        <v>647176.322324064</v>
      </c>
      <c r="BH16" s="486">
        <f>-SUM(Model!BG111:BG143)</f>
        <v>647176.322324064</v>
      </c>
      <c r="BI16" s="486">
        <f>-SUM(Model!BH111:BH143)</f>
        <v>654676.322324064</v>
      </c>
      <c r="BJ16" s="486">
        <f>-SUM(Model!BI111:BI143)</f>
        <v>647176.322324064</v>
      </c>
      <c r="BK16" s="486">
        <f>-SUM(Model!BJ111:BJ143)</f>
        <v>609676.322324064</v>
      </c>
      <c r="BL16" s="486">
        <f>-SUM(Model!BK111:BK143)</f>
        <v>609676.322324064</v>
      </c>
      <c r="BM16" s="486">
        <f>-SUM(Model!BL111:BL143)</f>
        <v>609676.322324064</v>
      </c>
      <c r="BN16" s="486">
        <f>-SUM(Model!BM111:BM143)</f>
        <v>619793.182103878</v>
      </c>
      <c r="BO16" s="486">
        <f>-SUM(Model!BN111:BN143)</f>
        <v>619793.182103878</v>
      </c>
      <c r="BP16" s="486">
        <f>-SUM(Model!BO111:BO143)</f>
        <v>619793.182103878</v>
      </c>
      <c r="BQ16" s="486">
        <f>-SUM(Model!BP111:BP143)</f>
        <v>619793.182103878</v>
      </c>
      <c r="BR16" s="486">
        <f>-SUM(Model!BQ111:BQ143)</f>
        <v>619793.182103878</v>
      </c>
      <c r="BS16" s="486">
        <f>-SUM(Model!BR111:BR143)</f>
        <v>619793.182103878</v>
      </c>
      <c r="BT16" s="486">
        <f>-SUM(Model!BS111:BS143)</f>
        <v>619793.182103878</v>
      </c>
      <c r="BU16" s="486">
        <f>-SUM(Model!BT111:BT143)</f>
        <v>619793.182103878</v>
      </c>
      <c r="BV16" s="486">
        <f>-SUM(Model!BU111:BU143)</f>
        <v>619793.182103878</v>
      </c>
      <c r="BW16" s="486">
        <f>-SUM(Model!BV111:BV143)</f>
        <v>619793.182103878</v>
      </c>
      <c r="BX16" s="486">
        <f>-SUM(Model!BW111:BW143)</f>
        <v>619793.182103878</v>
      </c>
      <c r="BY16" s="486">
        <f>-SUM(Model!BX111:BX143)</f>
        <v>619793.182103878</v>
      </c>
      <c r="BZ16" s="486">
        <f>-SUM(Model!BY111:BY143)</f>
        <v>630112.379079289</v>
      </c>
      <c r="CA16" s="486">
        <f>-SUM(Model!BZ111:BZ143)</f>
        <v>630112.379079289</v>
      </c>
      <c r="CB16" s="486">
        <f>-SUM(Model!CA111:CA143)</f>
        <v>630112.379079289</v>
      </c>
      <c r="CC16" s="486">
        <f>-SUM(Model!CB111:CB143)</f>
        <v>630112.379079289</v>
      </c>
      <c r="CD16" s="486">
        <f>-SUM(Model!CC111:CC143)</f>
        <v>630112.379079289</v>
      </c>
      <c r="CE16" s="486">
        <f>-SUM(Model!CD111:CD143)</f>
        <v>630112.379079289</v>
      </c>
      <c r="CF16" s="486">
        <f>-SUM(Model!CE111:CE143)</f>
        <v>630112.379079289</v>
      </c>
      <c r="CG16" s="486">
        <f>-SUM(Model!CF111:CF143)</f>
        <v>630112.379079289</v>
      </c>
      <c r="CH16" s="486">
        <f>-SUM(Model!CG111:CG143)</f>
        <v>630112.379079289</v>
      </c>
      <c r="CI16" s="486">
        <f>-SUM(Model!CH111:CH143)</f>
        <v>630112.379079289</v>
      </c>
      <c r="CJ16" s="486">
        <f>-SUM(Model!CI111:CI143)</f>
        <v>630112.379079289</v>
      </c>
      <c r="CK16" s="486">
        <f>-SUM(Model!CJ111:CJ143)</f>
        <v>630112.379079289</v>
      </c>
      <c r="CL16" s="486">
        <f>-SUM(Model!CK111:CK143)</f>
        <v>640637.959994208</v>
      </c>
      <c r="CM16" s="486">
        <f>-SUM(Model!CL111:CL143)</f>
        <v>640637.959994208</v>
      </c>
      <c r="CN16" s="486">
        <f>-SUM(Model!CM111:CM143)</f>
        <v>640637.959994208</v>
      </c>
      <c r="CO16" s="486">
        <f>-SUM(Model!CN111:CN143)</f>
        <v>640637.959994208</v>
      </c>
      <c r="CP16" s="486">
        <f>-SUM(Model!CO111:CO143)</f>
        <v>640637.959994208</v>
      </c>
      <c r="CQ16" s="486">
        <f>-SUM(Model!CP111:CP143)</f>
        <v>640637.959994208</v>
      </c>
      <c r="CR16" s="486">
        <f>-SUM(Model!CQ111:CQ143)</f>
        <v>640637.959994208</v>
      </c>
      <c r="CS16" s="486">
        <f>-SUM(Model!CR111:CR143)</f>
        <v>640637.959994208</v>
      </c>
      <c r="CT16" s="486">
        <f>-SUM(Model!CS111:CS143)</f>
        <v>640637.959994208</v>
      </c>
      <c r="CU16" s="486">
        <f>-SUM(Model!CT111:CT143)</f>
        <v>576547.282477231</v>
      </c>
      <c r="CV16" s="486">
        <f>-SUM(Model!CU111:CU143)</f>
        <v>576547.282477231</v>
      </c>
      <c r="CW16" s="486">
        <f>-SUM(Model!CV111:CV143)</f>
        <v>576547.282477231</v>
      </c>
      <c r="CX16" s="486">
        <f>-SUM(Model!CW111:CW143)</f>
        <v>586001.561460109</v>
      </c>
      <c r="CY16" s="486">
        <f>-SUM(Model!CX111:CX143)</f>
        <v>586001.561460109</v>
      </c>
      <c r="CZ16" s="486">
        <f>-SUM(Model!CY111:CY143)</f>
        <v>586001.561460109</v>
      </c>
      <c r="DA16" s="486">
        <f>-SUM(Model!CZ111:CZ143)</f>
        <v>586001.561460109</v>
      </c>
      <c r="DB16" s="486">
        <f>-SUM(Model!DA111:DA143)</f>
        <v>586001.561460109</v>
      </c>
      <c r="DC16" s="486">
        <f>-SUM(Model!DB111:DB143)</f>
        <v>586001.561460109</v>
      </c>
      <c r="DD16" s="486">
        <f>-SUM(Model!DC111:DC143)</f>
        <v>586001.561460109</v>
      </c>
      <c r="DE16" s="486">
        <f>-SUM(Model!DD111:DD143)</f>
        <v>586001.561460109</v>
      </c>
      <c r="DF16" s="486">
        <f>-SUM(Model!DE111:DE143)</f>
        <v>586001.561460109</v>
      </c>
    </row>
    <row r="17" ht="15" customFormat="1" customHeight="1" s="381">
      <c r="A17" s="627" t="inlineStr">
        <is>
          <t># under construction</t>
        </is>
      </c>
      <c r="C17" s="386">
        <f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86">
        <f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86">
        <f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86">
        <f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86">
        <f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86">
        <f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86">
        <f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86">
        <f>SUMPRODUCT((Projects!$G$2:$G$14="Yes")*(J$15&gt;=Projects!$C$2:$C$14)*(J$15&lt;Projects!$C$2:$C$14+Projects!$D$2:$D$14))+SUMPRODUCT((Projects!$G$17:$G$46="Yes")*(J$15&gt;=Projects!$C$17:$C$46)*(J$15&lt;Projects!$C$17:$C$46+Projects!$D$17:$D$46))</f>
        <v>8</v>
      </c>
      <c r="K17" s="386">
        <f>SUMPRODUCT((Projects!$G$2:$G$14="Yes")*(K$15&gt;=Projects!$C$2:$C$14)*(K$15&lt;Projects!$C$2:$C$14+Projects!$D$2:$D$14))+SUMPRODUCT((Projects!$G$17:$G$46="Yes")*(K$15&gt;=Projects!$C$17:$C$46)*(K$15&lt;Projects!$C$17:$C$46+Projects!$D$17:$D$46))</f>
        <v>8</v>
      </c>
      <c r="L17" s="386">
        <f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386">
        <f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386">
        <f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386">
        <f>SUMPRODUCT((Projects!$G$2:$G$14="Yes")*(O$15&gt;=Projects!$C$2:$C$14)*(O$15&lt;Projects!$C$2:$C$14+Projects!$D$2:$D$14))+SUMPRODUCT((Projects!$G$17:$G$46="Yes")*(O$15&gt;=Projects!$C$17:$C$46)*(O$15&lt;Projects!$C$17:$C$46+Projects!$D$17:$D$46))</f>
        <v>11</v>
      </c>
      <c r="P17" s="386">
        <f>SUMPRODUCT((Projects!$G$2:$G$14="Yes")*(P$15&gt;=Projects!$C$2:$C$14)*(P$15&lt;Projects!$C$2:$C$14+Projects!$D$2:$D$14))+SUMPRODUCT((Projects!$G$17:$G$46="Yes")*(P$15&gt;=Projects!$C$17:$C$46)*(P$15&lt;Projects!$C$17:$C$46+Projects!$D$17:$D$46))</f>
        <v>11</v>
      </c>
      <c r="Q17" s="386">
        <f>SUMPRODUCT((Projects!$G$2:$G$14="Yes")*(Q$15&gt;=Projects!$C$2:$C$14)*(Q$15&lt;Projects!$C$2:$C$14+Projects!$D$2:$D$14))+SUMPRODUCT((Projects!$G$17:$G$46="Yes")*(Q$15&gt;=Projects!$C$17:$C$46)*(Q$15&lt;Projects!$C$17:$C$46+Projects!$D$17:$D$46))</f>
        <v>11</v>
      </c>
      <c r="R17" s="386">
        <f>SUMPRODUCT((Projects!$G$2:$G$14="Yes")*(R$15&gt;=Projects!$C$2:$C$14)*(R$15&lt;Projects!$C$2:$C$14+Projects!$D$2:$D$14))+SUMPRODUCT((Projects!$G$17:$G$46="Yes")*(R$15&gt;=Projects!$C$17:$C$46)*(R$15&lt;Projects!$C$17:$C$46+Projects!$D$17:$D$46))</f>
        <v>11</v>
      </c>
      <c r="S17" s="386">
        <f>SUMPRODUCT((Projects!$G$2:$G$14="Yes")*(S$15&gt;=Projects!$C$2:$C$14)*(S$15&lt;Projects!$C$2:$C$14+Projects!$D$2:$D$14))+SUMPRODUCT((Projects!$G$17:$G$46="Yes")*(S$15&gt;=Projects!$C$17:$C$46)*(S$15&lt;Projects!$C$17:$C$46+Projects!$D$17:$D$46))</f>
        <v>13</v>
      </c>
      <c r="T17" s="386">
        <f>SUMPRODUCT((Projects!$G$2:$G$14="Yes")*(T$15&gt;=Projects!$C$2:$C$14)*(T$15&lt;Projects!$C$2:$C$14+Projects!$D$2:$D$14))+SUMPRODUCT((Projects!$G$17:$G$46="Yes")*(T$15&gt;=Projects!$C$17:$C$46)*(T$15&lt;Projects!$C$17:$C$46+Projects!$D$17:$D$46))</f>
        <v>14</v>
      </c>
      <c r="U17" s="386">
        <f>SUMPRODUCT((Projects!$G$2:$G$14="Yes")*(U$15&gt;=Projects!$C$2:$C$14)*(U$15&lt;Projects!$C$2:$C$14+Projects!$D$2:$D$14))+SUMPRODUCT((Projects!$G$17:$G$46="Yes")*(U$15&gt;=Projects!$C$17:$C$46)*(U$15&lt;Projects!$C$17:$C$46+Projects!$D$17:$D$46))</f>
        <v>13</v>
      </c>
      <c r="V17" s="386">
        <f>SUMPRODUCT((Projects!$G$2:$G$14="Yes")*(V$15&gt;=Projects!$C$2:$C$14)*(V$15&lt;Projects!$C$2:$C$14+Projects!$D$2:$D$14))+SUMPRODUCT((Projects!$G$17:$G$46="Yes")*(V$15&gt;=Projects!$C$17:$C$46)*(V$15&lt;Projects!$C$17:$C$46+Projects!$D$17:$D$46))</f>
        <v>12</v>
      </c>
      <c r="W17" s="386">
        <f>SUMPRODUCT((Projects!$G$2:$G$14="Yes")*(W$15&gt;=Projects!$C$2:$C$14)*(W$15&lt;Projects!$C$2:$C$14+Projects!$D$2:$D$14))+SUMPRODUCT((Projects!$G$17:$G$46="Yes")*(W$15&gt;=Projects!$C$17:$C$46)*(W$15&lt;Projects!$C$17:$C$46+Projects!$D$17:$D$46))</f>
        <v>12</v>
      </c>
      <c r="X17" s="386">
        <f>SUMPRODUCT((Projects!$G$2:$G$14="Yes")*(X$15&gt;=Projects!$C$2:$C$14)*(X$15&lt;Projects!$C$2:$C$14+Projects!$D$2:$D$14))+SUMPRODUCT((Projects!$G$17:$G$46="Yes")*(X$15&gt;=Projects!$C$17:$C$46)*(X$15&lt;Projects!$C$17:$C$46+Projects!$D$17:$D$46))</f>
        <v>12</v>
      </c>
      <c r="Y17" s="386">
        <f>SUMPRODUCT((Projects!$G$2:$G$14="Yes")*(Y$15&gt;=Projects!$C$2:$C$14)*(Y$15&lt;Projects!$C$2:$C$14+Projects!$D$2:$D$14))+SUMPRODUCT((Projects!$G$17:$G$46="Yes")*(Y$15&gt;=Projects!$C$17:$C$46)*(Y$15&lt;Projects!$C$17:$C$46+Projects!$D$17:$D$46))</f>
        <v>12</v>
      </c>
      <c r="Z17" s="386">
        <f>SUMPRODUCT((Projects!$G$2:$G$14="Yes")*(Z$15&gt;=Projects!$C$2:$C$14)*(Z$15&lt;Projects!$C$2:$C$14+Projects!$D$2:$D$14))+SUMPRODUCT((Projects!$G$17:$G$46="Yes")*(Z$15&gt;=Projects!$C$17:$C$46)*(Z$15&lt;Projects!$C$17:$C$46+Projects!$D$17:$D$46))</f>
        <v>12</v>
      </c>
      <c r="AA17" s="386">
        <f>SUMPRODUCT((Projects!$G$2:$G$14="Yes")*(AA$15&gt;=Projects!$C$2:$C$14)*(AA$15&lt;Projects!$C$2:$C$14+Projects!$D$2:$D$14))+SUMPRODUCT((Projects!$G$17:$G$46="Yes")*(AA$15&gt;=Projects!$C$17:$C$46)*(AA$15&lt;Projects!$C$17:$C$46+Projects!$D$17:$D$46))</f>
        <v>12</v>
      </c>
      <c r="AB17" s="386">
        <f>SUMPRODUCT((Projects!$G$2:$G$14="Yes")*(AB$15&gt;=Projects!$C$2:$C$14)*(AB$15&lt;Projects!$C$2:$C$14+Projects!$D$2:$D$14))+SUMPRODUCT((Projects!$G$17:$G$46="Yes")*(AB$15&gt;=Projects!$C$17:$C$46)*(AB$15&lt;Projects!$C$17:$C$46+Projects!$D$17:$D$46))</f>
        <v>12</v>
      </c>
      <c r="AC17" s="386">
        <f>SUMPRODUCT((Projects!$G$2:$G$14="Yes")*(AC$15&gt;=Projects!$C$2:$C$14)*(AC$15&lt;Projects!$C$2:$C$14+Projects!$D$2:$D$14))+SUMPRODUCT((Projects!$G$17:$G$46="Yes")*(AC$15&gt;=Projects!$C$17:$C$46)*(AC$15&lt;Projects!$C$17:$C$46+Projects!$D$17:$D$46))</f>
        <v>12</v>
      </c>
      <c r="AD17" s="386">
        <f>SUMPRODUCT((Projects!$G$2:$G$14="Yes")*(AD$15&gt;=Projects!$C$2:$C$14)*(AD$15&lt;Projects!$C$2:$C$14+Projects!$D$2:$D$14))+SUMPRODUCT((Projects!$G$17:$G$46="Yes")*(AD$15&gt;=Projects!$C$17:$C$46)*(AD$15&lt;Projects!$C$17:$C$46+Projects!$D$17:$D$46))</f>
        <v>12</v>
      </c>
      <c r="AE17" s="386">
        <f>SUMPRODUCT((Projects!$G$2:$G$14="Yes")*(AE$15&gt;=Projects!$C$2:$C$14)*(AE$15&lt;Projects!$C$2:$C$14+Projects!$D$2:$D$14))+SUMPRODUCT((Projects!$G$17:$G$46="Yes")*(AE$15&gt;=Projects!$C$17:$C$46)*(AE$15&lt;Projects!$C$17:$C$46+Projects!$D$17:$D$46))</f>
        <v>12</v>
      </c>
      <c r="AF17" s="386">
        <f>SUMPRODUCT((Projects!$G$2:$G$14="Yes")*(AF$15&gt;=Projects!$C$2:$C$14)*(AF$15&lt;Projects!$C$2:$C$14+Projects!$D$2:$D$14))+SUMPRODUCT((Projects!$G$17:$G$46="Yes")*(AF$15&gt;=Projects!$C$17:$C$46)*(AF$15&lt;Projects!$C$17:$C$46+Projects!$D$17:$D$46))</f>
        <v>13</v>
      </c>
      <c r="AG17" s="386">
        <f>SUMPRODUCT((Projects!$G$2:$G$14="Yes")*(AG$15&gt;=Projects!$C$2:$C$14)*(AG$15&lt;Projects!$C$2:$C$14+Projects!$D$2:$D$14))+SUMPRODUCT((Projects!$G$17:$G$46="Yes")*(AG$15&gt;=Projects!$C$17:$C$46)*(AG$15&lt;Projects!$C$17:$C$46+Projects!$D$17:$D$46))</f>
        <v>13</v>
      </c>
      <c r="AH17" s="386">
        <f>SUMPRODUCT((Projects!$G$2:$G$14="Yes")*(AH$15&gt;=Projects!$C$2:$C$14)*(AH$15&lt;Projects!$C$2:$C$14+Projects!$D$2:$D$14))+SUMPRODUCT((Projects!$G$17:$G$46="Yes")*(AH$15&gt;=Projects!$C$17:$C$46)*(AH$15&lt;Projects!$C$17:$C$46+Projects!$D$17:$D$46))</f>
        <v>11</v>
      </c>
      <c r="AI17" s="386">
        <f>SUMPRODUCT((Projects!$G$2:$G$14="Yes")*(AI$15&gt;=Projects!$C$2:$C$14)*(AI$15&lt;Projects!$C$2:$C$14+Projects!$D$2:$D$14))+SUMPRODUCT((Projects!$G$17:$G$46="Yes")*(AI$15&gt;=Projects!$C$17:$C$46)*(AI$15&lt;Projects!$C$17:$C$46+Projects!$D$17:$D$46))</f>
        <v>12</v>
      </c>
      <c r="AJ17" s="386">
        <f>SUMPRODUCT((Projects!$G$2:$G$14="Yes")*(AJ$15&gt;=Projects!$C$2:$C$14)*(AJ$15&lt;Projects!$C$2:$C$14+Projects!$D$2:$D$14))+SUMPRODUCT((Projects!$G$17:$G$46="Yes")*(AJ$15&gt;=Projects!$C$17:$C$46)*(AJ$15&lt;Projects!$C$17:$C$46+Projects!$D$17:$D$46))</f>
        <v>13</v>
      </c>
      <c r="AK17" s="386">
        <f>SUMPRODUCT((Projects!$G$2:$G$14="Yes")*(AK$15&gt;=Projects!$C$2:$C$14)*(AK$15&lt;Projects!$C$2:$C$14+Projects!$D$2:$D$14))+SUMPRODUCT((Projects!$G$17:$G$46="Yes")*(AK$15&gt;=Projects!$C$17:$C$46)*(AK$15&lt;Projects!$C$17:$C$46+Projects!$D$17:$D$46))</f>
        <v>13</v>
      </c>
      <c r="AL17" s="386">
        <f>SUMPRODUCT((Projects!$G$2:$G$14="Yes")*(AL$15&gt;=Projects!$C$2:$C$14)*(AL$15&lt;Projects!$C$2:$C$14+Projects!$D$2:$D$14))+SUMPRODUCT((Projects!$G$17:$G$46="Yes")*(AL$15&gt;=Projects!$C$17:$C$46)*(AL$15&lt;Projects!$C$17:$C$46+Projects!$D$17:$D$46))</f>
        <v>13</v>
      </c>
      <c r="AM17" s="386">
        <f>SUMPRODUCT((Projects!$G$2:$G$14="Yes")*(AM$15&gt;=Projects!$C$2:$C$14)*(AM$15&lt;Projects!$C$2:$C$14+Projects!$D$2:$D$14))+SUMPRODUCT((Projects!$G$17:$G$46="Yes")*(AM$15&gt;=Projects!$C$17:$C$46)*(AM$15&lt;Projects!$C$17:$C$46+Projects!$D$17:$D$46))</f>
        <v>13</v>
      </c>
      <c r="AN17" s="386">
        <f>SUMPRODUCT((Projects!$G$2:$G$14="Yes")*(AN$15&gt;=Projects!$C$2:$C$14)*(AN$15&lt;Projects!$C$2:$C$14+Projects!$D$2:$D$14))+SUMPRODUCT((Projects!$G$17:$G$46="Yes")*(AN$15&gt;=Projects!$C$17:$C$46)*(AN$15&lt;Projects!$C$17:$C$46+Projects!$D$17:$D$46))</f>
        <v>11</v>
      </c>
      <c r="AO17" s="386">
        <f>SUMPRODUCT((Projects!$G$2:$G$14="Yes")*(AO$15&gt;=Projects!$C$2:$C$14)*(AO$15&lt;Projects!$C$2:$C$14+Projects!$D$2:$D$14))+SUMPRODUCT((Projects!$G$17:$G$46="Yes")*(AO$15&gt;=Projects!$C$17:$C$46)*(AO$15&lt;Projects!$C$17:$C$46+Projects!$D$17:$D$46))</f>
        <v>12</v>
      </c>
      <c r="AP17" s="386">
        <f>SUMPRODUCT((Projects!$G$2:$G$14="Yes")*(AP$15&gt;=Projects!$C$2:$C$14)*(AP$15&lt;Projects!$C$2:$C$14+Projects!$D$2:$D$14))+SUMPRODUCT((Projects!$G$17:$G$46="Yes")*(AP$15&gt;=Projects!$C$17:$C$46)*(AP$15&lt;Projects!$C$17:$C$46+Projects!$D$17:$D$46))</f>
        <v>13</v>
      </c>
      <c r="AQ17" s="386">
        <f>SUMPRODUCT((Projects!$G$2:$G$14="Yes")*(AQ$15&gt;=Projects!$C$2:$C$14)*(AQ$15&lt;Projects!$C$2:$C$14+Projects!$D$2:$D$14))+SUMPRODUCT((Projects!$G$17:$G$46="Yes")*(AQ$15&gt;=Projects!$C$17:$C$46)*(AQ$15&lt;Projects!$C$17:$C$46+Projects!$D$17:$D$46))</f>
        <v>14</v>
      </c>
      <c r="AR17" s="386">
        <f>SUMPRODUCT((Projects!$G$2:$G$14="Yes")*(AR$15&gt;=Projects!$C$2:$C$14)*(AR$15&lt;Projects!$C$2:$C$14+Projects!$D$2:$D$14))+SUMPRODUCT((Projects!$G$17:$G$46="Yes")*(AR$15&gt;=Projects!$C$17:$C$46)*(AR$15&lt;Projects!$C$17:$C$46+Projects!$D$17:$D$46))</f>
        <v>15</v>
      </c>
      <c r="AS17" s="386">
        <f>SUMPRODUCT((Projects!$G$2:$G$14="Yes")*(AS$15&gt;=Projects!$C$2:$C$14)*(AS$15&lt;Projects!$C$2:$C$14+Projects!$D$2:$D$14))+SUMPRODUCT((Projects!$G$17:$G$46="Yes")*(AS$15&gt;=Projects!$C$17:$C$46)*(AS$15&lt;Projects!$C$17:$C$46+Projects!$D$17:$D$46))</f>
        <v>15</v>
      </c>
      <c r="AT17" s="386">
        <f>SUMPRODUCT((Projects!$G$2:$G$14="Yes")*(AT$15&gt;=Projects!$C$2:$C$14)*(AT$15&lt;Projects!$C$2:$C$14+Projects!$D$2:$D$14))+SUMPRODUCT((Projects!$G$17:$G$46="Yes")*(AT$15&gt;=Projects!$C$17:$C$46)*(AT$15&lt;Projects!$C$17:$C$46+Projects!$D$17:$D$46))</f>
        <v>15</v>
      </c>
      <c r="AU17" s="386">
        <f>SUMPRODUCT((Projects!$G$2:$G$14="Yes")*(AU$15&gt;=Projects!$C$2:$C$14)*(AU$15&lt;Projects!$C$2:$C$14+Projects!$D$2:$D$14))+SUMPRODUCT((Projects!$G$17:$G$46="Yes")*(AU$15&gt;=Projects!$C$17:$C$46)*(AU$15&lt;Projects!$C$17:$C$46+Projects!$D$17:$D$46))</f>
        <v>15</v>
      </c>
      <c r="AV17" s="386">
        <f>SUMPRODUCT((Projects!$G$2:$G$14="Yes")*(AV$15&gt;=Projects!$C$2:$C$14)*(AV$15&lt;Projects!$C$2:$C$14+Projects!$D$2:$D$14))+SUMPRODUCT((Projects!$G$17:$G$46="Yes")*(AV$15&gt;=Projects!$C$17:$C$46)*(AV$15&lt;Projects!$C$17:$C$46+Projects!$D$17:$D$46))</f>
        <v>15</v>
      </c>
      <c r="AW17" s="386">
        <f>SUMPRODUCT((Projects!$G$2:$G$14="Yes")*(AW$15&gt;=Projects!$C$2:$C$14)*(AW$15&lt;Projects!$C$2:$C$14+Projects!$D$2:$D$14))+SUMPRODUCT((Projects!$G$17:$G$46="Yes")*(AW$15&gt;=Projects!$C$17:$C$46)*(AW$15&lt;Projects!$C$17:$C$46+Projects!$D$17:$D$46))</f>
        <v>14</v>
      </c>
      <c r="AX17" s="386">
        <f>SUMPRODUCT((Projects!$G$2:$G$14="Yes")*(AX$15&gt;=Projects!$C$2:$C$14)*(AX$15&lt;Projects!$C$2:$C$14+Projects!$D$2:$D$14))+SUMPRODUCT((Projects!$G$17:$G$46="Yes")*(AX$15&gt;=Projects!$C$17:$C$46)*(AX$15&lt;Projects!$C$17:$C$46+Projects!$D$17:$D$46))</f>
        <v>14</v>
      </c>
      <c r="AY17" s="386">
        <f>SUMPRODUCT((Projects!$G$2:$G$14="Yes")*(AY$15&gt;=Projects!$C$2:$C$14)*(AY$15&lt;Projects!$C$2:$C$14+Projects!$D$2:$D$14))+SUMPRODUCT((Projects!$G$17:$G$46="Yes")*(AY$15&gt;=Projects!$C$17:$C$46)*(AY$15&lt;Projects!$C$17:$C$46+Projects!$D$17:$D$46))</f>
        <v>14</v>
      </c>
      <c r="AZ17" s="386">
        <f>SUMPRODUCT((Projects!$G$2:$G$14="Yes")*(AZ$15&gt;=Projects!$C$2:$C$14)*(AZ$15&lt;Projects!$C$2:$C$14+Projects!$D$2:$D$14))+SUMPRODUCT((Projects!$G$17:$G$46="Yes")*(AZ$15&gt;=Projects!$C$17:$C$46)*(AZ$15&lt;Projects!$C$17:$C$46+Projects!$D$17:$D$46))</f>
        <v>14</v>
      </c>
      <c r="BA17" s="386">
        <f>SUMPRODUCT((Projects!$G$2:$G$14="Yes")*(BA$15&gt;=Projects!$C$2:$C$14)*(BA$15&lt;Projects!$C$2:$C$14+Projects!$D$2:$D$14))+SUMPRODUCT((Projects!$G$17:$G$46="Yes")*(BA$15&gt;=Projects!$C$17:$C$46)*(BA$15&lt;Projects!$C$17:$C$46+Projects!$D$17:$D$46))</f>
        <v>14</v>
      </c>
      <c r="BB17" s="386">
        <f>SUMPRODUCT((Projects!$G$2:$G$14="Yes")*(BB$15&gt;=Projects!$C$2:$C$14)*(BB$15&lt;Projects!$C$2:$C$14+Projects!$D$2:$D$14))+SUMPRODUCT((Projects!$G$17:$G$46="Yes")*(BB$15&gt;=Projects!$C$17:$C$46)*(BB$15&lt;Projects!$C$17:$C$46+Projects!$D$17:$D$46))</f>
        <v>14</v>
      </c>
      <c r="BC17" s="386">
        <f>SUMPRODUCT((Projects!$G$2:$G$14="Yes")*(BC$15&gt;=Projects!$C$2:$C$14)*(BC$15&lt;Projects!$C$2:$C$14+Projects!$D$2:$D$14))+SUMPRODUCT((Projects!$G$17:$G$46="Yes")*(BC$15&gt;=Projects!$C$17:$C$46)*(BC$15&lt;Projects!$C$17:$C$46+Projects!$D$17:$D$46))</f>
        <v>14</v>
      </c>
      <c r="BD17" s="386">
        <f>SUMPRODUCT((Projects!$G$2:$G$14="Yes")*(BD$15&gt;=Projects!$C$2:$C$14)*(BD$15&lt;Projects!$C$2:$C$14+Projects!$D$2:$D$14))+SUMPRODUCT((Projects!$G$17:$G$46="Yes")*(BD$15&gt;=Projects!$C$17:$C$46)*(BD$15&lt;Projects!$C$17:$C$46+Projects!$D$17:$D$46))</f>
        <v>14</v>
      </c>
      <c r="BE17" s="386">
        <f>SUMPRODUCT((Projects!$G$2:$G$14="Yes")*(BE$15&gt;=Projects!$C$2:$C$14)*(BE$15&lt;Projects!$C$2:$C$14+Projects!$D$2:$D$14))+SUMPRODUCT((Projects!$G$17:$G$46="Yes")*(BE$15&gt;=Projects!$C$17:$C$46)*(BE$15&lt;Projects!$C$17:$C$46+Projects!$D$17:$D$46))</f>
        <v>14</v>
      </c>
      <c r="BF17" s="386">
        <f>SUMPRODUCT((Projects!$G$2:$G$14="Yes")*(BF$15&gt;=Projects!$C$2:$C$14)*(BF$15&lt;Projects!$C$2:$C$14+Projects!$D$2:$D$14))+SUMPRODUCT((Projects!$G$17:$G$46="Yes")*(BF$15&gt;=Projects!$C$17:$C$46)*(BF$15&lt;Projects!$C$17:$C$46+Projects!$D$17:$D$46))</f>
        <v>14</v>
      </c>
      <c r="BG17" s="386">
        <f>SUMPRODUCT((Projects!$G$2:$G$14="Yes")*(BG$15&gt;=Projects!$C$2:$C$14)*(BG$15&lt;Projects!$C$2:$C$14+Projects!$D$2:$D$14))+SUMPRODUCT((Projects!$G$17:$G$46="Yes")*(BG$15&gt;=Projects!$C$17:$C$46)*(BG$15&lt;Projects!$C$17:$C$46+Projects!$D$17:$D$46))</f>
        <v>14</v>
      </c>
      <c r="BH17" s="386">
        <f>SUMPRODUCT((Projects!$G$2:$G$14="Yes")*(BH$15&gt;=Projects!$C$2:$C$14)*(BH$15&lt;Projects!$C$2:$C$14+Projects!$D$2:$D$14))+SUMPRODUCT((Projects!$G$17:$G$46="Yes")*(BH$15&gt;=Projects!$C$17:$C$46)*(BH$15&lt;Projects!$C$17:$C$46+Projects!$D$17:$D$46))</f>
        <v>14</v>
      </c>
      <c r="BI17" s="386">
        <f>SUMPRODUCT((Projects!$G$2:$G$14="Yes")*(BI$15&gt;=Projects!$C$2:$C$14)*(BI$15&lt;Projects!$C$2:$C$14+Projects!$D$2:$D$14))+SUMPRODUCT((Projects!$G$17:$G$46="Yes")*(BI$15&gt;=Projects!$C$17:$C$46)*(BI$15&lt;Projects!$C$17:$C$46+Projects!$D$17:$D$46))</f>
        <v>14</v>
      </c>
      <c r="BJ17" s="386">
        <f>SUMPRODUCT((Projects!$G$2:$G$14="Yes")*(BJ$15&gt;=Projects!$C$2:$C$14)*(BJ$15&lt;Projects!$C$2:$C$14+Projects!$D$2:$D$14))+SUMPRODUCT((Projects!$G$17:$G$46="Yes")*(BJ$15&gt;=Projects!$C$17:$C$46)*(BJ$15&lt;Projects!$C$17:$C$46+Projects!$D$17:$D$46))</f>
        <v>12</v>
      </c>
      <c r="BK17" s="386">
        <f>SUMPRODUCT((Projects!$G$2:$G$14="Yes")*(BK$15&gt;=Projects!$C$2:$C$14)*(BK$15&lt;Projects!$C$2:$C$14+Projects!$D$2:$D$14))+SUMPRODUCT((Projects!$G$17:$G$46="Yes")*(BK$15&gt;=Projects!$C$17:$C$46)*(BK$15&lt;Projects!$C$17:$C$46+Projects!$D$17:$D$46))</f>
        <v>11</v>
      </c>
      <c r="BL17" s="386">
        <f>SUMPRODUCT((Projects!$G$2:$G$14="Yes")*(BL$15&gt;=Projects!$C$2:$C$14)*(BL$15&lt;Projects!$C$2:$C$14+Projects!$D$2:$D$14))+SUMPRODUCT((Projects!$G$17:$G$46="Yes")*(BL$15&gt;=Projects!$C$17:$C$46)*(BL$15&lt;Projects!$C$17:$C$46+Projects!$D$17:$D$46))</f>
        <v>11</v>
      </c>
      <c r="BM17" s="386">
        <f>SUMPRODUCT((Projects!$G$2:$G$14="Yes")*(BM$15&gt;=Projects!$C$2:$C$14)*(BM$15&lt;Projects!$C$2:$C$14+Projects!$D$2:$D$14))+SUMPRODUCT((Projects!$G$17:$G$46="Yes")*(BM$15&gt;=Projects!$C$17:$C$46)*(BM$15&lt;Projects!$C$17:$C$46+Projects!$D$17:$D$46))</f>
        <v>11</v>
      </c>
      <c r="BN17" s="386">
        <f>SUMPRODUCT((Projects!$G$2:$G$14="Yes")*(BN$15&gt;=Projects!$C$2:$C$14)*(BN$15&lt;Projects!$C$2:$C$14+Projects!$D$2:$D$14))+SUMPRODUCT((Projects!$G$17:$G$46="Yes")*(BN$15&gt;=Projects!$C$17:$C$46)*(BN$15&lt;Projects!$C$17:$C$46+Projects!$D$17:$D$46))</f>
        <v>11</v>
      </c>
      <c r="BO17" s="386">
        <f>SUMPRODUCT((Projects!$G$2:$G$14="Yes")*(BO$15&gt;=Projects!$C$2:$C$14)*(BO$15&lt;Projects!$C$2:$C$14+Projects!$D$2:$D$14))+SUMPRODUCT((Projects!$G$17:$G$46="Yes")*(BO$15&gt;=Projects!$C$17:$C$46)*(BO$15&lt;Projects!$C$17:$C$46+Projects!$D$17:$D$46))</f>
        <v>10</v>
      </c>
      <c r="BP17" s="386">
        <f>SUMPRODUCT((Projects!$G$2:$G$14="Yes")*(BP$15&gt;=Projects!$C$2:$C$14)*(BP$15&lt;Projects!$C$2:$C$14+Projects!$D$2:$D$14))+SUMPRODUCT((Projects!$G$17:$G$46="Yes")*(BP$15&gt;=Projects!$C$17:$C$46)*(BP$15&lt;Projects!$C$17:$C$46+Projects!$D$17:$D$46))</f>
        <v>9</v>
      </c>
      <c r="BQ17" s="386">
        <f>SUMPRODUCT((Projects!$G$2:$G$14="Yes")*(BQ$15&gt;=Projects!$C$2:$C$14)*(BQ$15&lt;Projects!$C$2:$C$14+Projects!$D$2:$D$14))+SUMPRODUCT((Projects!$G$17:$G$46="Yes")*(BQ$15&gt;=Projects!$C$17:$C$46)*(BQ$15&lt;Projects!$C$17:$C$46+Projects!$D$17:$D$46))</f>
        <v>9</v>
      </c>
      <c r="BR17" s="386">
        <f>SUMPRODUCT((Projects!$G$2:$G$14="Yes")*(BR$15&gt;=Projects!$C$2:$C$14)*(BR$15&lt;Projects!$C$2:$C$14+Projects!$D$2:$D$14))+SUMPRODUCT((Projects!$G$17:$G$46="Yes")*(BR$15&gt;=Projects!$C$17:$C$46)*(BR$15&lt;Projects!$C$17:$C$46+Projects!$D$17:$D$46))</f>
        <v>9</v>
      </c>
      <c r="BS17" s="386">
        <f>SUMPRODUCT((Projects!$G$2:$G$14="Yes")*(BS$15&gt;=Projects!$C$2:$C$14)*(BS$15&lt;Projects!$C$2:$C$14+Projects!$D$2:$D$14))+SUMPRODUCT((Projects!$G$17:$G$46="Yes")*(BS$15&gt;=Projects!$C$17:$C$46)*(BS$15&lt;Projects!$C$17:$C$46+Projects!$D$17:$D$46))</f>
        <v>9</v>
      </c>
      <c r="BT17" s="386">
        <f>SUMPRODUCT((Projects!$G$2:$G$14="Yes")*(BT$15&gt;=Projects!$C$2:$C$14)*(BT$15&lt;Projects!$C$2:$C$14+Projects!$D$2:$D$14))+SUMPRODUCT((Projects!$G$17:$G$46="Yes")*(BT$15&gt;=Projects!$C$17:$C$46)*(BT$15&lt;Projects!$C$17:$C$46+Projects!$D$17:$D$46))</f>
        <v>8</v>
      </c>
      <c r="BU17" s="386">
        <f>SUMPRODUCT((Projects!$G$2:$G$14="Yes")*(BU$15&gt;=Projects!$C$2:$C$14)*(BU$15&lt;Projects!$C$2:$C$14+Projects!$D$2:$D$14))+SUMPRODUCT((Projects!$G$17:$G$46="Yes")*(BU$15&gt;=Projects!$C$17:$C$46)*(BU$15&lt;Projects!$C$17:$C$46+Projects!$D$17:$D$46))</f>
        <v>7</v>
      </c>
      <c r="BV17" s="386">
        <f>SUMPRODUCT((Projects!$G$2:$G$14="Yes")*(BV$15&gt;=Projects!$C$2:$C$14)*(BV$15&lt;Projects!$C$2:$C$14+Projects!$D$2:$D$14))+SUMPRODUCT((Projects!$G$17:$G$46="Yes")*(BV$15&gt;=Projects!$C$17:$C$46)*(BV$15&lt;Projects!$C$17:$C$46+Projects!$D$17:$D$46))</f>
        <v>6</v>
      </c>
      <c r="BW17" s="386">
        <f>SUMPRODUCT((Projects!$G$2:$G$14="Yes")*(BW$15&gt;=Projects!$C$2:$C$14)*(BW$15&lt;Projects!$C$2:$C$14+Projects!$D$2:$D$14))+SUMPRODUCT((Projects!$G$17:$G$46="Yes")*(BW$15&gt;=Projects!$C$17:$C$46)*(BW$15&lt;Projects!$C$17:$C$46+Projects!$D$17:$D$46))</f>
        <v>5</v>
      </c>
      <c r="BX17" s="386">
        <f>SUMPRODUCT((Projects!$G$2:$G$14="Yes")*(BX$15&gt;=Projects!$C$2:$C$14)*(BX$15&lt;Projects!$C$2:$C$14+Projects!$D$2:$D$14))+SUMPRODUCT((Projects!$G$17:$G$46="Yes")*(BX$15&gt;=Projects!$C$17:$C$46)*(BX$15&lt;Projects!$C$17:$C$46+Projects!$D$17:$D$46))</f>
        <v>4</v>
      </c>
      <c r="BY17" s="386">
        <f>SUMPRODUCT((Projects!$G$2:$G$14="Yes")*(BY$15&gt;=Projects!$C$2:$C$14)*(BY$15&lt;Projects!$C$2:$C$14+Projects!$D$2:$D$14))+SUMPRODUCT((Projects!$G$17:$G$46="Yes")*(BY$15&gt;=Projects!$C$17:$C$46)*(BY$15&lt;Projects!$C$17:$C$46+Projects!$D$17:$D$46))</f>
        <v>3</v>
      </c>
      <c r="BZ17" s="386">
        <f>SUMPRODUCT((Projects!$G$2:$G$14="Yes")*(BZ$15&gt;=Projects!$C$2:$C$14)*(BZ$15&lt;Projects!$C$2:$C$14+Projects!$D$2:$D$14))+SUMPRODUCT((Projects!$G$17:$G$46="Yes")*(BZ$15&gt;=Projects!$C$17:$C$46)*(BZ$15&lt;Projects!$C$17:$C$46+Projects!$D$17:$D$46))</f>
        <v>2</v>
      </c>
      <c r="CA17" s="386">
        <f>SUMPRODUCT((Projects!$G$2:$G$14="Yes")*(CA$15&gt;=Projects!$C$2:$C$14)*(CA$15&lt;Projects!$C$2:$C$14+Projects!$D$2:$D$14))+SUMPRODUCT((Projects!$G$17:$G$46="Yes")*(CA$15&gt;=Projects!$C$17:$C$46)*(CA$15&lt;Projects!$C$17:$C$46+Projects!$D$17:$D$46))</f>
        <v>1</v>
      </c>
      <c r="CB17" s="386">
        <f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386">
        <f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386">
        <f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386">
        <f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386">
        <f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386">
        <f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386">
        <f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386">
        <f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386">
        <f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386">
        <f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386">
        <f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386">
        <f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386">
        <f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386">
        <f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386">
        <f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386">
        <f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386">
        <f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386">
        <f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386">
        <f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386">
        <f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386">
        <f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386">
        <f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386">
        <f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386">
        <f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386">
        <f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386">
        <f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386">
        <f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86">
        <f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86">
        <f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86">
        <f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86">
        <f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ht="15" customFormat="1" customHeight="1" s="381">
      <c r="A18" s="627" t="inlineStr">
        <is>
          <t>Alloc cost / project</t>
        </is>
      </c>
      <c r="C18" s="486">
        <f>IFERROR(C16/C17,0)</f>
        <v>0</v>
      </c>
      <c r="D18" s="486">
        <f>IFERROR(D16/D17,0)</f>
        <v>0</v>
      </c>
      <c r="E18" s="486">
        <f>IFERROR(E16/E17,0)</f>
        <v>0</v>
      </c>
      <c r="F18" s="486">
        <f>IFERROR(F16/F17,0)</f>
        <v>14686.312</v>
      </c>
      <c r="G18" s="486">
        <f>IFERROR(G16/G17,0)</f>
        <v>87582.97</v>
      </c>
      <c r="H18" s="486">
        <f>IFERROR(H16/H17,0)</f>
        <v>64568.242</v>
      </c>
      <c r="I18" s="486">
        <f>IFERROR(I16/I17,0)</f>
        <v>105849.145</v>
      </c>
      <c r="J18" s="486">
        <f>IFERROR(J16/J17,0)</f>
        <v>60530.715625</v>
      </c>
      <c r="K18" s="486">
        <f>IFERROR(K16/K17,0)</f>
        <v>60530.715625</v>
      </c>
      <c r="L18" s="486">
        <f>IFERROR(L16/L17,0)</f>
        <v>60530.715625</v>
      </c>
      <c r="M18" s="486">
        <f>IFERROR(M16/M17,0)</f>
        <v>58168.0435185185</v>
      </c>
      <c r="N18" s="486">
        <f>IFERROR(N16/N17,0)</f>
        <v>66427.0697916667</v>
      </c>
      <c r="O18" s="486">
        <f>IFERROR(O16/O17,0)</f>
        <v>53653.968030303</v>
      </c>
      <c r="P18" s="486">
        <f>IFERROR(P16/P17,0)</f>
        <v>51515.2200189394</v>
      </c>
      <c r="Q18" s="486">
        <f>IFERROR(Q16/Q17,0)</f>
        <v>48063.0589393939</v>
      </c>
      <c r="R18" s="486">
        <f>IFERROR(R16/R17,0)</f>
        <v>48835.5322393939</v>
      </c>
      <c r="S18" s="486">
        <f>IFERROR(S16/S17,0)</f>
        <v>49788.4984333333</v>
      </c>
      <c r="T18" s="486">
        <f>IFERROR(T16/T17,0)</f>
        <v>44199.322652381</v>
      </c>
      <c r="U18" s="486">
        <f>IFERROR(U16/U17,0)</f>
        <v>46830.3032410256</v>
      </c>
      <c r="V18" s="486">
        <f>IFERROR(V16/V17,0)</f>
        <v>52217.2835111111</v>
      </c>
      <c r="W18" s="486">
        <f>IFERROR(W16/W17,0)</f>
        <v>48375.0399694444</v>
      </c>
      <c r="X18" s="486">
        <f>IFERROR(X16/X17,0)</f>
        <v>48375.0399694444</v>
      </c>
      <c r="Y18" s="486">
        <f>IFERROR(Y16/Y17,0)</f>
        <v>48375.0399694444</v>
      </c>
      <c r="Z18" s="486">
        <f>IFERROR(Z16/Z17,0)</f>
        <v>53588.8588402778</v>
      </c>
      <c r="AA18" s="486">
        <f>IFERROR(AA16/AA17,0)</f>
        <v>48375.0399694444</v>
      </c>
      <c r="AB18" s="486">
        <f>IFERROR(AB16/AB17,0)</f>
        <v>48375.0399694444</v>
      </c>
      <c r="AC18" s="486">
        <f>IFERROR(AC16/AC17,0)</f>
        <v>48375.0399694444</v>
      </c>
      <c r="AD18" s="486">
        <f>IFERROR(AD16/AD17,0)</f>
        <v>52919.4852132778</v>
      </c>
      <c r="AE18" s="486">
        <f>IFERROR(AE16/AE17,0)</f>
        <v>49169.4852132778</v>
      </c>
      <c r="AF18" s="486">
        <f>IFERROR(AF16/AF17,0)</f>
        <v>45387.2171199487</v>
      </c>
      <c r="AG18" s="486">
        <f>IFERROR(AG16/AG17,0)</f>
        <v>45387.2171199487</v>
      </c>
      <c r="AH18" s="486">
        <f>IFERROR(AH16/AH17,0)</f>
        <v>53639.4384144848</v>
      </c>
      <c r="AI18" s="486">
        <f>IFERROR(AI16/AI17,0)</f>
        <v>52919.4852132778</v>
      </c>
      <c r="AJ18" s="486">
        <f>IFERROR(AJ16/AJ17,0)</f>
        <v>48848.7555814872</v>
      </c>
      <c r="AK18" s="486">
        <f>IFERROR(AK16/AK17,0)</f>
        <v>45387.2171199487</v>
      </c>
      <c r="AL18" s="486">
        <f>IFERROR(AL16/AL17,0)</f>
        <v>46095.4123122564</v>
      </c>
      <c r="AM18" s="486">
        <f>IFERROR(AM16/AM17,0)</f>
        <v>48271.8325045641</v>
      </c>
      <c r="AN18" s="486">
        <f>IFERROR(AN16/AN17,0)</f>
        <v>57048.5293235758</v>
      </c>
      <c r="AO18" s="486">
        <f>IFERROR(AO16/AO17,0)</f>
        <v>52919.4852132778</v>
      </c>
      <c r="AP18" s="486">
        <f>IFERROR(AP16/AP17,0)</f>
        <v>49019.8332572195</v>
      </c>
      <c r="AQ18" s="486">
        <f>IFERROR(AQ16/AQ17,0)</f>
        <v>45518.4165959895</v>
      </c>
      <c r="AR18" s="486">
        <f>IFERROR(AR16/AR17,0)</f>
        <v>42983.8554895902</v>
      </c>
      <c r="AS18" s="486">
        <f>IFERROR(AS16/AS17,0)</f>
        <v>42483.8554895902</v>
      </c>
      <c r="AT18" s="486">
        <f>IFERROR(AT16/AT17,0)</f>
        <v>39983.8554895902</v>
      </c>
      <c r="AU18" s="486">
        <f>IFERROR(AU16/AU17,0)</f>
        <v>39983.8554895902</v>
      </c>
      <c r="AV18" s="486">
        <f>IFERROR(AV16/AV17,0)</f>
        <v>39983.8554895902</v>
      </c>
      <c r="AW18" s="486">
        <f>IFERROR(AW16/AW17,0)</f>
        <v>46054.1308817038</v>
      </c>
      <c r="AX18" s="486">
        <f>IFERROR(AX16/AX17,0)</f>
        <v>45518.4165959895</v>
      </c>
      <c r="AY18" s="486">
        <f>IFERROR(AY16/AY17,0)</f>
        <v>42839.8451674181</v>
      </c>
      <c r="AZ18" s="486">
        <f>IFERROR(AZ16/AZ17,0)</f>
        <v>42839.8451674181</v>
      </c>
      <c r="BA18" s="486">
        <f>IFERROR(BA16/BA17,0)</f>
        <v>42839.8451674181</v>
      </c>
      <c r="BB18" s="486">
        <f>IFERROR(BB16/BB17,0)</f>
        <v>46226.8801660045</v>
      </c>
      <c r="BC18" s="486">
        <f>IFERROR(BC16/BC17,0)</f>
        <v>46762.5944517188</v>
      </c>
      <c r="BD18" s="486">
        <f>IFERROR(BD16/BD17,0)</f>
        <v>46226.8801660045</v>
      </c>
      <c r="BE18" s="486">
        <f>IFERROR(BE16/BE17,0)</f>
        <v>46226.8801660045</v>
      </c>
      <c r="BF18" s="486">
        <f>IFERROR(BF16/BF17,0)</f>
        <v>46762.5944517188</v>
      </c>
      <c r="BG18" s="486">
        <f>IFERROR(BG16/BG17,0)</f>
        <v>46226.8801660045</v>
      </c>
      <c r="BH18" s="486">
        <f>IFERROR(BH16/BH17,0)</f>
        <v>46226.8801660045</v>
      </c>
      <c r="BI18" s="486">
        <f>IFERROR(BI16/BI17,0)</f>
        <v>46762.5944517188</v>
      </c>
      <c r="BJ18" s="486">
        <f>IFERROR(BJ16/BJ17,0)</f>
        <v>53931.360193672</v>
      </c>
      <c r="BK18" s="486">
        <f>IFERROR(BK16/BK17,0)</f>
        <v>55425.1202112785</v>
      </c>
      <c r="BL18" s="486">
        <f>IFERROR(BL16/BL17,0)</f>
        <v>55425.1202112785</v>
      </c>
      <c r="BM18" s="486">
        <f>IFERROR(BM16/BM17,0)</f>
        <v>55425.1202112785</v>
      </c>
      <c r="BN18" s="486">
        <f>IFERROR(BN16/BN17,0)</f>
        <v>56344.8347367162</v>
      </c>
      <c r="BO18" s="486">
        <f>IFERROR(BO16/BO17,0)</f>
        <v>61979.3182103878</v>
      </c>
      <c r="BP18" s="486">
        <f>IFERROR(BP16/BP17,0)</f>
        <v>68865.9091226531</v>
      </c>
      <c r="BQ18" s="486">
        <f>IFERROR(BQ16/BQ17,0)</f>
        <v>68865.9091226531</v>
      </c>
      <c r="BR18" s="486">
        <f>IFERROR(BR16/BR17,0)</f>
        <v>68865.9091226531</v>
      </c>
      <c r="BS18" s="486">
        <f>IFERROR(BS16/BS17,0)</f>
        <v>68865.9091226531</v>
      </c>
      <c r="BT18" s="486">
        <f>IFERROR(BT16/BT17,0)</f>
        <v>77474.1477629848</v>
      </c>
      <c r="BU18" s="486">
        <f>IFERROR(BU16/BU17,0)</f>
        <v>88541.8831576969</v>
      </c>
      <c r="BV18" s="486">
        <f>IFERROR(BV16/BV17,0)</f>
        <v>103298.86368398</v>
      </c>
      <c r="BW18" s="486">
        <f>IFERROR(BW16/BW17,0)</f>
        <v>123958.636420776</v>
      </c>
      <c r="BX18" s="486">
        <f>IFERROR(BX16/BX17,0)</f>
        <v>154948.29552597</v>
      </c>
      <c r="BY18" s="486">
        <f>IFERROR(BY16/BY17,0)</f>
        <v>206597.727367959</v>
      </c>
      <c r="BZ18" s="486">
        <f>IFERROR(BZ16/BZ17,0)</f>
        <v>315056.189539645</v>
      </c>
      <c r="CA18" s="486">
        <f>IFERROR(CA16/CA17,0)</f>
        <v>630112.379079289</v>
      </c>
      <c r="CB18" s="486">
        <f>IFERROR(CB16/CB17,0)</f>
        <v>0</v>
      </c>
      <c r="CC18" s="486">
        <f>IFERROR(CC16/CC17,0)</f>
        <v>0</v>
      </c>
      <c r="CD18" s="486">
        <f>IFERROR(CD16/CD17,0)</f>
        <v>0</v>
      </c>
      <c r="CE18" s="486">
        <f>IFERROR(CE16/CE17,0)</f>
        <v>0</v>
      </c>
      <c r="CF18" s="486">
        <f>IFERROR(CF16/CF17,0)</f>
        <v>0</v>
      </c>
      <c r="CG18" s="486">
        <f>IFERROR(CG16/CG17,0)</f>
        <v>0</v>
      </c>
      <c r="CH18" s="486">
        <f>IFERROR(CH16/CH17,0)</f>
        <v>0</v>
      </c>
      <c r="CI18" s="486">
        <f>IFERROR(CI16/CI17,0)</f>
        <v>0</v>
      </c>
      <c r="CJ18" s="486">
        <f>IFERROR(CJ16/CJ17,0)</f>
        <v>0</v>
      </c>
      <c r="CK18" s="486">
        <f>IFERROR(CK16/CK17,0)</f>
        <v>0</v>
      </c>
      <c r="CL18" s="486">
        <f>IFERROR(CL16/CL17,0)</f>
        <v>0</v>
      </c>
      <c r="CM18" s="486">
        <f>IFERROR(CM16/CM17,0)</f>
        <v>0</v>
      </c>
      <c r="CN18" s="486">
        <f>IFERROR(CN16/CN17,0)</f>
        <v>0</v>
      </c>
      <c r="CO18" s="486">
        <f>IFERROR(CO16/CO17,0)</f>
        <v>0</v>
      </c>
      <c r="CP18" s="486">
        <f>IFERROR(CP16/CP17,0)</f>
        <v>0</v>
      </c>
      <c r="CQ18" s="486">
        <f>IFERROR(CQ16/CQ17,0)</f>
        <v>0</v>
      </c>
      <c r="CR18" s="486">
        <f>IFERROR(CR16/CR17,0)</f>
        <v>0</v>
      </c>
      <c r="CS18" s="486">
        <f>IFERROR(CS16/CS17,0)</f>
        <v>0</v>
      </c>
      <c r="CT18" s="486">
        <f>IFERROR(CT16/CT17,0)</f>
        <v>0</v>
      </c>
      <c r="CU18" s="486">
        <f>IFERROR(CU16/CU17,0)</f>
        <v>0</v>
      </c>
      <c r="CV18" s="486">
        <f>IFERROR(CV16/CV17,0)</f>
        <v>0</v>
      </c>
      <c r="CW18" s="486">
        <f>IFERROR(CW16/CW17,0)</f>
        <v>0</v>
      </c>
      <c r="CX18" s="486">
        <f>IFERROR(CX16/CX17,0)</f>
        <v>0</v>
      </c>
      <c r="CY18" s="486">
        <f>IFERROR(CY16/CY17,0)</f>
        <v>0</v>
      </c>
      <c r="CZ18" s="486">
        <f>IFERROR(CZ16/CZ17,0)</f>
        <v>0</v>
      </c>
      <c r="DA18" s="486">
        <f>IFERROR(DA16/DA17,0)</f>
        <v>0</v>
      </c>
      <c r="DB18" s="486">
        <f>IFERROR(DB16/DB17,0)</f>
        <v>0</v>
      </c>
      <c r="DC18" s="486">
        <f>IFERROR(DC16/DC17,0)</f>
        <v>0</v>
      </c>
      <c r="DD18" s="486">
        <f>IFERROR(DD16/DD17,0)</f>
        <v>0</v>
      </c>
      <c r="DE18" s="486">
        <f>IFERROR(DE16/DE17,0)</f>
        <v>0</v>
      </c>
      <c r="DF18" s="486">
        <f>IFERROR(DF16/DF17,0)</f>
        <v>0</v>
      </c>
    </row>
    <row r="19" ht="15" customFormat="1" customHeight="1" s="381"/>
    <row r="20" ht="30" customFormat="1" customHeight="1" s="381">
      <c r="A20" s="749" t="inlineStr">
        <is>
          <t>Deal</t>
        </is>
      </c>
      <c r="B20" s="749" t="inlineStr">
        <is>
          <t>GMP</t>
        </is>
      </c>
      <c r="C20" s="749" t="inlineStr">
        <is>
          <t>Start</t>
        </is>
      </c>
      <c r="D20" s="749" t="inlineStr">
        <is>
          <t>Dur</t>
        </is>
      </c>
      <c r="E20" s="749" t="inlineStr">
        <is>
          <t>Active</t>
        </is>
      </c>
      <c r="F20" s="749" t="inlineStr">
        <is>
          <t>HVN</t>
        </is>
      </c>
      <c r="G20" s="749" t="inlineStr">
        <is>
          <t>Completion</t>
        </is>
      </c>
      <c r="H20" s="749" t="inlineStr">
        <is>
          <t>Adv Month</t>
        </is>
      </c>
      <c r="I20" s="749" t="inlineStr">
        <is>
          <t>Tier Rate</t>
        </is>
      </c>
      <c r="J20" s="749" t="inlineStr">
        <is>
          <t>Life GP</t>
        </is>
      </c>
      <c r="K20" s="749" t="inlineStr">
        <is>
          <t>Life Alloc Cost</t>
        </is>
      </c>
      <c r="L20" s="749" t="inlineStr">
        <is>
          <t>Life NI</t>
        </is>
      </c>
      <c r="M20" s="749" t="inlineStr">
        <is>
          <t>Eff Rate</t>
        </is>
      </c>
      <c r="N20" s="749" t="inlineStr">
        <is>
          <t>Advance</t>
        </is>
      </c>
      <c r="O20" s="749" t="inlineStr">
        <is>
          <t>Earned (E)</t>
        </is>
      </c>
      <c r="P20" s="749" t="inlineStr">
        <is>
          <t>Total</t>
        </is>
      </c>
      <c r="Q20" s="749" t="inlineStr">
        <is>
          <t>True-Up</t>
        </is>
      </c>
    </row>
    <row r="21" ht="15" customFormat="1" customHeight="1" s="381">
      <c r="A21" s="381" t="str">
        <f>Projects!A17</f>
        <v>Dickens</v>
      </c>
      <c r="B21" s="486">
        <f>Projects!B17</f>
        <v>15316015</v>
      </c>
      <c r="C21" s="386">
        <f>Projects!C17</f>
        <v>14</v>
      </c>
      <c r="D21" s="386">
        <f>Projects!D17</f>
        <v>19</v>
      </c>
      <c r="E21" s="381" t="str">
        <f>Projects!G17</f>
        <v>Yes</v>
      </c>
      <c r="F21" s="381" t="str">
        <f>Projects!M17</f>
        <v>Yes</v>
      </c>
      <c r="G21" s="386">
        <f>C21+D21-1</f>
        <v>32</v>
      </c>
      <c r="H21" s="386">
        <f>C21+1</f>
        <v>15</v>
      </c>
      <c r="I21" s="744">
        <f>IF($F21="Yes",INDEX($G$6:$G$14,MATCH(MIN($G21,105),$B$6:$B$14,1)),1)</f>
        <v>0.5</v>
      </c>
      <c r="J21" s="486">
        <f>IF($E21="Yes",$B21*Assumptions!$B$9*0.95/$D21*SUMPRODUCT(($C$15:$DF$15&gt;=$C21)*($C$15:$DF$15&lt;$C21+$D21))+$B21*Assumptions!$B$9*0.05*SUMPRODUCT(--($C$15:$DF$15=$G21)),0)</f>
        <v>1843910.361865</v>
      </c>
      <c r="K21" s="486">
        <f>IF($E21="Yes",SUMPRODUCT(($C$15:$DF$15&gt;=$C21)*($C$15:$DF$15&lt;$C21+$D21)*$C$18:$DF$18),0)</f>
        <v>930532.807490447</v>
      </c>
      <c r="L21" s="486">
        <f>J21-K21</f>
        <v>913377.554374553</v>
      </c>
      <c r="M21" s="744">
        <f>$B$3*I21</f>
        <v>0.05</v>
      </c>
      <c r="N21" s="486">
        <f>IF($E21="Yes",$B$2*$B21,0)</f>
        <v>38290.0375</v>
      </c>
      <c r="O21" s="486">
        <f>M21*MAX(0,L21)</f>
        <v>45668.8777187277</v>
      </c>
      <c r="P21" s="486">
        <f>N21+Q21</f>
        <v>45668.8777187277</v>
      </c>
      <c r="Q21" s="486">
        <f>IF(AND($F21="Yes",$I21&lt;1),O21-N21,MAX(0,O21-N21))</f>
        <v>7378.84021872765</v>
      </c>
    </row>
    <row r="22" ht="15" customFormat="1" customHeight="1" s="381">
      <c r="A22" s="381" t="str">
        <f>Projects!A18</f>
        <v>Riverton</v>
      </c>
      <c r="B22" s="486">
        <f>Projects!B18</f>
        <v>11317385</v>
      </c>
      <c r="C22" s="386">
        <f>Projects!C18</f>
        <v>15</v>
      </c>
      <c r="D22" s="386">
        <f>Projects!D18</f>
        <v>19</v>
      </c>
      <c r="E22" s="381" t="str">
        <f>Projects!G18</f>
        <v>Yes</v>
      </c>
      <c r="F22" s="381" t="str">
        <f>Projects!M18</f>
        <v>Yes</v>
      </c>
      <c r="G22" s="386">
        <f>C22+D22-1</f>
        <v>33</v>
      </c>
      <c r="H22" s="386">
        <f>C22+1</f>
        <v>16</v>
      </c>
      <c r="I22" s="744">
        <f>IF($F22="Yes",INDEX($G$6:$G$14,MATCH(MIN($G22,105),$B$6:$B$14,1)),1)</f>
        <v>0.5</v>
      </c>
      <c r="J22" s="486">
        <f>IF($E22="Yes",$B22*Assumptions!$B$9*0.95/$D22*SUMPRODUCT(($C$15:$DF$15&gt;=$C22)*($C$15:$DF$15&lt;$C22+$D22))+$B22*Assumptions!$B$9*0.05*SUMPRODUCT(--($C$15:$DF$15=$G22)),0)</f>
        <v>1362511.297535</v>
      </c>
      <c r="K22" s="486">
        <f>IF($E22="Yes",SUMPRODUCT(($C$15:$DF$15&gt;=$C22)*($C$15:$DF$15&lt;$C22+$D22)*$C$18:$DF$18),0)</f>
        <v>926839.72136937</v>
      </c>
      <c r="L22" s="486">
        <f>J22-K22</f>
        <v>435671.57616563</v>
      </c>
      <c r="M22" s="744">
        <f>$B$3*I22</f>
        <v>0.05</v>
      </c>
      <c r="N22" s="486">
        <f>IF($E22="Yes",$B$2*$B22,0)</f>
        <v>28293.4625</v>
      </c>
      <c r="O22" s="486">
        <f>M22*MAX(0,L22)</f>
        <v>21783.5788082815</v>
      </c>
      <c r="P22" s="486">
        <f>N22+Q22</f>
        <v>21783.5788082815</v>
      </c>
      <c r="Q22" s="486">
        <f>IF(AND($F22="Yes",$I22&lt;1),O22-N22,MAX(0,O22-N22))</f>
        <v>-6509.8836917185</v>
      </c>
    </row>
    <row r="23" ht="15" customFormat="1" customHeight="1" s="381">
      <c r="A23" s="381" t="str">
        <f>Projects!A19</f>
        <v>Moorpark</v>
      </c>
      <c r="B23" s="486">
        <f>Projects!B19</f>
        <v>18442769</v>
      </c>
      <c r="C23" s="386">
        <f>Projects!C19</f>
        <v>16</v>
      </c>
      <c r="D23" s="386">
        <f>Projects!D19</f>
        <v>19</v>
      </c>
      <c r="E23" s="381" t="str">
        <f>Projects!G19</f>
        <v>Yes</v>
      </c>
      <c r="F23" s="381" t="str">
        <f>Projects!M19</f>
        <v>Yes</v>
      </c>
      <c r="G23" s="386">
        <f>C23+D23-1</f>
        <v>34</v>
      </c>
      <c r="H23" s="386">
        <f>C23+1</f>
        <v>17</v>
      </c>
      <c r="I23" s="744">
        <f>IF($F23="Yes",INDEX($G$6:$G$14,MATCH(MIN($G23,105),$B$6:$B$14,1)),1)</f>
        <v>1</v>
      </c>
      <c r="J23" s="486">
        <f>IF($E23="Yes",$B23*Assumptions!$B$9*0.95/$D23*SUMPRODUCT(($C$15:$DF$15&gt;=$C23)*($C$15:$DF$15&lt;$C23+$D23))+$B23*Assumptions!$B$9*0.05*SUMPRODUCT(--($C$15:$DF$15=$G23)),0)</f>
        <v>2220343.402679</v>
      </c>
      <c r="K23" s="486">
        <f>IF($E23="Yes",SUMPRODUCT(($C$15:$DF$15&gt;=$C23)*($C$15:$DF$15&lt;$C23+$D23)*$C$18:$DF$18),0)</f>
        <v>930912.231221553</v>
      </c>
      <c r="L23" s="486">
        <f>J23-K23</f>
        <v>1289431.17145745</v>
      </c>
      <c r="M23" s="744">
        <f>$B$3*I23</f>
        <v>0.1</v>
      </c>
      <c r="N23" s="486">
        <f>IF($E23="Yes",$B$2*$B23,0)</f>
        <v>46106.9225</v>
      </c>
      <c r="O23" s="486">
        <f>M23*MAX(0,L23)</f>
        <v>128943.117145745</v>
      </c>
      <c r="P23" s="486">
        <f>N23+Q23</f>
        <v>128943.117145745</v>
      </c>
      <c r="Q23" s="486">
        <f>IF(AND($F23="Yes",$I23&lt;1),O23-N23,MAX(0,O23-N23))</f>
        <v>82836.1946457447</v>
      </c>
    </row>
    <row r="24" ht="15" customFormat="1" customHeight="1" s="381">
      <c r="A24" s="381" t="str">
        <f>Projects!A20</f>
        <v>Beverly (BD-04)</v>
      </c>
      <c r="B24" s="486">
        <f>Projects!B20</f>
        <v>25026330.58</v>
      </c>
      <c r="C24" s="386">
        <f>Projects!C20</f>
        <v>20</v>
      </c>
      <c r="D24" s="386">
        <f>Projects!D20</f>
        <v>24</v>
      </c>
      <c r="E24" s="381" t="str">
        <f>Projects!G20</f>
        <v>Yes</v>
      </c>
      <c r="F24" s="381" t="str">
        <f>Projects!M20</f>
        <v>No</v>
      </c>
      <c r="G24" s="386">
        <f>C24+D24-1</f>
        <v>43</v>
      </c>
      <c r="H24" s="386">
        <f>C24+1</f>
        <v>21</v>
      </c>
      <c r="I24" s="744">
        <f>IF($F24="Yes",INDEX($G$6:$G$14,MATCH(MIN($G24,105),$B$6:$B$14,1)),1)</f>
        <v>1</v>
      </c>
      <c r="J24" s="486">
        <f>IF($E24="Yes",$B24*Assumptions!$B$9*0.95/$D24*SUMPRODUCT(($C$15:$DF$15&gt;=$C24)*($C$15:$DF$15&lt;$C24+$D24))+$B24*Assumptions!$B$9*0.05*SUMPRODUCT(--($C$15:$DF$15=$G24)),0)</f>
        <v>3012944.96485678</v>
      </c>
      <c r="K24" s="486">
        <f>IF($E24="Yes",SUMPRODUCT(($C$15:$DF$15&gt;=$C24)*($C$15:$DF$15&lt;$C24+$D24)*$C$18:$DF$18),0)</f>
        <v>1145040.10636854</v>
      </c>
      <c r="L24" s="486">
        <f>J24-K24</f>
        <v>1867904.85848824</v>
      </c>
      <c r="M24" s="744">
        <f>$B$3*I24</f>
        <v>0.1</v>
      </c>
      <c r="N24" s="486">
        <f>IF($E24="Yes",$B$2*$B24,0)</f>
        <v>62565.82645</v>
      </c>
      <c r="O24" s="486">
        <f>M24*MAX(0,L24)</f>
        <v>186790.485848824</v>
      </c>
      <c r="P24" s="486">
        <f>N24+Q24</f>
        <v>186790.485848824</v>
      </c>
      <c r="Q24" s="486">
        <f>IF(AND($F24="Yes",$I24&lt;1),O24-N24,MAX(0,O24-N24))</f>
        <v>124224.659398824</v>
      </c>
    </row>
    <row r="25" ht="15" customFormat="1" customHeight="1" s="381">
      <c r="A25" s="381" t="str">
        <f>Projects!A21</f>
        <v>Troost (HVN)</v>
      </c>
      <c r="B25" s="486">
        <f>Projects!B21</f>
        <v>15189508.75</v>
      </c>
      <c r="C25" s="386">
        <f>Projects!C21</f>
        <v>10</v>
      </c>
      <c r="D25" s="386">
        <f>Projects!D21</f>
        <v>19</v>
      </c>
      <c r="E25" s="381" t="str">
        <f>Projects!G21</f>
        <v>Yes</v>
      </c>
      <c r="F25" s="381" t="str">
        <f>Projects!M21</f>
        <v>Yes</v>
      </c>
      <c r="G25" s="386">
        <f>C25+D25-1</f>
        <v>28</v>
      </c>
      <c r="H25" s="386">
        <f>C25+1</f>
        <v>11</v>
      </c>
      <c r="I25" s="744">
        <f>IF($F25="Yes",INDEX($G$6:$G$14,MATCH(MIN($G25,105),$B$6:$B$14,1)),1)</f>
        <v>0.5</v>
      </c>
      <c r="J25" s="486">
        <f>IF($E25="Yes",$B25*Assumptions!$B$9*0.95/$D25*SUMPRODUCT(($C$15:$DF$15&gt;=$C25)*($C$15:$DF$15&lt;$C25+$D25))+$B25*Assumptions!$B$9*0.05*SUMPRODUCT(--($C$15:$DF$15=$G25)),0)</f>
        <v>1828680.14792125</v>
      </c>
      <c r="K25" s="486">
        <f>IF($E25="Yes",SUMPRODUCT(($C$15:$DF$15&gt;=$C25)*($C$15:$DF$15&lt;$C25+$D25)*$C$18:$DF$18),0)</f>
        <v>931805.690389279</v>
      </c>
      <c r="L25" s="486">
        <f>J25-K25</f>
        <v>896874.457531971</v>
      </c>
      <c r="M25" s="744">
        <f>$B$3*I25</f>
        <v>0.05</v>
      </c>
      <c r="N25" s="486">
        <f>IF($E25="Yes",$B$2*$B25,0)</f>
        <v>37973.771875</v>
      </c>
      <c r="O25" s="486">
        <f>M25*MAX(0,L25)</f>
        <v>44843.7228765986</v>
      </c>
      <c r="P25" s="486">
        <f>N25+Q25</f>
        <v>44843.7228765986</v>
      </c>
      <c r="Q25" s="486">
        <f>IF(AND($F25="Yes",$I25&lt;1),O25-N25,MAX(0,O25-N25))</f>
        <v>6869.95100159857</v>
      </c>
    </row>
    <row r="26" ht="15" customFormat="1" customHeight="1" s="381">
      <c r="A26" s="381" t="str">
        <f>Projects!A22</f>
        <v>BD-06</v>
      </c>
      <c r="B26" s="486">
        <f>Projects!B22</f>
        <v>15000000</v>
      </c>
      <c r="C26" s="386">
        <f>Projects!C22</f>
        <v>16</v>
      </c>
      <c r="D26" s="386">
        <f>Projects!D22</f>
        <v>19</v>
      </c>
      <c r="E26" s="381" t="str">
        <f>Projects!G22</f>
        <v>No</v>
      </c>
      <c r="F26" s="381" t="str">
        <f>Projects!M22</f>
        <v>No</v>
      </c>
      <c r="G26" s="386">
        <f>C26+D26-1</f>
        <v>34</v>
      </c>
      <c r="H26" s="386">
        <f>C26+1</f>
        <v>17</v>
      </c>
      <c r="I26" s="744">
        <f>IF($F26="Yes",INDEX($G$6:$G$14,MATCH(MIN($G26,105),$B$6:$B$14,1)),1)</f>
        <v>1</v>
      </c>
      <c r="J26" s="486">
        <f>IF($E26="Yes",$B26*Assumptions!$B$9*0.95/$D26*SUMPRODUCT(($C$15:$DF$15&gt;=$C26)*($C$15:$DF$15&lt;$C26+$D26))+$B26*Assumptions!$B$9*0.05*SUMPRODUCT(--($C$15:$DF$15=$G26)),0)</f>
        <v>0</v>
      </c>
      <c r="K26" s="486">
        <f>IF($E26="Yes",SUMPRODUCT(($C$15:$DF$15&gt;=$C26)*($C$15:$DF$15&lt;$C26+$D26)*$C$18:$DF$18),0)</f>
        <v>0</v>
      </c>
      <c r="L26" s="486">
        <f>J26-K26</f>
        <v>0</v>
      </c>
      <c r="M26" s="744">
        <f>$B$3*I26</f>
        <v>0.1</v>
      </c>
      <c r="N26" s="486">
        <f>IF($E26="Yes",$B$2*$B26,0)</f>
        <v>0</v>
      </c>
      <c r="O26" s="486">
        <f>M26*MAX(0,L26)</f>
        <v>0</v>
      </c>
      <c r="P26" s="486">
        <f>N26+Q26</f>
        <v>0</v>
      </c>
      <c r="Q26" s="486">
        <f>IF(AND($F26="Yes",$I26&lt;1),O26-N26,MAX(0,O26-N26))</f>
        <v>0</v>
      </c>
    </row>
    <row r="27" ht="15" customFormat="1" customHeight="1" s="381">
      <c r="A27" s="381" t="str">
        <f>Projects!A23</f>
        <v>BD-07</v>
      </c>
      <c r="B27" s="486">
        <f>Projects!B23</f>
        <v>15000000</v>
      </c>
      <c r="C27" s="386">
        <f>Projects!C23</f>
        <v>17</v>
      </c>
      <c r="D27" s="386">
        <f>Projects!D23</f>
        <v>19</v>
      </c>
      <c r="E27" s="381" t="str">
        <f>Projects!G23</f>
        <v>No</v>
      </c>
      <c r="F27" s="381" t="str">
        <f>Projects!M23</f>
        <v>Yes</v>
      </c>
      <c r="G27" s="386">
        <f>C27+D27-1</f>
        <v>35</v>
      </c>
      <c r="H27" s="386">
        <f>C27+1</f>
        <v>18</v>
      </c>
      <c r="I27" s="744">
        <f>IF($F27="Yes",INDEX($G$6:$G$14,MATCH(MIN($G27,105),$B$6:$B$14,1)),1)</f>
        <v>1</v>
      </c>
      <c r="J27" s="486">
        <f>IF($E27="Yes",$B27*Assumptions!$B$9*0.95/$D27*SUMPRODUCT(($C$15:$DF$15&gt;=$C27)*($C$15:$DF$15&lt;$C27+$D27))+$B27*Assumptions!$B$9*0.05*SUMPRODUCT(--($C$15:$DF$15=$G27)),0)</f>
        <v>0</v>
      </c>
      <c r="K27" s="486">
        <f>IF($E27="Yes",SUMPRODUCT(($C$15:$DF$15&gt;=$C27)*($C$15:$DF$15&lt;$C27+$D27)*$C$18:$DF$18),0)</f>
        <v>0</v>
      </c>
      <c r="L27" s="486">
        <f>J27-K27</f>
        <v>0</v>
      </c>
      <c r="M27" s="744">
        <f>$B$3*I27</f>
        <v>0.1</v>
      </c>
      <c r="N27" s="486">
        <f>IF($E27="Yes",$B$2*$B27,0)</f>
        <v>0</v>
      </c>
      <c r="O27" s="486">
        <f>M27*MAX(0,L27)</f>
        <v>0</v>
      </c>
      <c r="P27" s="486">
        <f>N27+Q27</f>
        <v>0</v>
      </c>
      <c r="Q27" s="486">
        <f>IF(AND($F27="Yes",$I27&lt;1),O27-N27,MAX(0,O27-N27))</f>
        <v>0</v>
      </c>
    </row>
    <row r="28" ht="15" customFormat="1" customHeight="1" s="381">
      <c r="A28" s="381" t="str">
        <f>Projects!A24</f>
        <v>BD-08</v>
      </c>
      <c r="B28" s="486">
        <f>Projects!B24</f>
        <v>18000000</v>
      </c>
      <c r="C28" s="386">
        <f>Projects!C24</f>
        <v>24</v>
      </c>
      <c r="D28" s="386">
        <f>Projects!D24</f>
        <v>19</v>
      </c>
      <c r="E28" s="381" t="str">
        <f>Projects!G24</f>
        <v>Yes</v>
      </c>
      <c r="F28" s="381" t="str">
        <f>Projects!M24</f>
        <v>No</v>
      </c>
      <c r="G28" s="386">
        <f>C28+D28-1</f>
        <v>42</v>
      </c>
      <c r="H28" s="386">
        <f>C28+1</f>
        <v>25</v>
      </c>
      <c r="I28" s="744">
        <f>IF($F28="Yes",INDEX($G$6:$G$14,MATCH(MIN($G28,105),$B$6:$B$14,1)),1)</f>
        <v>1</v>
      </c>
      <c r="J28" s="486">
        <f>IF($E28="Yes",$B28*Assumptions!$B$9*0.95/$D28*SUMPRODUCT(($C$15:$DF$15&gt;=$C28)*($C$15:$DF$15&lt;$C28+$D28))+$B28*Assumptions!$B$9*0.05*SUMPRODUCT(--($C$15:$DF$15=$G28)),0)</f>
        <v>2167038</v>
      </c>
      <c r="K28" s="486">
        <f>IF($E28="Yes",SUMPRODUCT(($C$15:$DF$15&gt;=$C28)*($C$15:$DF$15&lt;$C28+$D28)*$C$18:$DF$18),0)</f>
        <v>906342.27213034</v>
      </c>
      <c r="L28" s="486">
        <f>J28-K28</f>
        <v>1260695.72786966</v>
      </c>
      <c r="M28" s="744">
        <f>$B$3*I28</f>
        <v>0.1</v>
      </c>
      <c r="N28" s="486">
        <f>IF($E28="Yes",$B$2*$B28,0)</f>
        <v>45000</v>
      </c>
      <c r="O28" s="486">
        <f>M28*MAX(0,L28)</f>
        <v>126069.572786966</v>
      </c>
      <c r="P28" s="486">
        <f>N28+Q28</f>
        <v>126069.572786966</v>
      </c>
      <c r="Q28" s="486">
        <f>IF(AND($F28="Yes",$I28&lt;1),O28-N28,MAX(0,O28-N28))</f>
        <v>81069.572786966</v>
      </c>
    </row>
    <row r="29" ht="15" customFormat="1" customHeight="1" s="381">
      <c r="A29" s="381" t="str">
        <f>Projects!A25</f>
        <v>BD-09</v>
      </c>
      <c r="B29" s="486">
        <f>Projects!B25</f>
        <v>18000000</v>
      </c>
      <c r="C29" s="386">
        <f>Projects!C25</f>
        <v>29</v>
      </c>
      <c r="D29" s="386">
        <f>Projects!D25</f>
        <v>19</v>
      </c>
      <c r="E29" s="381" t="str">
        <f>Projects!G25</f>
        <v>Yes</v>
      </c>
      <c r="F29" s="381" t="str">
        <f>Projects!M25</f>
        <v>No</v>
      </c>
      <c r="G29" s="386">
        <f>C29+D29-1</f>
        <v>47</v>
      </c>
      <c r="H29" s="386">
        <f>C29+1</f>
        <v>30</v>
      </c>
      <c r="I29" s="744">
        <f>IF($F29="Yes",INDEX($G$6:$G$14,MATCH(MIN($G29,105),$B$6:$B$14,1)),1)</f>
        <v>1</v>
      </c>
      <c r="J29" s="486">
        <f>IF($E29="Yes",$B29*Assumptions!$B$9*0.95/$D29*SUMPRODUCT(($C$15:$DF$15&gt;=$C29)*($C$15:$DF$15&lt;$C29+$D29))+$B29*Assumptions!$B$9*0.05*SUMPRODUCT(--($C$15:$DF$15=$G29)),0)</f>
        <v>2167038</v>
      </c>
      <c r="K29" s="486">
        <f>IF($E29="Yes",SUMPRODUCT(($C$15:$DF$15&gt;=$C29)*($C$15:$DF$15&lt;$C29+$D29)*$C$18:$DF$18),0)</f>
        <v>882339.920796562</v>
      </c>
      <c r="L29" s="486">
        <f>J29-K29</f>
        <v>1284698.07920344</v>
      </c>
      <c r="M29" s="744">
        <f>$B$3*I29</f>
        <v>0.1</v>
      </c>
      <c r="N29" s="486">
        <f>IF($E29="Yes",$B$2*$B29,0)</f>
        <v>45000</v>
      </c>
      <c r="O29" s="486">
        <f>M29*MAX(0,L29)</f>
        <v>128469.807920344</v>
      </c>
      <c r="P29" s="486">
        <f>N29+Q29</f>
        <v>128469.807920344</v>
      </c>
      <c r="Q29" s="486">
        <f>IF(AND($F29="Yes",$I29&lt;1),O29-N29,MAX(0,O29-N29))</f>
        <v>83469.8079203438</v>
      </c>
    </row>
    <row r="30" ht="15" customFormat="1" customHeight="1" s="381">
      <c r="A30" s="381" t="str">
        <f>Projects!A26</f>
        <v>BD-10</v>
      </c>
      <c r="B30" s="486">
        <f>Projects!B26</f>
        <v>18000000</v>
      </c>
      <c r="C30" s="386">
        <f>Projects!C26</f>
        <v>30</v>
      </c>
      <c r="D30" s="386">
        <f>Projects!D26</f>
        <v>19</v>
      </c>
      <c r="E30" s="381" t="str">
        <f>Projects!G26</f>
        <v>Yes</v>
      </c>
      <c r="F30" s="381" t="str">
        <f>Projects!M26</f>
        <v>No</v>
      </c>
      <c r="G30" s="386">
        <f>C30+D30-1</f>
        <v>48</v>
      </c>
      <c r="H30" s="386">
        <f>C30+1</f>
        <v>31</v>
      </c>
      <c r="I30" s="744">
        <f>IF($F30="Yes",INDEX($G$6:$G$14,MATCH(MIN($G30,105),$B$6:$B$14,1)),1)</f>
        <v>1</v>
      </c>
      <c r="J30" s="486">
        <f>IF($E30="Yes",$B30*Assumptions!$B$9*0.95/$D30*SUMPRODUCT(($C$15:$DF$15&gt;=$C30)*($C$15:$DF$15&lt;$C30+$D30))+$B30*Assumptions!$B$9*0.05*SUMPRODUCT(--($C$15:$DF$15=$G30)),0)</f>
        <v>2167038</v>
      </c>
      <c r="K30" s="486">
        <f>IF($E30="Yes",SUMPRODUCT(($C$15:$DF$15&gt;=$C30)*($C$15:$DF$15&lt;$C30+$D30)*$C$18:$DF$18),0)</f>
        <v>871540.327549495</v>
      </c>
      <c r="L30" s="486">
        <f>J30-K30</f>
        <v>1295497.6724505</v>
      </c>
      <c r="M30" s="744">
        <f>$B$3*I30</f>
        <v>0.1</v>
      </c>
      <c r="N30" s="486">
        <f>IF($E30="Yes",$B$2*$B30,0)</f>
        <v>45000</v>
      </c>
      <c r="O30" s="486">
        <f>M30*MAX(0,L30)</f>
        <v>129549.76724505</v>
      </c>
      <c r="P30" s="486">
        <f>N30+Q30</f>
        <v>129549.76724505</v>
      </c>
      <c r="Q30" s="486">
        <f>IF(AND($F30="Yes",$I30&lt;1),O30-N30,MAX(0,O30-N30))</f>
        <v>84549.7672450505</v>
      </c>
    </row>
    <row r="31" ht="15" customFormat="1" customHeight="1" s="381">
      <c r="A31" s="381" t="str">
        <f>Projects!A27</f>
        <v>BD-11</v>
      </c>
      <c r="B31" s="486">
        <f>Projects!B27</f>
        <v>15000000</v>
      </c>
      <c r="C31" s="386">
        <f>Projects!C27</f>
        <v>31</v>
      </c>
      <c r="D31" s="386">
        <f>Projects!D27</f>
        <v>19</v>
      </c>
      <c r="E31" s="381" t="str">
        <f>Projects!G27</f>
        <v>Yes</v>
      </c>
      <c r="F31" s="381" t="str">
        <f>Projects!M27</f>
        <v>No</v>
      </c>
      <c r="G31" s="386">
        <f>C31+D31-1</f>
        <v>49</v>
      </c>
      <c r="H31" s="386">
        <f>C31+1</f>
        <v>32</v>
      </c>
      <c r="I31" s="744">
        <f>IF($F31="Yes",INDEX($G$6:$G$14,MATCH(MIN($G31,105),$B$6:$B$14,1)),1)</f>
        <v>1</v>
      </c>
      <c r="J31" s="486">
        <f>IF($E31="Yes",$B31*Assumptions!$B$9*0.95/$D31*SUMPRODUCT(($C$15:$DF$15&gt;=$C31)*($C$15:$DF$15&lt;$C31+$D31))+$B31*Assumptions!$B$9*0.05*SUMPRODUCT(--($C$15:$DF$15=$G31)),0)</f>
        <v>1805865</v>
      </c>
      <c r="K31" s="486">
        <f>IF($E31="Yes",SUMPRODUCT(($C$15:$DF$15&gt;=$C31)*($C$15:$DF$15&lt;$C31+$D31)*$C$18:$DF$18),0)</f>
        <v>864847.722502222</v>
      </c>
      <c r="L31" s="486">
        <f>J31-K31</f>
        <v>941017.277497778</v>
      </c>
      <c r="M31" s="744">
        <f>$B$3*I31</f>
        <v>0.1</v>
      </c>
      <c r="N31" s="486">
        <f>IF($E31="Yes",$B$2*$B31,0)</f>
        <v>37500</v>
      </c>
      <c r="O31" s="486">
        <f>M31*MAX(0,L31)</f>
        <v>94101.7277497778</v>
      </c>
      <c r="P31" s="486">
        <f>N31+Q31</f>
        <v>94101.7277497778</v>
      </c>
      <c r="Q31" s="486">
        <f>IF(AND($F31="Yes",$I31&lt;1),O31-N31,MAX(0,O31-N31))</f>
        <v>56601.7277497778</v>
      </c>
    </row>
    <row r="32" ht="15" customFormat="1" customHeight="1" s="381">
      <c r="A32" s="381" t="str">
        <f>Projects!A28</f>
        <v>BD-12</v>
      </c>
      <c r="B32" s="486">
        <f>Projects!B28</f>
        <v>15000000</v>
      </c>
      <c r="C32" s="386">
        <f>Projects!C28</f>
        <v>32</v>
      </c>
      <c r="D32" s="386">
        <f>Projects!D28</f>
        <v>19</v>
      </c>
      <c r="E32" s="381" t="str">
        <f>Projects!G28</f>
        <v>Yes</v>
      </c>
      <c r="F32" s="381" t="str">
        <f>Projects!M28</f>
        <v>Yes</v>
      </c>
      <c r="G32" s="386">
        <f>C32+D32-1</f>
        <v>50</v>
      </c>
      <c r="H32" s="386">
        <f>C32+1</f>
        <v>33</v>
      </c>
      <c r="I32" s="744">
        <f>IF($F32="Yes",INDEX($G$6:$G$14,MATCH(MIN($G32,105),$B$6:$B$14,1)),1)</f>
        <v>1</v>
      </c>
      <c r="J32" s="486">
        <f>IF($E32="Yes",$B32*Assumptions!$B$9*0.95/$D32*SUMPRODUCT(($C$15:$DF$15&gt;=$C32)*($C$15:$DF$15&lt;$C32+$D32))+$B32*Assumptions!$B$9*0.05*SUMPRODUCT(--($C$15:$DF$15=$G32)),0)</f>
        <v>1805865</v>
      </c>
      <c r="K32" s="486">
        <f>IF($E32="Yes",SUMPRODUCT(($C$15:$DF$15&gt;=$C32)*($C$15:$DF$15&lt;$C32+$D32)*$C$18:$DF$18),0)</f>
        <v>862761.561372454</v>
      </c>
      <c r="L32" s="486">
        <f>J32-K32</f>
        <v>943103.438627546</v>
      </c>
      <c r="M32" s="744">
        <f>$B$3*I32</f>
        <v>0.1</v>
      </c>
      <c r="N32" s="486">
        <f>IF($E32="Yes",$B$2*$B32,0)</f>
        <v>37500</v>
      </c>
      <c r="O32" s="486">
        <f>M32*MAX(0,L32)</f>
        <v>94310.3438627546</v>
      </c>
      <c r="P32" s="486">
        <f>N32+Q32</f>
        <v>94310.3438627546</v>
      </c>
      <c r="Q32" s="486">
        <f>IF(AND($F32="Yes",$I32&lt;1),O32-N32,MAX(0,O32-N32))</f>
        <v>56810.3438627546</v>
      </c>
    </row>
    <row r="33" ht="15" customFormat="1" customHeight="1" s="381">
      <c r="A33" s="381" t="str">
        <f>Projects!A29</f>
        <v>BD-13</v>
      </c>
      <c r="B33" s="486">
        <f>Projects!B29</f>
        <v>15000000</v>
      </c>
      <c r="C33" s="386">
        <f>Projects!C29</f>
        <v>33</v>
      </c>
      <c r="D33" s="386">
        <f>Projects!D29</f>
        <v>19</v>
      </c>
      <c r="E33" s="381" t="str">
        <f>Projects!G29</f>
        <v>Yes</v>
      </c>
      <c r="F33" s="381" t="str">
        <f>Projects!M29</f>
        <v>No</v>
      </c>
      <c r="G33" s="386">
        <f>C33+D33-1</f>
        <v>51</v>
      </c>
      <c r="H33" s="386">
        <f>C33+1</f>
        <v>34</v>
      </c>
      <c r="I33" s="744">
        <f>IF($F33="Yes",INDEX($G$6:$G$14,MATCH(MIN($G33,105),$B$6:$B$14,1)),1)</f>
        <v>1</v>
      </c>
      <c r="J33" s="486">
        <f>IF($E33="Yes",$B33*Assumptions!$B$9*0.95/$D33*SUMPRODUCT(($C$15:$DF$15&gt;=$C33)*($C$15:$DF$15&lt;$C33+$D33))+$B33*Assumptions!$B$9*0.05*SUMPRODUCT(--($C$15:$DF$15=$G33)),0)</f>
        <v>1805865</v>
      </c>
      <c r="K33" s="486">
        <f>IF($E33="Yes",SUMPRODUCT(($C$15:$DF$15&gt;=$C33)*($C$15:$DF$15&lt;$C33+$D33)*$C$18:$DF$18),0)</f>
        <v>863601.22441851</v>
      </c>
      <c r="L33" s="486">
        <f>J33-K33</f>
        <v>942263.77558149</v>
      </c>
      <c r="M33" s="744">
        <f>$B$3*I33</f>
        <v>0.1</v>
      </c>
      <c r="N33" s="486">
        <f>IF($E33="Yes",$B$2*$B33,0)</f>
        <v>37500</v>
      </c>
      <c r="O33" s="486">
        <f>M33*MAX(0,L33)</f>
        <v>94226.3775581491</v>
      </c>
      <c r="P33" s="486">
        <f>N33+Q33</f>
        <v>94226.3775581491</v>
      </c>
      <c r="Q33" s="486">
        <f>IF(AND($F33="Yes",$I33&lt;1),O33-N33,MAX(0,O33-N33))</f>
        <v>56726.3775581491</v>
      </c>
    </row>
    <row r="34" ht="15" customFormat="1" customHeight="1" s="381">
      <c r="A34" s="381" t="str">
        <f>Projects!A30</f>
        <v>BD-14</v>
      </c>
      <c r="B34" s="486">
        <f>Projects!B30</f>
        <v>15000000</v>
      </c>
      <c r="C34" s="386">
        <f>Projects!C30</f>
        <v>34</v>
      </c>
      <c r="D34" s="386">
        <f>Projects!D30</f>
        <v>19</v>
      </c>
      <c r="E34" s="381" t="str">
        <f>Projects!G30</f>
        <v>Yes</v>
      </c>
      <c r="F34" s="381" t="str">
        <f>Projects!M30</f>
        <v>No</v>
      </c>
      <c r="G34" s="386">
        <f>C34+D34-1</f>
        <v>52</v>
      </c>
      <c r="H34" s="386">
        <f>C34+1</f>
        <v>35</v>
      </c>
      <c r="I34" s="744">
        <f>IF($F34="Yes",INDEX($G$6:$G$14,MATCH(MIN($G34,105),$B$6:$B$14,1)),1)</f>
        <v>1</v>
      </c>
      <c r="J34" s="486">
        <f>IF($E34="Yes",$B34*Assumptions!$B$9*0.95/$D34*SUMPRODUCT(($C$15:$DF$15&gt;=$C34)*($C$15:$DF$15&lt;$C34+$D34))+$B34*Assumptions!$B$9*0.05*SUMPRODUCT(--($C$15:$DF$15=$G34)),0)</f>
        <v>1805865</v>
      </c>
      <c r="K34" s="486">
        <f>IF($E34="Yes",SUMPRODUCT(($C$15:$DF$15&gt;=$C34)*($C$15:$DF$15&lt;$C34+$D34)*$C$18:$DF$18),0)</f>
        <v>863732.692272258</v>
      </c>
      <c r="L34" s="486">
        <f>J34-K34</f>
        <v>942132.307727742</v>
      </c>
      <c r="M34" s="744">
        <f>$B$3*I34</f>
        <v>0.1</v>
      </c>
      <c r="N34" s="486">
        <f>IF($E34="Yes",$B$2*$B34,0)</f>
        <v>37500</v>
      </c>
      <c r="O34" s="486">
        <f>M34*MAX(0,L34)</f>
        <v>94213.2307727742</v>
      </c>
      <c r="P34" s="486">
        <f>N34+Q34</f>
        <v>94213.2307727742</v>
      </c>
      <c r="Q34" s="486">
        <f>IF(AND($F34="Yes",$I34&lt;1),O34-N34,MAX(0,O34-N34))</f>
        <v>56713.2307727742</v>
      </c>
    </row>
    <row r="35" ht="15" customFormat="1" customHeight="1" s="381">
      <c r="A35" s="381" t="str">
        <f>Projects!A31</f>
        <v>BD-15</v>
      </c>
      <c r="B35" s="486">
        <f>Projects!B31</f>
        <v>18000000</v>
      </c>
      <c r="C35" s="386">
        <f>Projects!C31</f>
        <v>35</v>
      </c>
      <c r="D35" s="386">
        <f>Projects!D31</f>
        <v>19</v>
      </c>
      <c r="E35" s="381" t="str">
        <f>Projects!G31</f>
        <v>Yes</v>
      </c>
      <c r="F35" s="381" t="str">
        <f>Projects!M31</f>
        <v>No</v>
      </c>
      <c r="G35" s="386">
        <f>C35+D35-1</f>
        <v>53</v>
      </c>
      <c r="H35" s="386">
        <f>C35+1</f>
        <v>36</v>
      </c>
      <c r="I35" s="744">
        <f>IF($F35="Yes",INDEX($G$6:$G$14,MATCH(MIN($G35,105),$B$6:$B$14,1)),1)</f>
        <v>1</v>
      </c>
      <c r="J35" s="486">
        <f>IF($E35="Yes",$B35*Assumptions!$B$9*0.95/$D35*SUMPRODUCT(($C$15:$DF$15&gt;=$C35)*($C$15:$DF$15&lt;$C35+$D35))+$B35*Assumptions!$B$9*0.05*SUMPRODUCT(--($C$15:$DF$15=$G35)),0)</f>
        <v>2167038</v>
      </c>
      <c r="K35" s="486">
        <f>IF($E35="Yes",SUMPRODUCT(($C$15:$DF$15&gt;=$C35)*($C$15:$DF$15&lt;$C35+$D35)*$C$18:$DF$18),0)</f>
        <v>862223.454219413</v>
      </c>
      <c r="L35" s="486">
        <f>J35-K35</f>
        <v>1304814.54578059</v>
      </c>
      <c r="M35" s="744">
        <f>$B$3*I35</f>
        <v>0.1</v>
      </c>
      <c r="N35" s="486">
        <f>IF($E35="Yes",$B$2*$B35,0)</f>
        <v>45000</v>
      </c>
      <c r="O35" s="486">
        <f>M35*MAX(0,L35)</f>
        <v>130481.454578059</v>
      </c>
      <c r="P35" s="486">
        <f>N35+Q35</f>
        <v>130481.454578059</v>
      </c>
      <c r="Q35" s="486">
        <f>IF(AND($F35="Yes",$I35&lt;1),O35-N35,MAX(0,O35-N35))</f>
        <v>85481.4545780588</v>
      </c>
    </row>
    <row r="36" ht="15" customFormat="1" customHeight="1" s="381">
      <c r="A36" s="381" t="str">
        <f>Projects!A32</f>
        <v>BD-16</v>
      </c>
      <c r="B36" s="486">
        <f>Projects!B32</f>
        <v>15000000</v>
      </c>
      <c r="C36" s="386">
        <f>Projects!C32</f>
        <v>36</v>
      </c>
      <c r="D36" s="386">
        <f>Projects!D32</f>
        <v>19</v>
      </c>
      <c r="E36" s="381" t="str">
        <f>Projects!G32</f>
        <v>Yes</v>
      </c>
      <c r="F36" s="381" t="str">
        <f>Projects!M32</f>
        <v>No</v>
      </c>
      <c r="G36" s="386">
        <f>C36+D36-1</f>
        <v>54</v>
      </c>
      <c r="H36" s="386">
        <f>C36+1</f>
        <v>37</v>
      </c>
      <c r="I36" s="744">
        <f>IF($F36="Yes",INDEX($G$6:$G$14,MATCH(MIN($G36,105),$B$6:$B$14,1)),1)</f>
        <v>1</v>
      </c>
      <c r="J36" s="486">
        <f>IF($E36="Yes",$B36*Assumptions!$B$9*0.95/$D36*SUMPRODUCT(($C$15:$DF$15&gt;=$C36)*($C$15:$DF$15&lt;$C36+$D36))+$B36*Assumptions!$B$9*0.05*SUMPRODUCT(--($C$15:$DF$15=$G36)),0)</f>
        <v>1805865</v>
      </c>
      <c r="K36" s="486">
        <f>IF($E36="Yes",SUMPRODUCT(($C$15:$DF$15&gt;=$C36)*($C$15:$DF$15&lt;$C36+$D36)*$C$18:$DF$18),0)</f>
        <v>851401.805061841</v>
      </c>
      <c r="L36" s="486">
        <f>J36-K36</f>
        <v>954463.194938159</v>
      </c>
      <c r="M36" s="744">
        <f>$B$3*I36</f>
        <v>0.1</v>
      </c>
      <c r="N36" s="486">
        <f>IF($E36="Yes",$B$2*$B36,0)</f>
        <v>37500</v>
      </c>
      <c r="O36" s="486">
        <f>M36*MAX(0,L36)</f>
        <v>95446.3194938159</v>
      </c>
      <c r="P36" s="486">
        <f>N36+Q36</f>
        <v>95446.3194938159</v>
      </c>
      <c r="Q36" s="486">
        <f>IF(AND($F36="Yes",$I36&lt;1),O36-N36,MAX(0,O36-N36))</f>
        <v>57946.3194938159</v>
      </c>
    </row>
    <row r="37" ht="15" customFormat="1" customHeight="1" s="381">
      <c r="A37" s="381" t="str">
        <f>Projects!A33</f>
        <v>BD-17</v>
      </c>
      <c r="B37" s="486">
        <f>Projects!B33</f>
        <v>15000000</v>
      </c>
      <c r="C37" s="386">
        <f>Projects!C33</f>
        <v>37</v>
      </c>
      <c r="D37" s="386">
        <f>Projects!D33</f>
        <v>19</v>
      </c>
      <c r="E37" s="381" t="str">
        <f>Projects!G33</f>
        <v>Yes</v>
      </c>
      <c r="F37" s="381" t="str">
        <f>Projects!M33</f>
        <v>No</v>
      </c>
      <c r="G37" s="386">
        <f>C37+D37-1</f>
        <v>55</v>
      </c>
      <c r="H37" s="386">
        <f>C37+1</f>
        <v>38</v>
      </c>
      <c r="I37" s="744">
        <f>IF($F37="Yes",INDEX($G$6:$G$14,MATCH(MIN($G37,105),$B$6:$B$14,1)),1)</f>
        <v>1</v>
      </c>
      <c r="J37" s="486">
        <f>IF($E37="Yes",$B37*Assumptions!$B$9*0.95/$D37*SUMPRODUCT(($C$15:$DF$15&gt;=$C37)*($C$15:$DF$15&lt;$C37+$D37))+$B37*Assumptions!$B$9*0.05*SUMPRODUCT(--($C$15:$DF$15=$G37)),0)</f>
        <v>1805865</v>
      </c>
      <c r="K37" s="486">
        <f>IF($E37="Yes",SUMPRODUCT(($C$15:$DF$15&gt;=$C37)*($C$15:$DF$15&lt;$C37+$D37)*$C$18:$DF$18),0)</f>
        <v>844709.200014568</v>
      </c>
      <c r="L37" s="486">
        <f>J37-K37</f>
        <v>961155.799985432</v>
      </c>
      <c r="M37" s="744">
        <f>$B$3*I37</f>
        <v>0.1</v>
      </c>
      <c r="N37" s="486">
        <f>IF($E37="Yes",$B$2*$B37,0)</f>
        <v>37500</v>
      </c>
      <c r="O37" s="486">
        <f>M37*MAX(0,L37)</f>
        <v>96115.5799985432</v>
      </c>
      <c r="P37" s="486">
        <f>N37+Q37</f>
        <v>96115.5799985432</v>
      </c>
      <c r="Q37" s="486">
        <f>IF(AND($F37="Yes",$I37&lt;1),O37-N37,MAX(0,O37-N37))</f>
        <v>58615.5799985432</v>
      </c>
    </row>
    <row r="38" ht="15" customFormat="1" customHeight="1" s="381">
      <c r="A38" s="381" t="str">
        <f>Projects!A34</f>
        <v>BD-18</v>
      </c>
      <c r="B38" s="486">
        <f>Projects!B34</f>
        <v>18000000</v>
      </c>
      <c r="C38" s="386">
        <f>Projects!C34</f>
        <v>38</v>
      </c>
      <c r="D38" s="386">
        <f>Projects!D34</f>
        <v>19</v>
      </c>
      <c r="E38" s="381" t="str">
        <f>Projects!G34</f>
        <v>Yes</v>
      </c>
      <c r="F38" s="381" t="str">
        <f>Projects!M34</f>
        <v>Yes</v>
      </c>
      <c r="G38" s="386">
        <f>C38+D38-1</f>
        <v>56</v>
      </c>
      <c r="H38" s="386">
        <f>C38+1</f>
        <v>39</v>
      </c>
      <c r="I38" s="744">
        <f>IF($F38="Yes",INDEX($G$6:$G$14,MATCH(MIN($G38,105),$B$6:$B$14,1)),1)</f>
        <v>1</v>
      </c>
      <c r="J38" s="486">
        <f>IF($E38="Yes",$B38*Assumptions!$B$9*0.95/$D38*SUMPRODUCT(($C$15:$DF$15&gt;=$C38)*($C$15:$DF$15&lt;$C38+$D38))+$B38*Assumptions!$B$9*0.05*SUMPRODUCT(--($C$15:$DF$15=$G38)),0)</f>
        <v>2167038</v>
      </c>
      <c r="K38" s="486">
        <f>IF($E38="Yes",SUMPRODUCT(($C$15:$DF$15&gt;=$C38)*($C$15:$DF$15&lt;$C38+$D38)*$C$18:$DF$18),0)</f>
        <v>842451.961209068</v>
      </c>
      <c r="L38" s="486">
        <f>J38-K38</f>
        <v>1324586.03879093</v>
      </c>
      <c r="M38" s="744">
        <f>$B$3*I38</f>
        <v>0.1</v>
      </c>
      <c r="N38" s="486">
        <f>IF($E38="Yes",$B$2*$B38,0)</f>
        <v>45000</v>
      </c>
      <c r="O38" s="486">
        <f>M38*MAX(0,L38)</f>
        <v>132458.603879093</v>
      </c>
      <c r="P38" s="486">
        <f>N38+Q38</f>
        <v>132458.603879093</v>
      </c>
      <c r="Q38" s="486">
        <f>IF(AND($F38="Yes",$I38&lt;1),O38-N38,MAX(0,O38-N38))</f>
        <v>87458.6038790933</v>
      </c>
    </row>
    <row r="39" ht="15" customFormat="1" customHeight="1" s="381">
      <c r="A39" s="381" t="str">
        <f>Projects!A35</f>
        <v>BD-19</v>
      </c>
      <c r="B39" s="486">
        <f>Projects!B35</f>
        <v>15000000</v>
      </c>
      <c r="C39" s="386">
        <f>Projects!C35</f>
        <v>39</v>
      </c>
      <c r="D39" s="386">
        <f>Projects!D35</f>
        <v>19</v>
      </c>
      <c r="E39" s="381" t="str">
        <f>Projects!G35</f>
        <v>Yes</v>
      </c>
      <c r="F39" s="381" t="str">
        <f>Projects!M35</f>
        <v>No</v>
      </c>
      <c r="G39" s="386">
        <f>C39+D39-1</f>
        <v>57</v>
      </c>
      <c r="H39" s="386">
        <f>C39+1</f>
        <v>40</v>
      </c>
      <c r="I39" s="744">
        <f>IF($F39="Yes",INDEX($G$6:$G$14,MATCH(MIN($G39,105),$B$6:$B$14,1)),1)</f>
        <v>1</v>
      </c>
      <c r="J39" s="486">
        <f>IF($E39="Yes",$B39*Assumptions!$B$9*0.95/$D39*SUMPRODUCT(($C$15:$DF$15&gt;=$C39)*($C$15:$DF$15&lt;$C39+$D39))+$B39*Assumptions!$B$9*0.05*SUMPRODUCT(--($C$15:$DF$15=$G39)),0)</f>
        <v>1805865</v>
      </c>
      <c r="K39" s="486">
        <f>IF($E39="Yes",SUMPRODUCT(($C$15:$DF$15&gt;=$C39)*($C$15:$DF$15&lt;$C39+$D39)*$C$18:$DF$18),0)</f>
        <v>850864.90480675</v>
      </c>
      <c r="L39" s="486">
        <f>J39-K39</f>
        <v>955000.09519325</v>
      </c>
      <c r="M39" s="744">
        <f>$B$3*I39</f>
        <v>0.1</v>
      </c>
      <c r="N39" s="486">
        <f>IF($E39="Yes",$B$2*$B39,0)</f>
        <v>37500</v>
      </c>
      <c r="O39" s="486">
        <f>M39*MAX(0,L39)</f>
        <v>95500.009519325</v>
      </c>
      <c r="P39" s="486">
        <f>N39+Q39</f>
        <v>95500.009519325</v>
      </c>
      <c r="Q39" s="486">
        <f>IF(AND($F39="Yes",$I39&lt;1),O39-N39,MAX(0,O39-N39))</f>
        <v>58000.009519325</v>
      </c>
    </row>
    <row r="40" ht="15" customFormat="1" customHeight="1" s="381">
      <c r="A40" s="381" t="str">
        <f>Projects!A36</f>
        <v>BD-20</v>
      </c>
      <c r="B40" s="486">
        <f>Projects!B36</f>
        <v>18000000</v>
      </c>
      <c r="C40" s="386">
        <f>Projects!C36</f>
        <v>43</v>
      </c>
      <c r="D40" s="386">
        <f>Projects!D36</f>
        <v>19</v>
      </c>
      <c r="E40" s="381" t="str">
        <f>Projects!G36</f>
        <v>Yes</v>
      </c>
      <c r="F40" s="381" t="str">
        <f>Projects!M36</f>
        <v>No</v>
      </c>
      <c r="G40" s="386">
        <f>C40+D40-1</f>
        <v>61</v>
      </c>
      <c r="H40" s="386">
        <f>C40+1</f>
        <v>44</v>
      </c>
      <c r="I40" s="744">
        <f>IF($F40="Yes",INDEX($G$6:$G$14,MATCH(MIN($G40,105),$B$6:$B$14,1)),1)</f>
        <v>1</v>
      </c>
      <c r="J40" s="486">
        <f>IF($E40="Yes",$B40*Assumptions!$B$9*0.95/$D40*SUMPRODUCT(($C$15:$DF$15&gt;=$C40)*($C$15:$DF$15&lt;$C40+$D40))+$B40*Assumptions!$B$9*0.05*SUMPRODUCT(--($C$15:$DF$15=$G40)),0)</f>
        <v>2167038</v>
      </c>
      <c r="K40" s="486">
        <f>IF($E40="Yes",SUMPRODUCT(($C$15:$DF$15&gt;=$C40)*($C$15:$DF$15&lt;$C40+$D40)*$C$18:$DF$18),0)</f>
        <v>908049.678218941</v>
      </c>
      <c r="L40" s="486">
        <f>J40-K40</f>
        <v>1258988.32178106</v>
      </c>
      <c r="M40" s="744">
        <f>$B$3*I40</f>
        <v>0.1</v>
      </c>
      <c r="N40" s="486">
        <f>IF($E40="Yes",$B$2*$B40,0)</f>
        <v>45000</v>
      </c>
      <c r="O40" s="486">
        <f>M40*MAX(0,L40)</f>
        <v>125898.832178106</v>
      </c>
      <c r="P40" s="486">
        <f>N40+Q40</f>
        <v>125898.832178106</v>
      </c>
      <c r="Q40" s="486">
        <f>IF(AND($F40="Yes",$I40&lt;1),O40-N40,MAX(0,O40-N40))</f>
        <v>80898.8321781059</v>
      </c>
    </row>
    <row r="41" ht="15" customFormat="1" customHeight="1" s="381">
      <c r="A41" s="381" t="str">
        <f>Projects!A37</f>
        <v>BD-21</v>
      </c>
      <c r="B41" s="486">
        <f>Projects!B37</f>
        <v>15000000</v>
      </c>
      <c r="C41" s="386">
        <f>Projects!C37</f>
        <v>44</v>
      </c>
      <c r="D41" s="386">
        <f>Projects!D37</f>
        <v>19</v>
      </c>
      <c r="E41" s="381" t="str">
        <f>Projects!G37</f>
        <v>Yes</v>
      </c>
      <c r="F41" s="381" t="str">
        <f>Projects!M37</f>
        <v>No</v>
      </c>
      <c r="G41" s="386">
        <f>C41+D41-1</f>
        <v>62</v>
      </c>
      <c r="H41" s="386">
        <f>C41+1</f>
        <v>45</v>
      </c>
      <c r="I41" s="744">
        <f>IF($F41="Yes",INDEX($G$6:$G$14,MATCH(MIN($G41,105),$B$6:$B$14,1)),1)</f>
        <v>1</v>
      </c>
      <c r="J41" s="486">
        <f>IF($E41="Yes",$B41*Assumptions!$B$9*0.95/$D41*SUMPRODUCT(($C$15:$DF$15&gt;=$C41)*($C$15:$DF$15&lt;$C41+$D41))+$B41*Assumptions!$B$9*0.05*SUMPRODUCT(--($C$15:$DF$15=$G41)),0)</f>
        <v>1805865</v>
      </c>
      <c r="K41" s="486">
        <f>IF($E41="Yes",SUMPRODUCT(($C$15:$DF$15&gt;=$C41)*($C$15:$DF$15&lt;$C41+$D41)*$C$18:$DF$18),0)</f>
        <v>930045.140939738</v>
      </c>
      <c r="L41" s="486">
        <f>J41-K41</f>
        <v>875819.859060262</v>
      </c>
      <c r="M41" s="744">
        <f>$B$3*I41</f>
        <v>0.1</v>
      </c>
      <c r="N41" s="486">
        <f>IF($E41="Yes",$B$2*$B41,0)</f>
        <v>37500</v>
      </c>
      <c r="O41" s="486">
        <f>M41*MAX(0,L41)</f>
        <v>87581.9859060262</v>
      </c>
      <c r="P41" s="486">
        <f>N41+Q41</f>
        <v>87581.9859060262</v>
      </c>
      <c r="Q41" s="486">
        <f>IF(AND($F41="Yes",$I41&lt;1),O41-N41,MAX(0,O41-N41))</f>
        <v>50081.9859060262</v>
      </c>
    </row>
    <row r="42" ht="15" customFormat="1" customHeight="1" s="381">
      <c r="A42" s="381" t="str">
        <f>Projects!A38</f>
        <v>BD-22</v>
      </c>
      <c r="B42" s="486">
        <f>Projects!B38</f>
        <v>15000000</v>
      </c>
      <c r="C42" s="386">
        <f>Projects!C38</f>
        <v>48</v>
      </c>
      <c r="D42" s="386">
        <f>Projects!D38</f>
        <v>19</v>
      </c>
      <c r="E42" s="381" t="str">
        <f>Projects!G38</f>
        <v>Yes</v>
      </c>
      <c r="F42" s="381" t="str">
        <f>Projects!M38</f>
        <v>No</v>
      </c>
      <c r="G42" s="386">
        <f>C42+D42-1</f>
        <v>66</v>
      </c>
      <c r="H42" s="386">
        <f>C42+1</f>
        <v>49</v>
      </c>
      <c r="I42" s="744">
        <f>IF($F42="Yes",INDEX($G$6:$G$14,MATCH(MIN($G42,105),$B$6:$B$14,1)),1)</f>
        <v>1</v>
      </c>
      <c r="J42" s="486">
        <f>IF($E42="Yes",$B42*Assumptions!$B$9*0.95/$D42*SUMPRODUCT(($C$15:$DF$15&gt;=$C42)*($C$15:$DF$15&lt;$C42+$D42))+$B42*Assumptions!$B$9*0.05*SUMPRODUCT(--($C$15:$DF$15=$G42)),0)</f>
        <v>1805865</v>
      </c>
      <c r="K42" s="486">
        <f>IF($E42="Yes",SUMPRODUCT(($C$15:$DF$15&gt;=$C42)*($C$15:$DF$15&lt;$C42+$D42)*$C$18:$DF$18),0)</f>
        <v>1028256.53961782</v>
      </c>
      <c r="L42" s="486">
        <f>J42-K42</f>
        <v>777608.460382179</v>
      </c>
      <c r="M42" s="744">
        <f>$B$3*I42</f>
        <v>0.1</v>
      </c>
      <c r="N42" s="486">
        <f>IF($E42="Yes",$B$2*$B42,0)</f>
        <v>37500</v>
      </c>
      <c r="O42" s="486">
        <f>M42*MAX(0,L42)</f>
        <v>77760.8460382179</v>
      </c>
      <c r="P42" s="486">
        <f>N42+Q42</f>
        <v>77760.8460382179</v>
      </c>
      <c r="Q42" s="486">
        <f>IF(AND($F42="Yes",$I42&lt;1),O42-N42,MAX(0,O42-N42))</f>
        <v>40260.8460382179</v>
      </c>
    </row>
    <row r="43" ht="15" customFormat="1" customHeight="1" s="381">
      <c r="A43" s="381" t="str">
        <f>Projects!A39</f>
        <v>BD-23</v>
      </c>
      <c r="B43" s="486">
        <f>Projects!B39</f>
        <v>18000000</v>
      </c>
      <c r="C43" s="386">
        <f>Projects!C39</f>
        <v>49</v>
      </c>
      <c r="D43" s="386">
        <f>Projects!D39</f>
        <v>19</v>
      </c>
      <c r="E43" s="381" t="str">
        <f>Projects!G39</f>
        <v>Yes</v>
      </c>
      <c r="F43" s="381" t="str">
        <f>Projects!M39</f>
        <v>No</v>
      </c>
      <c r="G43" s="386">
        <f>C43+D43-1</f>
        <v>67</v>
      </c>
      <c r="H43" s="386">
        <f>C43+1</f>
        <v>50</v>
      </c>
      <c r="I43" s="744">
        <f>IF($F43="Yes",INDEX($G$6:$G$14,MATCH(MIN($G43,105),$B$6:$B$14,1)),1)</f>
        <v>1</v>
      </c>
      <c r="J43" s="486">
        <f>IF($E43="Yes",$B43*Assumptions!$B$9*0.95/$D43*SUMPRODUCT(($C$15:$DF$15&gt;=$C43)*($C$15:$DF$15&lt;$C43+$D43))+$B43*Assumptions!$B$9*0.05*SUMPRODUCT(--($C$15:$DF$15=$G43)),0)</f>
        <v>2167038</v>
      </c>
      <c r="K43" s="486">
        <f>IF($E43="Yes",SUMPRODUCT(($C$15:$DF$15&gt;=$C43)*($C$15:$DF$15&lt;$C43+$D43)*$C$18:$DF$18),0)</f>
        <v>1062890.84221339</v>
      </c>
      <c r="L43" s="486">
        <f>J43-K43</f>
        <v>1104147.15778661</v>
      </c>
      <c r="M43" s="744">
        <f>$B$3*I43</f>
        <v>0.1</v>
      </c>
      <c r="N43" s="486">
        <f>IF($E43="Yes",$B$2*$B43,0)</f>
        <v>45000</v>
      </c>
      <c r="O43" s="486">
        <f>M43*MAX(0,L43)</f>
        <v>110414.715778661</v>
      </c>
      <c r="P43" s="486">
        <f>N43+Q43</f>
        <v>110414.715778661</v>
      </c>
      <c r="Q43" s="486">
        <f>IF(AND($F43="Yes",$I43&lt;1),O43-N43,MAX(0,O43-N43))</f>
        <v>65414.7157786612</v>
      </c>
    </row>
    <row r="44" ht="15" customFormat="1" customHeight="1" s="381">
      <c r="A44" s="381" t="str">
        <f>Projects!A40</f>
        <v>BD-24</v>
      </c>
      <c r="B44" s="486">
        <f>Projects!B40</f>
        <v>15000000</v>
      </c>
      <c r="C44" s="386">
        <f>Projects!C40</f>
        <v>50</v>
      </c>
      <c r="D44" s="386">
        <f>Projects!D40</f>
        <v>19</v>
      </c>
      <c r="E44" s="381" t="str">
        <f>Projects!G40</f>
        <v>Yes</v>
      </c>
      <c r="F44" s="381" t="str">
        <f>Projects!M40</f>
        <v>Yes</v>
      </c>
      <c r="G44" s="386">
        <f>C44+D44-1</f>
        <v>68</v>
      </c>
      <c r="H44" s="386">
        <f>C44+1</f>
        <v>51</v>
      </c>
      <c r="I44" s="744">
        <f>IF($F44="Yes",INDEX($G$6:$G$14,MATCH(MIN($G44,105),$B$6:$B$14,1)),1)</f>
        <v>1</v>
      </c>
      <c r="J44" s="486">
        <f>IF($E44="Yes",$B44*Assumptions!$B$9*0.95/$D44*SUMPRODUCT(($C$15:$DF$15&gt;=$C44)*($C$15:$DF$15&lt;$C44+$D44))+$B44*Assumptions!$B$9*0.05*SUMPRODUCT(--($C$15:$DF$15=$G44)),0)</f>
        <v>1805865</v>
      </c>
      <c r="K44" s="486">
        <f>IF($E44="Yes",SUMPRODUCT(($C$15:$DF$15&gt;=$C44)*($C$15:$DF$15&lt;$C44+$D44)*$C$18:$DF$18),0)</f>
        <v>1105205.84520508</v>
      </c>
      <c r="L44" s="486">
        <f>J44-K44</f>
        <v>700659.15479492</v>
      </c>
      <c r="M44" s="744">
        <f>$B$3*I44</f>
        <v>0.1</v>
      </c>
      <c r="N44" s="486">
        <f>IF($E44="Yes",$B$2*$B44,0)</f>
        <v>37500</v>
      </c>
      <c r="O44" s="486">
        <f>M44*MAX(0,L44)</f>
        <v>70065.915479492</v>
      </c>
      <c r="P44" s="486">
        <f>N44+Q44</f>
        <v>70065.915479492</v>
      </c>
      <c r="Q44" s="486">
        <f>IF(AND($F44="Yes",$I44&lt;1),O44-N44,MAX(0,O44-N44))</f>
        <v>32565.915479492</v>
      </c>
    </row>
    <row r="45" ht="15" customFormat="1" customHeight="1" s="381">
      <c r="A45" s="381" t="str">
        <f>Projects!A41</f>
        <v>BD-25</v>
      </c>
      <c r="B45" s="486">
        <f>Projects!B41</f>
        <v>15000000</v>
      </c>
      <c r="C45" s="386">
        <f>Projects!C41</f>
        <v>51</v>
      </c>
      <c r="D45" s="386">
        <f>Projects!D41</f>
        <v>19</v>
      </c>
      <c r="E45" s="381" t="str">
        <f>Projects!G41</f>
        <v>Yes</v>
      </c>
      <c r="F45" s="381" t="str">
        <f>Projects!M41</f>
        <v>No</v>
      </c>
      <c r="G45" s="386">
        <f>C45+D45-1</f>
        <v>69</v>
      </c>
      <c r="H45" s="386">
        <f>C45+1</f>
        <v>52</v>
      </c>
      <c r="I45" s="744">
        <f>IF($F45="Yes",INDEX($G$6:$G$14,MATCH(MIN($G45,105),$B$6:$B$14,1)),1)</f>
        <v>1</v>
      </c>
      <c r="J45" s="486">
        <f>IF($E45="Yes",$B45*Assumptions!$B$9*0.95/$D45*SUMPRODUCT(($C$15:$DF$15&gt;=$C45)*($C$15:$DF$15&lt;$C45+$D45))+$B45*Assumptions!$B$9*0.05*SUMPRODUCT(--($C$15:$DF$15=$G45)),0)</f>
        <v>1805865</v>
      </c>
      <c r="K45" s="486">
        <f>IF($E45="Yes",SUMPRODUCT(($C$15:$DF$15&gt;=$C45)*($C$15:$DF$15&lt;$C45+$D45)*$C$18:$DF$18),0)</f>
        <v>1161742.11443734</v>
      </c>
      <c r="L45" s="486">
        <f>J45-K45</f>
        <v>644122.885562659</v>
      </c>
      <c r="M45" s="744">
        <f>$B$3*I45</f>
        <v>0.1</v>
      </c>
      <c r="N45" s="486">
        <f>IF($E45="Yes",$B$2*$B45,0)</f>
        <v>37500</v>
      </c>
      <c r="O45" s="486">
        <f>M45*MAX(0,L45)</f>
        <v>64412.2885562659</v>
      </c>
      <c r="P45" s="486">
        <f>N45+Q45</f>
        <v>64412.2885562659</v>
      </c>
      <c r="Q45" s="486">
        <f>IF(AND($F45="Yes",$I45&lt;1),O45-N45,MAX(0,O45-N45))</f>
        <v>26912.2885562659</v>
      </c>
    </row>
    <row r="46" ht="15" customFormat="1" customHeight="1" s="381">
      <c r="A46" s="381" t="str">
        <f>Projects!A42</f>
        <v>BD-26</v>
      </c>
      <c r="B46" s="486">
        <f>Projects!B42</f>
        <v>18000000</v>
      </c>
      <c r="C46" s="386">
        <f>Projects!C42</f>
        <v>52</v>
      </c>
      <c r="D46" s="386">
        <f>Projects!D42</f>
        <v>19</v>
      </c>
      <c r="E46" s="381" t="str">
        <f>Projects!G42</f>
        <v>Yes</v>
      </c>
      <c r="F46" s="381" t="str">
        <f>Projects!M42</f>
        <v>No</v>
      </c>
      <c r="G46" s="386">
        <f>C46+D46-1</f>
        <v>70</v>
      </c>
      <c r="H46" s="386">
        <f>C46+1</f>
        <v>53</v>
      </c>
      <c r="I46" s="744">
        <f>IF($F46="Yes",INDEX($G$6:$G$14,MATCH(MIN($G46,105),$B$6:$B$14,1)),1)</f>
        <v>1</v>
      </c>
      <c r="J46" s="486">
        <f>IF($E46="Yes",$B46*Assumptions!$B$9*0.95/$D46*SUMPRODUCT(($C$15:$DF$15&gt;=$C46)*($C$15:$DF$15&lt;$C46+$D46))+$B46*Assumptions!$B$9*0.05*SUMPRODUCT(--($C$15:$DF$15=$G46)),0)</f>
        <v>2167038</v>
      </c>
      <c r="K46" s="486">
        <f>IF($E46="Yes",SUMPRODUCT(($C$15:$DF$15&gt;=$C46)*($C$15:$DF$15&lt;$C46+$D46)*$C$18:$DF$18),0)</f>
        <v>1239473.87069211</v>
      </c>
      <c r="L46" s="486">
        <f>J46-K46</f>
        <v>927564.129307888</v>
      </c>
      <c r="M46" s="744">
        <f>$B$3*I46</f>
        <v>0.1</v>
      </c>
      <c r="N46" s="486">
        <f>IF($E46="Yes",$B$2*$B46,0)</f>
        <v>45000</v>
      </c>
      <c r="O46" s="486">
        <f>M46*MAX(0,L46)</f>
        <v>92756.4129307888</v>
      </c>
      <c r="P46" s="486">
        <f>N46+Q46</f>
        <v>92756.4129307888</v>
      </c>
      <c r="Q46" s="486">
        <f>IF(AND($F46="Yes",$I46&lt;1),O46-N46,MAX(0,O46-N46))</f>
        <v>47756.4129307888</v>
      </c>
    </row>
    <row r="47" ht="15" customFormat="1" customHeight="1" s="381">
      <c r="A47" s="381" t="str">
        <f>Projects!A43</f>
        <v>BD-27</v>
      </c>
      <c r="B47" s="486">
        <f>Projects!B43</f>
        <v>15000000</v>
      </c>
      <c r="C47" s="386">
        <f>Projects!C43</f>
        <v>53</v>
      </c>
      <c r="D47" s="386">
        <f>Projects!D43</f>
        <v>19</v>
      </c>
      <c r="E47" s="381" t="str">
        <f>Projects!G43</f>
        <v>Yes</v>
      </c>
      <c r="F47" s="381" t="str">
        <f>Projects!M43</f>
        <v>No</v>
      </c>
      <c r="G47" s="386">
        <f>C47+D47-1</f>
        <v>71</v>
      </c>
      <c r="H47" s="386">
        <f>C47+1</f>
        <v>54</v>
      </c>
      <c r="I47" s="744">
        <f>IF($F47="Yes",INDEX($G$6:$G$14,MATCH(MIN($G47,105),$B$6:$B$14,1)),1)</f>
        <v>1</v>
      </c>
      <c r="J47" s="486">
        <f>IF($E47="Yes",$B47*Assumptions!$B$9*0.95/$D47*SUMPRODUCT(($C$15:$DF$15&gt;=$C47)*($C$15:$DF$15&lt;$C47+$D47))+$B47*Assumptions!$B$9*0.05*SUMPRODUCT(--($C$15:$DF$15=$G47)),0)</f>
        <v>1805865</v>
      </c>
      <c r="K47" s="486">
        <f>IF($E47="Yes",SUMPRODUCT(($C$15:$DF$15&gt;=$C47)*($C$15:$DF$15&lt;$C47+$D47)*$C$18:$DF$18),0)</f>
        <v>1348195.28605208</v>
      </c>
      <c r="L47" s="486">
        <f>J47-K47</f>
        <v>457669.713947923</v>
      </c>
      <c r="M47" s="744">
        <f>$B$3*I47</f>
        <v>0.1</v>
      </c>
      <c r="N47" s="486">
        <f>IF($E47="Yes",$B$2*$B47,0)</f>
        <v>37500</v>
      </c>
      <c r="O47" s="486">
        <f>M47*MAX(0,L47)</f>
        <v>45766.9713947923</v>
      </c>
      <c r="P47" s="486">
        <f>N47+Q47</f>
        <v>45766.9713947923</v>
      </c>
      <c r="Q47" s="486">
        <f>IF(AND($F47="Yes",$I47&lt;1),O47-N47,MAX(0,O47-N47))</f>
        <v>8266.97139479227</v>
      </c>
    </row>
    <row r="48" ht="15" customFormat="1" customHeight="1" s="381">
      <c r="A48" s="381" t="str">
        <f>Projects!A44</f>
        <v>BD-28</v>
      </c>
      <c r="B48" s="486">
        <f>Projects!B44</f>
        <v>15000000</v>
      </c>
      <c r="C48" s="386">
        <f>Projects!C44</f>
        <v>54</v>
      </c>
      <c r="D48" s="386">
        <f>Projects!D44</f>
        <v>19</v>
      </c>
      <c r="E48" s="381" t="str">
        <f>Projects!G44</f>
        <v>Yes</v>
      </c>
      <c r="F48" s="381" t="str">
        <f>Projects!M44</f>
        <v>No</v>
      </c>
      <c r="G48" s="386">
        <f>C48+D48-1</f>
        <v>72</v>
      </c>
      <c r="H48" s="386">
        <f>C48+1</f>
        <v>55</v>
      </c>
      <c r="I48" s="744">
        <f>IF($F48="Yes",INDEX($G$6:$G$14,MATCH(MIN($G48,105),$B$6:$B$14,1)),1)</f>
        <v>1</v>
      </c>
      <c r="J48" s="486">
        <f>IF($E48="Yes",$B48*Assumptions!$B$9*0.95/$D48*SUMPRODUCT(($C$15:$DF$15&gt;=$C48)*($C$15:$DF$15&lt;$C48+$D48))+$B48*Assumptions!$B$9*0.05*SUMPRODUCT(--($C$15:$DF$15=$G48)),0)</f>
        <v>1805865</v>
      </c>
      <c r="K48" s="486">
        <f>IF($E48="Yes",SUMPRODUCT(($C$15:$DF$15&gt;=$C48)*($C$15:$DF$15&lt;$C48+$D48)*$C$18:$DF$18),0)</f>
        <v>1508030.41896832</v>
      </c>
      <c r="L48" s="486">
        <f>J48-K48</f>
        <v>297834.581031682</v>
      </c>
      <c r="M48" s="744">
        <f>$B$3*I48</f>
        <v>0.1</v>
      </c>
      <c r="N48" s="486">
        <f>IF($E48="Yes",$B$2*$B48,0)</f>
        <v>37500</v>
      </c>
      <c r="O48" s="486">
        <f>M48*MAX(0,L48)</f>
        <v>29783.4581031682</v>
      </c>
      <c r="P48" s="486">
        <f>N48+Q48</f>
        <v>37500</v>
      </c>
      <c r="Q48" s="486">
        <f>IF(AND($F48="Yes",$I48&lt;1),O48-N48,MAX(0,O48-N48))</f>
        <v>0</v>
      </c>
    </row>
    <row r="49" ht="15" customFormat="1" customHeight="1" s="381">
      <c r="A49" s="381" t="str">
        <f>Projects!A45</f>
        <v>BD-29</v>
      </c>
      <c r="B49" s="486">
        <f>Projects!B45</f>
        <v>18000000</v>
      </c>
      <c r="C49" s="386">
        <f>Projects!C45</f>
        <v>55</v>
      </c>
      <c r="D49" s="386">
        <f>Projects!D45</f>
        <v>19</v>
      </c>
      <c r="E49" s="381" t="str">
        <f>Projects!G45</f>
        <v>Yes</v>
      </c>
      <c r="F49" s="381" t="str">
        <f>Projects!M45</f>
        <v>No</v>
      </c>
      <c r="G49" s="386">
        <f>C49+D49-1</f>
        <v>73</v>
      </c>
      <c r="H49" s="386">
        <f>C49+1</f>
        <v>56</v>
      </c>
      <c r="I49" s="744">
        <f>IF($F49="Yes",INDEX($G$6:$G$14,MATCH(MIN($G49,105),$B$6:$B$14,1)),1)</f>
        <v>1</v>
      </c>
      <c r="J49" s="486">
        <f>IF($E49="Yes",$B49*Assumptions!$B$9*0.95/$D49*SUMPRODUCT(($C$15:$DF$15&gt;=$C49)*($C$15:$DF$15&lt;$C49+$D49))+$B49*Assumptions!$B$9*0.05*SUMPRODUCT(--($C$15:$DF$15=$G49)),0)</f>
        <v>2167038</v>
      </c>
      <c r="K49" s="486">
        <f>IF($E49="Yes",SUMPRODUCT(($C$15:$DF$15&gt;=$C49)*($C$15:$DF$15&lt;$C49+$D49)*$C$18:$DF$18),0)</f>
        <v>1776859.72834196</v>
      </c>
      <c r="L49" s="486">
        <f>J49-K49</f>
        <v>390178.271658042</v>
      </c>
      <c r="M49" s="744">
        <f>$B$3*I49</f>
        <v>0.1</v>
      </c>
      <c r="N49" s="486">
        <f>IF($E49="Yes",$B$2*$B49,0)</f>
        <v>45000</v>
      </c>
      <c r="O49" s="486">
        <f>M49*MAX(0,L49)</f>
        <v>39017.8271658042</v>
      </c>
      <c r="P49" s="486">
        <f>N49+Q49</f>
        <v>45000</v>
      </c>
      <c r="Q49" s="486">
        <f>IF(AND($F49="Yes",$I49&lt;1),O49-N49,MAX(0,O49-N49))</f>
        <v>0</v>
      </c>
    </row>
    <row r="50" ht="15" customFormat="1" customHeight="1" s="381">
      <c r="A50" s="381" t="str">
        <f>Projects!A46</f>
        <v>BD-30</v>
      </c>
      <c r="B50" s="486">
        <f>Projects!B46</f>
        <v>15000000</v>
      </c>
      <c r="C50" s="386">
        <f>Projects!C46</f>
        <v>56</v>
      </c>
      <c r="D50" s="386">
        <f>Projects!D46</f>
        <v>19</v>
      </c>
      <c r="E50" s="381" t="str">
        <f>Projects!G46</f>
        <v>Yes</v>
      </c>
      <c r="F50" s="381" t="str">
        <f>Projects!M46</f>
        <v>Yes</v>
      </c>
      <c r="G50" s="386">
        <f>C50+D50-1</f>
        <v>74</v>
      </c>
      <c r="H50" s="386">
        <f>C50+1</f>
        <v>57</v>
      </c>
      <c r="I50" s="744">
        <f>IF($F50="Yes",INDEX($G$6:$G$14,MATCH(MIN($G50,105),$B$6:$B$14,1)),1)</f>
        <v>0.25</v>
      </c>
      <c r="J50" s="486">
        <f>IF($E50="Yes",$B50*Assumptions!$B$9*0.95/$D50*SUMPRODUCT(($C$15:$DF$15&gt;=$C50)*($C$15:$DF$15&lt;$C50+$D50))+$B50*Assumptions!$B$9*0.05*SUMPRODUCT(--($C$15:$DF$15=$G50)),0)</f>
        <v>1805865</v>
      </c>
      <c r="K50" s="486">
        <f>IF($E50="Yes",SUMPRODUCT(($C$15:$DF$15&gt;=$C50)*($C$15:$DF$15&lt;$C50+$D50)*$C$18:$DF$18),0)</f>
        <v>2360745.22725524</v>
      </c>
      <c r="L50" s="486">
        <f>J50-K50</f>
        <v>-554880.227255242</v>
      </c>
      <c r="M50" s="744">
        <f>$B$3*I50</f>
        <v>0.025</v>
      </c>
      <c r="N50" s="486">
        <f>IF($E50="Yes",$B$2*$B50,0)</f>
        <v>37500</v>
      </c>
      <c r="O50" s="486">
        <f>M50*MAX(0,L50)</f>
        <v>0</v>
      </c>
      <c r="P50" s="486">
        <f>N50+Q50</f>
        <v>0</v>
      </c>
      <c r="Q50" s="486">
        <f>IF(AND($F50="Yes",$I50&lt;1),O50-N50,MAX(0,O50-N50))</f>
        <v>-37500</v>
      </c>
    </row>
    <row r="51" ht="15" customFormat="1" customHeight="1" s="381"/>
    <row r="52" ht="15" customFormat="1" customHeight="1" s="381"/>
    <row r="53" ht="15" customFormat="1" customHeight="1" s="381">
      <c r="A53" s="452" t="inlineStr">
        <is>
          <t>BD commission (positive) / month</t>
        </is>
      </c>
      <c r="C53" s="486">
        <f>SUMPRODUCT(($H$21:$H$50=C$15)*$N$21:$N$50)+SUMPRODUCT(($G$21:$G$50=C$15)*$Q$21:$Q$50)</f>
        <v>0</v>
      </c>
      <c r="D53" s="486">
        <f>SUMPRODUCT(($H$21:$H$50=D$15)*$N$21:$N$50)+SUMPRODUCT(($G$21:$G$50=D$15)*$Q$21:$Q$50)</f>
        <v>0</v>
      </c>
      <c r="E53" s="486">
        <f>SUMPRODUCT(($H$21:$H$50=E$15)*$N$21:$N$50)+SUMPRODUCT(($G$21:$G$50=E$15)*$Q$21:$Q$50)</f>
        <v>0</v>
      </c>
      <c r="F53" s="486">
        <f>SUMPRODUCT(($H$21:$H$50=F$15)*$N$21:$N$50)+SUMPRODUCT(($G$21:$G$50=F$15)*$Q$21:$Q$50)</f>
        <v>0</v>
      </c>
      <c r="G53" s="486">
        <f>SUMPRODUCT(($H$21:$H$50=G$15)*$N$21:$N$50)+SUMPRODUCT(($G$21:$G$50=G$15)*$Q$21:$Q$50)</f>
        <v>0</v>
      </c>
      <c r="H53" s="486">
        <f>SUMPRODUCT(($H$21:$H$50=H$15)*$N$21:$N$50)+SUMPRODUCT(($G$21:$G$50=H$15)*$Q$21:$Q$50)</f>
        <v>0</v>
      </c>
      <c r="I53" s="486">
        <f>SUMPRODUCT(($H$21:$H$50=I$15)*$N$21:$N$50)+SUMPRODUCT(($G$21:$G$50=I$15)*$Q$21:$Q$50)</f>
        <v>0</v>
      </c>
      <c r="J53" s="486">
        <f>SUMPRODUCT(($H$21:$H$50=J$15)*$N$21:$N$50)+SUMPRODUCT(($G$21:$G$50=J$15)*$Q$21:$Q$50)</f>
        <v>0</v>
      </c>
      <c r="K53" s="486">
        <f>SUMPRODUCT(($H$21:$H$50=K$15)*$N$21:$N$50)+SUMPRODUCT(($G$21:$G$50=K$15)*$Q$21:$Q$50)</f>
        <v>0</v>
      </c>
      <c r="L53" s="486">
        <f>SUMPRODUCT(($H$21:$H$50=L$15)*$N$21:$N$50)+SUMPRODUCT(($G$21:$G$50=L$15)*$Q$21:$Q$50)</f>
        <v>0</v>
      </c>
      <c r="M53" s="486">
        <f>SUMPRODUCT(($H$21:$H$50=M$15)*$N$21:$N$50)+SUMPRODUCT(($G$21:$G$50=M$15)*$Q$21:$Q$50)</f>
        <v>0</v>
      </c>
      <c r="N53" s="486">
        <f>SUMPRODUCT(($H$21:$H$50=N$15)*$N$21:$N$50)+SUMPRODUCT(($G$21:$G$50=N$15)*$Q$21:$Q$50)</f>
        <v>0</v>
      </c>
      <c r="O53" s="486">
        <f>SUMPRODUCT(($H$21:$H$50=O$15)*$N$21:$N$50)+SUMPRODUCT(($G$21:$G$50=O$15)*$Q$21:$Q$50)</f>
        <v>0</v>
      </c>
      <c r="P53" s="486">
        <f>SUMPRODUCT(($H$21:$H$50=P$15)*$N$21:$N$50)+SUMPRODUCT(($G$21:$G$50=P$15)*$Q$21:$Q$50)</f>
        <v>37973.771875</v>
      </c>
      <c r="Q53" s="486">
        <f>SUMPRODUCT(($H$21:$H$50=Q$15)*$N$21:$N$50)+SUMPRODUCT(($G$21:$G$50=Q$15)*$Q$21:$Q$50)</f>
        <v>0</v>
      </c>
      <c r="R53" s="486">
        <f>SUMPRODUCT(($H$21:$H$50=R$15)*$N$21:$N$50)+SUMPRODUCT(($G$21:$G$50=R$15)*$Q$21:$Q$50)</f>
        <v>0</v>
      </c>
      <c r="S53" s="486">
        <f>SUMPRODUCT(($H$21:$H$50=S$15)*$N$21:$N$50)+SUMPRODUCT(($G$21:$G$50=S$15)*$Q$21:$Q$50)</f>
        <v>0</v>
      </c>
      <c r="T53" s="486">
        <f>SUMPRODUCT(($H$21:$H$50=T$15)*$N$21:$N$50)+SUMPRODUCT(($G$21:$G$50=T$15)*$Q$21:$Q$50)</f>
        <v>38290.0375</v>
      </c>
      <c r="U53" s="486">
        <f>SUMPRODUCT(($H$21:$H$50=U$15)*$N$21:$N$50)+SUMPRODUCT(($G$21:$G$50=U$15)*$Q$21:$Q$50)</f>
        <v>28293.4625</v>
      </c>
      <c r="V53" s="486">
        <f>SUMPRODUCT(($H$21:$H$50=V$15)*$N$21:$N$50)+SUMPRODUCT(($G$21:$G$50=V$15)*$Q$21:$Q$50)</f>
        <v>46106.9225</v>
      </c>
      <c r="W53" s="486">
        <f>SUMPRODUCT(($H$21:$H$50=W$15)*$N$21:$N$50)+SUMPRODUCT(($G$21:$G$50=W$15)*$Q$21:$Q$50)</f>
        <v>0</v>
      </c>
      <c r="X53" s="486">
        <f>SUMPRODUCT(($H$21:$H$50=X$15)*$N$21:$N$50)+SUMPRODUCT(($G$21:$G$50=X$15)*$Q$21:$Q$50)</f>
        <v>0</v>
      </c>
      <c r="Y53" s="486">
        <f>SUMPRODUCT(($H$21:$H$50=Y$15)*$N$21:$N$50)+SUMPRODUCT(($G$21:$G$50=Y$15)*$Q$21:$Q$50)</f>
        <v>0</v>
      </c>
      <c r="Z53" s="486">
        <f>SUMPRODUCT(($H$21:$H$50=Z$15)*$N$21:$N$50)+SUMPRODUCT(($G$21:$G$50=Z$15)*$Q$21:$Q$50)</f>
        <v>62565.82645</v>
      </c>
      <c r="AA53" s="486">
        <f>SUMPRODUCT(($H$21:$H$50=AA$15)*$N$21:$N$50)+SUMPRODUCT(($G$21:$G$50=AA$15)*$Q$21:$Q$50)</f>
        <v>0</v>
      </c>
      <c r="AB53" s="486">
        <f>SUMPRODUCT(($H$21:$H$50=AB$15)*$N$21:$N$50)+SUMPRODUCT(($G$21:$G$50=AB$15)*$Q$21:$Q$50)</f>
        <v>0</v>
      </c>
      <c r="AC53" s="486">
        <f>SUMPRODUCT(($H$21:$H$50=AC$15)*$N$21:$N$50)+SUMPRODUCT(($G$21:$G$50=AC$15)*$Q$21:$Q$50)</f>
        <v>0</v>
      </c>
      <c r="AD53" s="486">
        <f>SUMPRODUCT(($H$21:$H$50=AD$15)*$N$21:$N$50)+SUMPRODUCT(($G$21:$G$50=AD$15)*$Q$21:$Q$50)</f>
        <v>45000</v>
      </c>
      <c r="AE53" s="486">
        <f>SUMPRODUCT(($H$21:$H$50=AE$15)*$N$21:$N$50)+SUMPRODUCT(($G$21:$G$50=AE$15)*$Q$21:$Q$50)</f>
        <v>0</v>
      </c>
      <c r="AF53" s="486">
        <f>SUMPRODUCT(($H$21:$H$50=AF$15)*$N$21:$N$50)+SUMPRODUCT(($G$21:$G$50=AF$15)*$Q$21:$Q$50)</f>
        <v>0</v>
      </c>
      <c r="AG53" s="486">
        <f>SUMPRODUCT(($H$21:$H$50=AG$15)*$N$21:$N$50)+SUMPRODUCT(($G$21:$G$50=AG$15)*$Q$21:$Q$50)</f>
        <v>-37973.771875</v>
      </c>
      <c r="AH53" s="486">
        <f>SUMPRODUCT(($H$21:$H$50=AH$15)*$N$21:$N$50)+SUMPRODUCT(($G$21:$G$50=AH$15)*$Q$21:$Q$50)</f>
        <v>0</v>
      </c>
      <c r="AI53" s="486">
        <f>SUMPRODUCT(($H$21:$H$50=AI$15)*$N$21:$N$50)+SUMPRODUCT(($G$21:$G$50=AI$15)*$Q$21:$Q$50)</f>
        <v>45000</v>
      </c>
      <c r="AJ53" s="486">
        <f>SUMPRODUCT(($H$21:$H$50=AJ$15)*$N$21:$N$50)+SUMPRODUCT(($G$21:$G$50=AJ$15)*$Q$21:$Q$50)</f>
        <v>45000</v>
      </c>
      <c r="AK53" s="486">
        <f>SUMPRODUCT(($H$21:$H$50=AK$15)*$N$21:$N$50)+SUMPRODUCT(($G$21:$G$50=AK$15)*$Q$21:$Q$50)</f>
        <v>-790.037499999999</v>
      </c>
      <c r="AL53" s="486">
        <f>SUMPRODUCT(($H$21:$H$50=AL$15)*$N$21:$N$50)+SUMPRODUCT(($G$21:$G$50=AL$15)*$Q$21:$Q$50)</f>
        <v>9206.5375</v>
      </c>
      <c r="AM53" s="486">
        <f>SUMPRODUCT(($H$21:$H$50=AM$15)*$N$21:$N$50)+SUMPRODUCT(($G$21:$G$50=AM$15)*$Q$21:$Q$50)</f>
        <v>37500</v>
      </c>
      <c r="AN53" s="486">
        <f>SUMPRODUCT(($H$21:$H$50=AN$15)*$N$21:$N$50)+SUMPRODUCT(($G$21:$G$50=AN$15)*$Q$21:$Q$50)</f>
        <v>37500</v>
      </c>
      <c r="AO53" s="486">
        <f>SUMPRODUCT(($H$21:$H$50=AO$15)*$N$21:$N$50)+SUMPRODUCT(($G$21:$G$50=AO$15)*$Q$21:$Q$50)</f>
        <v>45000</v>
      </c>
      <c r="AP53" s="486">
        <f>SUMPRODUCT(($H$21:$H$50=AP$15)*$N$21:$N$50)+SUMPRODUCT(($G$21:$G$50=AP$15)*$Q$21:$Q$50)</f>
        <v>37500</v>
      </c>
      <c r="AQ53" s="486">
        <f>SUMPRODUCT(($H$21:$H$50=AQ$15)*$N$21:$N$50)+SUMPRODUCT(($G$21:$G$50=AQ$15)*$Q$21:$Q$50)</f>
        <v>37500</v>
      </c>
      <c r="AR53" s="486">
        <f>SUMPRODUCT(($H$21:$H$50=AR$15)*$N$21:$N$50)+SUMPRODUCT(($G$21:$G$50=AR$15)*$Q$21:$Q$50)</f>
        <v>45000</v>
      </c>
      <c r="AS53" s="486">
        <f>SUMPRODUCT(($H$21:$H$50=AS$15)*$N$21:$N$50)+SUMPRODUCT(($G$21:$G$50=AS$15)*$Q$21:$Q$50)</f>
        <v>37500</v>
      </c>
      <c r="AT53" s="486">
        <f>SUMPRODUCT(($H$21:$H$50=AT$15)*$N$21:$N$50)+SUMPRODUCT(($G$21:$G$50=AT$15)*$Q$21:$Q$50)</f>
        <v>0</v>
      </c>
      <c r="AU53" s="486">
        <f>SUMPRODUCT(($H$21:$H$50=AU$15)*$N$21:$N$50)+SUMPRODUCT(($G$21:$G$50=AU$15)*$Q$21:$Q$50)</f>
        <v>0</v>
      </c>
      <c r="AV53" s="486">
        <f>SUMPRODUCT(($H$21:$H$50=AV$15)*$N$21:$N$50)+SUMPRODUCT(($G$21:$G$50=AV$15)*$Q$21:$Q$50)</f>
        <v>0</v>
      </c>
      <c r="AW53" s="486">
        <f>SUMPRODUCT(($H$21:$H$50=AW$15)*$N$21:$N$50)+SUMPRODUCT(($G$21:$G$50=AW$15)*$Q$21:$Q$50)</f>
        <v>45000</v>
      </c>
      <c r="AX53" s="486">
        <f>SUMPRODUCT(($H$21:$H$50=AX$15)*$N$21:$N$50)+SUMPRODUCT(($G$21:$G$50=AX$15)*$Q$21:$Q$50)</f>
        <v>37500</v>
      </c>
      <c r="AY53" s="486">
        <f>SUMPRODUCT(($H$21:$H$50=AY$15)*$N$21:$N$50)+SUMPRODUCT(($G$21:$G$50=AY$15)*$Q$21:$Q$50)</f>
        <v>0</v>
      </c>
      <c r="AZ53" s="486">
        <f>SUMPRODUCT(($H$21:$H$50=AZ$15)*$N$21:$N$50)+SUMPRODUCT(($G$21:$G$50=AZ$15)*$Q$21:$Q$50)</f>
        <v>0</v>
      </c>
      <c r="BA53" s="486">
        <f>SUMPRODUCT(($H$21:$H$50=BA$15)*$N$21:$N$50)+SUMPRODUCT(($G$21:$G$50=BA$15)*$Q$21:$Q$50)</f>
        <v>0</v>
      </c>
      <c r="BB53" s="486">
        <f>SUMPRODUCT(($H$21:$H$50=BB$15)*$N$21:$N$50)+SUMPRODUCT(($G$21:$G$50=BB$15)*$Q$21:$Q$50)</f>
        <v>37500</v>
      </c>
      <c r="BC53" s="486">
        <f>SUMPRODUCT(($H$21:$H$50=BC$15)*$N$21:$N$50)+SUMPRODUCT(($G$21:$G$50=BC$15)*$Q$21:$Q$50)</f>
        <v>45000</v>
      </c>
      <c r="BD53" s="486">
        <f>SUMPRODUCT(($H$21:$H$50=BD$15)*$N$21:$N$50)+SUMPRODUCT(($G$21:$G$50=BD$15)*$Q$21:$Q$50)</f>
        <v>37500</v>
      </c>
      <c r="BE53" s="486">
        <f>SUMPRODUCT(($H$21:$H$50=BE$15)*$N$21:$N$50)+SUMPRODUCT(($G$21:$G$50=BE$15)*$Q$21:$Q$50)</f>
        <v>37500</v>
      </c>
      <c r="BF53" s="486">
        <f>SUMPRODUCT(($H$21:$H$50=BF$15)*$N$21:$N$50)+SUMPRODUCT(($G$21:$G$50=BF$15)*$Q$21:$Q$50)</f>
        <v>45000</v>
      </c>
      <c r="BG53" s="486">
        <f>SUMPRODUCT(($H$21:$H$50=BG$15)*$N$21:$N$50)+SUMPRODUCT(($G$21:$G$50=BG$15)*$Q$21:$Q$50)</f>
        <v>37500</v>
      </c>
      <c r="BH53" s="486">
        <f>SUMPRODUCT(($H$21:$H$50=BH$15)*$N$21:$N$50)+SUMPRODUCT(($G$21:$G$50=BH$15)*$Q$21:$Q$50)</f>
        <v>37500</v>
      </c>
      <c r="BI53" s="486">
        <f>SUMPRODUCT(($H$21:$H$50=BI$15)*$N$21:$N$50)+SUMPRODUCT(($G$21:$G$50=BI$15)*$Q$21:$Q$50)</f>
        <v>45000</v>
      </c>
      <c r="BJ53" s="486">
        <f>SUMPRODUCT(($H$21:$H$50=BJ$15)*$N$21:$N$50)+SUMPRODUCT(($G$21:$G$50=BJ$15)*$Q$21:$Q$50)</f>
        <v>37500</v>
      </c>
      <c r="BK53" s="486">
        <f>SUMPRODUCT(($H$21:$H$50=BK$15)*$N$21:$N$50)+SUMPRODUCT(($G$21:$G$50=BK$15)*$Q$21:$Q$50)</f>
        <v>0</v>
      </c>
      <c r="BL53" s="486">
        <f>SUMPRODUCT(($H$21:$H$50=BL$15)*$N$21:$N$50)+SUMPRODUCT(($G$21:$G$50=BL$15)*$Q$21:$Q$50)</f>
        <v>0</v>
      </c>
      <c r="BM53" s="486">
        <f>SUMPRODUCT(($H$21:$H$50=BM$15)*$N$21:$N$50)+SUMPRODUCT(($G$21:$G$50=BM$15)*$Q$21:$Q$50)</f>
        <v>0</v>
      </c>
      <c r="BN53" s="486">
        <f>SUMPRODUCT(($H$21:$H$50=BN$15)*$N$21:$N$50)+SUMPRODUCT(($G$21:$G$50=BN$15)*$Q$21:$Q$50)</f>
        <v>0</v>
      </c>
      <c r="BO53" s="486">
        <f>SUMPRODUCT(($H$21:$H$50=BO$15)*$N$21:$N$50)+SUMPRODUCT(($G$21:$G$50=BO$15)*$Q$21:$Q$50)</f>
        <v>0</v>
      </c>
      <c r="BP53" s="486">
        <f>SUMPRODUCT(($H$21:$H$50=BP$15)*$N$21:$N$50)+SUMPRODUCT(($G$21:$G$50=BP$15)*$Q$21:$Q$50)</f>
        <v>0</v>
      </c>
      <c r="BQ53" s="486">
        <f>SUMPRODUCT(($H$21:$H$50=BQ$15)*$N$21:$N$50)+SUMPRODUCT(($G$21:$G$50=BQ$15)*$Q$21:$Q$50)</f>
        <v>0</v>
      </c>
      <c r="BR53" s="486">
        <f>SUMPRODUCT(($H$21:$H$50=BR$15)*$N$21:$N$50)+SUMPRODUCT(($G$21:$G$50=BR$15)*$Q$21:$Q$50)</f>
        <v>0</v>
      </c>
      <c r="BS53" s="486">
        <f>SUMPRODUCT(($H$21:$H$50=BS$15)*$N$21:$N$50)+SUMPRODUCT(($G$21:$G$50=BS$15)*$Q$21:$Q$50)</f>
        <v>0</v>
      </c>
      <c r="BT53" s="486">
        <f>SUMPRODUCT(($H$21:$H$50=BT$15)*$N$21:$N$50)+SUMPRODUCT(($G$21:$G$50=BT$15)*$Q$21:$Q$50)</f>
        <v>0</v>
      </c>
      <c r="BU53" s="486">
        <f>SUMPRODUCT(($H$21:$H$50=BU$15)*$N$21:$N$50)+SUMPRODUCT(($G$21:$G$50=BU$15)*$Q$21:$Q$50)</f>
        <v>0</v>
      </c>
      <c r="BV53" s="486">
        <f>SUMPRODUCT(($H$21:$H$50=BV$15)*$N$21:$N$50)+SUMPRODUCT(($G$21:$G$50=BV$15)*$Q$21:$Q$50)</f>
        <v>0</v>
      </c>
      <c r="BW53" s="486">
        <f>SUMPRODUCT(($H$21:$H$50=BW$15)*$N$21:$N$50)+SUMPRODUCT(($G$21:$G$50=BW$15)*$Q$21:$Q$50)</f>
        <v>0</v>
      </c>
      <c r="BX53" s="486">
        <f>SUMPRODUCT(($H$21:$H$50=BX$15)*$N$21:$N$50)+SUMPRODUCT(($G$21:$G$50=BX$15)*$Q$21:$Q$50)</f>
        <v>0</v>
      </c>
      <c r="BY53" s="486">
        <f>SUMPRODUCT(($H$21:$H$50=BY$15)*$N$21:$N$50)+SUMPRODUCT(($G$21:$G$50=BY$15)*$Q$21:$Q$50)</f>
        <v>0</v>
      </c>
      <c r="BZ53" s="486">
        <f>SUMPRODUCT(($H$21:$H$50=BZ$15)*$N$21:$N$50)+SUMPRODUCT(($G$21:$G$50=BZ$15)*$Q$21:$Q$50)</f>
        <v>0</v>
      </c>
      <c r="CA53" s="486">
        <f>SUMPRODUCT(($H$21:$H$50=CA$15)*$N$21:$N$50)+SUMPRODUCT(($G$21:$G$50=CA$15)*$Q$21:$Q$50)</f>
        <v>-37500</v>
      </c>
      <c r="CB53" s="486">
        <f>SUMPRODUCT(($H$21:$H$50=CB$15)*$N$21:$N$50)+SUMPRODUCT(($G$21:$G$50=CB$15)*$Q$21:$Q$50)</f>
        <v>0</v>
      </c>
      <c r="CC53" s="486">
        <f>SUMPRODUCT(($H$21:$H$50=CC$15)*$N$21:$N$50)+SUMPRODUCT(($G$21:$G$50=CC$15)*$Q$21:$Q$50)</f>
        <v>0</v>
      </c>
      <c r="CD53" s="486">
        <f>SUMPRODUCT(($H$21:$H$50=CD$15)*$N$21:$N$50)+SUMPRODUCT(($G$21:$G$50=CD$15)*$Q$21:$Q$50)</f>
        <v>0</v>
      </c>
      <c r="CE53" s="486">
        <f>SUMPRODUCT(($H$21:$H$50=CE$15)*$N$21:$N$50)+SUMPRODUCT(($G$21:$G$50=CE$15)*$Q$21:$Q$50)</f>
        <v>0</v>
      </c>
      <c r="CF53" s="486">
        <f>SUMPRODUCT(($H$21:$H$50=CF$15)*$N$21:$N$50)+SUMPRODUCT(($G$21:$G$50=CF$15)*$Q$21:$Q$50)</f>
        <v>0</v>
      </c>
      <c r="CG53" s="486">
        <f>SUMPRODUCT(($H$21:$H$50=CG$15)*$N$21:$N$50)+SUMPRODUCT(($G$21:$G$50=CG$15)*$Q$21:$Q$50)</f>
        <v>0</v>
      </c>
      <c r="CH53" s="486">
        <f>SUMPRODUCT(($H$21:$H$50=CH$15)*$N$21:$N$50)+SUMPRODUCT(($G$21:$G$50=CH$15)*$Q$21:$Q$50)</f>
        <v>0</v>
      </c>
      <c r="CI53" s="486">
        <f>SUMPRODUCT(($H$21:$H$50=CI$15)*$N$21:$N$50)+SUMPRODUCT(($G$21:$G$50=CI$15)*$Q$21:$Q$50)</f>
        <v>0</v>
      </c>
      <c r="CJ53" s="486">
        <f>SUMPRODUCT(($H$21:$H$50=CJ$15)*$N$21:$N$50)+SUMPRODUCT(($G$21:$G$50=CJ$15)*$Q$21:$Q$50)</f>
        <v>0</v>
      </c>
      <c r="CK53" s="486">
        <f>SUMPRODUCT(($H$21:$H$50=CK$15)*$N$21:$N$50)+SUMPRODUCT(($G$21:$G$50=CK$15)*$Q$21:$Q$50)</f>
        <v>0</v>
      </c>
      <c r="CL53" s="486">
        <f>SUMPRODUCT(($H$21:$H$50=CL$15)*$N$21:$N$50)+SUMPRODUCT(($G$21:$G$50=CL$15)*$Q$21:$Q$50)</f>
        <v>0</v>
      </c>
      <c r="CM53" s="486">
        <f>SUMPRODUCT(($H$21:$H$50=CM$15)*$N$21:$N$50)+SUMPRODUCT(($G$21:$G$50=CM$15)*$Q$21:$Q$50)</f>
        <v>0</v>
      </c>
      <c r="CN53" s="486">
        <f>SUMPRODUCT(($H$21:$H$50=CN$15)*$N$21:$N$50)+SUMPRODUCT(($G$21:$G$50=CN$15)*$Q$21:$Q$50)</f>
        <v>0</v>
      </c>
      <c r="CO53" s="486">
        <f>SUMPRODUCT(($H$21:$H$50=CO$15)*$N$21:$N$50)+SUMPRODUCT(($G$21:$G$50=CO$15)*$Q$21:$Q$50)</f>
        <v>0</v>
      </c>
      <c r="CP53" s="486">
        <f>SUMPRODUCT(($H$21:$H$50=CP$15)*$N$21:$N$50)+SUMPRODUCT(($G$21:$G$50=CP$15)*$Q$21:$Q$50)</f>
        <v>0</v>
      </c>
      <c r="CQ53" s="486">
        <f>SUMPRODUCT(($H$21:$H$50=CQ$15)*$N$21:$N$50)+SUMPRODUCT(($G$21:$G$50=CQ$15)*$Q$21:$Q$50)</f>
        <v>0</v>
      </c>
      <c r="CR53" s="486">
        <f>SUMPRODUCT(($H$21:$H$50=CR$15)*$N$21:$N$50)+SUMPRODUCT(($G$21:$G$50=CR$15)*$Q$21:$Q$50)</f>
        <v>0</v>
      </c>
      <c r="CS53" s="486">
        <f>SUMPRODUCT(($H$21:$H$50=CS$15)*$N$21:$N$50)+SUMPRODUCT(($G$21:$G$50=CS$15)*$Q$21:$Q$50)</f>
        <v>0</v>
      </c>
      <c r="CT53" s="486">
        <f>SUMPRODUCT(($H$21:$H$50=CT$15)*$N$21:$N$50)+SUMPRODUCT(($G$21:$G$50=CT$15)*$Q$21:$Q$50)</f>
        <v>0</v>
      </c>
      <c r="CU53" s="486">
        <f>SUMPRODUCT(($H$21:$H$50=CU$15)*$N$21:$N$50)+SUMPRODUCT(($G$21:$G$50=CU$15)*$Q$21:$Q$50)</f>
        <v>0</v>
      </c>
      <c r="CV53" s="486">
        <f>SUMPRODUCT(($H$21:$H$50=CV$15)*$N$21:$N$50)+SUMPRODUCT(($G$21:$G$50=CV$15)*$Q$21:$Q$50)</f>
        <v>0</v>
      </c>
      <c r="CW53" s="486">
        <f>SUMPRODUCT(($H$21:$H$50=CW$15)*$N$21:$N$50)+SUMPRODUCT(($G$21:$G$50=CW$15)*$Q$21:$Q$50)</f>
        <v>0</v>
      </c>
      <c r="CX53" s="486">
        <f>SUMPRODUCT(($H$21:$H$50=CX$15)*$N$21:$N$50)+SUMPRODUCT(($G$21:$G$50=CX$15)*$Q$21:$Q$50)</f>
        <v>0</v>
      </c>
      <c r="CY53" s="486">
        <f>SUMPRODUCT(($H$21:$H$50=CY$15)*$N$21:$N$50)+SUMPRODUCT(($G$21:$G$50=CY$15)*$Q$21:$Q$50)</f>
        <v>0</v>
      </c>
      <c r="CZ53" s="486">
        <f>SUMPRODUCT(($H$21:$H$50=CZ$15)*$N$21:$N$50)+SUMPRODUCT(($G$21:$G$50=CZ$15)*$Q$21:$Q$50)</f>
        <v>0</v>
      </c>
      <c r="DA53" s="486">
        <f>SUMPRODUCT(($H$21:$H$50=DA$15)*$N$21:$N$50)+SUMPRODUCT(($G$21:$G$50=DA$15)*$Q$21:$Q$50)</f>
        <v>0</v>
      </c>
      <c r="DB53" s="486">
        <f>SUMPRODUCT(($H$21:$H$50=DB$15)*$N$21:$N$50)+SUMPRODUCT(($G$21:$G$50=DB$15)*$Q$21:$Q$50)</f>
        <v>0</v>
      </c>
      <c r="DC53" s="486">
        <f>SUMPRODUCT(($H$21:$H$50=DC$15)*$N$21:$N$50)+SUMPRODUCT(($G$21:$G$50=DC$15)*$Q$21:$Q$50)</f>
        <v>0</v>
      </c>
      <c r="DD53" s="486">
        <f>SUMPRODUCT(($H$21:$H$50=DD$15)*$N$21:$N$50)+SUMPRODUCT(($G$21:$G$50=DD$15)*$Q$21:$Q$50)</f>
        <v>0</v>
      </c>
      <c r="DE53" s="486">
        <f>SUMPRODUCT(($H$21:$H$50=DE$15)*$N$21:$N$50)+SUMPRODUCT(($G$21:$G$50=DE$15)*$Q$21:$Q$50)</f>
        <v>0</v>
      </c>
      <c r="DF53" s="486">
        <f>SUMPRODUCT(($H$21:$H$50=DF$15)*$N$21:$N$50)+SUMPRODUCT(($G$21:$G$50=DF$15)*$Q$21:$Q$50)</f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G44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baseColWidth="8" defaultColWidth="8.71875" defaultRowHeight="15" zeroHeight="0" outlineLevelRow="0"/>
  <cols>
    <col width="20" customWidth="1" style="381" min="1" max="1"/>
    <col width="22" customWidth="1" style="381" min="2" max="2"/>
    <col width="23" customWidth="1" style="381" min="3" max="3"/>
    <col width="17.57" customWidth="1" style="381" min="4" max="4"/>
    <col width="16.84" customWidth="1" style="381" min="5" max="5"/>
    <col width="21.84" customWidth="1" style="381" min="6" max="6"/>
    <col width="18.14" customWidth="1" style="381" min="7" max="7"/>
  </cols>
  <sheetData>
    <row r="1" ht="15" customFormat="1" customHeight="1" s="750">
      <c r="A1" s="751" t="inlineStr">
        <is>
          <t>Project</t>
        </is>
      </c>
      <c r="B1" s="751" t="inlineStr">
        <is>
          <t>Beginning Retention</t>
        </is>
      </c>
      <c r="C1" s="751" t="inlineStr">
        <is>
          <t>Forecast Fee Revenue</t>
        </is>
      </c>
      <c r="D1" s="751" t="inlineStr">
        <is>
          <t>Retention @ 5%</t>
        </is>
      </c>
      <c r="E1" s="751" t="inlineStr">
        <is>
          <t>Total Retention</t>
        </is>
      </c>
      <c r="F1" s="751" t="inlineStr">
        <is>
          <t>Completion Month #</t>
        </is>
      </c>
      <c r="G1" s="751" t="inlineStr">
        <is>
          <t>Completion Date</t>
        </is>
      </c>
    </row>
    <row r="2" ht="15" customFormat="1" customHeight="1" s="381">
      <c r="A2" s="571" t="inlineStr">
        <is>
          <t>Crenshaw</t>
        </is>
      </c>
      <c r="B2" s="572" t="n">
        <v>52965.93</v>
      </c>
      <c r="C2" s="572" t="n">
        <v>484492.55</v>
      </c>
      <c r="D2" s="752">
        <f>C2*0.05</f>
        <v>24224.6275</v>
      </c>
      <c r="E2" s="752">
        <f>B2+D2</f>
        <v>77190.5575</v>
      </c>
      <c r="F2" s="753">
        <f>Projects!$C$2+Projects!$D$2-1</f>
        <v>8</v>
      </c>
      <c r="G2" s="754">
        <f>EDATE(DATE(2026,4,1),F2-1)</f>
        <v>46327</v>
      </c>
    </row>
    <row r="3" ht="15" customFormat="1" customHeight="1" s="381">
      <c r="A3" s="571" t="inlineStr">
        <is>
          <t>Ramsgate</t>
        </is>
      </c>
      <c r="B3" s="572" t="n">
        <v>56550.1</v>
      </c>
      <c r="C3" s="572" t="n">
        <v>1618053.66</v>
      </c>
      <c r="D3" s="752">
        <f>C3*0.05</f>
        <v>80902.683</v>
      </c>
      <c r="E3" s="752">
        <f>B3+D3</f>
        <v>137452.783</v>
      </c>
      <c r="F3" s="753">
        <f>Projects!$C$3+Projects!$D$3-1</f>
        <v>16</v>
      </c>
      <c r="G3" s="754">
        <f>EDATE(DATE(2026,4,1),F3-1)</f>
        <v>46569</v>
      </c>
    </row>
    <row r="4" ht="15" customFormat="1" customHeight="1" s="381">
      <c r="A4" s="571" t="inlineStr">
        <is>
          <t>Califa</t>
        </is>
      </c>
      <c r="B4" s="572" t="n">
        <v>28618.65</v>
      </c>
      <c r="C4" s="572" t="n">
        <v>1427191.97</v>
      </c>
      <c r="D4" s="752">
        <f>C4*0.05</f>
        <v>71359.5985</v>
      </c>
      <c r="E4" s="752">
        <f>B4+D4</f>
        <v>99978.2485</v>
      </c>
      <c r="F4" s="753">
        <f>Projects!$C$4+Projects!$D$4-1</f>
        <v>15</v>
      </c>
      <c r="G4" s="754">
        <f>EDATE(DATE(2026,4,1),F4-1)</f>
        <v>46539</v>
      </c>
    </row>
    <row r="5" ht="15" customFormat="1" customHeight="1" s="381">
      <c r="A5" s="571" t="inlineStr">
        <is>
          <t>Whipple</t>
        </is>
      </c>
      <c r="B5" s="572" t="n">
        <v>28203</v>
      </c>
      <c r="C5" s="572" t="n">
        <v>1760934.2</v>
      </c>
      <c r="D5" s="752">
        <f>C5*0.05</f>
        <v>88046.71</v>
      </c>
      <c r="E5" s="752">
        <f>B5+D5</f>
        <v>116249.71</v>
      </c>
      <c r="F5" s="753">
        <f>Projects!$C$5+Projects!$D$5-1</f>
        <v>15</v>
      </c>
      <c r="G5" s="754">
        <f>EDATE(DATE(2026,4,1),F5-1)</f>
        <v>46539</v>
      </c>
    </row>
    <row r="6" ht="15" customFormat="1" customHeight="1" s="381">
      <c r="A6" s="571" t="inlineStr">
        <is>
          <t>Nelrose</t>
        </is>
      </c>
      <c r="B6" s="572" t="n">
        <v>10538.39</v>
      </c>
      <c r="C6" s="572" t="n">
        <v>391271.27</v>
      </c>
      <c r="D6" s="752">
        <f>C6*0.05</f>
        <v>19563.5635</v>
      </c>
      <c r="E6" s="752">
        <f>B6+D6</f>
        <v>30101.9535</v>
      </c>
      <c r="F6" s="753">
        <f>Projects!$C$6+Projects!$D$6-1</f>
        <v>19</v>
      </c>
      <c r="G6" s="754">
        <f>EDATE(DATE(2026,4,1),F6-1)</f>
        <v>46661</v>
      </c>
    </row>
    <row r="7" ht="15" customFormat="1" customHeight="1" s="381">
      <c r="A7" s="571" t="inlineStr">
        <is>
          <t>Francis</t>
        </is>
      </c>
      <c r="B7" s="572" t="n">
        <v>0</v>
      </c>
      <c r="C7" s="752">
        <f>IF(Projects!$G$7="Yes",Projects!$B$7*(Assumptions!$B$10+Assumptions!$B$11+Assumptions!$B$12),0)</f>
        <v>5152104.553115</v>
      </c>
      <c r="D7" s="752">
        <f>C7*0.05</f>
        <v>257605.22765575</v>
      </c>
      <c r="E7" s="752">
        <f>B7+D7</f>
        <v>257605.22765575</v>
      </c>
      <c r="F7" s="753">
        <f>Projects!$C$7+Projects!$D$7-1</f>
        <v>34</v>
      </c>
      <c r="G7" s="754">
        <f>EDATE(DATE(2026,4,1),F7-1)</f>
        <v>47119</v>
      </c>
    </row>
    <row r="8" ht="15" customFormat="1" customHeight="1" s="381">
      <c r="A8" s="571" t="inlineStr">
        <is>
          <t>Lexington</t>
        </is>
      </c>
      <c r="B8" s="572" t="n">
        <v>0</v>
      </c>
      <c r="C8" s="752">
        <f>IF(Projects!$G$8="Yes",Projects!$B$8*(Assumptions!$B$10+Assumptions!$B$11+Assumptions!$B$12),0)</f>
        <v>1564333.69243555</v>
      </c>
      <c r="D8" s="752">
        <f>C8*0.05</f>
        <v>78216.6846217775</v>
      </c>
      <c r="E8" s="752">
        <f>B8+D8</f>
        <v>78216.6846217775</v>
      </c>
      <c r="F8" s="753">
        <f>Projects!$C$8+Projects!$D$8-1</f>
        <v>23</v>
      </c>
      <c r="G8" s="754">
        <f>EDATE(DATE(2026,4,1),F8-1)</f>
        <v>46784</v>
      </c>
    </row>
    <row r="9" ht="15" customFormat="1" customHeight="1" s="381">
      <c r="A9" s="571" t="inlineStr">
        <is>
          <t>Denny</t>
        </is>
      </c>
      <c r="B9" s="572" t="n">
        <v>0</v>
      </c>
      <c r="C9" s="752">
        <f>IF(Projects!$G$9="Yes",Projects!$B$9*(Assumptions!$B$10+Assumptions!$B$11+Assumptions!$B$12),0)</f>
        <v>1726047.0672228</v>
      </c>
      <c r="D9" s="752">
        <f>C9*0.05</f>
        <v>86302.35336114</v>
      </c>
      <c r="E9" s="752">
        <f>B9+D9</f>
        <v>86302.35336114</v>
      </c>
      <c r="F9" s="753">
        <f>Projects!$C$9+Projects!$D$9-1</f>
        <v>34</v>
      </c>
      <c r="G9" s="754">
        <f>EDATE(DATE(2026,4,1),F9-1)</f>
        <v>47119</v>
      </c>
    </row>
    <row r="10" ht="15" customFormat="1" customHeight="1" s="381">
      <c r="A10" s="571" t="inlineStr">
        <is>
          <t>Acama</t>
        </is>
      </c>
      <c r="B10" s="572" t="n">
        <v>0</v>
      </c>
      <c r="C10" s="752">
        <f>IF(Projects!$G$10="Yes",Projects!$B$10*(Assumptions!$B$10+Assumptions!$B$11+Assumptions!$B$12),0)</f>
        <v>2559922.591355</v>
      </c>
      <c r="D10" s="752">
        <f>C10*0.05</f>
        <v>127996.12956775</v>
      </c>
      <c r="E10" s="752">
        <f>B10+D10</f>
        <v>127996.12956775</v>
      </c>
      <c r="F10" s="753">
        <f>Projects!$C$10+Projects!$D$10-1</f>
        <v>31</v>
      </c>
      <c r="G10" s="754">
        <f>EDATE(DATE(2026,4,1),F10-1)</f>
        <v>47027</v>
      </c>
    </row>
    <row r="11" ht="15" customFormat="1" customHeight="1" s="381">
      <c r="A11" s="571" t="inlineStr">
        <is>
          <t>Klump</t>
        </is>
      </c>
      <c r="B11" s="572" t="n">
        <v>0</v>
      </c>
      <c r="C11" s="752">
        <f>IF(Projects!$G$11="Yes",Projects!$B$11*(Assumptions!$B$10+Assumptions!$B$11+Assumptions!$B$12),0)</f>
        <v>1152997.729619</v>
      </c>
      <c r="D11" s="752">
        <f>C11*0.05</f>
        <v>57649.88648095</v>
      </c>
      <c r="E11" s="752">
        <f>B11+D11</f>
        <v>57649.88648095</v>
      </c>
      <c r="F11" s="753">
        <f>Projects!$C$11+Projects!$D$11-1</f>
        <v>28</v>
      </c>
      <c r="G11" s="754">
        <f>EDATE(DATE(2026,4,1),F11-1)</f>
        <v>46935</v>
      </c>
    </row>
    <row r="12" ht="15" customFormat="1" customHeight="1" s="381">
      <c r="A12" s="571" t="inlineStr">
        <is>
          <t>Scott</t>
        </is>
      </c>
      <c r="B12" s="572" t="n">
        <v>0</v>
      </c>
      <c r="C12" s="752">
        <f>IF(Projects!$G$12="Yes",Projects!$B$12*(Assumptions!$B$10+Assumptions!$B$11+Assumptions!$B$12),0)</f>
        <v>908374.534373</v>
      </c>
      <c r="D12" s="752">
        <f>C12*0.05</f>
        <v>45418.72671865</v>
      </c>
      <c r="E12" s="752">
        <f>B12+D12</f>
        <v>45418.72671865</v>
      </c>
      <c r="F12" s="753">
        <f>Projects!$C$12+Projects!$D$12-1</f>
        <v>28</v>
      </c>
      <c r="G12" s="754">
        <f>EDATE(DATE(2026,4,1),F12-1)</f>
        <v>46935</v>
      </c>
    </row>
    <row r="13" ht="15" customFormat="1" customHeight="1" s="381">
      <c r="A13" s="571" t="inlineStr">
        <is>
          <t>Reseda</t>
        </is>
      </c>
      <c r="B13" s="572" t="n">
        <v>0</v>
      </c>
      <c r="C13" s="752">
        <f>IF(Projects!$G$13="Yes",Projects!$B$13*(Assumptions!$B$10+Assumptions!$B$11+Assumptions!$B$12),0)</f>
        <v>5449711.70707</v>
      </c>
      <c r="D13" s="752">
        <f>C13*0.05</f>
        <v>272485.5853535</v>
      </c>
      <c r="E13" s="752">
        <f>B13+D13</f>
        <v>272485.5853535</v>
      </c>
      <c r="F13" s="753">
        <f>Projects!$C$13+Projects!$D$13-1</f>
        <v>43</v>
      </c>
      <c r="G13" s="754">
        <f>EDATE(DATE(2026,4,1),F13-1)</f>
        <v>47392</v>
      </c>
    </row>
    <row r="14" ht="15" customFormat="1" customHeight="1" s="381">
      <c r="A14" s="571" t="inlineStr">
        <is>
          <t>3rd St</t>
        </is>
      </c>
      <c r="B14" s="572" t="n">
        <v>0</v>
      </c>
      <c r="C14" s="752">
        <f>IF(Projects!$G$14="Yes",Projects!$B$14*(Assumptions!$B$10+Assumptions!$B$11+Assumptions!$B$12),0)</f>
        <v>4978725.501112</v>
      </c>
      <c r="D14" s="752">
        <f>C14*0.05</f>
        <v>248936.2750556</v>
      </c>
      <c r="E14" s="752">
        <f>B14+D14</f>
        <v>248936.2750556</v>
      </c>
      <c r="F14" s="753">
        <f>Projects!$C$14+Projects!$D$14-1</f>
        <v>56</v>
      </c>
      <c r="G14" s="754">
        <f>EDATE(DATE(2026,4,1),F14-1)</f>
        <v>47788</v>
      </c>
    </row>
    <row r="15" ht="15" customFormat="1" customHeight="1" s="381">
      <c r="A15" s="571" t="inlineStr">
        <is>
          <t>BD-01</t>
        </is>
      </c>
      <c r="B15" s="572" t="n">
        <v>0</v>
      </c>
      <c r="C15" s="752">
        <f>IF(Projects!$G$17="Yes",Projects!$B$17*(Assumptions!$B$10+Assumptions!$B$11+Assumptions!$B$12),0)</f>
        <v>1843910.361865</v>
      </c>
      <c r="D15" s="752">
        <f>C15*0.05</f>
        <v>92195.51809325</v>
      </c>
      <c r="E15" s="752">
        <f>B15+D15</f>
        <v>92195.51809325</v>
      </c>
      <c r="F15" s="753">
        <f>Projects!$C$17+Projects!$D$17-1</f>
        <v>32</v>
      </c>
      <c r="G15" s="754">
        <f>EDATE(DATE(2026,4,1),F15-1)</f>
        <v>47058</v>
      </c>
    </row>
    <row r="16" ht="15" customFormat="1" customHeight="1" s="381">
      <c r="A16" s="571" t="inlineStr">
        <is>
          <t>BD-02</t>
        </is>
      </c>
      <c r="B16" s="572" t="n">
        <v>0</v>
      </c>
      <c r="C16" s="752">
        <f>IF(Projects!$G$18="Yes",Projects!$B$18*(Assumptions!$B$10+Assumptions!$B$11+Assumptions!$B$12),0)</f>
        <v>1362511.297535</v>
      </c>
      <c r="D16" s="752">
        <f>C16*0.05</f>
        <v>68125.56487675</v>
      </c>
      <c r="E16" s="752">
        <f>B16+D16</f>
        <v>68125.56487675</v>
      </c>
      <c r="F16" s="753">
        <f>Projects!$C$18+Projects!$D$18-1</f>
        <v>33</v>
      </c>
      <c r="G16" s="754">
        <f>EDATE(DATE(2026,4,1),F16-1)</f>
        <v>47088</v>
      </c>
    </row>
    <row r="17" ht="15" customFormat="1" customHeight="1" s="381">
      <c r="A17" s="571" t="inlineStr">
        <is>
          <t>BD-03</t>
        </is>
      </c>
      <c r="B17" s="572" t="n">
        <v>0</v>
      </c>
      <c r="C17" s="752">
        <f>IF(Projects!$G$19="Yes",Projects!$B$19*(Assumptions!$B$10+Assumptions!$B$11+Assumptions!$B$12),0)</f>
        <v>2220343.402679</v>
      </c>
      <c r="D17" s="752">
        <f>C17*0.05</f>
        <v>111017.17013395</v>
      </c>
      <c r="E17" s="752">
        <f>B17+D17</f>
        <v>111017.17013395</v>
      </c>
      <c r="F17" s="753">
        <f>Projects!$C$19+Projects!$D$19-1</f>
        <v>34</v>
      </c>
      <c r="G17" s="754">
        <f>EDATE(DATE(2026,4,1),F17-1)</f>
        <v>47119</v>
      </c>
    </row>
    <row r="18" ht="15" customFormat="1" customHeight="1" s="381">
      <c r="A18" s="571" t="inlineStr">
        <is>
          <t>Beverly (BD-04)</t>
        </is>
      </c>
      <c r="B18" s="572" t="n">
        <v>0</v>
      </c>
      <c r="C18" s="752">
        <f>IF(Projects!$G$20="Yes",Projects!$B$20*(Assumptions!$B$10+Assumptions!$B$11+Assumptions!$B$12),0)</f>
        <v>3012944.96485678</v>
      </c>
      <c r="D18" s="752">
        <f>C18*0.05</f>
        <v>150647.248242839</v>
      </c>
      <c r="E18" s="752">
        <f>B18+D18</f>
        <v>150647.248242839</v>
      </c>
      <c r="F18" s="753">
        <f>Projects!$C$20+Projects!$D$20-1</f>
        <v>43</v>
      </c>
      <c r="G18" s="754">
        <f>EDATE(DATE(2026,4,1),F18-1)</f>
        <v>47392</v>
      </c>
    </row>
    <row r="19" ht="15" customFormat="1" customHeight="1" s="381">
      <c r="A19" s="571" t="inlineStr">
        <is>
          <t>Troost</t>
        </is>
      </c>
      <c r="B19" s="572" t="n">
        <v>0</v>
      </c>
      <c r="C19" s="752">
        <f>IF(Projects!$G$21="Yes",Projects!$B$21*(Assumptions!$B$10+Assumptions!$B$11+Assumptions!$B$12),0)</f>
        <v>1828680.14792125</v>
      </c>
      <c r="D19" s="752">
        <f>C19*0.05</f>
        <v>91434.0073960625</v>
      </c>
      <c r="E19" s="752">
        <f>B19+D19</f>
        <v>91434.0073960625</v>
      </c>
      <c r="F19" s="753">
        <f>Projects!$C$21+Projects!$D$21-1</f>
        <v>28</v>
      </c>
      <c r="G19" s="754">
        <f>EDATE(DATE(2026,4,1),F19-1)</f>
        <v>46935</v>
      </c>
    </row>
    <row r="20" ht="15" customFormat="1" customHeight="1" s="381">
      <c r="A20" s="571" t="inlineStr">
        <is>
          <t>BD-06</t>
        </is>
      </c>
      <c r="B20" s="572" t="n">
        <v>0</v>
      </c>
      <c r="C20" s="752">
        <f>IF(Projects!$G$22="Yes",Projects!$B$22*(Assumptions!$B$10+Assumptions!$B$11+Assumptions!$B$12),0)</f>
        <v>0</v>
      </c>
      <c r="D20" s="752">
        <f>C20*0.05</f>
        <v>0</v>
      </c>
      <c r="E20" s="752">
        <f>B20+D20</f>
        <v>0</v>
      </c>
      <c r="F20" s="753">
        <f>Projects!$C$22+Projects!$D$22-1</f>
        <v>34</v>
      </c>
      <c r="G20" s="754">
        <f>EDATE(DATE(2026,4,1),F20-1)</f>
        <v>47119</v>
      </c>
    </row>
    <row r="21" ht="15" customFormat="1" customHeight="1" s="381">
      <c r="A21" s="571" t="inlineStr">
        <is>
          <t>BD-07</t>
        </is>
      </c>
      <c r="B21" s="572" t="n">
        <v>0</v>
      </c>
      <c r="C21" s="752">
        <f>IF(Projects!$G$23="Yes",Projects!$B$23*(Assumptions!$B$10+Assumptions!$B$11+Assumptions!$B$12),0)</f>
        <v>0</v>
      </c>
      <c r="D21" s="752">
        <f>C21*0.05</f>
        <v>0</v>
      </c>
      <c r="E21" s="752">
        <f>B21+D21</f>
        <v>0</v>
      </c>
      <c r="F21" s="753">
        <f>Projects!$C$23+Projects!$D$23-1</f>
        <v>35</v>
      </c>
      <c r="G21" s="754">
        <f>EDATE(DATE(2026,4,1),F21-1)</f>
        <v>47150</v>
      </c>
    </row>
    <row r="22" ht="15" customFormat="1" customHeight="1" s="381">
      <c r="A22" s="571" t="inlineStr">
        <is>
          <t>BD-08</t>
        </is>
      </c>
      <c r="B22" s="572" t="n">
        <v>0</v>
      </c>
      <c r="C22" s="752">
        <f>IF(Projects!$G$24="Yes",Projects!$B$24*(Assumptions!$B$10+Assumptions!$B$11+Assumptions!$B$12),0)</f>
        <v>2167038</v>
      </c>
      <c r="D22" s="752">
        <f>C22*0.05</f>
        <v>108351.9</v>
      </c>
      <c r="E22" s="752">
        <f>B22+D22</f>
        <v>108351.9</v>
      </c>
      <c r="F22" s="753">
        <f>Projects!$C$24+Projects!$D$24-1</f>
        <v>42</v>
      </c>
      <c r="G22" s="754">
        <f>EDATE(DATE(2026,4,1),F22-1)</f>
        <v>47362</v>
      </c>
    </row>
    <row r="23" ht="15" customFormat="1" customHeight="1" s="381">
      <c r="A23" s="571" t="inlineStr">
        <is>
          <t>BD-09</t>
        </is>
      </c>
      <c r="B23" s="572" t="n">
        <v>0</v>
      </c>
      <c r="C23" s="752">
        <f>IF(Projects!$G$25="Yes",Projects!$B$25*(Assumptions!$B$10+Assumptions!$B$11+Assumptions!$B$12),0)</f>
        <v>2167038</v>
      </c>
      <c r="D23" s="752">
        <f>C23*0.05</f>
        <v>108351.9</v>
      </c>
      <c r="E23" s="752">
        <f>B23+D23</f>
        <v>108351.9</v>
      </c>
      <c r="F23" s="753">
        <f>Projects!$C$25+Projects!$D$25-1</f>
        <v>47</v>
      </c>
      <c r="G23" s="754">
        <f>EDATE(DATE(2026,4,1),F23-1)</f>
        <v>47515</v>
      </c>
    </row>
    <row r="24" ht="15" customFormat="1" customHeight="1" s="381">
      <c r="A24" s="571" t="inlineStr">
        <is>
          <t>BD-10</t>
        </is>
      </c>
      <c r="B24" s="572" t="n">
        <v>0</v>
      </c>
      <c r="C24" s="752">
        <f>IF(Projects!$G$26="Yes",Projects!$B$26*(Assumptions!$B$10+Assumptions!$B$11+Assumptions!$B$12),0)</f>
        <v>2167038</v>
      </c>
      <c r="D24" s="752">
        <f>C24*0.05</f>
        <v>108351.9</v>
      </c>
      <c r="E24" s="752">
        <f>B24+D24</f>
        <v>108351.9</v>
      </c>
      <c r="F24" s="753">
        <f>Projects!$C$26+Projects!$D$26-1</f>
        <v>48</v>
      </c>
      <c r="G24" s="754">
        <f>EDATE(DATE(2026,4,1),F24-1)</f>
        <v>47543</v>
      </c>
    </row>
    <row r="25" ht="15" customFormat="1" customHeight="1" s="381">
      <c r="A25" s="571" t="inlineStr">
        <is>
          <t>BD-11</t>
        </is>
      </c>
      <c r="B25" s="572" t="n">
        <v>0</v>
      </c>
      <c r="C25" s="752">
        <f>IF(Projects!$G$27="Yes",Projects!$B$27*(Assumptions!$B$10+Assumptions!$B$11+Assumptions!$B$12),0)</f>
        <v>1805865</v>
      </c>
      <c r="D25" s="752">
        <f>C25*0.05</f>
        <v>90293.25</v>
      </c>
      <c r="E25" s="752">
        <f>B25+D25</f>
        <v>90293.25</v>
      </c>
      <c r="F25" s="753">
        <f>Projects!$C$27+Projects!$D$27-1</f>
        <v>49</v>
      </c>
      <c r="G25" s="754">
        <f>EDATE(DATE(2026,4,1),F25-1)</f>
        <v>47574</v>
      </c>
    </row>
    <row r="26" ht="15" customFormat="1" customHeight="1" s="381">
      <c r="A26" s="571" t="inlineStr">
        <is>
          <t>BD-12</t>
        </is>
      </c>
      <c r="B26" s="572" t="n">
        <v>0</v>
      </c>
      <c r="C26" s="752">
        <f>IF(Projects!$G$28="Yes",Projects!$B$28*(Assumptions!$B$10+Assumptions!$B$11+Assumptions!$B$12),0)</f>
        <v>1805865</v>
      </c>
      <c r="D26" s="752">
        <f>C26*0.05</f>
        <v>90293.25</v>
      </c>
      <c r="E26" s="752">
        <f>B26+D26</f>
        <v>90293.25</v>
      </c>
      <c r="F26" s="753">
        <f>Projects!$C$28+Projects!$D$28-1</f>
        <v>50</v>
      </c>
      <c r="G26" s="754">
        <f>EDATE(DATE(2026,4,1),F26-1)</f>
        <v>47604</v>
      </c>
    </row>
    <row r="27" ht="15" customFormat="1" customHeight="1" s="381">
      <c r="A27" s="571" t="inlineStr">
        <is>
          <t>BD-13</t>
        </is>
      </c>
      <c r="B27" s="572" t="n">
        <v>0</v>
      </c>
      <c r="C27" s="752">
        <f>IF(Projects!$G$29="Yes",Projects!$B$29*(Assumptions!$B$10+Assumptions!$B$11+Assumptions!$B$12),0)</f>
        <v>1805865</v>
      </c>
      <c r="D27" s="752">
        <f>C27*0.05</f>
        <v>90293.25</v>
      </c>
      <c r="E27" s="752">
        <f>B27+D27</f>
        <v>90293.25</v>
      </c>
      <c r="F27" s="753">
        <f>Projects!$C$29+Projects!$D$29-1</f>
        <v>51</v>
      </c>
      <c r="G27" s="754">
        <f>EDATE(DATE(2026,4,1),F27-1)</f>
        <v>47635</v>
      </c>
    </row>
    <row r="28" ht="15" customFormat="1" customHeight="1" s="381">
      <c r="A28" s="571" t="inlineStr">
        <is>
          <t>BD-14</t>
        </is>
      </c>
      <c r="B28" s="572" t="n">
        <v>0</v>
      </c>
      <c r="C28" s="752">
        <f>IF(Projects!$G$30="Yes",Projects!$B$30*(Assumptions!$B$10+Assumptions!$B$11+Assumptions!$B$12),0)</f>
        <v>1805865</v>
      </c>
      <c r="D28" s="752">
        <f>C28*0.05</f>
        <v>90293.25</v>
      </c>
      <c r="E28" s="752">
        <f>B28+D28</f>
        <v>90293.25</v>
      </c>
      <c r="F28" s="753">
        <f>Projects!$C$30+Projects!$D$30-1</f>
        <v>52</v>
      </c>
      <c r="G28" s="754">
        <f>EDATE(DATE(2026,4,1),F28-1)</f>
        <v>47665</v>
      </c>
    </row>
    <row r="29" ht="15" customFormat="1" customHeight="1" s="381">
      <c r="A29" s="571" t="inlineStr">
        <is>
          <t>BD-15</t>
        </is>
      </c>
      <c r="B29" s="572" t="n">
        <v>0</v>
      </c>
      <c r="C29" s="752">
        <f>IF(Projects!$G$31="Yes",Projects!$B$31*(Assumptions!$B$10+Assumptions!$B$11+Assumptions!$B$12),0)</f>
        <v>2167038</v>
      </c>
      <c r="D29" s="752">
        <f>C29*0.05</f>
        <v>108351.9</v>
      </c>
      <c r="E29" s="752">
        <f>B29+D29</f>
        <v>108351.9</v>
      </c>
      <c r="F29" s="753">
        <f>Projects!$C$31+Projects!$D$31-1</f>
        <v>53</v>
      </c>
      <c r="G29" s="754">
        <f>EDATE(DATE(2026,4,1),F29-1)</f>
        <v>47696</v>
      </c>
    </row>
    <row r="30" ht="15" customFormat="1" customHeight="1" s="381">
      <c r="A30" s="571" t="inlineStr">
        <is>
          <t>BD-16</t>
        </is>
      </c>
      <c r="B30" s="572" t="n">
        <v>0</v>
      </c>
      <c r="C30" s="752">
        <f>IF(Projects!$G$32="Yes",Projects!$B$32*(Assumptions!$B$10+Assumptions!$B$11+Assumptions!$B$12),0)</f>
        <v>1805865</v>
      </c>
      <c r="D30" s="752">
        <f>C30*0.05</f>
        <v>90293.25</v>
      </c>
      <c r="E30" s="752">
        <f>B30+D30</f>
        <v>90293.25</v>
      </c>
      <c r="F30" s="753">
        <f>Projects!$C$32+Projects!$D$32-1</f>
        <v>54</v>
      </c>
      <c r="G30" s="754">
        <f>EDATE(DATE(2026,4,1),F30-1)</f>
        <v>47727</v>
      </c>
    </row>
    <row r="31" ht="15" customFormat="1" customHeight="1" s="381">
      <c r="A31" s="571" t="inlineStr">
        <is>
          <t>BD-17</t>
        </is>
      </c>
      <c r="B31" s="572" t="n">
        <v>0</v>
      </c>
      <c r="C31" s="752">
        <f>IF(Projects!$G$33="Yes",Projects!$B$33*(Assumptions!$B$10+Assumptions!$B$11+Assumptions!$B$12),0)</f>
        <v>1805865</v>
      </c>
      <c r="D31" s="752">
        <f>C31*0.05</f>
        <v>90293.25</v>
      </c>
      <c r="E31" s="752">
        <f>B31+D31</f>
        <v>90293.25</v>
      </c>
      <c r="F31" s="753">
        <f>Projects!$C$33+Projects!$D$33-1</f>
        <v>55</v>
      </c>
      <c r="G31" s="754">
        <f>EDATE(DATE(2026,4,1),F31-1)</f>
        <v>47757</v>
      </c>
    </row>
    <row r="32" ht="15" customFormat="1" customHeight="1" s="381">
      <c r="A32" s="571" t="inlineStr">
        <is>
          <t>BD-18</t>
        </is>
      </c>
      <c r="B32" s="572" t="n">
        <v>0</v>
      </c>
      <c r="C32" s="752">
        <f>IF(Projects!$G$34="Yes",Projects!$B$34*(Assumptions!$B$10+Assumptions!$B$11+Assumptions!$B$12),0)</f>
        <v>2167038</v>
      </c>
      <c r="D32" s="752">
        <f>C32*0.05</f>
        <v>108351.9</v>
      </c>
      <c r="E32" s="752">
        <f>B32+D32</f>
        <v>108351.9</v>
      </c>
      <c r="F32" s="753">
        <f>Projects!$C$34+Projects!$D$34-1</f>
        <v>56</v>
      </c>
      <c r="G32" s="754">
        <f>EDATE(DATE(2026,4,1),F32-1)</f>
        <v>47788</v>
      </c>
    </row>
    <row r="33" ht="15" customFormat="1" customHeight="1" s="381">
      <c r="A33" s="571" t="inlineStr">
        <is>
          <t>BD-19</t>
        </is>
      </c>
      <c r="B33" s="572" t="n">
        <v>0</v>
      </c>
      <c r="C33" s="752">
        <f>IF(Projects!$G$35="Yes",Projects!$B$35*(Assumptions!$B$10+Assumptions!$B$11+Assumptions!$B$12),0)</f>
        <v>1805865</v>
      </c>
      <c r="D33" s="752">
        <f>C33*0.05</f>
        <v>90293.25</v>
      </c>
      <c r="E33" s="752">
        <f>B33+D33</f>
        <v>90293.25</v>
      </c>
      <c r="F33" s="753">
        <f>Projects!$C$35+Projects!$D$35-1</f>
        <v>57</v>
      </c>
      <c r="G33" s="754">
        <f>EDATE(DATE(2026,4,1),F33-1)</f>
        <v>47818</v>
      </c>
    </row>
    <row r="34" ht="15" customFormat="1" customHeight="1" s="381">
      <c r="A34" s="571" t="inlineStr">
        <is>
          <t>BD-20</t>
        </is>
      </c>
      <c r="B34" s="572" t="n">
        <v>0</v>
      </c>
      <c r="C34" s="752">
        <f>IF(Projects!$G$36="Yes",Projects!$B$36*(Assumptions!$B$10+Assumptions!$B$11+Assumptions!$B$12),0)</f>
        <v>2167038</v>
      </c>
      <c r="D34" s="752">
        <f>C34*0.05</f>
        <v>108351.9</v>
      </c>
      <c r="E34" s="752">
        <f>B34+D34</f>
        <v>108351.9</v>
      </c>
      <c r="F34" s="753">
        <f>Projects!$C$36+Projects!$D$36-1</f>
        <v>61</v>
      </c>
      <c r="G34" s="754">
        <f>EDATE(DATE(2026,4,1),F34-1)</f>
        <v>47939</v>
      </c>
    </row>
    <row r="35" ht="15" customFormat="1" customHeight="1" s="381">
      <c r="A35" s="571" t="inlineStr">
        <is>
          <t>BD-21</t>
        </is>
      </c>
      <c r="B35" s="572" t="n">
        <v>0</v>
      </c>
      <c r="C35" s="752">
        <f>IF(Projects!$G$37="Yes",Projects!$B$37*(Assumptions!$B$10+Assumptions!$B$11+Assumptions!$B$12),0)</f>
        <v>1805865</v>
      </c>
      <c r="D35" s="752">
        <f>C35*0.05</f>
        <v>90293.25</v>
      </c>
      <c r="E35" s="752">
        <f>B35+D35</f>
        <v>90293.25</v>
      </c>
      <c r="F35" s="753">
        <f>Projects!$C$37+Projects!$D$37-1</f>
        <v>62</v>
      </c>
      <c r="G35" s="754">
        <f>EDATE(DATE(2026,4,1),F35-1)</f>
        <v>47969</v>
      </c>
    </row>
    <row r="36" ht="15" customFormat="1" customHeight="1" s="381">
      <c r="A36" s="571" t="inlineStr">
        <is>
          <t>BD-22</t>
        </is>
      </c>
      <c r="B36" s="572" t="n">
        <v>0</v>
      </c>
      <c r="C36" s="752">
        <f>IF(Projects!$G$38="Yes",Projects!$B$38*(Assumptions!$B$10+Assumptions!$B$11+Assumptions!$B$12),0)</f>
        <v>1805865</v>
      </c>
      <c r="D36" s="752">
        <f>C36*0.05</f>
        <v>90293.25</v>
      </c>
      <c r="E36" s="752">
        <f>B36+D36</f>
        <v>90293.25</v>
      </c>
      <c r="F36" s="753">
        <f>Projects!$C$38+Projects!$D$38-1</f>
        <v>66</v>
      </c>
      <c r="G36" s="754">
        <f>EDATE(DATE(2026,4,1),F36-1)</f>
        <v>48092</v>
      </c>
    </row>
    <row r="37" ht="15" customFormat="1" customHeight="1" s="381">
      <c r="A37" s="571" t="inlineStr">
        <is>
          <t>BD-23</t>
        </is>
      </c>
      <c r="B37" s="572" t="n">
        <v>0</v>
      </c>
      <c r="C37" s="752">
        <f>IF(Projects!$G$39="Yes",Projects!$B$39*(Assumptions!$B$10+Assumptions!$B$11+Assumptions!$B$12),0)</f>
        <v>2167038</v>
      </c>
      <c r="D37" s="752">
        <f>C37*0.05</f>
        <v>108351.9</v>
      </c>
      <c r="E37" s="752">
        <f>B37+D37</f>
        <v>108351.9</v>
      </c>
      <c r="F37" s="753">
        <f>Projects!$C$39+Projects!$D$39-1</f>
        <v>67</v>
      </c>
      <c r="G37" s="754">
        <f>EDATE(DATE(2026,4,1),F37-1)</f>
        <v>48122</v>
      </c>
    </row>
    <row r="38" ht="15" customFormat="1" customHeight="1" s="381">
      <c r="A38" s="571" t="inlineStr">
        <is>
          <t>BD-24</t>
        </is>
      </c>
      <c r="B38" s="572" t="n">
        <v>0</v>
      </c>
      <c r="C38" s="752">
        <f>IF(Projects!$G$40="Yes",Projects!$B$40*(Assumptions!$B$10+Assumptions!$B$11+Assumptions!$B$12),0)</f>
        <v>1805865</v>
      </c>
      <c r="D38" s="752">
        <f>C38*0.05</f>
        <v>90293.25</v>
      </c>
      <c r="E38" s="752">
        <f>B38+D38</f>
        <v>90293.25</v>
      </c>
      <c r="F38" s="753">
        <f>Projects!$C$40+Projects!$D$40-1</f>
        <v>68</v>
      </c>
      <c r="G38" s="754">
        <f>EDATE(DATE(2026,4,1),F38-1)</f>
        <v>48153</v>
      </c>
    </row>
    <row r="39" ht="15" customFormat="1" customHeight="1" s="381">
      <c r="A39" s="571" t="inlineStr">
        <is>
          <t>BD-25</t>
        </is>
      </c>
      <c r="B39" s="572" t="n">
        <v>0</v>
      </c>
      <c r="C39" s="752">
        <f>IF(Projects!$G$41="Yes",Projects!$B$41*(Assumptions!$B$10+Assumptions!$B$11+Assumptions!$B$12),0)</f>
        <v>1805865</v>
      </c>
      <c r="D39" s="752">
        <f>C39*0.05</f>
        <v>90293.25</v>
      </c>
      <c r="E39" s="752">
        <f>B39+D39</f>
        <v>90293.25</v>
      </c>
      <c r="F39" s="753">
        <f>Projects!$C$41+Projects!$D$41-1</f>
        <v>69</v>
      </c>
      <c r="G39" s="754">
        <f>EDATE(DATE(2026,4,1),F39-1)</f>
        <v>48183</v>
      </c>
    </row>
    <row r="40" ht="15" customFormat="1" customHeight="1" s="381">
      <c r="A40" s="571" t="inlineStr">
        <is>
          <t>BD-26</t>
        </is>
      </c>
      <c r="B40" s="572" t="n">
        <v>0</v>
      </c>
      <c r="C40" s="752">
        <f>IF(Projects!$G$42="Yes",Projects!$B$42*(Assumptions!$B$10+Assumptions!$B$11+Assumptions!$B$12),0)</f>
        <v>2167038</v>
      </c>
      <c r="D40" s="752">
        <f>C40*0.05</f>
        <v>108351.9</v>
      </c>
      <c r="E40" s="752">
        <f>B40+D40</f>
        <v>108351.9</v>
      </c>
      <c r="F40" s="753">
        <f>Projects!$C$42+Projects!$D$42-1</f>
        <v>70</v>
      </c>
      <c r="G40" s="754">
        <f>EDATE(DATE(2026,4,1),F40-1)</f>
        <v>48214</v>
      </c>
    </row>
    <row r="41" ht="15" customFormat="1" customHeight="1" s="381">
      <c r="A41" s="571" t="inlineStr">
        <is>
          <t>BD-27</t>
        </is>
      </c>
      <c r="B41" s="572" t="n">
        <v>0</v>
      </c>
      <c r="C41" s="752">
        <f>IF(Projects!$G$43="Yes",Projects!$B$43*(Assumptions!$B$10+Assumptions!$B$11+Assumptions!$B$12),0)</f>
        <v>1805865</v>
      </c>
      <c r="D41" s="752">
        <f>C41*0.05</f>
        <v>90293.25</v>
      </c>
      <c r="E41" s="752">
        <f>B41+D41</f>
        <v>90293.25</v>
      </c>
      <c r="F41" s="753">
        <f>Projects!$C$43+Projects!$D$43-1</f>
        <v>71</v>
      </c>
      <c r="G41" s="754">
        <f>EDATE(DATE(2026,4,1),F41-1)</f>
        <v>48245</v>
      </c>
    </row>
    <row r="42" ht="15" customFormat="1" customHeight="1" s="381">
      <c r="A42" s="571" t="inlineStr">
        <is>
          <t>BD-28</t>
        </is>
      </c>
      <c r="B42" s="572" t="n">
        <v>0</v>
      </c>
      <c r="C42" s="752">
        <f>IF(Projects!$G$44="Yes",Projects!$B$44*(Assumptions!$B$10+Assumptions!$B$11+Assumptions!$B$12),0)</f>
        <v>1805865</v>
      </c>
      <c r="D42" s="752">
        <f>C42*0.05</f>
        <v>90293.25</v>
      </c>
      <c r="E42" s="752">
        <f>B42+D42</f>
        <v>90293.25</v>
      </c>
      <c r="F42" s="753">
        <f>Projects!$C$44+Projects!$D$44-1</f>
        <v>72</v>
      </c>
      <c r="G42" s="754">
        <f>EDATE(DATE(2026,4,1),F42-1)</f>
        <v>48274</v>
      </c>
    </row>
    <row r="43" ht="15" customFormat="1" customHeight="1" s="381">
      <c r="A43" s="571" t="inlineStr">
        <is>
          <t>BD-29</t>
        </is>
      </c>
      <c r="B43" s="572" t="n">
        <v>0</v>
      </c>
      <c r="C43" s="752">
        <f>IF(Projects!$G$45="Yes",Projects!$B$45*(Assumptions!$B$10+Assumptions!$B$11+Assumptions!$B$12),0)</f>
        <v>2167038</v>
      </c>
      <c r="D43" s="752">
        <f>C43*0.05</f>
        <v>108351.9</v>
      </c>
      <c r="E43" s="752">
        <f>B43+D43</f>
        <v>108351.9</v>
      </c>
      <c r="F43" s="753">
        <f>Projects!$C$45+Projects!$D$45-1</f>
        <v>73</v>
      </c>
      <c r="G43" s="754">
        <f>EDATE(DATE(2026,4,1),F43-1)</f>
        <v>48305</v>
      </c>
    </row>
    <row r="44" ht="15" customFormat="1" customHeight="1" s="381">
      <c r="A44" s="571" t="inlineStr">
        <is>
          <t>BD-30</t>
        </is>
      </c>
      <c r="B44" s="572" t="n">
        <v>0</v>
      </c>
      <c r="C44" s="752">
        <f>IF(Projects!$G$46="Yes",Projects!$B$46*(Assumptions!$B$10+Assumptions!$B$11+Assumptions!$B$12),0)</f>
        <v>1805865</v>
      </c>
      <c r="D44" s="752">
        <f>C44*0.05</f>
        <v>90293.25</v>
      </c>
      <c r="E44" s="752">
        <f>B44+D44</f>
        <v>90293.25</v>
      </c>
      <c r="F44" s="753">
        <f>Projects!$C$46+Projects!$D$46-1</f>
        <v>74</v>
      </c>
      <c r="G44" s="754">
        <f>EDATE(DATE(2026,4,1),F44-1)</f>
        <v>48335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C3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81" min="1" max="1"/>
    <col width="12" customWidth="1" style="381" min="2" max="2"/>
    <col width="58" customWidth="1" style="381" min="3" max="3"/>
  </cols>
  <sheetData>
    <row r="1" ht="15.75" customFormat="1" customHeight="1" s="381">
      <c r="A1" s="477" t="inlineStr">
        <is>
          <t>Adam Polk Architect LLP: Projection Assumptions</t>
        </is>
      </c>
    </row>
    <row r="2" ht="15" customFormat="1" customHeight="1" s="381">
      <c r="A2" s="453" t="inlineStr">
        <is>
          <t>Blue cells are inputs; black cells are calculated. Month 1 = Jul 2026.</t>
        </is>
      </c>
    </row>
    <row r="4" ht="15" customFormat="1" customHeight="1" s="381">
      <c r="A4" s="403" t="inlineStr">
        <is>
          <t>REVENUE</t>
        </is>
      </c>
      <c r="B4" s="403" t="n"/>
      <c r="C4" s="403" t="n"/>
    </row>
    <row r="5" ht="15" customFormat="1" customHeight="1" s="381">
      <c r="A5" s="571" t="inlineStr">
        <is>
          <t>Reseda: Permit/Bid/CD contract (reduced)</t>
        </is>
      </c>
      <c r="B5" s="572" t="n">
        <v>180000</v>
      </c>
      <c r="C5" s="453" t="inlineStr">
        <is>
          <t>Per Chris 7/3/26; billed evenly through Jan 2027</t>
        </is>
      </c>
    </row>
    <row r="6" ht="15" customFormat="1" customHeight="1" s="381">
      <c r="A6" s="571" t="inlineStr">
        <is>
          <t>Reseda: Permit/Bid/CD start month</t>
        </is>
      </c>
      <c r="B6" s="755" t="n">
        <v>1</v>
      </c>
      <c r="C6" s="453" t="inlineStr">
        <is>
          <t>Jul 2026</t>
        </is>
      </c>
    </row>
    <row r="7" ht="15" customFormat="1" customHeight="1" s="381">
      <c r="A7" s="571" t="inlineStr">
        <is>
          <t>Reseda: Permit/Bid/CD months</t>
        </is>
      </c>
      <c r="B7" s="755" t="n">
        <v>7</v>
      </c>
      <c r="C7" s="453" t="inlineStr">
        <is>
          <t>Jul 2026 - Jan 2027</t>
        </is>
      </c>
    </row>
    <row r="8" ht="15" customFormat="1" customHeight="1" s="381">
      <c r="A8" s="571" t="inlineStr">
        <is>
          <t>Reseda: Permit/Bid/CD monthly</t>
        </is>
      </c>
      <c r="B8" s="752">
        <f>B5/B7</f>
        <v>25714.2857142857</v>
      </c>
      <c r="C8" s="453" t="inlineStr">
        <is>
          <t>Calculated</t>
        </is>
      </c>
    </row>
    <row r="9" ht="15" customFormat="1" customHeight="1" s="381">
      <c r="A9" s="571" t="inlineStr">
        <is>
          <t>Reseda: Constr. Admin monthly</t>
        </is>
      </c>
      <c r="B9" s="572" t="n">
        <v>2500</v>
      </c>
      <c r="C9" s="453" t="inlineStr">
        <is>
          <t>Term Sheet 3.1(a)</t>
        </is>
      </c>
    </row>
    <row r="10" ht="15" customFormat="1" customHeight="1" s="381">
      <c r="A10" s="571" t="inlineStr">
        <is>
          <t>Reseda: Constr. Admin start month</t>
        </is>
      </c>
      <c r="B10" s="755" t="n">
        <v>9</v>
      </c>
      <c r="C10" s="453" t="inlineStr">
        <is>
          <t>Mar 2027</t>
        </is>
      </c>
    </row>
    <row r="11" ht="15" customFormat="1" customHeight="1" s="381">
      <c r="A11" s="571" t="inlineStr">
        <is>
          <t>Reseda: Constr. Admin months</t>
        </is>
      </c>
      <c r="B11" s="755" t="n">
        <v>30</v>
      </c>
      <c r="C11" s="453" t="inlineStr">
        <is>
          <t>Mar 2027 - Aug 2029</t>
        </is>
      </c>
    </row>
    <row r="12" ht="15" customFormat="1" customHeight="1" s="381">
      <c r="A12" s="571" t="inlineStr">
        <is>
          <t>Ramsgate: Constr. Admin monthly</t>
        </is>
      </c>
      <c r="B12" s="572" t="n">
        <v>2694</v>
      </c>
      <c r="C12" s="453" t="inlineStr">
        <is>
          <t>Term Sheet 3.1(b)</t>
        </is>
      </c>
    </row>
    <row r="13" ht="15" customFormat="1" customHeight="1" s="381">
      <c r="A13" s="571" t="inlineStr">
        <is>
          <t>Ramsgate: start month</t>
        </is>
      </c>
      <c r="B13" s="755" t="n">
        <v>2</v>
      </c>
      <c r="C13" s="453" t="inlineStr">
        <is>
          <t>Aug 2026</t>
        </is>
      </c>
    </row>
    <row r="14" ht="15" customFormat="1" customHeight="1" s="381">
      <c r="A14" s="571" t="inlineStr">
        <is>
          <t>Ramsgate: months</t>
        </is>
      </c>
      <c r="B14" s="755" t="n">
        <v>15</v>
      </c>
      <c r="C14" s="453" t="inlineStr">
        <is>
          <t>Aug 2026 - Oct 2027</t>
        </is>
      </c>
    </row>
    <row r="15" ht="15" customFormat="1" customHeight="1" s="381">
      <c r="A15" s="571" t="inlineStr">
        <is>
          <t>Francis: Constr. Admin monthly</t>
        </is>
      </c>
      <c r="B15" s="572" t="n">
        <v>2500</v>
      </c>
      <c r="C15" s="453" t="inlineStr">
        <is>
          <t>Term Sheet 3.1(c)</t>
        </is>
      </c>
    </row>
    <row r="16" ht="15" customFormat="1" customHeight="1" s="381">
      <c r="A16" s="571" t="inlineStr">
        <is>
          <t>Francis: start month</t>
        </is>
      </c>
      <c r="B16" s="755" t="n">
        <v>2</v>
      </c>
      <c r="C16" s="453" t="inlineStr">
        <is>
          <t>Aug 2026</t>
        </is>
      </c>
    </row>
    <row r="17" ht="15" customFormat="1" customHeight="1" s="381">
      <c r="A17" s="571" t="inlineStr">
        <is>
          <t>Francis: months</t>
        </is>
      </c>
      <c r="B17" s="755" t="n">
        <v>30</v>
      </c>
      <c r="C17" s="453" t="inlineStr">
        <is>
          <t>Aug 2026 - Jan 2029</t>
        </is>
      </c>
    </row>
    <row r="18" ht="15" customFormat="1" customHeight="1" s="381">
      <c r="A18" s="571" t="inlineStr">
        <is>
          <t>3rd Street: SD monthly</t>
        </is>
      </c>
      <c r="B18" s="572" t="n">
        <v>7500</v>
      </c>
      <c r="C18" s="453" t="inlineStr">
        <is>
          <t>Term Sheet 3.1(d); zero out if SD phase not billed</t>
        </is>
      </c>
    </row>
    <row r="19" ht="15" customFormat="1" customHeight="1" s="381">
      <c r="A19" s="571" t="inlineStr">
        <is>
          <t>3rd Street: SD start month</t>
        </is>
      </c>
      <c r="B19" s="755" t="n">
        <v>2</v>
      </c>
      <c r="C19" s="453" t="inlineStr">
        <is>
          <t>Aug 2026</t>
        </is>
      </c>
    </row>
    <row r="20" ht="15" customFormat="1" customHeight="1" s="381">
      <c r="A20" s="571" t="inlineStr">
        <is>
          <t>3rd Street: SD contract cap</t>
        </is>
      </c>
      <c r="B20" s="572" t="n">
        <v>32000</v>
      </c>
      <c r="C20" s="453" t="inlineStr">
        <is>
          <t>Term Sheet 3.2(d)</t>
        </is>
      </c>
    </row>
    <row r="21" ht="15" customFormat="1" customHeight="1" s="381">
      <c r="A21" s="571" t="inlineStr">
        <is>
          <t>3rd Street: CD/Bid/Permit contract</t>
        </is>
      </c>
      <c r="B21" s="572" t="n">
        <v>600000</v>
      </c>
      <c r="C21" s="453" t="inlineStr">
        <is>
          <t>Per Chris 7/3/26</t>
        </is>
      </c>
    </row>
    <row r="22" ht="15" customFormat="1" customHeight="1" s="381">
      <c r="A22" s="571" t="inlineStr">
        <is>
          <t>3rd Street: CD/Bid/Permit start month</t>
        </is>
      </c>
      <c r="B22" s="755" t="n">
        <v>7</v>
      </c>
      <c r="C22" s="453" t="inlineStr">
        <is>
          <t>Jan 2027</t>
        </is>
      </c>
    </row>
    <row r="23" ht="15" customFormat="1" customHeight="1" s="381">
      <c r="A23" s="571" t="inlineStr">
        <is>
          <t>3rd Street: CD/Bid/Permit months</t>
        </is>
      </c>
      <c r="B23" s="755" t="n">
        <v>12</v>
      </c>
      <c r="C23" s="453" t="inlineStr">
        <is>
          <t>Jan 2027 - Dec 2027</t>
        </is>
      </c>
    </row>
    <row r="24" ht="15" customFormat="1" customHeight="1" s="381">
      <c r="A24" s="571" t="inlineStr">
        <is>
          <t>3rd Street: CD/Bid/Permit monthly</t>
        </is>
      </c>
      <c r="B24" s="752">
        <f>B21/B23</f>
        <v>50000</v>
      </c>
      <c r="C24" s="453" t="inlineStr">
        <is>
          <t>Calculated</t>
        </is>
      </c>
    </row>
    <row r="25" ht="15" customFormat="1" customHeight="1" s="381">
      <c r="A25" s="571" t="inlineStr">
        <is>
          <t>3rd Street: Constr. Admin monthly</t>
        </is>
      </c>
      <c r="B25" s="572" t="n">
        <v>2500</v>
      </c>
      <c r="C25" s="453" t="inlineStr">
        <is>
          <t>Per Chris 7/3/26</t>
        </is>
      </c>
    </row>
    <row r="26" ht="15" customFormat="1" customHeight="1" s="381">
      <c r="A26" s="571" t="inlineStr">
        <is>
          <t>3rd Street: Constr. Admin start month</t>
        </is>
      </c>
      <c r="B26" s="755" t="n">
        <v>22</v>
      </c>
      <c r="C26" s="453" t="inlineStr">
        <is>
          <t>Apr 2028</t>
        </is>
      </c>
    </row>
    <row r="27" ht="15" customFormat="1" customHeight="1" s="381">
      <c r="A27" s="571" t="inlineStr">
        <is>
          <t>3rd Street: Constr. Admin months</t>
        </is>
      </c>
      <c r="B27" s="755" t="n">
        <v>30</v>
      </c>
      <c r="C27" s="453" t="inlineStr">
        <is>
          <t>Runs past model end (Aug 2029); shown through model horizon only</t>
        </is>
      </c>
    </row>
    <row r="28" ht="15" customFormat="1" customHeight="1" s="381">
      <c r="A28" s="403" t="inlineStr">
        <is>
          <t>EXPENSES</t>
        </is>
      </c>
      <c r="B28" s="403" t="n"/>
      <c r="C28" s="403" t="n"/>
    </row>
    <row r="29" ht="15" customFormat="1" customHeight="1" s="381">
      <c r="A29" s="571" t="inlineStr">
        <is>
          <t>Partner draw (Adam Polk Architects, Inc.), monthly</t>
        </is>
      </c>
      <c r="B29" s="572" t="n">
        <v>12500</v>
      </c>
      <c r="C29" s="453" t="inlineStr">
        <is>
          <t>Term Sheet 2.1; paid to APA Inc., Adam's CA S corp</t>
        </is>
      </c>
    </row>
    <row r="30" ht="15" customFormat="1" customHeight="1" s="381">
      <c r="A30" s="571" t="inlineStr">
        <is>
          <t>Partner draw, monthly from increase</t>
        </is>
      </c>
      <c r="B30" s="755" t="n">
        <v>18750</v>
      </c>
      <c r="C30" s="453" t="inlineStr">
        <is>
          <t>$225,000 per year; adjusts when the 3rd St contract is signed</t>
        </is>
      </c>
    </row>
    <row r="31" ht="15" customFormat="1" customHeight="1" s="381">
      <c r="A31" s="571" t="inlineStr">
        <is>
          <t>Draw increase start month</t>
        </is>
      </c>
      <c r="B31" s="753">
        <f>B22</f>
        <v>7</v>
      </c>
      <c r="C31" s="453" t="inlineStr">
        <is>
          <t>Linked to 3rd Street CD/Bid/Permit start (contract signing)</t>
        </is>
      </c>
    </row>
    <row r="32" ht="15" customFormat="1" customHeight="1" s="381">
      <c r="A32" s="571" t="inlineStr">
        <is>
          <t>Software, monthly</t>
        </is>
      </c>
      <c r="B32" s="572" t="n">
        <v>365</v>
      </c>
      <c r="C32" s="453" t="inlineStr">
        <is>
          <t>Term Sheet 5.1(a)</t>
        </is>
      </c>
    </row>
    <row r="33" ht="15" customFormat="1" customHeight="1" s="381">
      <c r="A33" s="571" t="inlineStr">
        <is>
          <t>E&amp;O insurance, annual (paid Jul)</t>
        </is>
      </c>
      <c r="B33" s="572" t="n">
        <v>8000</v>
      </c>
      <c r="C33" s="453" t="inlineStr">
        <is>
          <t>Term Sheet 5.1(b)</t>
        </is>
      </c>
    </row>
    <row r="34" ht="15" customFormat="1" customHeight="1" s="381">
      <c r="A34" s="571" t="inlineStr">
        <is>
          <t>Startup reimbursement: APA Inc.</t>
        </is>
      </c>
      <c r="B34" s="755" t="n">
        <v>5000</v>
      </c>
      <c r="C34" s="453" t="inlineStr">
        <is>
          <t>Get-started costs, reimbursed Aug 2026</t>
        </is>
      </c>
    </row>
    <row r="35" ht="15" customFormat="1" customHeight="1" s="381">
      <c r="A35" s="571" t="inlineStr">
        <is>
          <t>Startup reimbursement: Six Peak</t>
        </is>
      </c>
      <c r="B35" s="755" t="n">
        <v>2500</v>
      </c>
      <c r="C35" s="453" t="inlineStr">
        <is>
          <t>Reimbursed Aug 2026</t>
        </is>
      </c>
    </row>
    <row r="36" ht="15" customFormat="1" customHeight="1" s="381">
      <c r="A36" s="571" t="inlineStr">
        <is>
          <t>Startup reimbursement month</t>
        </is>
      </c>
      <c r="B36" s="755" t="n">
        <v>2</v>
      </c>
      <c r="C36" s="453" t="inlineStr">
        <is>
          <t>Aug 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AN3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6" customWidth="1" style="381" min="1" max="1"/>
    <col width="12.42" customWidth="1" style="381" min="2" max="40"/>
  </cols>
  <sheetData>
    <row r="1" ht="15.75" customFormat="1" customHeight="1" s="381">
      <c r="A1" s="477" t="inlineStr">
        <is>
          <t>Adam Polk Architect LLP: Cash Flow Projection (Jul 2026 - Aug 2029)</t>
        </is>
      </c>
    </row>
    <row r="3" ht="15" customFormat="1" customHeight="1" s="381">
      <c r="A3" s="429" t="inlineStr">
        <is>
          <t>Month #</t>
        </is>
      </c>
      <c r="B3" s="756" t="n">
        <v>1</v>
      </c>
      <c r="C3" s="756" t="n">
        <v>2</v>
      </c>
      <c r="D3" s="756" t="n">
        <v>3</v>
      </c>
      <c r="E3" s="756" t="n">
        <v>4</v>
      </c>
      <c r="F3" s="756" t="n">
        <v>5</v>
      </c>
      <c r="G3" s="756" t="n">
        <v>6</v>
      </c>
      <c r="H3" s="756" t="n">
        <v>7</v>
      </c>
      <c r="I3" s="756" t="n">
        <v>8</v>
      </c>
      <c r="J3" s="756" t="n">
        <v>9</v>
      </c>
      <c r="K3" s="756" t="n">
        <v>10</v>
      </c>
      <c r="L3" s="756" t="n">
        <v>11</v>
      </c>
      <c r="M3" s="756" t="n">
        <v>12</v>
      </c>
      <c r="N3" s="756" t="n">
        <v>13</v>
      </c>
      <c r="O3" s="756" t="n">
        <v>14</v>
      </c>
      <c r="P3" s="756" t="n">
        <v>15</v>
      </c>
      <c r="Q3" s="756" t="n">
        <v>16</v>
      </c>
      <c r="R3" s="756" t="n">
        <v>17</v>
      </c>
      <c r="S3" s="756" t="n">
        <v>18</v>
      </c>
      <c r="T3" s="756" t="n">
        <v>19</v>
      </c>
      <c r="U3" s="756" t="n">
        <v>20</v>
      </c>
      <c r="V3" s="756" t="n">
        <v>21</v>
      </c>
      <c r="W3" s="756" t="n">
        <v>22</v>
      </c>
      <c r="X3" s="756" t="n">
        <v>23</v>
      </c>
      <c r="Y3" s="756" t="n">
        <v>24</v>
      </c>
      <c r="Z3" s="756" t="n">
        <v>25</v>
      </c>
      <c r="AA3" s="756" t="n">
        <v>26</v>
      </c>
      <c r="AB3" s="756" t="n">
        <v>27</v>
      </c>
      <c r="AC3" s="756" t="n">
        <v>28</v>
      </c>
      <c r="AD3" s="756" t="n">
        <v>29</v>
      </c>
      <c r="AE3" s="756" t="n">
        <v>30</v>
      </c>
      <c r="AF3" s="756" t="n">
        <v>31</v>
      </c>
      <c r="AG3" s="756" t="n">
        <v>32</v>
      </c>
      <c r="AH3" s="756" t="n">
        <v>33</v>
      </c>
      <c r="AI3" s="756" t="n">
        <v>34</v>
      </c>
      <c r="AJ3" s="756" t="n">
        <v>35</v>
      </c>
      <c r="AK3" s="756" t="n">
        <v>36</v>
      </c>
      <c r="AL3" s="756" t="n">
        <v>37</v>
      </c>
      <c r="AM3" s="756" t="n">
        <v>38</v>
      </c>
      <c r="AN3" s="756" t="n"/>
    </row>
    <row r="4" ht="15" customFormat="1" customHeight="1" s="381">
      <c r="A4" s="385" t="n"/>
      <c r="B4" s="385" t="n">
        <v>46204</v>
      </c>
      <c r="C4" s="385" t="n">
        <v>46235</v>
      </c>
      <c r="D4" s="385" t="n">
        <v>46266</v>
      </c>
      <c r="E4" s="385" t="n">
        <v>46296</v>
      </c>
      <c r="F4" s="385" t="n">
        <v>46327</v>
      </c>
      <c r="G4" s="385" t="n">
        <v>46357</v>
      </c>
      <c r="H4" s="385" t="n">
        <v>46388</v>
      </c>
      <c r="I4" s="385" t="n">
        <v>46419</v>
      </c>
      <c r="J4" s="385" t="n">
        <v>46447</v>
      </c>
      <c r="K4" s="385" t="n">
        <v>46478</v>
      </c>
      <c r="L4" s="385" t="n">
        <v>46508</v>
      </c>
      <c r="M4" s="385" t="n">
        <v>46539</v>
      </c>
      <c r="N4" s="385" t="n">
        <v>46569</v>
      </c>
      <c r="O4" s="385" t="n">
        <v>46600</v>
      </c>
      <c r="P4" s="385" t="n">
        <v>46631</v>
      </c>
      <c r="Q4" s="385" t="n">
        <v>46661</v>
      </c>
      <c r="R4" s="385" t="n">
        <v>46692</v>
      </c>
      <c r="S4" s="385" t="n">
        <v>46722</v>
      </c>
      <c r="T4" s="385" t="n">
        <v>46753</v>
      </c>
      <c r="U4" s="385" t="n">
        <v>46784</v>
      </c>
      <c r="V4" s="385" t="n">
        <v>46813</v>
      </c>
      <c r="W4" s="385" t="n">
        <v>46844</v>
      </c>
      <c r="X4" s="385" t="n">
        <v>46874</v>
      </c>
      <c r="Y4" s="385" t="n">
        <v>46905</v>
      </c>
      <c r="Z4" s="385" t="n">
        <v>46935</v>
      </c>
      <c r="AA4" s="385" t="n">
        <v>46966</v>
      </c>
      <c r="AB4" s="385" t="n">
        <v>46997</v>
      </c>
      <c r="AC4" s="385" t="n">
        <v>47027</v>
      </c>
      <c r="AD4" s="385" t="n">
        <v>47058</v>
      </c>
      <c r="AE4" s="385" t="n">
        <v>47088</v>
      </c>
      <c r="AF4" s="385" t="n">
        <v>47119</v>
      </c>
      <c r="AG4" s="385" t="n">
        <v>47150</v>
      </c>
      <c r="AH4" s="385" t="n">
        <v>47178</v>
      </c>
      <c r="AI4" s="385" t="n">
        <v>47209</v>
      </c>
      <c r="AJ4" s="385" t="n">
        <v>47239</v>
      </c>
      <c r="AK4" s="385" t="n">
        <v>47270</v>
      </c>
      <c r="AL4" s="385" t="n">
        <v>47300</v>
      </c>
      <c r="AM4" s="385" t="n">
        <v>47331</v>
      </c>
      <c r="AN4" s="385" t="inlineStr">
        <is>
          <t>Total</t>
        </is>
      </c>
    </row>
    <row r="6" ht="15" customFormat="1" customHeight="1" s="381">
      <c r="A6" s="403" t="inlineStr">
        <is>
          <t>REVENUE</t>
        </is>
      </c>
      <c r="B6" s="403" t="n"/>
      <c r="C6" s="403" t="n"/>
      <c r="D6" s="403" t="n"/>
      <c r="E6" s="403" t="n"/>
      <c r="F6" s="403" t="n"/>
      <c r="G6" s="403" t="n"/>
      <c r="H6" s="403" t="n"/>
      <c r="I6" s="403" t="n"/>
      <c r="J6" s="403" t="n"/>
      <c r="K6" s="403" t="n"/>
      <c r="L6" s="403" t="n"/>
      <c r="M6" s="403" t="n"/>
      <c r="N6" s="403" t="n"/>
      <c r="O6" s="403" t="n"/>
      <c r="P6" s="403" t="n"/>
      <c r="Q6" s="403" t="n"/>
      <c r="R6" s="403" t="n"/>
      <c r="S6" s="403" t="n"/>
      <c r="T6" s="403" t="n"/>
      <c r="U6" s="403" t="n"/>
      <c r="V6" s="403" t="n"/>
      <c r="W6" s="403" t="n"/>
      <c r="X6" s="403" t="n"/>
      <c r="Y6" s="403" t="n"/>
      <c r="Z6" s="403" t="n"/>
      <c r="AA6" s="403" t="n"/>
      <c r="AB6" s="403" t="n"/>
      <c r="AC6" s="403" t="n"/>
      <c r="AD6" s="403" t="n"/>
      <c r="AE6" s="403" t="n"/>
      <c r="AF6" s="403" t="n"/>
      <c r="AG6" s="403" t="n"/>
      <c r="AH6" s="403" t="n"/>
      <c r="AI6" s="403" t="n"/>
      <c r="AJ6" s="403" t="n"/>
      <c r="AK6" s="403" t="n"/>
      <c r="AL6" s="403" t="n"/>
      <c r="AM6" s="403" t="n"/>
      <c r="AN6" s="403" t="n"/>
    </row>
    <row r="7" ht="15" customFormat="1" customHeight="1" s="381">
      <c r="A7" s="513" t="inlineStr">
        <is>
          <t>Reseda: Permit / Bid / CD</t>
        </is>
      </c>
      <c r="B7" s="752">
        <f>IF(AND(B$3&gt;='APA Assumptions'!$B$6,B$3&lt;'APA Assumptions'!$B$6+'APA Assumptions'!$B$7),'APA Assumptions'!$B$8,0)</f>
        <v>25714.2857142857</v>
      </c>
      <c r="C7" s="752">
        <f>IF(AND(C$3&gt;='APA Assumptions'!$B$6,C$3&lt;'APA Assumptions'!$B$6+'APA Assumptions'!$B$7),'APA Assumptions'!$B$8,0)</f>
        <v>25714.2857142857</v>
      </c>
      <c r="D7" s="752">
        <f>IF(AND(D$3&gt;='APA Assumptions'!$B$6,D$3&lt;'APA Assumptions'!$B$6+'APA Assumptions'!$B$7),'APA Assumptions'!$B$8,0)</f>
        <v>25714.2857142857</v>
      </c>
      <c r="E7" s="752">
        <f>IF(AND(E$3&gt;='APA Assumptions'!$B$6,E$3&lt;'APA Assumptions'!$B$6+'APA Assumptions'!$B$7),'APA Assumptions'!$B$8,0)</f>
        <v>25714.2857142857</v>
      </c>
      <c r="F7" s="752">
        <f>IF(AND(F$3&gt;='APA Assumptions'!$B$6,F$3&lt;'APA Assumptions'!$B$6+'APA Assumptions'!$B$7),'APA Assumptions'!$B$8,0)</f>
        <v>25714.2857142857</v>
      </c>
      <c r="G7" s="752">
        <f>IF(AND(G$3&gt;='APA Assumptions'!$B$6,G$3&lt;'APA Assumptions'!$B$6+'APA Assumptions'!$B$7),'APA Assumptions'!$B$8,0)</f>
        <v>25714.2857142857</v>
      </c>
      <c r="H7" s="752">
        <f>IF(AND(H$3&gt;='APA Assumptions'!$B$6,H$3&lt;'APA Assumptions'!$B$6+'APA Assumptions'!$B$7),'APA Assumptions'!$B$8,0)</f>
        <v>25714.2857142857</v>
      </c>
      <c r="I7" s="752">
        <f>IF(AND(I$3&gt;='APA Assumptions'!$B$6,I$3&lt;'APA Assumptions'!$B$6+'APA Assumptions'!$B$7),'APA Assumptions'!$B$8,0)</f>
        <v>0</v>
      </c>
      <c r="J7" s="752">
        <f>IF(AND(J$3&gt;='APA Assumptions'!$B$6,J$3&lt;'APA Assumptions'!$B$6+'APA Assumptions'!$B$7),'APA Assumptions'!$B$8,0)</f>
        <v>0</v>
      </c>
      <c r="K7" s="752">
        <f>IF(AND(K$3&gt;='APA Assumptions'!$B$6,K$3&lt;'APA Assumptions'!$B$6+'APA Assumptions'!$B$7),'APA Assumptions'!$B$8,0)</f>
        <v>0</v>
      </c>
      <c r="L7" s="752">
        <f>IF(AND(L$3&gt;='APA Assumptions'!$B$6,L$3&lt;'APA Assumptions'!$B$6+'APA Assumptions'!$B$7),'APA Assumptions'!$B$8,0)</f>
        <v>0</v>
      </c>
      <c r="M7" s="752">
        <f>IF(AND(M$3&gt;='APA Assumptions'!$B$6,M$3&lt;'APA Assumptions'!$B$6+'APA Assumptions'!$B$7),'APA Assumptions'!$B$8,0)</f>
        <v>0</v>
      </c>
      <c r="N7" s="752">
        <f>IF(AND(N$3&gt;='APA Assumptions'!$B$6,N$3&lt;'APA Assumptions'!$B$6+'APA Assumptions'!$B$7),'APA Assumptions'!$B$8,0)</f>
        <v>0</v>
      </c>
      <c r="O7" s="752">
        <f>IF(AND(O$3&gt;='APA Assumptions'!$B$6,O$3&lt;'APA Assumptions'!$B$6+'APA Assumptions'!$B$7),'APA Assumptions'!$B$8,0)</f>
        <v>0</v>
      </c>
      <c r="P7" s="752">
        <f>IF(AND(P$3&gt;='APA Assumptions'!$B$6,P$3&lt;'APA Assumptions'!$B$6+'APA Assumptions'!$B$7),'APA Assumptions'!$B$8,0)</f>
        <v>0</v>
      </c>
      <c r="Q7" s="752">
        <f>IF(AND(Q$3&gt;='APA Assumptions'!$B$6,Q$3&lt;'APA Assumptions'!$B$6+'APA Assumptions'!$B$7),'APA Assumptions'!$B$8,0)</f>
        <v>0</v>
      </c>
      <c r="R7" s="752">
        <f>IF(AND(R$3&gt;='APA Assumptions'!$B$6,R$3&lt;'APA Assumptions'!$B$6+'APA Assumptions'!$B$7),'APA Assumptions'!$B$8,0)</f>
        <v>0</v>
      </c>
      <c r="S7" s="752">
        <f>IF(AND(S$3&gt;='APA Assumptions'!$B$6,S$3&lt;'APA Assumptions'!$B$6+'APA Assumptions'!$B$7),'APA Assumptions'!$B$8,0)</f>
        <v>0</v>
      </c>
      <c r="T7" s="752">
        <f>IF(AND(T$3&gt;='APA Assumptions'!$B$6,T$3&lt;'APA Assumptions'!$B$6+'APA Assumptions'!$B$7),'APA Assumptions'!$B$8,0)</f>
        <v>0</v>
      </c>
      <c r="U7" s="752">
        <f>IF(AND(U$3&gt;='APA Assumptions'!$B$6,U$3&lt;'APA Assumptions'!$B$6+'APA Assumptions'!$B$7),'APA Assumptions'!$B$8,0)</f>
        <v>0</v>
      </c>
      <c r="V7" s="752">
        <f>IF(AND(V$3&gt;='APA Assumptions'!$B$6,V$3&lt;'APA Assumptions'!$B$6+'APA Assumptions'!$B$7),'APA Assumptions'!$B$8,0)</f>
        <v>0</v>
      </c>
      <c r="W7" s="752">
        <f>IF(AND(W$3&gt;='APA Assumptions'!$B$6,W$3&lt;'APA Assumptions'!$B$6+'APA Assumptions'!$B$7),'APA Assumptions'!$B$8,0)</f>
        <v>0</v>
      </c>
      <c r="X7" s="752">
        <f>IF(AND(X$3&gt;='APA Assumptions'!$B$6,X$3&lt;'APA Assumptions'!$B$6+'APA Assumptions'!$B$7),'APA Assumptions'!$B$8,0)</f>
        <v>0</v>
      </c>
      <c r="Y7" s="752">
        <f>IF(AND(Y$3&gt;='APA Assumptions'!$B$6,Y$3&lt;'APA Assumptions'!$B$6+'APA Assumptions'!$B$7),'APA Assumptions'!$B$8,0)</f>
        <v>0</v>
      </c>
      <c r="Z7" s="752">
        <f>IF(AND(Z$3&gt;='APA Assumptions'!$B$6,Z$3&lt;'APA Assumptions'!$B$6+'APA Assumptions'!$B$7),'APA Assumptions'!$B$8,0)</f>
        <v>0</v>
      </c>
      <c r="AA7" s="752">
        <f>IF(AND(AA$3&gt;='APA Assumptions'!$B$6,AA$3&lt;'APA Assumptions'!$B$6+'APA Assumptions'!$B$7),'APA Assumptions'!$B$8,0)</f>
        <v>0</v>
      </c>
      <c r="AB7" s="752">
        <f>IF(AND(AB$3&gt;='APA Assumptions'!$B$6,AB$3&lt;'APA Assumptions'!$B$6+'APA Assumptions'!$B$7),'APA Assumptions'!$B$8,0)</f>
        <v>0</v>
      </c>
      <c r="AC7" s="752">
        <f>IF(AND(AC$3&gt;='APA Assumptions'!$B$6,AC$3&lt;'APA Assumptions'!$B$6+'APA Assumptions'!$B$7),'APA Assumptions'!$B$8,0)</f>
        <v>0</v>
      </c>
      <c r="AD7" s="752">
        <f>IF(AND(AD$3&gt;='APA Assumptions'!$B$6,AD$3&lt;'APA Assumptions'!$B$6+'APA Assumptions'!$B$7),'APA Assumptions'!$B$8,0)</f>
        <v>0</v>
      </c>
      <c r="AE7" s="752">
        <f>IF(AND(AE$3&gt;='APA Assumptions'!$B$6,AE$3&lt;'APA Assumptions'!$B$6+'APA Assumptions'!$B$7),'APA Assumptions'!$B$8,0)</f>
        <v>0</v>
      </c>
      <c r="AF7" s="752">
        <f>IF(AND(AF$3&gt;='APA Assumptions'!$B$6,AF$3&lt;'APA Assumptions'!$B$6+'APA Assumptions'!$B$7),'APA Assumptions'!$B$8,0)</f>
        <v>0</v>
      </c>
      <c r="AG7" s="752">
        <f>IF(AND(AG$3&gt;='APA Assumptions'!$B$6,AG$3&lt;'APA Assumptions'!$B$6+'APA Assumptions'!$B$7),'APA Assumptions'!$B$8,0)</f>
        <v>0</v>
      </c>
      <c r="AH7" s="752">
        <f>IF(AND(AH$3&gt;='APA Assumptions'!$B$6,AH$3&lt;'APA Assumptions'!$B$6+'APA Assumptions'!$B$7),'APA Assumptions'!$B$8,0)</f>
        <v>0</v>
      </c>
      <c r="AI7" s="752">
        <f>IF(AND(AI$3&gt;='APA Assumptions'!$B$6,AI$3&lt;'APA Assumptions'!$B$6+'APA Assumptions'!$B$7),'APA Assumptions'!$B$8,0)</f>
        <v>0</v>
      </c>
      <c r="AJ7" s="752">
        <f>IF(AND(AJ$3&gt;='APA Assumptions'!$B$6,AJ$3&lt;'APA Assumptions'!$B$6+'APA Assumptions'!$B$7),'APA Assumptions'!$B$8,0)</f>
        <v>0</v>
      </c>
      <c r="AK7" s="752">
        <f>IF(AND(AK$3&gt;='APA Assumptions'!$B$6,AK$3&lt;'APA Assumptions'!$B$6+'APA Assumptions'!$B$7),'APA Assumptions'!$B$8,0)</f>
        <v>0</v>
      </c>
      <c r="AL7" s="752">
        <f>IF(AND(AL$3&gt;='APA Assumptions'!$B$6,AL$3&lt;'APA Assumptions'!$B$6+'APA Assumptions'!$B$7),'APA Assumptions'!$B$8,0)</f>
        <v>0</v>
      </c>
      <c r="AM7" s="752">
        <f>IF(AND(AM$3&gt;='APA Assumptions'!$B$6,AM$3&lt;'APA Assumptions'!$B$6+'APA Assumptions'!$B$7),'APA Assumptions'!$B$8,0)</f>
        <v>0</v>
      </c>
      <c r="AN7" s="752">
        <f>SUM(B7:AM7)</f>
        <v>180000</v>
      </c>
    </row>
    <row r="8" ht="15" customFormat="1" customHeight="1" s="381">
      <c r="A8" s="513" t="inlineStr">
        <is>
          <t>Reseda: Construction Admin</t>
        </is>
      </c>
      <c r="B8" s="752">
        <f>IF(AND(B$3&gt;='APA Assumptions'!$B$10,B$3&lt;'APA Assumptions'!$B$10+'APA Assumptions'!$B$11),'APA Assumptions'!$B$9,0)</f>
        <v>0</v>
      </c>
      <c r="C8" s="752">
        <f>IF(AND(C$3&gt;='APA Assumptions'!$B$10,C$3&lt;'APA Assumptions'!$B$10+'APA Assumptions'!$B$11),'APA Assumptions'!$B$9,0)</f>
        <v>0</v>
      </c>
      <c r="D8" s="752">
        <f>IF(AND(D$3&gt;='APA Assumptions'!$B$10,D$3&lt;'APA Assumptions'!$B$10+'APA Assumptions'!$B$11),'APA Assumptions'!$B$9,0)</f>
        <v>0</v>
      </c>
      <c r="E8" s="752">
        <f>IF(AND(E$3&gt;='APA Assumptions'!$B$10,E$3&lt;'APA Assumptions'!$B$10+'APA Assumptions'!$B$11),'APA Assumptions'!$B$9,0)</f>
        <v>0</v>
      </c>
      <c r="F8" s="752">
        <f>IF(AND(F$3&gt;='APA Assumptions'!$B$10,F$3&lt;'APA Assumptions'!$B$10+'APA Assumptions'!$B$11),'APA Assumptions'!$B$9,0)</f>
        <v>0</v>
      </c>
      <c r="G8" s="752">
        <f>IF(AND(G$3&gt;='APA Assumptions'!$B$10,G$3&lt;'APA Assumptions'!$B$10+'APA Assumptions'!$B$11),'APA Assumptions'!$B$9,0)</f>
        <v>0</v>
      </c>
      <c r="H8" s="752">
        <f>IF(AND(H$3&gt;='APA Assumptions'!$B$10,H$3&lt;'APA Assumptions'!$B$10+'APA Assumptions'!$B$11),'APA Assumptions'!$B$9,0)</f>
        <v>0</v>
      </c>
      <c r="I8" s="752">
        <f>IF(AND(I$3&gt;='APA Assumptions'!$B$10,I$3&lt;'APA Assumptions'!$B$10+'APA Assumptions'!$B$11),'APA Assumptions'!$B$9,0)</f>
        <v>0</v>
      </c>
      <c r="J8" s="752">
        <f>IF(AND(J$3&gt;='APA Assumptions'!$B$10,J$3&lt;'APA Assumptions'!$B$10+'APA Assumptions'!$B$11),'APA Assumptions'!$B$9,0)</f>
        <v>2500</v>
      </c>
      <c r="K8" s="752">
        <f>IF(AND(K$3&gt;='APA Assumptions'!$B$10,K$3&lt;'APA Assumptions'!$B$10+'APA Assumptions'!$B$11),'APA Assumptions'!$B$9,0)</f>
        <v>2500</v>
      </c>
      <c r="L8" s="752">
        <f>IF(AND(L$3&gt;='APA Assumptions'!$B$10,L$3&lt;'APA Assumptions'!$B$10+'APA Assumptions'!$B$11),'APA Assumptions'!$B$9,0)</f>
        <v>2500</v>
      </c>
      <c r="M8" s="752">
        <f>IF(AND(M$3&gt;='APA Assumptions'!$B$10,M$3&lt;'APA Assumptions'!$B$10+'APA Assumptions'!$B$11),'APA Assumptions'!$B$9,0)</f>
        <v>2500</v>
      </c>
      <c r="N8" s="752">
        <f>IF(AND(N$3&gt;='APA Assumptions'!$B$10,N$3&lt;'APA Assumptions'!$B$10+'APA Assumptions'!$B$11),'APA Assumptions'!$B$9,0)</f>
        <v>2500</v>
      </c>
      <c r="O8" s="752">
        <f>IF(AND(O$3&gt;='APA Assumptions'!$B$10,O$3&lt;'APA Assumptions'!$B$10+'APA Assumptions'!$B$11),'APA Assumptions'!$B$9,0)</f>
        <v>2500</v>
      </c>
      <c r="P8" s="752">
        <f>IF(AND(P$3&gt;='APA Assumptions'!$B$10,P$3&lt;'APA Assumptions'!$B$10+'APA Assumptions'!$B$11),'APA Assumptions'!$B$9,0)</f>
        <v>2500</v>
      </c>
      <c r="Q8" s="752">
        <f>IF(AND(Q$3&gt;='APA Assumptions'!$B$10,Q$3&lt;'APA Assumptions'!$B$10+'APA Assumptions'!$B$11),'APA Assumptions'!$B$9,0)</f>
        <v>2500</v>
      </c>
      <c r="R8" s="752">
        <f>IF(AND(R$3&gt;='APA Assumptions'!$B$10,R$3&lt;'APA Assumptions'!$B$10+'APA Assumptions'!$B$11),'APA Assumptions'!$B$9,0)</f>
        <v>2500</v>
      </c>
      <c r="S8" s="752">
        <f>IF(AND(S$3&gt;='APA Assumptions'!$B$10,S$3&lt;'APA Assumptions'!$B$10+'APA Assumptions'!$B$11),'APA Assumptions'!$B$9,0)</f>
        <v>2500</v>
      </c>
      <c r="T8" s="752">
        <f>IF(AND(T$3&gt;='APA Assumptions'!$B$10,T$3&lt;'APA Assumptions'!$B$10+'APA Assumptions'!$B$11),'APA Assumptions'!$B$9,0)</f>
        <v>2500</v>
      </c>
      <c r="U8" s="752">
        <f>IF(AND(U$3&gt;='APA Assumptions'!$B$10,U$3&lt;'APA Assumptions'!$B$10+'APA Assumptions'!$B$11),'APA Assumptions'!$B$9,0)</f>
        <v>2500</v>
      </c>
      <c r="V8" s="752">
        <f>IF(AND(V$3&gt;='APA Assumptions'!$B$10,V$3&lt;'APA Assumptions'!$B$10+'APA Assumptions'!$B$11),'APA Assumptions'!$B$9,0)</f>
        <v>2500</v>
      </c>
      <c r="W8" s="752">
        <f>IF(AND(W$3&gt;='APA Assumptions'!$B$10,W$3&lt;'APA Assumptions'!$B$10+'APA Assumptions'!$B$11),'APA Assumptions'!$B$9,0)</f>
        <v>2500</v>
      </c>
      <c r="X8" s="752">
        <f>IF(AND(X$3&gt;='APA Assumptions'!$B$10,X$3&lt;'APA Assumptions'!$B$10+'APA Assumptions'!$B$11),'APA Assumptions'!$B$9,0)</f>
        <v>2500</v>
      </c>
      <c r="Y8" s="752">
        <f>IF(AND(Y$3&gt;='APA Assumptions'!$B$10,Y$3&lt;'APA Assumptions'!$B$10+'APA Assumptions'!$B$11),'APA Assumptions'!$B$9,0)</f>
        <v>2500</v>
      </c>
      <c r="Z8" s="752">
        <f>IF(AND(Z$3&gt;='APA Assumptions'!$B$10,Z$3&lt;'APA Assumptions'!$B$10+'APA Assumptions'!$B$11),'APA Assumptions'!$B$9,0)</f>
        <v>2500</v>
      </c>
      <c r="AA8" s="752">
        <f>IF(AND(AA$3&gt;='APA Assumptions'!$B$10,AA$3&lt;'APA Assumptions'!$B$10+'APA Assumptions'!$B$11),'APA Assumptions'!$B$9,0)</f>
        <v>2500</v>
      </c>
      <c r="AB8" s="752">
        <f>IF(AND(AB$3&gt;='APA Assumptions'!$B$10,AB$3&lt;'APA Assumptions'!$B$10+'APA Assumptions'!$B$11),'APA Assumptions'!$B$9,0)</f>
        <v>2500</v>
      </c>
      <c r="AC8" s="752">
        <f>IF(AND(AC$3&gt;='APA Assumptions'!$B$10,AC$3&lt;'APA Assumptions'!$B$10+'APA Assumptions'!$B$11),'APA Assumptions'!$B$9,0)</f>
        <v>2500</v>
      </c>
      <c r="AD8" s="752">
        <f>IF(AND(AD$3&gt;='APA Assumptions'!$B$10,AD$3&lt;'APA Assumptions'!$B$10+'APA Assumptions'!$B$11),'APA Assumptions'!$B$9,0)</f>
        <v>2500</v>
      </c>
      <c r="AE8" s="752">
        <f>IF(AND(AE$3&gt;='APA Assumptions'!$B$10,AE$3&lt;'APA Assumptions'!$B$10+'APA Assumptions'!$B$11),'APA Assumptions'!$B$9,0)</f>
        <v>2500</v>
      </c>
      <c r="AF8" s="752">
        <f>IF(AND(AF$3&gt;='APA Assumptions'!$B$10,AF$3&lt;'APA Assumptions'!$B$10+'APA Assumptions'!$B$11),'APA Assumptions'!$B$9,0)</f>
        <v>2500</v>
      </c>
      <c r="AG8" s="752">
        <f>IF(AND(AG$3&gt;='APA Assumptions'!$B$10,AG$3&lt;'APA Assumptions'!$B$10+'APA Assumptions'!$B$11),'APA Assumptions'!$B$9,0)</f>
        <v>2500</v>
      </c>
      <c r="AH8" s="752">
        <f>IF(AND(AH$3&gt;='APA Assumptions'!$B$10,AH$3&lt;'APA Assumptions'!$B$10+'APA Assumptions'!$B$11),'APA Assumptions'!$B$9,0)</f>
        <v>2500</v>
      </c>
      <c r="AI8" s="752">
        <f>IF(AND(AI$3&gt;='APA Assumptions'!$B$10,AI$3&lt;'APA Assumptions'!$B$10+'APA Assumptions'!$B$11),'APA Assumptions'!$B$9,0)</f>
        <v>2500</v>
      </c>
      <c r="AJ8" s="752">
        <f>IF(AND(AJ$3&gt;='APA Assumptions'!$B$10,AJ$3&lt;'APA Assumptions'!$B$10+'APA Assumptions'!$B$11),'APA Assumptions'!$B$9,0)</f>
        <v>2500</v>
      </c>
      <c r="AK8" s="752">
        <f>IF(AND(AK$3&gt;='APA Assumptions'!$B$10,AK$3&lt;'APA Assumptions'!$B$10+'APA Assumptions'!$B$11),'APA Assumptions'!$B$9,0)</f>
        <v>2500</v>
      </c>
      <c r="AL8" s="752">
        <f>IF(AND(AL$3&gt;='APA Assumptions'!$B$10,AL$3&lt;'APA Assumptions'!$B$10+'APA Assumptions'!$B$11),'APA Assumptions'!$B$9,0)</f>
        <v>2500</v>
      </c>
      <c r="AM8" s="752">
        <f>IF(AND(AM$3&gt;='APA Assumptions'!$B$10,AM$3&lt;'APA Assumptions'!$B$10+'APA Assumptions'!$B$11),'APA Assumptions'!$B$9,0)</f>
        <v>2500</v>
      </c>
      <c r="AN8" s="752">
        <f>SUM(B8:AM8)</f>
        <v>75000</v>
      </c>
    </row>
    <row r="9" ht="15" customFormat="1" customHeight="1" s="381">
      <c r="A9" s="513" t="inlineStr">
        <is>
          <t>Ramsgate: Construction Admin</t>
        </is>
      </c>
      <c r="B9" s="752">
        <f>IF(AND(B$3&gt;='APA Assumptions'!$B$13,B$3&lt;'APA Assumptions'!$B$13+'APA Assumptions'!$B$14),'APA Assumptions'!$B$12,0)</f>
        <v>0</v>
      </c>
      <c r="C9" s="752">
        <f>IF(AND(C$3&gt;='APA Assumptions'!$B$13,C$3&lt;'APA Assumptions'!$B$13+'APA Assumptions'!$B$14),'APA Assumptions'!$B$12,0)</f>
        <v>2694</v>
      </c>
      <c r="D9" s="752">
        <f>IF(AND(D$3&gt;='APA Assumptions'!$B$13,D$3&lt;'APA Assumptions'!$B$13+'APA Assumptions'!$B$14),'APA Assumptions'!$B$12,0)</f>
        <v>2694</v>
      </c>
      <c r="E9" s="752">
        <f>IF(AND(E$3&gt;='APA Assumptions'!$B$13,E$3&lt;'APA Assumptions'!$B$13+'APA Assumptions'!$B$14),'APA Assumptions'!$B$12,0)</f>
        <v>2694</v>
      </c>
      <c r="F9" s="752">
        <f>IF(AND(F$3&gt;='APA Assumptions'!$B$13,F$3&lt;'APA Assumptions'!$B$13+'APA Assumptions'!$B$14),'APA Assumptions'!$B$12,0)</f>
        <v>2694</v>
      </c>
      <c r="G9" s="752">
        <f>IF(AND(G$3&gt;='APA Assumptions'!$B$13,G$3&lt;'APA Assumptions'!$B$13+'APA Assumptions'!$B$14),'APA Assumptions'!$B$12,0)</f>
        <v>2694</v>
      </c>
      <c r="H9" s="752">
        <f>IF(AND(H$3&gt;='APA Assumptions'!$B$13,H$3&lt;'APA Assumptions'!$B$13+'APA Assumptions'!$B$14),'APA Assumptions'!$B$12,0)</f>
        <v>2694</v>
      </c>
      <c r="I9" s="752">
        <f>IF(AND(I$3&gt;='APA Assumptions'!$B$13,I$3&lt;'APA Assumptions'!$B$13+'APA Assumptions'!$B$14),'APA Assumptions'!$B$12,0)</f>
        <v>2694</v>
      </c>
      <c r="J9" s="752">
        <f>IF(AND(J$3&gt;='APA Assumptions'!$B$13,J$3&lt;'APA Assumptions'!$B$13+'APA Assumptions'!$B$14),'APA Assumptions'!$B$12,0)</f>
        <v>2694</v>
      </c>
      <c r="K9" s="752">
        <f>IF(AND(K$3&gt;='APA Assumptions'!$B$13,K$3&lt;'APA Assumptions'!$B$13+'APA Assumptions'!$B$14),'APA Assumptions'!$B$12,0)</f>
        <v>2694</v>
      </c>
      <c r="L9" s="752">
        <f>IF(AND(L$3&gt;='APA Assumptions'!$B$13,L$3&lt;'APA Assumptions'!$B$13+'APA Assumptions'!$B$14),'APA Assumptions'!$B$12,0)</f>
        <v>2694</v>
      </c>
      <c r="M9" s="752">
        <f>IF(AND(M$3&gt;='APA Assumptions'!$B$13,M$3&lt;'APA Assumptions'!$B$13+'APA Assumptions'!$B$14),'APA Assumptions'!$B$12,0)</f>
        <v>2694</v>
      </c>
      <c r="N9" s="752">
        <f>IF(AND(N$3&gt;='APA Assumptions'!$B$13,N$3&lt;'APA Assumptions'!$B$13+'APA Assumptions'!$B$14),'APA Assumptions'!$B$12,0)</f>
        <v>2694</v>
      </c>
      <c r="O9" s="752">
        <f>IF(AND(O$3&gt;='APA Assumptions'!$B$13,O$3&lt;'APA Assumptions'!$B$13+'APA Assumptions'!$B$14),'APA Assumptions'!$B$12,0)</f>
        <v>2694</v>
      </c>
      <c r="P9" s="752">
        <f>IF(AND(P$3&gt;='APA Assumptions'!$B$13,P$3&lt;'APA Assumptions'!$B$13+'APA Assumptions'!$B$14),'APA Assumptions'!$B$12,0)</f>
        <v>2694</v>
      </c>
      <c r="Q9" s="752">
        <f>IF(AND(Q$3&gt;='APA Assumptions'!$B$13,Q$3&lt;'APA Assumptions'!$B$13+'APA Assumptions'!$B$14),'APA Assumptions'!$B$12,0)</f>
        <v>2694</v>
      </c>
      <c r="R9" s="752">
        <f>IF(AND(R$3&gt;='APA Assumptions'!$B$13,R$3&lt;'APA Assumptions'!$B$13+'APA Assumptions'!$B$14),'APA Assumptions'!$B$12,0)</f>
        <v>0</v>
      </c>
      <c r="S9" s="752">
        <f>IF(AND(S$3&gt;='APA Assumptions'!$B$13,S$3&lt;'APA Assumptions'!$B$13+'APA Assumptions'!$B$14),'APA Assumptions'!$B$12,0)</f>
        <v>0</v>
      </c>
      <c r="T9" s="752">
        <f>IF(AND(T$3&gt;='APA Assumptions'!$B$13,T$3&lt;'APA Assumptions'!$B$13+'APA Assumptions'!$B$14),'APA Assumptions'!$B$12,0)</f>
        <v>0</v>
      </c>
      <c r="U9" s="752">
        <f>IF(AND(U$3&gt;='APA Assumptions'!$B$13,U$3&lt;'APA Assumptions'!$B$13+'APA Assumptions'!$B$14),'APA Assumptions'!$B$12,0)</f>
        <v>0</v>
      </c>
      <c r="V9" s="752">
        <f>IF(AND(V$3&gt;='APA Assumptions'!$B$13,V$3&lt;'APA Assumptions'!$B$13+'APA Assumptions'!$B$14),'APA Assumptions'!$B$12,0)</f>
        <v>0</v>
      </c>
      <c r="W9" s="752">
        <f>IF(AND(W$3&gt;='APA Assumptions'!$B$13,W$3&lt;'APA Assumptions'!$B$13+'APA Assumptions'!$B$14),'APA Assumptions'!$B$12,0)</f>
        <v>0</v>
      </c>
      <c r="X9" s="752">
        <f>IF(AND(X$3&gt;='APA Assumptions'!$B$13,X$3&lt;'APA Assumptions'!$B$13+'APA Assumptions'!$B$14),'APA Assumptions'!$B$12,0)</f>
        <v>0</v>
      </c>
      <c r="Y9" s="752">
        <f>IF(AND(Y$3&gt;='APA Assumptions'!$B$13,Y$3&lt;'APA Assumptions'!$B$13+'APA Assumptions'!$B$14),'APA Assumptions'!$B$12,0)</f>
        <v>0</v>
      </c>
      <c r="Z9" s="752">
        <f>IF(AND(Z$3&gt;='APA Assumptions'!$B$13,Z$3&lt;'APA Assumptions'!$B$13+'APA Assumptions'!$B$14),'APA Assumptions'!$B$12,0)</f>
        <v>0</v>
      </c>
      <c r="AA9" s="752">
        <f>IF(AND(AA$3&gt;='APA Assumptions'!$B$13,AA$3&lt;'APA Assumptions'!$B$13+'APA Assumptions'!$B$14),'APA Assumptions'!$B$12,0)</f>
        <v>0</v>
      </c>
      <c r="AB9" s="752">
        <f>IF(AND(AB$3&gt;='APA Assumptions'!$B$13,AB$3&lt;'APA Assumptions'!$B$13+'APA Assumptions'!$B$14),'APA Assumptions'!$B$12,0)</f>
        <v>0</v>
      </c>
      <c r="AC9" s="752">
        <f>IF(AND(AC$3&gt;='APA Assumptions'!$B$13,AC$3&lt;'APA Assumptions'!$B$13+'APA Assumptions'!$B$14),'APA Assumptions'!$B$12,0)</f>
        <v>0</v>
      </c>
      <c r="AD9" s="752">
        <f>IF(AND(AD$3&gt;='APA Assumptions'!$B$13,AD$3&lt;'APA Assumptions'!$B$13+'APA Assumptions'!$B$14),'APA Assumptions'!$B$12,0)</f>
        <v>0</v>
      </c>
      <c r="AE9" s="752">
        <f>IF(AND(AE$3&gt;='APA Assumptions'!$B$13,AE$3&lt;'APA Assumptions'!$B$13+'APA Assumptions'!$B$14),'APA Assumptions'!$B$12,0)</f>
        <v>0</v>
      </c>
      <c r="AF9" s="752">
        <f>IF(AND(AF$3&gt;='APA Assumptions'!$B$13,AF$3&lt;'APA Assumptions'!$B$13+'APA Assumptions'!$B$14),'APA Assumptions'!$B$12,0)</f>
        <v>0</v>
      </c>
      <c r="AG9" s="752">
        <f>IF(AND(AG$3&gt;='APA Assumptions'!$B$13,AG$3&lt;'APA Assumptions'!$B$13+'APA Assumptions'!$B$14),'APA Assumptions'!$B$12,0)</f>
        <v>0</v>
      </c>
      <c r="AH9" s="752">
        <f>IF(AND(AH$3&gt;='APA Assumptions'!$B$13,AH$3&lt;'APA Assumptions'!$B$13+'APA Assumptions'!$B$14),'APA Assumptions'!$B$12,0)</f>
        <v>0</v>
      </c>
      <c r="AI9" s="752">
        <f>IF(AND(AI$3&gt;='APA Assumptions'!$B$13,AI$3&lt;'APA Assumptions'!$B$13+'APA Assumptions'!$B$14),'APA Assumptions'!$B$12,0)</f>
        <v>0</v>
      </c>
      <c r="AJ9" s="752">
        <f>IF(AND(AJ$3&gt;='APA Assumptions'!$B$13,AJ$3&lt;'APA Assumptions'!$B$13+'APA Assumptions'!$B$14),'APA Assumptions'!$B$12,0)</f>
        <v>0</v>
      </c>
      <c r="AK9" s="752">
        <f>IF(AND(AK$3&gt;='APA Assumptions'!$B$13,AK$3&lt;'APA Assumptions'!$B$13+'APA Assumptions'!$B$14),'APA Assumptions'!$B$12,0)</f>
        <v>0</v>
      </c>
      <c r="AL9" s="752">
        <f>IF(AND(AL$3&gt;='APA Assumptions'!$B$13,AL$3&lt;'APA Assumptions'!$B$13+'APA Assumptions'!$B$14),'APA Assumptions'!$B$12,0)</f>
        <v>0</v>
      </c>
      <c r="AM9" s="752">
        <f>IF(AND(AM$3&gt;='APA Assumptions'!$B$13,AM$3&lt;'APA Assumptions'!$B$13+'APA Assumptions'!$B$14),'APA Assumptions'!$B$12,0)</f>
        <v>0</v>
      </c>
      <c r="AN9" s="752">
        <f>SUM(B9:AM9)</f>
        <v>40410</v>
      </c>
    </row>
    <row r="10" ht="15" customFormat="1" customHeight="1" s="381">
      <c r="A10" s="513" t="inlineStr">
        <is>
          <t>Francis: Construction Admin</t>
        </is>
      </c>
      <c r="B10" s="752">
        <f>IF(AND(B$3&gt;='APA Assumptions'!$B$16,B$3&lt;'APA Assumptions'!$B$16+'APA Assumptions'!$B$17),'APA Assumptions'!$B$15,0)</f>
        <v>0</v>
      </c>
      <c r="C10" s="752">
        <f>IF(AND(C$3&gt;='APA Assumptions'!$B$16,C$3&lt;'APA Assumptions'!$B$16+'APA Assumptions'!$B$17),'APA Assumptions'!$B$15,0)</f>
        <v>2500</v>
      </c>
      <c r="D10" s="752">
        <f>IF(AND(D$3&gt;='APA Assumptions'!$B$16,D$3&lt;'APA Assumptions'!$B$16+'APA Assumptions'!$B$17),'APA Assumptions'!$B$15,0)</f>
        <v>2500</v>
      </c>
      <c r="E10" s="752">
        <f>IF(AND(E$3&gt;='APA Assumptions'!$B$16,E$3&lt;'APA Assumptions'!$B$16+'APA Assumptions'!$B$17),'APA Assumptions'!$B$15,0)</f>
        <v>2500</v>
      </c>
      <c r="F10" s="752">
        <f>IF(AND(F$3&gt;='APA Assumptions'!$B$16,F$3&lt;'APA Assumptions'!$B$16+'APA Assumptions'!$B$17),'APA Assumptions'!$B$15,0)</f>
        <v>2500</v>
      </c>
      <c r="G10" s="752">
        <f>IF(AND(G$3&gt;='APA Assumptions'!$B$16,G$3&lt;'APA Assumptions'!$B$16+'APA Assumptions'!$B$17),'APA Assumptions'!$B$15,0)</f>
        <v>2500</v>
      </c>
      <c r="H10" s="752">
        <f>IF(AND(H$3&gt;='APA Assumptions'!$B$16,H$3&lt;'APA Assumptions'!$B$16+'APA Assumptions'!$B$17),'APA Assumptions'!$B$15,0)</f>
        <v>2500</v>
      </c>
      <c r="I10" s="752">
        <f>IF(AND(I$3&gt;='APA Assumptions'!$B$16,I$3&lt;'APA Assumptions'!$B$16+'APA Assumptions'!$B$17),'APA Assumptions'!$B$15,0)</f>
        <v>2500</v>
      </c>
      <c r="J10" s="752">
        <f>IF(AND(J$3&gt;='APA Assumptions'!$B$16,J$3&lt;'APA Assumptions'!$B$16+'APA Assumptions'!$B$17),'APA Assumptions'!$B$15,0)</f>
        <v>2500</v>
      </c>
      <c r="K10" s="752">
        <f>IF(AND(K$3&gt;='APA Assumptions'!$B$16,K$3&lt;'APA Assumptions'!$B$16+'APA Assumptions'!$B$17),'APA Assumptions'!$B$15,0)</f>
        <v>2500</v>
      </c>
      <c r="L10" s="752">
        <f>IF(AND(L$3&gt;='APA Assumptions'!$B$16,L$3&lt;'APA Assumptions'!$B$16+'APA Assumptions'!$B$17),'APA Assumptions'!$B$15,0)</f>
        <v>2500</v>
      </c>
      <c r="M10" s="752">
        <f>IF(AND(M$3&gt;='APA Assumptions'!$B$16,M$3&lt;'APA Assumptions'!$B$16+'APA Assumptions'!$B$17),'APA Assumptions'!$B$15,0)</f>
        <v>2500</v>
      </c>
      <c r="N10" s="752">
        <f>IF(AND(N$3&gt;='APA Assumptions'!$B$16,N$3&lt;'APA Assumptions'!$B$16+'APA Assumptions'!$B$17),'APA Assumptions'!$B$15,0)</f>
        <v>2500</v>
      </c>
      <c r="O10" s="752">
        <f>IF(AND(O$3&gt;='APA Assumptions'!$B$16,O$3&lt;'APA Assumptions'!$B$16+'APA Assumptions'!$B$17),'APA Assumptions'!$B$15,0)</f>
        <v>2500</v>
      </c>
      <c r="P10" s="752">
        <f>IF(AND(P$3&gt;='APA Assumptions'!$B$16,P$3&lt;'APA Assumptions'!$B$16+'APA Assumptions'!$B$17),'APA Assumptions'!$B$15,0)</f>
        <v>2500</v>
      </c>
      <c r="Q10" s="752">
        <f>IF(AND(Q$3&gt;='APA Assumptions'!$B$16,Q$3&lt;'APA Assumptions'!$B$16+'APA Assumptions'!$B$17),'APA Assumptions'!$B$15,0)</f>
        <v>2500</v>
      </c>
      <c r="R10" s="752">
        <f>IF(AND(R$3&gt;='APA Assumptions'!$B$16,R$3&lt;'APA Assumptions'!$B$16+'APA Assumptions'!$B$17),'APA Assumptions'!$B$15,0)</f>
        <v>2500</v>
      </c>
      <c r="S10" s="752">
        <f>IF(AND(S$3&gt;='APA Assumptions'!$B$16,S$3&lt;'APA Assumptions'!$B$16+'APA Assumptions'!$B$17),'APA Assumptions'!$B$15,0)</f>
        <v>2500</v>
      </c>
      <c r="T10" s="752">
        <f>IF(AND(T$3&gt;='APA Assumptions'!$B$16,T$3&lt;'APA Assumptions'!$B$16+'APA Assumptions'!$B$17),'APA Assumptions'!$B$15,0)</f>
        <v>2500</v>
      </c>
      <c r="U10" s="752">
        <f>IF(AND(U$3&gt;='APA Assumptions'!$B$16,U$3&lt;'APA Assumptions'!$B$16+'APA Assumptions'!$B$17),'APA Assumptions'!$B$15,0)</f>
        <v>2500</v>
      </c>
      <c r="V10" s="752">
        <f>IF(AND(V$3&gt;='APA Assumptions'!$B$16,V$3&lt;'APA Assumptions'!$B$16+'APA Assumptions'!$B$17),'APA Assumptions'!$B$15,0)</f>
        <v>2500</v>
      </c>
      <c r="W10" s="752">
        <f>IF(AND(W$3&gt;='APA Assumptions'!$B$16,W$3&lt;'APA Assumptions'!$B$16+'APA Assumptions'!$B$17),'APA Assumptions'!$B$15,0)</f>
        <v>2500</v>
      </c>
      <c r="X10" s="752">
        <f>IF(AND(X$3&gt;='APA Assumptions'!$B$16,X$3&lt;'APA Assumptions'!$B$16+'APA Assumptions'!$B$17),'APA Assumptions'!$B$15,0)</f>
        <v>2500</v>
      </c>
      <c r="Y10" s="752">
        <f>IF(AND(Y$3&gt;='APA Assumptions'!$B$16,Y$3&lt;'APA Assumptions'!$B$16+'APA Assumptions'!$B$17),'APA Assumptions'!$B$15,0)</f>
        <v>2500</v>
      </c>
      <c r="Z10" s="752">
        <f>IF(AND(Z$3&gt;='APA Assumptions'!$B$16,Z$3&lt;'APA Assumptions'!$B$16+'APA Assumptions'!$B$17),'APA Assumptions'!$B$15,0)</f>
        <v>2500</v>
      </c>
      <c r="AA10" s="752">
        <f>IF(AND(AA$3&gt;='APA Assumptions'!$B$16,AA$3&lt;'APA Assumptions'!$B$16+'APA Assumptions'!$B$17),'APA Assumptions'!$B$15,0)</f>
        <v>2500</v>
      </c>
      <c r="AB10" s="752">
        <f>IF(AND(AB$3&gt;='APA Assumptions'!$B$16,AB$3&lt;'APA Assumptions'!$B$16+'APA Assumptions'!$B$17),'APA Assumptions'!$B$15,0)</f>
        <v>2500</v>
      </c>
      <c r="AC10" s="752">
        <f>IF(AND(AC$3&gt;='APA Assumptions'!$B$16,AC$3&lt;'APA Assumptions'!$B$16+'APA Assumptions'!$B$17),'APA Assumptions'!$B$15,0)</f>
        <v>2500</v>
      </c>
      <c r="AD10" s="752">
        <f>IF(AND(AD$3&gt;='APA Assumptions'!$B$16,AD$3&lt;'APA Assumptions'!$B$16+'APA Assumptions'!$B$17),'APA Assumptions'!$B$15,0)</f>
        <v>2500</v>
      </c>
      <c r="AE10" s="752">
        <f>IF(AND(AE$3&gt;='APA Assumptions'!$B$16,AE$3&lt;'APA Assumptions'!$B$16+'APA Assumptions'!$B$17),'APA Assumptions'!$B$15,0)</f>
        <v>2500</v>
      </c>
      <c r="AF10" s="752">
        <f>IF(AND(AF$3&gt;='APA Assumptions'!$B$16,AF$3&lt;'APA Assumptions'!$B$16+'APA Assumptions'!$B$17),'APA Assumptions'!$B$15,0)</f>
        <v>2500</v>
      </c>
      <c r="AG10" s="752">
        <f>IF(AND(AG$3&gt;='APA Assumptions'!$B$16,AG$3&lt;'APA Assumptions'!$B$16+'APA Assumptions'!$B$17),'APA Assumptions'!$B$15,0)</f>
        <v>0</v>
      </c>
      <c r="AH10" s="752">
        <f>IF(AND(AH$3&gt;='APA Assumptions'!$B$16,AH$3&lt;'APA Assumptions'!$B$16+'APA Assumptions'!$B$17),'APA Assumptions'!$B$15,0)</f>
        <v>0</v>
      </c>
      <c r="AI10" s="752">
        <f>IF(AND(AI$3&gt;='APA Assumptions'!$B$16,AI$3&lt;'APA Assumptions'!$B$16+'APA Assumptions'!$B$17),'APA Assumptions'!$B$15,0)</f>
        <v>0</v>
      </c>
      <c r="AJ10" s="752">
        <f>IF(AND(AJ$3&gt;='APA Assumptions'!$B$16,AJ$3&lt;'APA Assumptions'!$B$16+'APA Assumptions'!$B$17),'APA Assumptions'!$B$15,0)</f>
        <v>0</v>
      </c>
      <c r="AK10" s="752">
        <f>IF(AND(AK$3&gt;='APA Assumptions'!$B$16,AK$3&lt;'APA Assumptions'!$B$16+'APA Assumptions'!$B$17),'APA Assumptions'!$B$15,0)</f>
        <v>0</v>
      </c>
      <c r="AL10" s="752">
        <f>IF(AND(AL$3&gt;='APA Assumptions'!$B$16,AL$3&lt;'APA Assumptions'!$B$16+'APA Assumptions'!$B$17),'APA Assumptions'!$B$15,0)</f>
        <v>0</v>
      </c>
      <c r="AM10" s="752">
        <f>IF(AND(AM$3&gt;='APA Assumptions'!$B$16,AM$3&lt;'APA Assumptions'!$B$16+'APA Assumptions'!$B$17),'APA Assumptions'!$B$15,0)</f>
        <v>0</v>
      </c>
      <c r="AN10" s="752">
        <f>SUM(B10:AM10)</f>
        <v>75000</v>
      </c>
    </row>
    <row r="11" ht="15" customFormat="1" customHeight="1" s="381">
      <c r="A11" s="513" t="inlineStr">
        <is>
          <t>3rd Street: Schematic Design</t>
        </is>
      </c>
      <c r="B11" s="752">
        <f>IF(B$3&gt;='APA Assumptions'!$B$19,MAX(0,MIN('APA Assumptions'!$B$18,'APA Assumptions'!$B$20-'APA Assumptions'!$B$18*(B$3-'APA Assumptions'!$B$19))),0)</f>
        <v>0</v>
      </c>
      <c r="C11" s="752">
        <f>IF(C$3&gt;='APA Assumptions'!$B$19,MAX(0,MIN('APA Assumptions'!$B$18,'APA Assumptions'!$B$20-'APA Assumptions'!$B$18*(C$3-'APA Assumptions'!$B$19))),0)</f>
        <v>7500</v>
      </c>
      <c r="D11" s="752">
        <f>IF(D$3&gt;='APA Assumptions'!$B$19,MAX(0,MIN('APA Assumptions'!$B$18,'APA Assumptions'!$B$20-'APA Assumptions'!$B$18*(D$3-'APA Assumptions'!$B$19))),0)</f>
        <v>7500</v>
      </c>
      <c r="E11" s="752">
        <f>IF(E$3&gt;='APA Assumptions'!$B$19,MAX(0,MIN('APA Assumptions'!$B$18,'APA Assumptions'!$B$20-'APA Assumptions'!$B$18*(E$3-'APA Assumptions'!$B$19))),0)</f>
        <v>7500</v>
      </c>
      <c r="F11" s="752">
        <f>IF(F$3&gt;='APA Assumptions'!$B$19,MAX(0,MIN('APA Assumptions'!$B$18,'APA Assumptions'!$B$20-'APA Assumptions'!$B$18*(F$3-'APA Assumptions'!$B$19))),0)</f>
        <v>7500</v>
      </c>
      <c r="G11" s="752">
        <f>IF(G$3&gt;='APA Assumptions'!$B$19,MAX(0,MIN('APA Assumptions'!$B$18,'APA Assumptions'!$B$20-'APA Assumptions'!$B$18*(G$3-'APA Assumptions'!$B$19))),0)</f>
        <v>2000</v>
      </c>
      <c r="H11" s="752">
        <f>IF(H$3&gt;='APA Assumptions'!$B$19,MAX(0,MIN('APA Assumptions'!$B$18,'APA Assumptions'!$B$20-'APA Assumptions'!$B$18*(H$3-'APA Assumptions'!$B$19))),0)</f>
        <v>0</v>
      </c>
      <c r="I11" s="752">
        <f>IF(I$3&gt;='APA Assumptions'!$B$19,MAX(0,MIN('APA Assumptions'!$B$18,'APA Assumptions'!$B$20-'APA Assumptions'!$B$18*(I$3-'APA Assumptions'!$B$19))),0)</f>
        <v>0</v>
      </c>
      <c r="J11" s="752">
        <f>IF(J$3&gt;='APA Assumptions'!$B$19,MAX(0,MIN('APA Assumptions'!$B$18,'APA Assumptions'!$B$20-'APA Assumptions'!$B$18*(J$3-'APA Assumptions'!$B$19))),0)</f>
        <v>0</v>
      </c>
      <c r="K11" s="752">
        <f>IF(K$3&gt;='APA Assumptions'!$B$19,MAX(0,MIN('APA Assumptions'!$B$18,'APA Assumptions'!$B$20-'APA Assumptions'!$B$18*(K$3-'APA Assumptions'!$B$19))),0)</f>
        <v>0</v>
      </c>
      <c r="L11" s="752">
        <f>IF(L$3&gt;='APA Assumptions'!$B$19,MAX(0,MIN('APA Assumptions'!$B$18,'APA Assumptions'!$B$20-'APA Assumptions'!$B$18*(L$3-'APA Assumptions'!$B$19))),0)</f>
        <v>0</v>
      </c>
      <c r="M11" s="752">
        <f>IF(M$3&gt;='APA Assumptions'!$B$19,MAX(0,MIN('APA Assumptions'!$B$18,'APA Assumptions'!$B$20-'APA Assumptions'!$B$18*(M$3-'APA Assumptions'!$B$19))),0)</f>
        <v>0</v>
      </c>
      <c r="N11" s="752">
        <f>IF(N$3&gt;='APA Assumptions'!$B$19,MAX(0,MIN('APA Assumptions'!$B$18,'APA Assumptions'!$B$20-'APA Assumptions'!$B$18*(N$3-'APA Assumptions'!$B$19))),0)</f>
        <v>0</v>
      </c>
      <c r="O11" s="752">
        <f>IF(O$3&gt;='APA Assumptions'!$B$19,MAX(0,MIN('APA Assumptions'!$B$18,'APA Assumptions'!$B$20-'APA Assumptions'!$B$18*(O$3-'APA Assumptions'!$B$19))),0)</f>
        <v>0</v>
      </c>
      <c r="P11" s="752">
        <f>IF(P$3&gt;='APA Assumptions'!$B$19,MAX(0,MIN('APA Assumptions'!$B$18,'APA Assumptions'!$B$20-'APA Assumptions'!$B$18*(P$3-'APA Assumptions'!$B$19))),0)</f>
        <v>0</v>
      </c>
      <c r="Q11" s="752">
        <f>IF(Q$3&gt;='APA Assumptions'!$B$19,MAX(0,MIN('APA Assumptions'!$B$18,'APA Assumptions'!$B$20-'APA Assumptions'!$B$18*(Q$3-'APA Assumptions'!$B$19))),0)</f>
        <v>0</v>
      </c>
      <c r="R11" s="752">
        <f>IF(R$3&gt;='APA Assumptions'!$B$19,MAX(0,MIN('APA Assumptions'!$B$18,'APA Assumptions'!$B$20-'APA Assumptions'!$B$18*(R$3-'APA Assumptions'!$B$19))),0)</f>
        <v>0</v>
      </c>
      <c r="S11" s="752">
        <f>IF(S$3&gt;='APA Assumptions'!$B$19,MAX(0,MIN('APA Assumptions'!$B$18,'APA Assumptions'!$B$20-'APA Assumptions'!$B$18*(S$3-'APA Assumptions'!$B$19))),0)</f>
        <v>0</v>
      </c>
      <c r="T11" s="752">
        <f>IF(T$3&gt;='APA Assumptions'!$B$19,MAX(0,MIN('APA Assumptions'!$B$18,'APA Assumptions'!$B$20-'APA Assumptions'!$B$18*(T$3-'APA Assumptions'!$B$19))),0)</f>
        <v>0</v>
      </c>
      <c r="U11" s="752">
        <f>IF(U$3&gt;='APA Assumptions'!$B$19,MAX(0,MIN('APA Assumptions'!$B$18,'APA Assumptions'!$B$20-'APA Assumptions'!$B$18*(U$3-'APA Assumptions'!$B$19))),0)</f>
        <v>0</v>
      </c>
      <c r="V11" s="752">
        <f>IF(V$3&gt;='APA Assumptions'!$B$19,MAX(0,MIN('APA Assumptions'!$B$18,'APA Assumptions'!$B$20-'APA Assumptions'!$B$18*(V$3-'APA Assumptions'!$B$19))),0)</f>
        <v>0</v>
      </c>
      <c r="W11" s="752">
        <f>IF(W$3&gt;='APA Assumptions'!$B$19,MAX(0,MIN('APA Assumptions'!$B$18,'APA Assumptions'!$B$20-'APA Assumptions'!$B$18*(W$3-'APA Assumptions'!$B$19))),0)</f>
        <v>0</v>
      </c>
      <c r="X11" s="752">
        <f>IF(X$3&gt;='APA Assumptions'!$B$19,MAX(0,MIN('APA Assumptions'!$B$18,'APA Assumptions'!$B$20-'APA Assumptions'!$B$18*(X$3-'APA Assumptions'!$B$19))),0)</f>
        <v>0</v>
      </c>
      <c r="Y11" s="752">
        <f>IF(Y$3&gt;='APA Assumptions'!$B$19,MAX(0,MIN('APA Assumptions'!$B$18,'APA Assumptions'!$B$20-'APA Assumptions'!$B$18*(Y$3-'APA Assumptions'!$B$19))),0)</f>
        <v>0</v>
      </c>
      <c r="Z11" s="752">
        <f>IF(Z$3&gt;='APA Assumptions'!$B$19,MAX(0,MIN('APA Assumptions'!$B$18,'APA Assumptions'!$B$20-'APA Assumptions'!$B$18*(Z$3-'APA Assumptions'!$B$19))),0)</f>
        <v>0</v>
      </c>
      <c r="AA11" s="752">
        <f>IF(AA$3&gt;='APA Assumptions'!$B$19,MAX(0,MIN('APA Assumptions'!$B$18,'APA Assumptions'!$B$20-'APA Assumptions'!$B$18*(AA$3-'APA Assumptions'!$B$19))),0)</f>
        <v>0</v>
      </c>
      <c r="AB11" s="752">
        <f>IF(AB$3&gt;='APA Assumptions'!$B$19,MAX(0,MIN('APA Assumptions'!$B$18,'APA Assumptions'!$B$20-'APA Assumptions'!$B$18*(AB$3-'APA Assumptions'!$B$19))),0)</f>
        <v>0</v>
      </c>
      <c r="AC11" s="752">
        <f>IF(AC$3&gt;='APA Assumptions'!$B$19,MAX(0,MIN('APA Assumptions'!$B$18,'APA Assumptions'!$B$20-'APA Assumptions'!$B$18*(AC$3-'APA Assumptions'!$B$19))),0)</f>
        <v>0</v>
      </c>
      <c r="AD11" s="752">
        <f>IF(AD$3&gt;='APA Assumptions'!$B$19,MAX(0,MIN('APA Assumptions'!$B$18,'APA Assumptions'!$B$20-'APA Assumptions'!$B$18*(AD$3-'APA Assumptions'!$B$19))),0)</f>
        <v>0</v>
      </c>
      <c r="AE11" s="752">
        <f>IF(AE$3&gt;='APA Assumptions'!$B$19,MAX(0,MIN('APA Assumptions'!$B$18,'APA Assumptions'!$B$20-'APA Assumptions'!$B$18*(AE$3-'APA Assumptions'!$B$19))),0)</f>
        <v>0</v>
      </c>
      <c r="AF11" s="752">
        <f>IF(AF$3&gt;='APA Assumptions'!$B$19,MAX(0,MIN('APA Assumptions'!$B$18,'APA Assumptions'!$B$20-'APA Assumptions'!$B$18*(AF$3-'APA Assumptions'!$B$19))),0)</f>
        <v>0</v>
      </c>
      <c r="AG11" s="752">
        <f>IF(AG$3&gt;='APA Assumptions'!$B$19,MAX(0,MIN('APA Assumptions'!$B$18,'APA Assumptions'!$B$20-'APA Assumptions'!$B$18*(AG$3-'APA Assumptions'!$B$19))),0)</f>
        <v>0</v>
      </c>
      <c r="AH11" s="752">
        <f>IF(AH$3&gt;='APA Assumptions'!$B$19,MAX(0,MIN('APA Assumptions'!$B$18,'APA Assumptions'!$B$20-'APA Assumptions'!$B$18*(AH$3-'APA Assumptions'!$B$19))),0)</f>
        <v>0</v>
      </c>
      <c r="AI11" s="752">
        <f>IF(AI$3&gt;='APA Assumptions'!$B$19,MAX(0,MIN('APA Assumptions'!$B$18,'APA Assumptions'!$B$20-'APA Assumptions'!$B$18*(AI$3-'APA Assumptions'!$B$19))),0)</f>
        <v>0</v>
      </c>
      <c r="AJ11" s="752">
        <f>IF(AJ$3&gt;='APA Assumptions'!$B$19,MAX(0,MIN('APA Assumptions'!$B$18,'APA Assumptions'!$B$20-'APA Assumptions'!$B$18*(AJ$3-'APA Assumptions'!$B$19))),0)</f>
        <v>0</v>
      </c>
      <c r="AK11" s="752">
        <f>IF(AK$3&gt;='APA Assumptions'!$B$19,MAX(0,MIN('APA Assumptions'!$B$18,'APA Assumptions'!$B$20-'APA Assumptions'!$B$18*(AK$3-'APA Assumptions'!$B$19))),0)</f>
        <v>0</v>
      </c>
      <c r="AL11" s="752">
        <f>IF(AL$3&gt;='APA Assumptions'!$B$19,MAX(0,MIN('APA Assumptions'!$B$18,'APA Assumptions'!$B$20-'APA Assumptions'!$B$18*(AL$3-'APA Assumptions'!$B$19))),0)</f>
        <v>0</v>
      </c>
      <c r="AM11" s="752">
        <f>IF(AM$3&gt;='APA Assumptions'!$B$19,MAX(0,MIN('APA Assumptions'!$B$18,'APA Assumptions'!$B$20-'APA Assumptions'!$B$18*(AM$3-'APA Assumptions'!$B$19))),0)</f>
        <v>0</v>
      </c>
      <c r="AN11" s="752">
        <f>SUM(B11:AM11)</f>
        <v>32000</v>
      </c>
    </row>
    <row r="12" ht="15" customFormat="1" customHeight="1" s="381">
      <c r="A12" s="513" t="inlineStr">
        <is>
          <t>3rd Street: CD / Bid / Permit</t>
        </is>
      </c>
      <c r="B12" s="752">
        <f>IF(AND(B$3&gt;='APA Assumptions'!$B$22,B$3&lt;'APA Assumptions'!$B$22+'APA Assumptions'!$B$23),'APA Assumptions'!$B$24,0)</f>
        <v>0</v>
      </c>
      <c r="C12" s="752">
        <f>IF(AND(C$3&gt;='APA Assumptions'!$B$22,C$3&lt;'APA Assumptions'!$B$22+'APA Assumptions'!$B$23),'APA Assumptions'!$B$24,0)</f>
        <v>0</v>
      </c>
      <c r="D12" s="752">
        <f>IF(AND(D$3&gt;='APA Assumptions'!$B$22,D$3&lt;'APA Assumptions'!$B$22+'APA Assumptions'!$B$23),'APA Assumptions'!$B$24,0)</f>
        <v>0</v>
      </c>
      <c r="E12" s="752">
        <f>IF(AND(E$3&gt;='APA Assumptions'!$B$22,E$3&lt;'APA Assumptions'!$B$22+'APA Assumptions'!$B$23),'APA Assumptions'!$B$24,0)</f>
        <v>0</v>
      </c>
      <c r="F12" s="752">
        <f>IF(AND(F$3&gt;='APA Assumptions'!$B$22,F$3&lt;'APA Assumptions'!$B$22+'APA Assumptions'!$B$23),'APA Assumptions'!$B$24,0)</f>
        <v>0</v>
      </c>
      <c r="G12" s="752">
        <f>IF(AND(G$3&gt;='APA Assumptions'!$B$22,G$3&lt;'APA Assumptions'!$B$22+'APA Assumptions'!$B$23),'APA Assumptions'!$B$24,0)</f>
        <v>0</v>
      </c>
      <c r="H12" s="752">
        <f>IF(AND(H$3&gt;='APA Assumptions'!$B$22,H$3&lt;'APA Assumptions'!$B$22+'APA Assumptions'!$B$23),'APA Assumptions'!$B$24,0)</f>
        <v>50000</v>
      </c>
      <c r="I12" s="752">
        <f>IF(AND(I$3&gt;='APA Assumptions'!$B$22,I$3&lt;'APA Assumptions'!$B$22+'APA Assumptions'!$B$23),'APA Assumptions'!$B$24,0)</f>
        <v>50000</v>
      </c>
      <c r="J12" s="752">
        <f>IF(AND(J$3&gt;='APA Assumptions'!$B$22,J$3&lt;'APA Assumptions'!$B$22+'APA Assumptions'!$B$23),'APA Assumptions'!$B$24,0)</f>
        <v>50000</v>
      </c>
      <c r="K12" s="752">
        <f>IF(AND(K$3&gt;='APA Assumptions'!$B$22,K$3&lt;'APA Assumptions'!$B$22+'APA Assumptions'!$B$23),'APA Assumptions'!$B$24,0)</f>
        <v>50000</v>
      </c>
      <c r="L12" s="752">
        <f>IF(AND(L$3&gt;='APA Assumptions'!$B$22,L$3&lt;'APA Assumptions'!$B$22+'APA Assumptions'!$B$23),'APA Assumptions'!$B$24,0)</f>
        <v>50000</v>
      </c>
      <c r="M12" s="752">
        <f>IF(AND(M$3&gt;='APA Assumptions'!$B$22,M$3&lt;'APA Assumptions'!$B$22+'APA Assumptions'!$B$23),'APA Assumptions'!$B$24,0)</f>
        <v>50000</v>
      </c>
      <c r="N12" s="752">
        <f>IF(AND(N$3&gt;='APA Assumptions'!$B$22,N$3&lt;'APA Assumptions'!$B$22+'APA Assumptions'!$B$23),'APA Assumptions'!$B$24,0)</f>
        <v>50000</v>
      </c>
      <c r="O12" s="752">
        <f>IF(AND(O$3&gt;='APA Assumptions'!$B$22,O$3&lt;'APA Assumptions'!$B$22+'APA Assumptions'!$B$23),'APA Assumptions'!$B$24,0)</f>
        <v>50000</v>
      </c>
      <c r="P12" s="752">
        <f>IF(AND(P$3&gt;='APA Assumptions'!$B$22,P$3&lt;'APA Assumptions'!$B$22+'APA Assumptions'!$B$23),'APA Assumptions'!$B$24,0)</f>
        <v>50000</v>
      </c>
      <c r="Q12" s="752">
        <f>IF(AND(Q$3&gt;='APA Assumptions'!$B$22,Q$3&lt;'APA Assumptions'!$B$22+'APA Assumptions'!$B$23),'APA Assumptions'!$B$24,0)</f>
        <v>50000</v>
      </c>
      <c r="R12" s="752">
        <f>IF(AND(R$3&gt;='APA Assumptions'!$B$22,R$3&lt;'APA Assumptions'!$B$22+'APA Assumptions'!$B$23),'APA Assumptions'!$B$24,0)</f>
        <v>50000</v>
      </c>
      <c r="S12" s="752">
        <f>IF(AND(S$3&gt;='APA Assumptions'!$B$22,S$3&lt;'APA Assumptions'!$B$22+'APA Assumptions'!$B$23),'APA Assumptions'!$B$24,0)</f>
        <v>50000</v>
      </c>
      <c r="T12" s="752">
        <f>IF(AND(T$3&gt;='APA Assumptions'!$B$22,T$3&lt;'APA Assumptions'!$B$22+'APA Assumptions'!$B$23),'APA Assumptions'!$B$24,0)</f>
        <v>0</v>
      </c>
      <c r="U12" s="752">
        <f>IF(AND(U$3&gt;='APA Assumptions'!$B$22,U$3&lt;'APA Assumptions'!$B$22+'APA Assumptions'!$B$23),'APA Assumptions'!$B$24,0)</f>
        <v>0</v>
      </c>
      <c r="V12" s="752">
        <f>IF(AND(V$3&gt;='APA Assumptions'!$B$22,V$3&lt;'APA Assumptions'!$B$22+'APA Assumptions'!$B$23),'APA Assumptions'!$B$24,0)</f>
        <v>0</v>
      </c>
      <c r="W12" s="752">
        <f>IF(AND(W$3&gt;='APA Assumptions'!$B$22,W$3&lt;'APA Assumptions'!$B$22+'APA Assumptions'!$B$23),'APA Assumptions'!$B$24,0)</f>
        <v>0</v>
      </c>
      <c r="X12" s="752">
        <f>IF(AND(X$3&gt;='APA Assumptions'!$B$22,X$3&lt;'APA Assumptions'!$B$22+'APA Assumptions'!$B$23),'APA Assumptions'!$B$24,0)</f>
        <v>0</v>
      </c>
      <c r="Y12" s="752">
        <f>IF(AND(Y$3&gt;='APA Assumptions'!$B$22,Y$3&lt;'APA Assumptions'!$B$22+'APA Assumptions'!$B$23),'APA Assumptions'!$B$24,0)</f>
        <v>0</v>
      </c>
      <c r="Z12" s="752">
        <f>IF(AND(Z$3&gt;='APA Assumptions'!$B$22,Z$3&lt;'APA Assumptions'!$B$22+'APA Assumptions'!$B$23),'APA Assumptions'!$B$24,0)</f>
        <v>0</v>
      </c>
      <c r="AA12" s="752">
        <f>IF(AND(AA$3&gt;='APA Assumptions'!$B$22,AA$3&lt;'APA Assumptions'!$B$22+'APA Assumptions'!$B$23),'APA Assumptions'!$B$24,0)</f>
        <v>0</v>
      </c>
      <c r="AB12" s="752">
        <f>IF(AND(AB$3&gt;='APA Assumptions'!$B$22,AB$3&lt;'APA Assumptions'!$B$22+'APA Assumptions'!$B$23),'APA Assumptions'!$B$24,0)</f>
        <v>0</v>
      </c>
      <c r="AC12" s="752">
        <f>IF(AND(AC$3&gt;='APA Assumptions'!$B$22,AC$3&lt;'APA Assumptions'!$B$22+'APA Assumptions'!$B$23),'APA Assumptions'!$B$24,0)</f>
        <v>0</v>
      </c>
      <c r="AD12" s="752">
        <f>IF(AND(AD$3&gt;='APA Assumptions'!$B$22,AD$3&lt;'APA Assumptions'!$B$22+'APA Assumptions'!$B$23),'APA Assumptions'!$B$24,0)</f>
        <v>0</v>
      </c>
      <c r="AE12" s="752">
        <f>IF(AND(AE$3&gt;='APA Assumptions'!$B$22,AE$3&lt;'APA Assumptions'!$B$22+'APA Assumptions'!$B$23),'APA Assumptions'!$B$24,0)</f>
        <v>0</v>
      </c>
      <c r="AF12" s="752">
        <f>IF(AND(AF$3&gt;='APA Assumptions'!$B$22,AF$3&lt;'APA Assumptions'!$B$22+'APA Assumptions'!$B$23),'APA Assumptions'!$B$24,0)</f>
        <v>0</v>
      </c>
      <c r="AG12" s="752">
        <f>IF(AND(AG$3&gt;='APA Assumptions'!$B$22,AG$3&lt;'APA Assumptions'!$B$22+'APA Assumptions'!$B$23),'APA Assumptions'!$B$24,0)</f>
        <v>0</v>
      </c>
      <c r="AH12" s="752">
        <f>IF(AND(AH$3&gt;='APA Assumptions'!$B$22,AH$3&lt;'APA Assumptions'!$B$22+'APA Assumptions'!$B$23),'APA Assumptions'!$B$24,0)</f>
        <v>0</v>
      </c>
      <c r="AI12" s="752">
        <f>IF(AND(AI$3&gt;='APA Assumptions'!$B$22,AI$3&lt;'APA Assumptions'!$B$22+'APA Assumptions'!$B$23),'APA Assumptions'!$B$24,0)</f>
        <v>0</v>
      </c>
      <c r="AJ12" s="752">
        <f>IF(AND(AJ$3&gt;='APA Assumptions'!$B$22,AJ$3&lt;'APA Assumptions'!$B$22+'APA Assumptions'!$B$23),'APA Assumptions'!$B$24,0)</f>
        <v>0</v>
      </c>
      <c r="AK12" s="752">
        <f>IF(AND(AK$3&gt;='APA Assumptions'!$B$22,AK$3&lt;'APA Assumptions'!$B$22+'APA Assumptions'!$B$23),'APA Assumptions'!$B$24,0)</f>
        <v>0</v>
      </c>
      <c r="AL12" s="752">
        <f>IF(AND(AL$3&gt;='APA Assumptions'!$B$22,AL$3&lt;'APA Assumptions'!$B$22+'APA Assumptions'!$B$23),'APA Assumptions'!$B$24,0)</f>
        <v>0</v>
      </c>
      <c r="AM12" s="752">
        <f>IF(AND(AM$3&gt;='APA Assumptions'!$B$22,AM$3&lt;'APA Assumptions'!$B$22+'APA Assumptions'!$B$23),'APA Assumptions'!$B$24,0)</f>
        <v>0</v>
      </c>
      <c r="AN12" s="752">
        <f>SUM(B12:AM12)</f>
        <v>600000</v>
      </c>
    </row>
    <row r="13" ht="15" customFormat="1" customHeight="1" s="381">
      <c r="A13" s="513" t="inlineStr">
        <is>
          <t>3rd Street: Construction Admin</t>
        </is>
      </c>
      <c r="B13" s="752">
        <f>IF(AND(B$3&gt;='APA Assumptions'!$B$26,B$3&lt;'APA Assumptions'!$B$26+'APA Assumptions'!$B$27),'APA Assumptions'!$B$25,0)</f>
        <v>0</v>
      </c>
      <c r="C13" s="752">
        <f>IF(AND(C$3&gt;='APA Assumptions'!$B$26,C$3&lt;'APA Assumptions'!$B$26+'APA Assumptions'!$B$27),'APA Assumptions'!$B$25,0)</f>
        <v>0</v>
      </c>
      <c r="D13" s="752">
        <f>IF(AND(D$3&gt;='APA Assumptions'!$B$26,D$3&lt;'APA Assumptions'!$B$26+'APA Assumptions'!$B$27),'APA Assumptions'!$B$25,0)</f>
        <v>0</v>
      </c>
      <c r="E13" s="752">
        <f>IF(AND(E$3&gt;='APA Assumptions'!$B$26,E$3&lt;'APA Assumptions'!$B$26+'APA Assumptions'!$B$27),'APA Assumptions'!$B$25,0)</f>
        <v>0</v>
      </c>
      <c r="F13" s="752">
        <f>IF(AND(F$3&gt;='APA Assumptions'!$B$26,F$3&lt;'APA Assumptions'!$B$26+'APA Assumptions'!$B$27),'APA Assumptions'!$B$25,0)</f>
        <v>0</v>
      </c>
      <c r="G13" s="752">
        <f>IF(AND(G$3&gt;='APA Assumptions'!$B$26,G$3&lt;'APA Assumptions'!$B$26+'APA Assumptions'!$B$27),'APA Assumptions'!$B$25,0)</f>
        <v>0</v>
      </c>
      <c r="H13" s="752">
        <f>IF(AND(H$3&gt;='APA Assumptions'!$B$26,H$3&lt;'APA Assumptions'!$B$26+'APA Assumptions'!$B$27),'APA Assumptions'!$B$25,0)</f>
        <v>0</v>
      </c>
      <c r="I13" s="752">
        <f>IF(AND(I$3&gt;='APA Assumptions'!$B$26,I$3&lt;'APA Assumptions'!$B$26+'APA Assumptions'!$B$27),'APA Assumptions'!$B$25,0)</f>
        <v>0</v>
      </c>
      <c r="J13" s="752">
        <f>IF(AND(J$3&gt;='APA Assumptions'!$B$26,J$3&lt;'APA Assumptions'!$B$26+'APA Assumptions'!$B$27),'APA Assumptions'!$B$25,0)</f>
        <v>0</v>
      </c>
      <c r="K13" s="752">
        <f>IF(AND(K$3&gt;='APA Assumptions'!$B$26,K$3&lt;'APA Assumptions'!$B$26+'APA Assumptions'!$B$27),'APA Assumptions'!$B$25,0)</f>
        <v>0</v>
      </c>
      <c r="L13" s="752">
        <f>IF(AND(L$3&gt;='APA Assumptions'!$B$26,L$3&lt;'APA Assumptions'!$B$26+'APA Assumptions'!$B$27),'APA Assumptions'!$B$25,0)</f>
        <v>0</v>
      </c>
      <c r="M13" s="752">
        <f>IF(AND(M$3&gt;='APA Assumptions'!$B$26,M$3&lt;'APA Assumptions'!$B$26+'APA Assumptions'!$B$27),'APA Assumptions'!$B$25,0)</f>
        <v>0</v>
      </c>
      <c r="N13" s="752">
        <f>IF(AND(N$3&gt;='APA Assumptions'!$B$26,N$3&lt;'APA Assumptions'!$B$26+'APA Assumptions'!$B$27),'APA Assumptions'!$B$25,0)</f>
        <v>0</v>
      </c>
      <c r="O13" s="752">
        <f>IF(AND(O$3&gt;='APA Assumptions'!$B$26,O$3&lt;'APA Assumptions'!$B$26+'APA Assumptions'!$B$27),'APA Assumptions'!$B$25,0)</f>
        <v>0</v>
      </c>
      <c r="P13" s="752">
        <f>IF(AND(P$3&gt;='APA Assumptions'!$B$26,P$3&lt;'APA Assumptions'!$B$26+'APA Assumptions'!$B$27),'APA Assumptions'!$B$25,0)</f>
        <v>0</v>
      </c>
      <c r="Q13" s="752">
        <f>IF(AND(Q$3&gt;='APA Assumptions'!$B$26,Q$3&lt;'APA Assumptions'!$B$26+'APA Assumptions'!$B$27),'APA Assumptions'!$B$25,0)</f>
        <v>0</v>
      </c>
      <c r="R13" s="752">
        <f>IF(AND(R$3&gt;='APA Assumptions'!$B$26,R$3&lt;'APA Assumptions'!$B$26+'APA Assumptions'!$B$27),'APA Assumptions'!$B$25,0)</f>
        <v>0</v>
      </c>
      <c r="S13" s="752">
        <f>IF(AND(S$3&gt;='APA Assumptions'!$B$26,S$3&lt;'APA Assumptions'!$B$26+'APA Assumptions'!$B$27),'APA Assumptions'!$B$25,0)</f>
        <v>0</v>
      </c>
      <c r="T13" s="752">
        <f>IF(AND(T$3&gt;='APA Assumptions'!$B$26,T$3&lt;'APA Assumptions'!$B$26+'APA Assumptions'!$B$27),'APA Assumptions'!$B$25,0)</f>
        <v>0</v>
      </c>
      <c r="U13" s="752">
        <f>IF(AND(U$3&gt;='APA Assumptions'!$B$26,U$3&lt;'APA Assumptions'!$B$26+'APA Assumptions'!$B$27),'APA Assumptions'!$B$25,0)</f>
        <v>0</v>
      </c>
      <c r="V13" s="752">
        <f>IF(AND(V$3&gt;='APA Assumptions'!$B$26,V$3&lt;'APA Assumptions'!$B$26+'APA Assumptions'!$B$27),'APA Assumptions'!$B$25,0)</f>
        <v>0</v>
      </c>
      <c r="W13" s="752">
        <f>IF(AND(W$3&gt;='APA Assumptions'!$B$26,W$3&lt;'APA Assumptions'!$B$26+'APA Assumptions'!$B$27),'APA Assumptions'!$B$25,0)</f>
        <v>2500</v>
      </c>
      <c r="X13" s="752">
        <f>IF(AND(X$3&gt;='APA Assumptions'!$B$26,X$3&lt;'APA Assumptions'!$B$26+'APA Assumptions'!$B$27),'APA Assumptions'!$B$25,0)</f>
        <v>2500</v>
      </c>
      <c r="Y13" s="752">
        <f>IF(AND(Y$3&gt;='APA Assumptions'!$B$26,Y$3&lt;'APA Assumptions'!$B$26+'APA Assumptions'!$B$27),'APA Assumptions'!$B$25,0)</f>
        <v>2500</v>
      </c>
      <c r="Z13" s="752">
        <f>IF(AND(Z$3&gt;='APA Assumptions'!$B$26,Z$3&lt;'APA Assumptions'!$B$26+'APA Assumptions'!$B$27),'APA Assumptions'!$B$25,0)</f>
        <v>2500</v>
      </c>
      <c r="AA13" s="752">
        <f>IF(AND(AA$3&gt;='APA Assumptions'!$B$26,AA$3&lt;'APA Assumptions'!$B$26+'APA Assumptions'!$B$27),'APA Assumptions'!$B$25,0)</f>
        <v>2500</v>
      </c>
      <c r="AB13" s="752">
        <f>IF(AND(AB$3&gt;='APA Assumptions'!$B$26,AB$3&lt;'APA Assumptions'!$B$26+'APA Assumptions'!$B$27),'APA Assumptions'!$B$25,0)</f>
        <v>2500</v>
      </c>
      <c r="AC13" s="752">
        <f>IF(AND(AC$3&gt;='APA Assumptions'!$B$26,AC$3&lt;'APA Assumptions'!$B$26+'APA Assumptions'!$B$27),'APA Assumptions'!$B$25,0)</f>
        <v>2500</v>
      </c>
      <c r="AD13" s="752">
        <f>IF(AND(AD$3&gt;='APA Assumptions'!$B$26,AD$3&lt;'APA Assumptions'!$B$26+'APA Assumptions'!$B$27),'APA Assumptions'!$B$25,0)</f>
        <v>2500</v>
      </c>
      <c r="AE13" s="752">
        <f>IF(AND(AE$3&gt;='APA Assumptions'!$B$26,AE$3&lt;'APA Assumptions'!$B$26+'APA Assumptions'!$B$27),'APA Assumptions'!$B$25,0)</f>
        <v>2500</v>
      </c>
      <c r="AF13" s="752">
        <f>IF(AND(AF$3&gt;='APA Assumptions'!$B$26,AF$3&lt;'APA Assumptions'!$B$26+'APA Assumptions'!$B$27),'APA Assumptions'!$B$25,0)</f>
        <v>2500</v>
      </c>
      <c r="AG13" s="752">
        <f>IF(AND(AG$3&gt;='APA Assumptions'!$B$26,AG$3&lt;'APA Assumptions'!$B$26+'APA Assumptions'!$B$27),'APA Assumptions'!$B$25,0)</f>
        <v>2500</v>
      </c>
      <c r="AH13" s="752">
        <f>IF(AND(AH$3&gt;='APA Assumptions'!$B$26,AH$3&lt;'APA Assumptions'!$B$26+'APA Assumptions'!$B$27),'APA Assumptions'!$B$25,0)</f>
        <v>2500</v>
      </c>
      <c r="AI13" s="752">
        <f>IF(AND(AI$3&gt;='APA Assumptions'!$B$26,AI$3&lt;'APA Assumptions'!$B$26+'APA Assumptions'!$B$27),'APA Assumptions'!$B$25,0)</f>
        <v>2500</v>
      </c>
      <c r="AJ13" s="752">
        <f>IF(AND(AJ$3&gt;='APA Assumptions'!$B$26,AJ$3&lt;'APA Assumptions'!$B$26+'APA Assumptions'!$B$27),'APA Assumptions'!$B$25,0)</f>
        <v>2500</v>
      </c>
      <c r="AK13" s="752">
        <f>IF(AND(AK$3&gt;='APA Assumptions'!$B$26,AK$3&lt;'APA Assumptions'!$B$26+'APA Assumptions'!$B$27),'APA Assumptions'!$B$25,0)</f>
        <v>2500</v>
      </c>
      <c r="AL13" s="752">
        <f>IF(AND(AL$3&gt;='APA Assumptions'!$B$26,AL$3&lt;'APA Assumptions'!$B$26+'APA Assumptions'!$B$27),'APA Assumptions'!$B$25,0)</f>
        <v>2500</v>
      </c>
      <c r="AM13" s="752">
        <f>IF(AND(AM$3&gt;='APA Assumptions'!$B$26,AM$3&lt;'APA Assumptions'!$B$26+'APA Assumptions'!$B$27),'APA Assumptions'!$B$25,0)</f>
        <v>2500</v>
      </c>
      <c r="AN13" s="752">
        <f>SUM(B13:AM13)</f>
        <v>42500</v>
      </c>
    </row>
    <row r="14" ht="15" customFormat="1" customHeight="1" s="381">
      <c r="A14" s="757" t="inlineStr">
        <is>
          <t>Total revenue</t>
        </is>
      </c>
      <c r="B14" s="758">
        <f>SUM(B7:B13)</f>
        <v>25714.2857142857</v>
      </c>
      <c r="C14" s="758">
        <f>SUM(C7:C13)</f>
        <v>38408.2857142857</v>
      </c>
      <c r="D14" s="758">
        <f>SUM(D7:D13)</f>
        <v>38408.2857142857</v>
      </c>
      <c r="E14" s="758">
        <f>SUM(E7:E13)</f>
        <v>38408.2857142857</v>
      </c>
      <c r="F14" s="758">
        <f>SUM(F7:F13)</f>
        <v>38408.2857142857</v>
      </c>
      <c r="G14" s="758">
        <f>SUM(G7:G13)</f>
        <v>32908.2857142857</v>
      </c>
      <c r="H14" s="758">
        <f>SUM(H7:H13)</f>
        <v>80908.2857142857</v>
      </c>
      <c r="I14" s="758">
        <f>SUM(I7:I13)</f>
        <v>55194</v>
      </c>
      <c r="J14" s="758">
        <f>SUM(J7:J13)</f>
        <v>57694</v>
      </c>
      <c r="K14" s="758">
        <f>SUM(K7:K13)</f>
        <v>57694</v>
      </c>
      <c r="L14" s="758">
        <f>SUM(L7:L13)</f>
        <v>57694</v>
      </c>
      <c r="M14" s="758">
        <f>SUM(M7:M13)</f>
        <v>57694</v>
      </c>
      <c r="N14" s="758">
        <f>SUM(N7:N13)</f>
        <v>57694</v>
      </c>
      <c r="O14" s="758">
        <f>SUM(O7:O13)</f>
        <v>57694</v>
      </c>
      <c r="P14" s="758">
        <f>SUM(P7:P13)</f>
        <v>57694</v>
      </c>
      <c r="Q14" s="758">
        <f>SUM(Q7:Q13)</f>
        <v>57694</v>
      </c>
      <c r="R14" s="758">
        <f>SUM(R7:R13)</f>
        <v>55000</v>
      </c>
      <c r="S14" s="758">
        <f>SUM(S7:S13)</f>
        <v>55000</v>
      </c>
      <c r="T14" s="758">
        <f>SUM(T7:T13)</f>
        <v>5000</v>
      </c>
      <c r="U14" s="758">
        <f>SUM(U7:U13)</f>
        <v>5000</v>
      </c>
      <c r="V14" s="758">
        <f>SUM(V7:V13)</f>
        <v>5000</v>
      </c>
      <c r="W14" s="758">
        <f>SUM(W7:W13)</f>
        <v>7500</v>
      </c>
      <c r="X14" s="758">
        <f>SUM(X7:X13)</f>
        <v>7500</v>
      </c>
      <c r="Y14" s="758">
        <f>SUM(Y7:Y13)</f>
        <v>7500</v>
      </c>
      <c r="Z14" s="758">
        <f>SUM(Z7:Z13)</f>
        <v>7500</v>
      </c>
      <c r="AA14" s="758">
        <f>SUM(AA7:AA13)</f>
        <v>7500</v>
      </c>
      <c r="AB14" s="758">
        <f>SUM(AB7:AB13)</f>
        <v>7500</v>
      </c>
      <c r="AC14" s="758">
        <f>SUM(AC7:AC13)</f>
        <v>7500</v>
      </c>
      <c r="AD14" s="758">
        <f>SUM(AD7:AD13)</f>
        <v>7500</v>
      </c>
      <c r="AE14" s="758">
        <f>SUM(AE7:AE13)</f>
        <v>7500</v>
      </c>
      <c r="AF14" s="758">
        <f>SUM(AF7:AF13)</f>
        <v>7500</v>
      </c>
      <c r="AG14" s="758">
        <f>SUM(AG7:AG13)</f>
        <v>5000</v>
      </c>
      <c r="AH14" s="758">
        <f>SUM(AH7:AH13)</f>
        <v>5000</v>
      </c>
      <c r="AI14" s="758">
        <f>SUM(AI7:AI13)</f>
        <v>5000</v>
      </c>
      <c r="AJ14" s="758">
        <f>SUM(AJ7:AJ13)</f>
        <v>5000</v>
      </c>
      <c r="AK14" s="758">
        <f>SUM(AK7:AK13)</f>
        <v>5000</v>
      </c>
      <c r="AL14" s="758">
        <f>SUM(AL7:AL13)</f>
        <v>5000</v>
      </c>
      <c r="AM14" s="758">
        <f>SUM(AM7:AM13)</f>
        <v>5000</v>
      </c>
      <c r="AN14" s="758">
        <f>SUM(B14:AM14)</f>
        <v>1044910</v>
      </c>
    </row>
    <row r="16" ht="15" customFormat="1" customHeight="1" s="381">
      <c r="A16" s="403" t="inlineStr">
        <is>
          <t>EXPENSES</t>
        </is>
      </c>
      <c r="B16" s="403" t="n"/>
      <c r="C16" s="403" t="n"/>
      <c r="D16" s="403" t="n"/>
      <c r="E16" s="403" t="n"/>
      <c r="F16" s="403" t="n"/>
      <c r="G16" s="403" t="n"/>
      <c r="H16" s="403" t="n"/>
      <c r="I16" s="403" t="n"/>
      <c r="J16" s="403" t="n"/>
      <c r="K16" s="403" t="n"/>
      <c r="L16" s="403" t="n"/>
      <c r="M16" s="403" t="n"/>
      <c r="N16" s="403" t="n"/>
      <c r="O16" s="403" t="n"/>
      <c r="P16" s="403" t="n"/>
      <c r="Q16" s="403" t="n"/>
      <c r="R16" s="403" t="n"/>
      <c r="S16" s="403" t="n"/>
      <c r="T16" s="403" t="n"/>
      <c r="U16" s="403" t="n"/>
      <c r="V16" s="403" t="n"/>
      <c r="W16" s="403" t="n"/>
      <c r="X16" s="403" t="n"/>
      <c r="Y16" s="403" t="n"/>
      <c r="Z16" s="403" t="n"/>
      <c r="AA16" s="403" t="n"/>
      <c r="AB16" s="403" t="n"/>
      <c r="AC16" s="403" t="n"/>
      <c r="AD16" s="403" t="n"/>
      <c r="AE16" s="403" t="n"/>
      <c r="AF16" s="403" t="n"/>
      <c r="AG16" s="403" t="n"/>
      <c r="AH16" s="403" t="n"/>
      <c r="AI16" s="403" t="n"/>
      <c r="AJ16" s="403" t="n"/>
      <c r="AK16" s="403" t="n"/>
      <c r="AL16" s="403" t="n"/>
      <c r="AM16" s="403" t="n"/>
      <c r="AN16" s="403" t="n"/>
    </row>
    <row r="17" ht="15" customFormat="1" customHeight="1" s="381">
      <c r="A17" s="513" t="inlineStr">
        <is>
          <t>Partner draw (APA Inc.)</t>
        </is>
      </c>
      <c r="B17" s="752">
        <f>IF(B$3&gt;='APA Assumptions'!$B$31,'APA Assumptions'!$B$30,'APA Assumptions'!$B$29)</f>
        <v>12500</v>
      </c>
      <c r="C17" s="752">
        <f>IF(C$3&gt;='APA Assumptions'!$B$31,'APA Assumptions'!$B$30,'APA Assumptions'!$B$29)</f>
        <v>12500</v>
      </c>
      <c r="D17" s="752">
        <f>IF(D$3&gt;='APA Assumptions'!$B$31,'APA Assumptions'!$B$30,'APA Assumptions'!$B$29)</f>
        <v>12500</v>
      </c>
      <c r="E17" s="752">
        <f>IF(E$3&gt;='APA Assumptions'!$B$31,'APA Assumptions'!$B$30,'APA Assumptions'!$B$29)</f>
        <v>12500</v>
      </c>
      <c r="F17" s="752">
        <f>IF(F$3&gt;='APA Assumptions'!$B$31,'APA Assumptions'!$B$30,'APA Assumptions'!$B$29)</f>
        <v>12500</v>
      </c>
      <c r="G17" s="752">
        <f>IF(G$3&gt;='APA Assumptions'!$B$31,'APA Assumptions'!$B$30,'APA Assumptions'!$B$29)</f>
        <v>12500</v>
      </c>
      <c r="H17" s="752">
        <f>IF(H$3&gt;='APA Assumptions'!$B$31,'APA Assumptions'!$B$30,'APA Assumptions'!$B$29)</f>
        <v>18750</v>
      </c>
      <c r="I17" s="752">
        <f>IF(I$3&gt;='APA Assumptions'!$B$31,'APA Assumptions'!$B$30,'APA Assumptions'!$B$29)</f>
        <v>18750</v>
      </c>
      <c r="J17" s="752">
        <f>IF(J$3&gt;='APA Assumptions'!$B$31,'APA Assumptions'!$B$30,'APA Assumptions'!$B$29)</f>
        <v>18750</v>
      </c>
      <c r="K17" s="752">
        <f>IF(K$3&gt;='APA Assumptions'!$B$31,'APA Assumptions'!$B$30,'APA Assumptions'!$B$29)</f>
        <v>18750</v>
      </c>
      <c r="L17" s="752">
        <f>IF(L$3&gt;='APA Assumptions'!$B$31,'APA Assumptions'!$B$30,'APA Assumptions'!$B$29)</f>
        <v>18750</v>
      </c>
      <c r="M17" s="752">
        <f>IF(M$3&gt;='APA Assumptions'!$B$31,'APA Assumptions'!$B$30,'APA Assumptions'!$B$29)</f>
        <v>18750</v>
      </c>
      <c r="N17" s="752">
        <f>IF(N$3&gt;='APA Assumptions'!$B$31,'APA Assumptions'!$B$30,'APA Assumptions'!$B$29)</f>
        <v>18750</v>
      </c>
      <c r="O17" s="752">
        <f>IF(O$3&gt;='APA Assumptions'!$B$31,'APA Assumptions'!$B$30,'APA Assumptions'!$B$29)</f>
        <v>18750</v>
      </c>
      <c r="P17" s="752">
        <f>IF(P$3&gt;='APA Assumptions'!$B$31,'APA Assumptions'!$B$30,'APA Assumptions'!$B$29)</f>
        <v>18750</v>
      </c>
      <c r="Q17" s="752">
        <f>IF(Q$3&gt;='APA Assumptions'!$B$31,'APA Assumptions'!$B$30,'APA Assumptions'!$B$29)</f>
        <v>18750</v>
      </c>
      <c r="R17" s="752">
        <f>IF(R$3&gt;='APA Assumptions'!$B$31,'APA Assumptions'!$B$30,'APA Assumptions'!$B$29)</f>
        <v>18750</v>
      </c>
      <c r="S17" s="752">
        <f>IF(S$3&gt;='APA Assumptions'!$B$31,'APA Assumptions'!$B$30,'APA Assumptions'!$B$29)</f>
        <v>18750</v>
      </c>
      <c r="T17" s="752">
        <f>IF(T$3&gt;='APA Assumptions'!$B$31,'APA Assumptions'!$B$30,'APA Assumptions'!$B$29)</f>
        <v>18750</v>
      </c>
      <c r="U17" s="752">
        <f>IF(U$3&gt;='APA Assumptions'!$B$31,'APA Assumptions'!$B$30,'APA Assumptions'!$B$29)</f>
        <v>18750</v>
      </c>
      <c r="V17" s="752">
        <f>IF(V$3&gt;='APA Assumptions'!$B$31,'APA Assumptions'!$B$30,'APA Assumptions'!$B$29)</f>
        <v>18750</v>
      </c>
      <c r="W17" s="752">
        <f>IF(W$3&gt;='APA Assumptions'!$B$31,'APA Assumptions'!$B$30,'APA Assumptions'!$B$29)</f>
        <v>18750</v>
      </c>
      <c r="X17" s="752">
        <f>IF(X$3&gt;='APA Assumptions'!$B$31,'APA Assumptions'!$B$30,'APA Assumptions'!$B$29)</f>
        <v>18750</v>
      </c>
      <c r="Y17" s="752">
        <f>IF(Y$3&gt;='APA Assumptions'!$B$31,'APA Assumptions'!$B$30,'APA Assumptions'!$B$29)</f>
        <v>18750</v>
      </c>
      <c r="Z17" s="752">
        <f>IF(Z$3&gt;='APA Assumptions'!$B$31,'APA Assumptions'!$B$30,'APA Assumptions'!$B$29)</f>
        <v>18750</v>
      </c>
      <c r="AA17" s="752">
        <f>IF(AA$3&gt;='APA Assumptions'!$B$31,'APA Assumptions'!$B$30,'APA Assumptions'!$B$29)</f>
        <v>18750</v>
      </c>
      <c r="AB17" s="752">
        <f>IF(AB$3&gt;='APA Assumptions'!$B$31,'APA Assumptions'!$B$30,'APA Assumptions'!$B$29)</f>
        <v>18750</v>
      </c>
      <c r="AC17" s="752">
        <f>IF(AC$3&gt;='APA Assumptions'!$B$31,'APA Assumptions'!$B$30,'APA Assumptions'!$B$29)</f>
        <v>18750</v>
      </c>
      <c r="AD17" s="752">
        <f>IF(AD$3&gt;='APA Assumptions'!$B$31,'APA Assumptions'!$B$30,'APA Assumptions'!$B$29)</f>
        <v>18750</v>
      </c>
      <c r="AE17" s="752">
        <f>IF(AE$3&gt;='APA Assumptions'!$B$31,'APA Assumptions'!$B$30,'APA Assumptions'!$B$29)</f>
        <v>18750</v>
      </c>
      <c r="AF17" s="752">
        <f>IF(AF$3&gt;='APA Assumptions'!$B$31,'APA Assumptions'!$B$30,'APA Assumptions'!$B$29)</f>
        <v>18750</v>
      </c>
      <c r="AG17" s="752">
        <f>IF(AG$3&gt;='APA Assumptions'!$B$31,'APA Assumptions'!$B$30,'APA Assumptions'!$B$29)</f>
        <v>18750</v>
      </c>
      <c r="AH17" s="752">
        <f>IF(AH$3&gt;='APA Assumptions'!$B$31,'APA Assumptions'!$B$30,'APA Assumptions'!$B$29)</f>
        <v>18750</v>
      </c>
      <c r="AI17" s="752">
        <f>IF(AI$3&gt;='APA Assumptions'!$B$31,'APA Assumptions'!$B$30,'APA Assumptions'!$B$29)</f>
        <v>18750</v>
      </c>
      <c r="AJ17" s="752">
        <f>IF(AJ$3&gt;='APA Assumptions'!$B$31,'APA Assumptions'!$B$30,'APA Assumptions'!$B$29)</f>
        <v>18750</v>
      </c>
      <c r="AK17" s="752">
        <f>IF(AK$3&gt;='APA Assumptions'!$B$31,'APA Assumptions'!$B$30,'APA Assumptions'!$B$29)</f>
        <v>18750</v>
      </c>
      <c r="AL17" s="752">
        <f>IF(AL$3&gt;='APA Assumptions'!$B$31,'APA Assumptions'!$B$30,'APA Assumptions'!$B$29)</f>
        <v>18750</v>
      </c>
      <c r="AM17" s="752">
        <f>IF(AM$3&gt;='APA Assumptions'!$B$31,'APA Assumptions'!$B$30,'APA Assumptions'!$B$29)</f>
        <v>18750</v>
      </c>
      <c r="AN17" s="752">
        <f>SUM(B17:AM17)</f>
        <v>675000</v>
      </c>
    </row>
    <row r="18" ht="15" customFormat="1" customHeight="1" s="381">
      <c r="A18" s="513" t="inlineStr">
        <is>
          <t>Software subscriptions</t>
        </is>
      </c>
      <c r="B18" s="752">
        <f>'APA Assumptions'!$B$32</f>
        <v>365</v>
      </c>
      <c r="C18" s="752">
        <f>'APA Assumptions'!$B$32</f>
        <v>365</v>
      </c>
      <c r="D18" s="752">
        <f>'APA Assumptions'!$B$32</f>
        <v>365</v>
      </c>
      <c r="E18" s="752">
        <f>'APA Assumptions'!$B$32</f>
        <v>365</v>
      </c>
      <c r="F18" s="752">
        <f>'APA Assumptions'!$B$32</f>
        <v>365</v>
      </c>
      <c r="G18" s="752">
        <f>'APA Assumptions'!$B$32</f>
        <v>365</v>
      </c>
      <c r="H18" s="752">
        <f>'APA Assumptions'!$B$32</f>
        <v>365</v>
      </c>
      <c r="I18" s="752">
        <f>'APA Assumptions'!$B$32</f>
        <v>365</v>
      </c>
      <c r="J18" s="752">
        <f>'APA Assumptions'!$B$32</f>
        <v>365</v>
      </c>
      <c r="K18" s="752">
        <f>'APA Assumptions'!$B$32</f>
        <v>365</v>
      </c>
      <c r="L18" s="752">
        <f>'APA Assumptions'!$B$32</f>
        <v>365</v>
      </c>
      <c r="M18" s="752">
        <f>'APA Assumptions'!$B$32</f>
        <v>365</v>
      </c>
      <c r="N18" s="752">
        <f>'APA Assumptions'!$B$32</f>
        <v>365</v>
      </c>
      <c r="O18" s="752">
        <f>'APA Assumptions'!$B$32</f>
        <v>365</v>
      </c>
      <c r="P18" s="752">
        <f>'APA Assumptions'!$B$32</f>
        <v>365</v>
      </c>
      <c r="Q18" s="752">
        <f>'APA Assumptions'!$B$32</f>
        <v>365</v>
      </c>
      <c r="R18" s="752">
        <f>'APA Assumptions'!$B$32</f>
        <v>365</v>
      </c>
      <c r="S18" s="752">
        <f>'APA Assumptions'!$B$32</f>
        <v>365</v>
      </c>
      <c r="T18" s="752">
        <f>'APA Assumptions'!$B$32</f>
        <v>365</v>
      </c>
      <c r="U18" s="752">
        <f>'APA Assumptions'!$B$32</f>
        <v>365</v>
      </c>
      <c r="V18" s="752">
        <f>'APA Assumptions'!$B$32</f>
        <v>365</v>
      </c>
      <c r="W18" s="752">
        <f>'APA Assumptions'!$B$32</f>
        <v>365</v>
      </c>
      <c r="X18" s="752">
        <f>'APA Assumptions'!$B$32</f>
        <v>365</v>
      </c>
      <c r="Y18" s="752">
        <f>'APA Assumptions'!$B$32</f>
        <v>365</v>
      </c>
      <c r="Z18" s="752">
        <f>'APA Assumptions'!$B$32</f>
        <v>365</v>
      </c>
      <c r="AA18" s="752">
        <f>'APA Assumptions'!$B$32</f>
        <v>365</v>
      </c>
      <c r="AB18" s="752">
        <f>'APA Assumptions'!$B$32</f>
        <v>365</v>
      </c>
      <c r="AC18" s="752">
        <f>'APA Assumptions'!$B$32</f>
        <v>365</v>
      </c>
      <c r="AD18" s="752">
        <f>'APA Assumptions'!$B$32</f>
        <v>365</v>
      </c>
      <c r="AE18" s="752">
        <f>'APA Assumptions'!$B$32</f>
        <v>365</v>
      </c>
      <c r="AF18" s="752">
        <f>'APA Assumptions'!$B$32</f>
        <v>365</v>
      </c>
      <c r="AG18" s="752">
        <f>'APA Assumptions'!$B$32</f>
        <v>365</v>
      </c>
      <c r="AH18" s="752">
        <f>'APA Assumptions'!$B$32</f>
        <v>365</v>
      </c>
      <c r="AI18" s="752">
        <f>'APA Assumptions'!$B$32</f>
        <v>365</v>
      </c>
      <c r="AJ18" s="752">
        <f>'APA Assumptions'!$B$32</f>
        <v>365</v>
      </c>
      <c r="AK18" s="752">
        <f>'APA Assumptions'!$B$32</f>
        <v>365</v>
      </c>
      <c r="AL18" s="752">
        <f>'APA Assumptions'!$B$32</f>
        <v>365</v>
      </c>
      <c r="AM18" s="752">
        <f>'APA Assumptions'!$B$32</f>
        <v>365</v>
      </c>
      <c r="AN18" s="752">
        <f>SUM(B18:AM18)</f>
        <v>13870</v>
      </c>
    </row>
    <row r="19" ht="15" customFormat="1" customHeight="1" s="381">
      <c r="A19" s="513" t="inlineStr">
        <is>
          <t>E&amp;O insurance (annual)</t>
        </is>
      </c>
      <c r="B19" s="752">
        <f>IF(MOD(B$3-1,12)=0,'APA Assumptions'!$B$33,0)</f>
        <v>8000</v>
      </c>
      <c r="C19" s="752">
        <f>IF(MOD(C$3-1,12)=0,'APA Assumptions'!$B$33,0)</f>
        <v>0</v>
      </c>
      <c r="D19" s="752">
        <f>IF(MOD(D$3-1,12)=0,'APA Assumptions'!$B$33,0)</f>
        <v>0</v>
      </c>
      <c r="E19" s="752">
        <f>IF(MOD(E$3-1,12)=0,'APA Assumptions'!$B$33,0)</f>
        <v>0</v>
      </c>
      <c r="F19" s="752">
        <f>IF(MOD(F$3-1,12)=0,'APA Assumptions'!$B$33,0)</f>
        <v>0</v>
      </c>
      <c r="G19" s="752">
        <f>IF(MOD(G$3-1,12)=0,'APA Assumptions'!$B$33,0)</f>
        <v>0</v>
      </c>
      <c r="H19" s="752">
        <f>IF(MOD(H$3-1,12)=0,'APA Assumptions'!$B$33,0)</f>
        <v>0</v>
      </c>
      <c r="I19" s="752">
        <f>IF(MOD(I$3-1,12)=0,'APA Assumptions'!$B$33,0)</f>
        <v>0</v>
      </c>
      <c r="J19" s="752">
        <f>IF(MOD(J$3-1,12)=0,'APA Assumptions'!$B$33,0)</f>
        <v>0</v>
      </c>
      <c r="K19" s="752">
        <f>IF(MOD(K$3-1,12)=0,'APA Assumptions'!$B$33,0)</f>
        <v>0</v>
      </c>
      <c r="L19" s="752">
        <f>IF(MOD(L$3-1,12)=0,'APA Assumptions'!$B$33,0)</f>
        <v>0</v>
      </c>
      <c r="M19" s="752">
        <f>IF(MOD(M$3-1,12)=0,'APA Assumptions'!$B$33,0)</f>
        <v>0</v>
      </c>
      <c r="N19" s="752">
        <f>IF(MOD(N$3-1,12)=0,'APA Assumptions'!$B$33,0)</f>
        <v>8000</v>
      </c>
      <c r="O19" s="752">
        <f>IF(MOD(O$3-1,12)=0,'APA Assumptions'!$B$33,0)</f>
        <v>0</v>
      </c>
      <c r="P19" s="752">
        <f>IF(MOD(P$3-1,12)=0,'APA Assumptions'!$B$33,0)</f>
        <v>0</v>
      </c>
      <c r="Q19" s="752">
        <f>IF(MOD(Q$3-1,12)=0,'APA Assumptions'!$B$33,0)</f>
        <v>0</v>
      </c>
      <c r="R19" s="752">
        <f>IF(MOD(R$3-1,12)=0,'APA Assumptions'!$B$33,0)</f>
        <v>0</v>
      </c>
      <c r="S19" s="752">
        <f>IF(MOD(S$3-1,12)=0,'APA Assumptions'!$B$33,0)</f>
        <v>0</v>
      </c>
      <c r="T19" s="752">
        <f>IF(MOD(T$3-1,12)=0,'APA Assumptions'!$B$33,0)</f>
        <v>0</v>
      </c>
      <c r="U19" s="752">
        <f>IF(MOD(U$3-1,12)=0,'APA Assumptions'!$B$33,0)</f>
        <v>0</v>
      </c>
      <c r="V19" s="752">
        <f>IF(MOD(V$3-1,12)=0,'APA Assumptions'!$B$33,0)</f>
        <v>0</v>
      </c>
      <c r="W19" s="752">
        <f>IF(MOD(W$3-1,12)=0,'APA Assumptions'!$B$33,0)</f>
        <v>0</v>
      </c>
      <c r="X19" s="752">
        <f>IF(MOD(X$3-1,12)=0,'APA Assumptions'!$B$33,0)</f>
        <v>0</v>
      </c>
      <c r="Y19" s="752">
        <f>IF(MOD(Y$3-1,12)=0,'APA Assumptions'!$B$33,0)</f>
        <v>0</v>
      </c>
      <c r="Z19" s="752">
        <f>IF(MOD(Z$3-1,12)=0,'APA Assumptions'!$B$33,0)</f>
        <v>8000</v>
      </c>
      <c r="AA19" s="752">
        <f>IF(MOD(AA$3-1,12)=0,'APA Assumptions'!$B$33,0)</f>
        <v>0</v>
      </c>
      <c r="AB19" s="752">
        <f>IF(MOD(AB$3-1,12)=0,'APA Assumptions'!$B$33,0)</f>
        <v>0</v>
      </c>
      <c r="AC19" s="752">
        <f>IF(MOD(AC$3-1,12)=0,'APA Assumptions'!$B$33,0)</f>
        <v>0</v>
      </c>
      <c r="AD19" s="752">
        <f>IF(MOD(AD$3-1,12)=0,'APA Assumptions'!$B$33,0)</f>
        <v>0</v>
      </c>
      <c r="AE19" s="752">
        <f>IF(MOD(AE$3-1,12)=0,'APA Assumptions'!$B$33,0)</f>
        <v>0</v>
      </c>
      <c r="AF19" s="752">
        <f>IF(MOD(AF$3-1,12)=0,'APA Assumptions'!$B$33,0)</f>
        <v>0</v>
      </c>
      <c r="AG19" s="752">
        <f>IF(MOD(AG$3-1,12)=0,'APA Assumptions'!$B$33,0)</f>
        <v>0</v>
      </c>
      <c r="AH19" s="752">
        <f>IF(MOD(AH$3-1,12)=0,'APA Assumptions'!$B$33,0)</f>
        <v>0</v>
      </c>
      <c r="AI19" s="752">
        <f>IF(MOD(AI$3-1,12)=0,'APA Assumptions'!$B$33,0)</f>
        <v>0</v>
      </c>
      <c r="AJ19" s="752">
        <f>IF(MOD(AJ$3-1,12)=0,'APA Assumptions'!$B$33,0)</f>
        <v>0</v>
      </c>
      <c r="AK19" s="752">
        <f>IF(MOD(AK$3-1,12)=0,'APA Assumptions'!$B$33,0)</f>
        <v>0</v>
      </c>
      <c r="AL19" s="752">
        <f>IF(MOD(AL$3-1,12)=0,'APA Assumptions'!$B$33,0)</f>
        <v>8000</v>
      </c>
      <c r="AM19" s="752">
        <f>IF(MOD(AM$3-1,12)=0,'APA Assumptions'!$B$33,0)</f>
        <v>0</v>
      </c>
      <c r="AN19" s="752">
        <f>SUM(B19:AM19)</f>
        <v>32000</v>
      </c>
    </row>
    <row r="20" ht="15" customFormat="1" customHeight="1" s="381">
      <c r="A20" s="513" t="inlineStr">
        <is>
          <t>Startup reimbursements (APA + Six Peak)</t>
        </is>
      </c>
      <c r="B20" s="752">
        <f>IF(B$3='APA Assumptions'!$B$36,'APA Assumptions'!$B$34+'APA Assumptions'!$B$35,0)</f>
        <v>0</v>
      </c>
      <c r="C20" s="752">
        <f>IF(C$3='APA Assumptions'!$B$36,'APA Assumptions'!$B$34+'APA Assumptions'!$B$35,0)</f>
        <v>7500</v>
      </c>
      <c r="D20" s="752">
        <f>IF(D$3='APA Assumptions'!$B$36,'APA Assumptions'!$B$34+'APA Assumptions'!$B$35,0)</f>
        <v>0</v>
      </c>
      <c r="E20" s="752">
        <f>IF(E$3='APA Assumptions'!$B$36,'APA Assumptions'!$B$34+'APA Assumptions'!$B$35,0)</f>
        <v>0</v>
      </c>
      <c r="F20" s="752">
        <f>IF(F$3='APA Assumptions'!$B$36,'APA Assumptions'!$B$34+'APA Assumptions'!$B$35,0)</f>
        <v>0</v>
      </c>
      <c r="G20" s="752">
        <f>IF(G$3='APA Assumptions'!$B$36,'APA Assumptions'!$B$34+'APA Assumptions'!$B$35,0)</f>
        <v>0</v>
      </c>
      <c r="H20" s="752">
        <f>IF(H$3='APA Assumptions'!$B$36,'APA Assumptions'!$B$34+'APA Assumptions'!$B$35,0)</f>
        <v>0</v>
      </c>
      <c r="I20" s="752">
        <f>IF(I$3='APA Assumptions'!$B$36,'APA Assumptions'!$B$34+'APA Assumptions'!$B$35,0)</f>
        <v>0</v>
      </c>
      <c r="J20" s="752">
        <f>IF(J$3='APA Assumptions'!$B$36,'APA Assumptions'!$B$34+'APA Assumptions'!$B$35,0)</f>
        <v>0</v>
      </c>
      <c r="K20" s="752">
        <f>IF(K$3='APA Assumptions'!$B$36,'APA Assumptions'!$B$34+'APA Assumptions'!$B$35,0)</f>
        <v>0</v>
      </c>
      <c r="L20" s="752">
        <f>IF(L$3='APA Assumptions'!$B$36,'APA Assumptions'!$B$34+'APA Assumptions'!$B$35,0)</f>
        <v>0</v>
      </c>
      <c r="M20" s="752">
        <f>IF(M$3='APA Assumptions'!$B$36,'APA Assumptions'!$B$34+'APA Assumptions'!$B$35,0)</f>
        <v>0</v>
      </c>
      <c r="N20" s="752">
        <f>IF(N$3='APA Assumptions'!$B$36,'APA Assumptions'!$B$34+'APA Assumptions'!$B$35,0)</f>
        <v>0</v>
      </c>
      <c r="O20" s="752">
        <f>IF(O$3='APA Assumptions'!$B$36,'APA Assumptions'!$B$34+'APA Assumptions'!$B$35,0)</f>
        <v>0</v>
      </c>
      <c r="P20" s="752">
        <f>IF(P$3='APA Assumptions'!$B$36,'APA Assumptions'!$B$34+'APA Assumptions'!$B$35,0)</f>
        <v>0</v>
      </c>
      <c r="Q20" s="752">
        <f>IF(Q$3='APA Assumptions'!$B$36,'APA Assumptions'!$B$34+'APA Assumptions'!$B$35,0)</f>
        <v>0</v>
      </c>
      <c r="R20" s="752">
        <f>IF(R$3='APA Assumptions'!$B$36,'APA Assumptions'!$B$34+'APA Assumptions'!$B$35,0)</f>
        <v>0</v>
      </c>
      <c r="S20" s="752">
        <f>IF(S$3='APA Assumptions'!$B$36,'APA Assumptions'!$B$34+'APA Assumptions'!$B$35,0)</f>
        <v>0</v>
      </c>
      <c r="T20" s="752">
        <f>IF(T$3='APA Assumptions'!$B$36,'APA Assumptions'!$B$34+'APA Assumptions'!$B$35,0)</f>
        <v>0</v>
      </c>
      <c r="U20" s="752">
        <f>IF(U$3='APA Assumptions'!$B$36,'APA Assumptions'!$B$34+'APA Assumptions'!$B$35,0)</f>
        <v>0</v>
      </c>
      <c r="V20" s="752">
        <f>IF(V$3='APA Assumptions'!$B$36,'APA Assumptions'!$B$34+'APA Assumptions'!$B$35,0)</f>
        <v>0</v>
      </c>
      <c r="W20" s="752">
        <f>IF(W$3='APA Assumptions'!$B$36,'APA Assumptions'!$B$34+'APA Assumptions'!$B$35,0)</f>
        <v>0</v>
      </c>
      <c r="X20" s="752">
        <f>IF(X$3='APA Assumptions'!$B$36,'APA Assumptions'!$B$34+'APA Assumptions'!$B$35,0)</f>
        <v>0</v>
      </c>
      <c r="Y20" s="752">
        <f>IF(Y$3='APA Assumptions'!$B$36,'APA Assumptions'!$B$34+'APA Assumptions'!$B$35,0)</f>
        <v>0</v>
      </c>
      <c r="Z20" s="752">
        <f>IF(Z$3='APA Assumptions'!$B$36,'APA Assumptions'!$B$34+'APA Assumptions'!$B$35,0)</f>
        <v>0</v>
      </c>
      <c r="AA20" s="752">
        <f>IF(AA$3='APA Assumptions'!$B$36,'APA Assumptions'!$B$34+'APA Assumptions'!$B$35,0)</f>
        <v>0</v>
      </c>
      <c r="AB20" s="752">
        <f>IF(AB$3='APA Assumptions'!$B$36,'APA Assumptions'!$B$34+'APA Assumptions'!$B$35,0)</f>
        <v>0</v>
      </c>
      <c r="AC20" s="752">
        <f>IF(AC$3='APA Assumptions'!$B$36,'APA Assumptions'!$B$34+'APA Assumptions'!$B$35,0)</f>
        <v>0</v>
      </c>
      <c r="AD20" s="752">
        <f>IF(AD$3='APA Assumptions'!$B$36,'APA Assumptions'!$B$34+'APA Assumptions'!$B$35,0)</f>
        <v>0</v>
      </c>
      <c r="AE20" s="752">
        <f>IF(AE$3='APA Assumptions'!$B$36,'APA Assumptions'!$B$34+'APA Assumptions'!$B$35,0)</f>
        <v>0</v>
      </c>
      <c r="AF20" s="752">
        <f>IF(AF$3='APA Assumptions'!$B$36,'APA Assumptions'!$B$34+'APA Assumptions'!$B$35,0)</f>
        <v>0</v>
      </c>
      <c r="AG20" s="752">
        <f>IF(AG$3='APA Assumptions'!$B$36,'APA Assumptions'!$B$34+'APA Assumptions'!$B$35,0)</f>
        <v>0</v>
      </c>
      <c r="AH20" s="752">
        <f>IF(AH$3='APA Assumptions'!$B$36,'APA Assumptions'!$B$34+'APA Assumptions'!$B$35,0)</f>
        <v>0</v>
      </c>
      <c r="AI20" s="752">
        <f>IF(AI$3='APA Assumptions'!$B$36,'APA Assumptions'!$B$34+'APA Assumptions'!$B$35,0)</f>
        <v>0</v>
      </c>
      <c r="AJ20" s="752">
        <f>IF(AJ$3='APA Assumptions'!$B$36,'APA Assumptions'!$B$34+'APA Assumptions'!$B$35,0)</f>
        <v>0</v>
      </c>
      <c r="AK20" s="752">
        <f>IF(AK$3='APA Assumptions'!$B$36,'APA Assumptions'!$B$34+'APA Assumptions'!$B$35,0)</f>
        <v>0</v>
      </c>
      <c r="AL20" s="752">
        <f>IF(AL$3='APA Assumptions'!$B$36,'APA Assumptions'!$B$34+'APA Assumptions'!$B$35,0)</f>
        <v>0</v>
      </c>
      <c r="AM20" s="752">
        <f>IF(AM$3='APA Assumptions'!$B$36,'APA Assumptions'!$B$34+'APA Assumptions'!$B$35,0)</f>
        <v>0</v>
      </c>
      <c r="AN20" s="752">
        <f>SUM(B20:AM20)</f>
        <v>7500</v>
      </c>
    </row>
    <row r="21" ht="15" customFormat="1" customHeight="1" s="381">
      <c r="A21" s="757" t="inlineStr">
        <is>
          <t>Total expenses</t>
        </is>
      </c>
      <c r="B21" s="758">
        <f>SUM(B17:B20)</f>
        <v>20865</v>
      </c>
      <c r="C21" s="758">
        <f>SUM(C17:C20)</f>
        <v>20365</v>
      </c>
      <c r="D21" s="758">
        <f>SUM(D17:D20)</f>
        <v>12865</v>
      </c>
      <c r="E21" s="758">
        <f>SUM(E17:E20)</f>
        <v>12865</v>
      </c>
      <c r="F21" s="758">
        <f>SUM(F17:F20)</f>
        <v>12865</v>
      </c>
      <c r="G21" s="758">
        <f>SUM(G17:G20)</f>
        <v>12865</v>
      </c>
      <c r="H21" s="758">
        <f>SUM(H17:H20)</f>
        <v>19115</v>
      </c>
      <c r="I21" s="758">
        <f>SUM(I17:I20)</f>
        <v>19115</v>
      </c>
      <c r="J21" s="758">
        <f>SUM(J17:J20)</f>
        <v>19115</v>
      </c>
      <c r="K21" s="758">
        <f>SUM(K17:K20)</f>
        <v>19115</v>
      </c>
      <c r="L21" s="758">
        <f>SUM(L17:L20)</f>
        <v>19115</v>
      </c>
      <c r="M21" s="758">
        <f>SUM(M17:M20)</f>
        <v>19115</v>
      </c>
      <c r="N21" s="758">
        <f>SUM(N17:N20)</f>
        <v>27115</v>
      </c>
      <c r="O21" s="758">
        <f>SUM(O17:O20)</f>
        <v>19115</v>
      </c>
      <c r="P21" s="758">
        <f>SUM(P17:P20)</f>
        <v>19115</v>
      </c>
      <c r="Q21" s="758">
        <f>SUM(Q17:Q20)</f>
        <v>19115</v>
      </c>
      <c r="R21" s="758">
        <f>SUM(R17:R20)</f>
        <v>19115</v>
      </c>
      <c r="S21" s="758">
        <f>SUM(S17:S20)</f>
        <v>19115</v>
      </c>
      <c r="T21" s="758">
        <f>SUM(T17:T20)</f>
        <v>19115</v>
      </c>
      <c r="U21" s="758">
        <f>SUM(U17:U20)</f>
        <v>19115</v>
      </c>
      <c r="V21" s="758">
        <f>SUM(V17:V20)</f>
        <v>19115</v>
      </c>
      <c r="W21" s="758">
        <f>SUM(W17:W20)</f>
        <v>19115</v>
      </c>
      <c r="X21" s="758">
        <f>SUM(X17:X20)</f>
        <v>19115</v>
      </c>
      <c r="Y21" s="758">
        <f>SUM(Y17:Y20)</f>
        <v>19115</v>
      </c>
      <c r="Z21" s="758">
        <f>SUM(Z17:Z20)</f>
        <v>27115</v>
      </c>
      <c r="AA21" s="758">
        <f>SUM(AA17:AA20)</f>
        <v>19115</v>
      </c>
      <c r="AB21" s="758">
        <f>SUM(AB17:AB20)</f>
        <v>19115</v>
      </c>
      <c r="AC21" s="758">
        <f>SUM(AC17:AC20)</f>
        <v>19115</v>
      </c>
      <c r="AD21" s="758">
        <f>SUM(AD17:AD20)</f>
        <v>19115</v>
      </c>
      <c r="AE21" s="758">
        <f>SUM(AE17:AE20)</f>
        <v>19115</v>
      </c>
      <c r="AF21" s="758">
        <f>SUM(AF17:AF20)</f>
        <v>19115</v>
      </c>
      <c r="AG21" s="758">
        <f>SUM(AG17:AG20)</f>
        <v>19115</v>
      </c>
      <c r="AH21" s="758">
        <f>SUM(AH17:AH20)</f>
        <v>19115</v>
      </c>
      <c r="AI21" s="758">
        <f>SUM(AI17:AI20)</f>
        <v>19115</v>
      </c>
      <c r="AJ21" s="758">
        <f>SUM(AJ17:AJ20)</f>
        <v>19115</v>
      </c>
      <c r="AK21" s="758">
        <f>SUM(AK17:AK20)</f>
        <v>19115</v>
      </c>
      <c r="AL21" s="758">
        <f>SUM(AL17:AL20)</f>
        <v>27115</v>
      </c>
      <c r="AM21" s="758">
        <f>SUM(AM17:AM20)</f>
        <v>19115</v>
      </c>
      <c r="AN21" s="758">
        <f>SUM(B21:AM21)</f>
        <v>728370</v>
      </c>
    </row>
    <row r="23" ht="15" customFormat="1" customHeight="1" s="381">
      <c r="A23" s="759" t="inlineStr">
        <is>
          <t>Net cash flow</t>
        </is>
      </c>
      <c r="B23" s="760">
        <f>B14-B21</f>
        <v>4849.28571428571</v>
      </c>
      <c r="C23" s="760">
        <f>C14-C21</f>
        <v>18043.2857142857</v>
      </c>
      <c r="D23" s="760">
        <f>D14-D21</f>
        <v>25543.2857142857</v>
      </c>
      <c r="E23" s="760">
        <f>E14-E21</f>
        <v>25543.2857142857</v>
      </c>
      <c r="F23" s="760">
        <f>F14-F21</f>
        <v>25543.2857142857</v>
      </c>
      <c r="G23" s="760">
        <f>G14-G21</f>
        <v>20043.2857142857</v>
      </c>
      <c r="H23" s="760">
        <f>H14-H21</f>
        <v>61793.2857142857</v>
      </c>
      <c r="I23" s="760">
        <f>I14-I21</f>
        <v>36079</v>
      </c>
      <c r="J23" s="760">
        <f>J14-J21</f>
        <v>38579</v>
      </c>
      <c r="K23" s="760">
        <f>K14-K21</f>
        <v>38579</v>
      </c>
      <c r="L23" s="760">
        <f>L14-L21</f>
        <v>38579</v>
      </c>
      <c r="M23" s="760">
        <f>M14-M21</f>
        <v>38579</v>
      </c>
      <c r="N23" s="760">
        <f>N14-N21</f>
        <v>30579</v>
      </c>
      <c r="O23" s="760">
        <f>O14-O21</f>
        <v>38579</v>
      </c>
      <c r="P23" s="760">
        <f>P14-P21</f>
        <v>38579</v>
      </c>
      <c r="Q23" s="760">
        <f>Q14-Q21</f>
        <v>38579</v>
      </c>
      <c r="R23" s="760">
        <f>R14-R21</f>
        <v>35885</v>
      </c>
      <c r="S23" s="760">
        <f>S14-S21</f>
        <v>35885</v>
      </c>
      <c r="T23" s="760">
        <f>T14-T21</f>
        <v>-14115</v>
      </c>
      <c r="U23" s="760">
        <f>U14-U21</f>
        <v>-14115</v>
      </c>
      <c r="V23" s="760">
        <f>V14-V21</f>
        <v>-14115</v>
      </c>
      <c r="W23" s="760">
        <f>W14-W21</f>
        <v>-11615</v>
      </c>
      <c r="X23" s="760">
        <f>X14-X21</f>
        <v>-11615</v>
      </c>
      <c r="Y23" s="760">
        <f>Y14-Y21</f>
        <v>-11615</v>
      </c>
      <c r="Z23" s="760">
        <f>Z14-Z21</f>
        <v>-19615</v>
      </c>
      <c r="AA23" s="760">
        <f>AA14-AA21</f>
        <v>-11615</v>
      </c>
      <c r="AB23" s="760">
        <f>AB14-AB21</f>
        <v>-11615</v>
      </c>
      <c r="AC23" s="760">
        <f>AC14-AC21</f>
        <v>-11615</v>
      </c>
      <c r="AD23" s="760">
        <f>AD14-AD21</f>
        <v>-11615</v>
      </c>
      <c r="AE23" s="760">
        <f>AE14-AE21</f>
        <v>-11615</v>
      </c>
      <c r="AF23" s="760">
        <f>AF14-AF21</f>
        <v>-11615</v>
      </c>
      <c r="AG23" s="760">
        <f>AG14-AG21</f>
        <v>-14115</v>
      </c>
      <c r="AH23" s="760">
        <f>AH14-AH21</f>
        <v>-14115</v>
      </c>
      <c r="AI23" s="760">
        <f>AI14-AI21</f>
        <v>-14115</v>
      </c>
      <c r="AJ23" s="760">
        <f>AJ14-AJ21</f>
        <v>-14115</v>
      </c>
      <c r="AK23" s="760">
        <f>AK14-AK21</f>
        <v>-14115</v>
      </c>
      <c r="AL23" s="760">
        <f>AL14-AL21</f>
        <v>-22115</v>
      </c>
      <c r="AM23" s="760">
        <f>AM14-AM21</f>
        <v>-14115</v>
      </c>
      <c r="AN23" s="760">
        <f>AN14-AN21</f>
        <v>316540</v>
      </c>
    </row>
    <row r="24" ht="15" customFormat="1" customHeight="1" s="381">
      <c r="A24" s="513" t="inlineStr">
        <is>
          <t>Cumulative net cash flow</t>
        </is>
      </c>
      <c r="B24" s="752">
        <f>B23</f>
        <v>4849.28571428571</v>
      </c>
      <c r="C24" s="752">
        <f>B24+C23</f>
        <v>22892.5714285714</v>
      </c>
      <c r="D24" s="752">
        <f>C24+D23</f>
        <v>48435.8571428571</v>
      </c>
      <c r="E24" s="752">
        <f>D24+E23</f>
        <v>73979.1428571428</v>
      </c>
      <c r="F24" s="752">
        <f>E24+F23</f>
        <v>99522.4285714286</v>
      </c>
      <c r="G24" s="752">
        <f>F24+G23</f>
        <v>119565.714285714</v>
      </c>
      <c r="H24" s="752">
        <f>G24+H23</f>
        <v>181359</v>
      </c>
      <c r="I24" s="752">
        <f>H24+I23</f>
        <v>217438</v>
      </c>
      <c r="J24" s="752">
        <f>I24+J23</f>
        <v>256017</v>
      </c>
      <c r="K24" s="752">
        <f>J24+K23</f>
        <v>294596</v>
      </c>
      <c r="L24" s="752">
        <f>K24+L23</f>
        <v>333175</v>
      </c>
      <c r="M24" s="752">
        <f>L24+M23</f>
        <v>371754</v>
      </c>
      <c r="N24" s="752">
        <f>M24+N23</f>
        <v>402333</v>
      </c>
      <c r="O24" s="752">
        <f>N24+O23</f>
        <v>440912</v>
      </c>
      <c r="P24" s="752">
        <f>O24+P23</f>
        <v>479491</v>
      </c>
      <c r="Q24" s="752">
        <f>P24+Q23</f>
        <v>518070</v>
      </c>
      <c r="R24" s="752">
        <f>Q24+R23</f>
        <v>553955</v>
      </c>
      <c r="S24" s="752">
        <f>R24+S23</f>
        <v>589840</v>
      </c>
      <c r="T24" s="752">
        <f>S24+T23</f>
        <v>575725</v>
      </c>
      <c r="U24" s="752">
        <f>T24+U23</f>
        <v>561610</v>
      </c>
      <c r="V24" s="752">
        <f>U24+V23</f>
        <v>547495</v>
      </c>
      <c r="W24" s="752">
        <f>V24+W23</f>
        <v>535880</v>
      </c>
      <c r="X24" s="752">
        <f>W24+X23</f>
        <v>524265</v>
      </c>
      <c r="Y24" s="752">
        <f>X24+Y23</f>
        <v>512650</v>
      </c>
      <c r="Z24" s="752">
        <f>Y24+Z23</f>
        <v>493035</v>
      </c>
      <c r="AA24" s="752">
        <f>Z24+AA23</f>
        <v>481420</v>
      </c>
      <c r="AB24" s="752">
        <f>AA24+AB23</f>
        <v>469805</v>
      </c>
      <c r="AC24" s="752">
        <f>AB24+AC23</f>
        <v>458190</v>
      </c>
      <c r="AD24" s="752">
        <f>AC24+AD23</f>
        <v>446575</v>
      </c>
      <c r="AE24" s="752">
        <f>AD24+AE23</f>
        <v>434960</v>
      </c>
      <c r="AF24" s="752">
        <f>AE24+AF23</f>
        <v>423345</v>
      </c>
      <c r="AG24" s="752">
        <f>AF24+AG23</f>
        <v>409230</v>
      </c>
      <c r="AH24" s="752">
        <f>AG24+AH23</f>
        <v>395115</v>
      </c>
      <c r="AI24" s="752">
        <f>AH24+AI23</f>
        <v>381000</v>
      </c>
      <c r="AJ24" s="752">
        <f>AI24+AJ23</f>
        <v>366885</v>
      </c>
      <c r="AK24" s="752">
        <f>AJ24+AK23</f>
        <v>352770</v>
      </c>
      <c r="AL24" s="752">
        <f>AK24+AL23</f>
        <v>330655</v>
      </c>
      <c r="AM24" s="752">
        <f>AL24+AM23</f>
        <v>316540</v>
      </c>
      <c r="AN24" s="752" t="n"/>
    </row>
    <row r="27" ht="15" customFormat="1" customHeight="1" s="381">
      <c r="A27" s="403" t="inlineStr">
        <is>
          <t>SUMMARY (38 MONTHS)</t>
        </is>
      </c>
      <c r="B27" s="403" t="n"/>
      <c r="C27" s="403" t="n"/>
    </row>
    <row r="28" ht="15" customFormat="1" customHeight="1" s="381">
      <c r="A28" s="571" t="inlineStr">
        <is>
          <t>Total revenue</t>
        </is>
      </c>
      <c r="B28" s="752">
        <f>AN14</f>
        <v>1044910</v>
      </c>
    </row>
    <row r="29" ht="15" customFormat="1" customHeight="1" s="381">
      <c r="A29" s="571" t="inlineStr">
        <is>
          <t>Total expenses</t>
        </is>
      </c>
      <c r="B29" s="752">
        <f>AN21</f>
        <v>728370</v>
      </c>
    </row>
    <row r="30" ht="15" customFormat="1" customHeight="1" s="381">
      <c r="A30" s="452" t="inlineStr">
        <is>
          <t>Net profit</t>
        </is>
      </c>
      <c r="B30" s="761">
        <f>B28-B29</f>
        <v>316540</v>
      </c>
    </row>
    <row r="31" ht="15" customFormat="1" customHeight="1" s="381">
      <c r="A31" s="452" t="inlineStr">
        <is>
          <t>Six Peak share (50%)</t>
        </is>
      </c>
      <c r="B31" s="761">
        <f>B30*0.5</f>
        <v>158270</v>
      </c>
    </row>
    <row r="32" ht="15" customFormat="1" customHeight="1" s="381">
      <c r="A32" s="571" t="inlineStr">
        <is>
          <t>APA Inc. share (50%)</t>
        </is>
      </c>
      <c r="B32" s="752">
        <f>B30*0.5</f>
        <v>158270</v>
      </c>
    </row>
    <row r="33" ht="15" customFormat="1" customHeight="1" s="381">
      <c r="A33" s="571" t="inlineStr">
        <is>
          <t>APA Inc. total economics (draw + profit share)</t>
        </is>
      </c>
      <c r="B33" s="752">
        <f>AN17+B32</f>
        <v>833270</v>
      </c>
    </row>
    <row r="35" ht="15" customFormat="1" customHeight="1" s="381">
      <c r="A35" s="453" t="inlineStr">
        <is>
          <t>AGA separation payments are excluded from this projection and handled outside the company.</t>
        </is>
      </c>
    </row>
    <row r="36" ht="15" customFormat="1" customHeight="1" s="381">
      <c r="A36" s="453" t="inlineStr">
        <is>
          <t>Startup costs (APA Inc. $5,000; Six Peak $2,500) are reimbursed by the company in Aug 2026.</t>
        </is>
      </c>
    </row>
    <row r="37" ht="15" customFormat="1" customHeight="1" s="381">
      <c r="A37" s="453" t="inlineStr">
        <is>
          <t>Expenses fronted by Six Peak or APA Inc. are reimbursable by the company; profits split 50/50 after expenses.</t>
        </is>
      </c>
    </row>
    <row r="38" ht="15" customFormat="1" customHeight="1" s="381">
      <c r="A38" s="453" t="inlineStr">
        <is>
          <t>The APA Inc. draw adjusts to $225,000 per year ($18,750/mo) when the 3rd Street contract is signed (modeled Jan 2027).</t>
        </is>
      </c>
    </row>
    <row r="39" ht="15" customFormat="1" customHeight="1" s="381">
      <c r="A39" s="453" t="inlineStr">
        <is>
          <t>3rd Street construction admin (30 months from Apr 2028) runs past the model horizon; only months through Aug 2029 are shown.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2026-03-23T03:32:22Z</dcterms:created>
  <dcterms:modified xmlns:dcterms="http://purl.org/dc/terms/" xmlns:xsi="http://www.w3.org/2001/XMLSchema-instance" xsi:type="dcterms:W3CDTF">2026-08-23T17:51:09Z</dcterms:modified>
  <cp:lastModifiedBy>Chris Andresen</cp:lastModifiedBy>
  <cp:revision>17</cp:revision>
</cp:coreProperties>
</file>