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<sst xmlns="http://schemas.openxmlformats.org/spreadsheetml/2006/main" count="3606" uniqueCount="1406">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</sst>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480602.871436427</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465462.221436427</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570022.67710451</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623408.21710451</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560545.03710451</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585392.83710451</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473029.99710451</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554842.52710451</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452471.08710451</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508417.21710451</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458365.17710451</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381523.78710451</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327592.53710451</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340197.00710451</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335216.71710451</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425209.39912376</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385746.58826801</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308111.17690251</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304724.23690251</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310517.35425126</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165738.615668083</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173597.935668083</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180123.605668083</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120543.485668083</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98614.0356680833</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98614.0356680833</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362451.201004308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352326.831004308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428621.029393442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468950.479393442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422073.209393442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448718.969393442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363620.749393442</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429503.899393442</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348348.419393442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392329.289393442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352214.389393442</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290921.509393442</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248615.919393442</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258577.489393442</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254641.459393442</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323032.904092842</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295895.217992242</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237195.146395842</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234518.376395842</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236147.458614842</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127010.088389133</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133221.478389133</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138378.848389133</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91291.4583891333</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73960.1683891333</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73960.1683891333</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6106466.08709629</v>
      </c>
      <c r="R57" s="30" t="n">
        <f aca="false">SUM(R13:R56)</f>
        <v>6228383.53902616</v>
      </c>
      <c r="S57" s="30" t="n">
        <f aca="false">SUM(S13:S56)</f>
        <v>7119217.62880785</v>
      </c>
      <c r="T57" s="30" t="n">
        <f aca="false">SUM(T13:T56)</f>
        <v>8176379.21362953</v>
      </c>
      <c r="U57" s="30" t="n">
        <f aca="false">SUM(U13:U56)</f>
        <v>7697879.57926436</v>
      </c>
      <c r="V57" s="30" t="n">
        <f aca="false">SUM(V13:V56)</f>
        <v>8333462.60062719</v>
      </c>
      <c r="W57" s="30" t="n">
        <f aca="false">SUM(W13:W56)</f>
        <v>7069857.20859819</v>
      </c>
      <c r="X57" s="30" t="n">
        <f aca="false">SUM(X13:X56)</f>
        <v>8286354.30106036</v>
      </c>
      <c r="Y57" s="30" t="n">
        <f aca="false">SUM(Y13:Y56)</f>
        <v>6980149.11817553</v>
      </c>
      <c r="Z57" s="30" t="n">
        <f aca="false">SUM(Z13:Z56)</f>
        <v>7692213.69215685</v>
      </c>
      <c r="AA57" s="30" t="n">
        <f aca="false">SUM(AA13:AA56)</f>
        <v>6935264.43811094</v>
      </c>
      <c r="AB57" s="30" t="n">
        <f aca="false">SUM(AB13:AB56)</f>
        <v>5767564.83681208</v>
      </c>
      <c r="AC57" s="30" t="n">
        <f aca="false">SUM(AC13:AC56)</f>
        <v>4878036.26607795</v>
      </c>
      <c r="AD57" s="30" t="n">
        <f aca="false">SUM(AD13:AD56)</f>
        <v>4831995.23449744</v>
      </c>
      <c r="AE57" s="30" t="n">
        <f aca="false">SUM(AE13:AE56)</f>
        <v>4532383.15638973</v>
      </c>
      <c r="AF57" s="30" t="n">
        <f aca="false">SUM(AF13:AF56)</f>
        <v>4399677.84792775</v>
      </c>
      <c r="AG57" s="30" t="n">
        <f aca="false">SUM(AG13:AG56)</f>
        <v>4795407.75266775</v>
      </c>
      <c r="AH57" s="30" t="n">
        <f aca="false">SUM(AH13:AH56)</f>
        <v>4410611.79882665</v>
      </c>
      <c r="AI57" s="30" t="n">
        <f aca="false">SUM(AI13:AI56)</f>
        <v>4257896.72379165</v>
      </c>
      <c r="AJ57" s="30" t="n">
        <f aca="false">SUM(AJ13:AJ56)</f>
        <v>3119551.8994289</v>
      </c>
      <c r="AK57" s="30" t="n">
        <f aca="false">SUM(AK13:AK56)</f>
        <v>2672287.37309278</v>
      </c>
      <c r="AL57" s="30" t="n">
        <f aca="false">SUM(AL13:AL56)</f>
        <v>2699140.03117278</v>
      </c>
      <c r="AM57" s="30" t="n">
        <f aca="false">SUM(AM13:AM56)</f>
        <v>2693425.16838278</v>
      </c>
      <c r="AN57" s="30" t="n">
        <f aca="false">SUM(AN13:AN56)</f>
        <v>1803612.53707278</v>
      </c>
      <c r="AO57" s="30" t="n">
        <f aca="false">SUM(AO13:AO56)</f>
        <v>1400536.58698278</v>
      </c>
      <c r="AP57" s="30" t="n">
        <f aca="false">SUM(AP13:AP56)</f>
        <v>1279674.31108278</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6949520.15953703</v>
      </c>
      <c r="R58" s="30" t="n">
        <f aca="false">R10+R11+R57</f>
        <v>7046172.5914669</v>
      </c>
      <c r="S58" s="30" t="n">
        <f aca="false">S10+S11+S57</f>
        <v>8117861.3353058</v>
      </c>
      <c r="T58" s="30" t="n">
        <f aca="false">T10+T11+T57</f>
        <v>9268737.91012749</v>
      </c>
      <c r="U58" s="30" t="n">
        <f aca="false">U10+U11+U57</f>
        <v>8680497.82576231</v>
      </c>
      <c r="V58" s="30" t="n">
        <f aca="false">V10+V11+V57</f>
        <v>9367574.40712514</v>
      </c>
      <c r="W58" s="30" t="n">
        <f aca="false">W10+W11+W57</f>
        <v>7906507.95509614</v>
      </c>
      <c r="X58" s="30" t="n">
        <f aca="false">X10+X11+X57</f>
        <v>9270700.72755831</v>
      </c>
      <c r="Y58" s="30" t="n">
        <f aca="false">Y10+Y11+Y57</f>
        <v>7780968.62467349</v>
      </c>
      <c r="Z58" s="30" t="n">
        <f aca="false">Z10+Z11+Z57</f>
        <v>8592960.1986548</v>
      </c>
      <c r="AA58" s="30" t="n">
        <f aca="false">AA10+AA11+AA57</f>
        <v>7745844.00460889</v>
      </c>
      <c r="AB58" s="30" t="n">
        <f aca="false">AB10+AB11+AB57</f>
        <v>6440010.13331003</v>
      </c>
      <c r="AC58" s="30" t="n">
        <f aca="false">AC10+AC11+AC57</f>
        <v>5454244.7225759</v>
      </c>
      <c r="AD58" s="30" t="n">
        <f aca="false">AD10+AD11+AD57</f>
        <v>5430769.7309954</v>
      </c>
      <c r="AE58" s="30" t="n">
        <f aca="false">AE10+AE11+AE57</f>
        <v>5122241.33288768</v>
      </c>
      <c r="AF58" s="30" t="n">
        <f aca="false">AF10+AF11+AF57</f>
        <v>5147920.15114436</v>
      </c>
      <c r="AG58" s="30" t="n">
        <f aca="false">AG10+AG11+AG57</f>
        <v>5477049.558928</v>
      </c>
      <c r="AH58" s="30" t="n">
        <f aca="false">AH10+AH11+AH57</f>
        <v>4955918.122125</v>
      </c>
      <c r="AI58" s="30" t="n">
        <f aca="false">AI10+AI11+AI57</f>
        <v>4797139.33709</v>
      </c>
      <c r="AJ58" s="30" t="n">
        <f aca="false">AJ10+AJ11+AJ57</f>
        <v>3666216.712295</v>
      </c>
      <c r="AK58" s="30" t="n">
        <f aca="false">AK10+AK11+AK57</f>
        <v>2965036.07715</v>
      </c>
      <c r="AL58" s="30" t="n">
        <f aca="false">AL10+AL11+AL57</f>
        <v>3005959.44523</v>
      </c>
      <c r="AM58" s="30" t="n">
        <f aca="false">AM10+AM11+AM57</f>
        <v>3011927.62244</v>
      </c>
      <c r="AN58" s="30" t="n">
        <f aca="false">AN10+AN11+AN57</f>
        <v>2015447.48113</v>
      </c>
      <c r="AO58" s="30" t="n">
        <f aca="false">AO10+AO11+AO57</f>
        <v>1573110.79104</v>
      </c>
      <c r="AP58" s="30" t="n">
        <f aca="false">AP10+AP11+AP57</f>
        <v>1452248.51514</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-6168797.59709629</v>
      </c>
      <c r="R104" s="30" t="n">
        <f aca="false">SUM(R60:R103)</f>
        <v>-6278801.68902616</v>
      </c>
      <c r="S104" s="30" t="n">
        <f aca="false">SUM(S60:S103)</f>
        <v>-7169897.03880785</v>
      </c>
      <c r="T104" s="30" t="n">
        <f aca="false">SUM(T60:T103)</f>
        <v>-8237422.42362953</v>
      </c>
      <c r="U104" s="30" t="n">
        <f aca="false">SUM(U60:U103)</f>
        <v>-7753025.98926436</v>
      </c>
      <c r="V104" s="30" t="n">
        <f aca="false">SUM(V60:V103)</f>
        <v>-8353827.21062719</v>
      </c>
      <c r="W104" s="30" t="n">
        <f aca="false">SUM(W60:W103)</f>
        <v>-7072183.59859819</v>
      </c>
      <c r="X104" s="30" t="n">
        <f aca="false">SUM(X60:X103)</f>
        <v>-8285314.84106036</v>
      </c>
      <c r="Y104" s="30" t="n">
        <f aca="false">SUM(Y60:Y103)</f>
        <v>-6979498.93817553</v>
      </c>
      <c r="Z104" s="30" t="n">
        <f aca="false">SUM(Z60:Z103)</f>
        <v>-7691318.47215685</v>
      </c>
      <c r="AA104" s="30" t="n">
        <f aca="false">SUM(AA60:AA103)</f>
        <v>-6934550.40811094</v>
      </c>
      <c r="AB104" s="30" t="n">
        <f aca="false">SUM(AB60:AB103)</f>
        <v>-5767121.78681207</v>
      </c>
      <c r="AC104" s="30" t="n">
        <f aca="false">SUM(AC60:AC103)</f>
        <v>-4877762.25607795</v>
      </c>
      <c r="AD104" s="30" t="n">
        <f aca="false">SUM(AD60:AD103)</f>
        <v>-4831670.75449744</v>
      </c>
      <c r="AE104" s="30" t="n">
        <f aca="false">SUM(AE60:AE103)</f>
        <v>-4532078.61638973</v>
      </c>
      <c r="AF104" s="30" t="n">
        <f aca="false">SUM(AF60:AF103)</f>
        <v>-4399301.24792775</v>
      </c>
      <c r="AG104" s="30" t="n">
        <f aca="false">SUM(AG60:AG103)</f>
        <v>-4794753.75266775</v>
      </c>
      <c r="AH104" s="30" t="n">
        <f aca="false">SUM(AH60:AH103)</f>
        <v>-4410004.83882665</v>
      </c>
      <c r="AI104" s="30" t="n">
        <f aca="false">SUM(AI60:AI103)</f>
        <v>-4257303.32379165</v>
      </c>
      <c r="AJ104" s="30" t="n">
        <f aca="false">SUM(AJ60:AJ103)</f>
        <v>-3119228.1494289</v>
      </c>
      <c r="AK104" s="30" t="n">
        <f aca="false">SUM(AK60:AK103)</f>
        <v>-2672018.62309278</v>
      </c>
      <c r="AL104" s="30" t="n">
        <f aca="false">SUM(AL60:AL103)</f>
        <v>-2698839.81117278</v>
      </c>
      <c r="AM104" s="30" t="n">
        <f aca="false">SUM(AM60:AM103)</f>
        <v>-2693098.81838278</v>
      </c>
      <c r="AN104" s="30" t="n">
        <f aca="false">SUM(AN60:AN103)</f>
        <v>-1803524.72707278</v>
      </c>
      <c r="AO104" s="30" t="n">
        <f aca="false">SUM(AO60:AO103)</f>
        <v>-1400536.58698278</v>
      </c>
      <c r="AP104" s="30" t="n">
        <f aca="false">SUM(AP60:AP103)</f>
        <v>-1279674.31108278</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668967.044334975</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-802202.980665025</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780241.512440736</v>
      </c>
      <c r="R199" s="32" t="n">
        <f aca="false">R197+R198+R10+R11+R57+R104+R196</f>
        <v>766846.802440735</v>
      </c>
      <c r="S199" s="32" t="n">
        <f aca="false">S197+S198+S10+S11+S57+S104+S196</f>
        <v>145252.425832929</v>
      </c>
      <c r="T199" s="32" t="n">
        <f aca="false">T197+T198+T10+T11+T57+T104+T196</f>
        <v>1030668.08649795</v>
      </c>
      <c r="U199" s="32" t="n">
        <f aca="false">U197+U198+U10+U11+U57+U104+U196</f>
        <v>926966.026497953</v>
      </c>
      <c r="V199" s="32" t="n">
        <f aca="false">V197+V198+V10+V11+V57+V104+V196</f>
        <v>1012837.29649795</v>
      </c>
      <c r="W199" s="32" t="n">
        <f aca="false">W197+W198+W10+W11+W57+W104+W196</f>
        <v>833682.466497951</v>
      </c>
      <c r="X199" s="32" t="n">
        <f aca="false">X197+X198+X10+X11+X57+X104+X196</f>
        <v>984346.426497955</v>
      </c>
      <c r="Y199" s="32" t="n">
        <f aca="false">Y197+Y198+Y10+Y11+Y57+Y104+Y196</f>
        <v>800819.506497952</v>
      </c>
      <c r="Z199" s="32" t="n">
        <f aca="false">Z197+Z198+Z10+Z11+Z57+Z104+Z196</f>
        <v>900746.506497954</v>
      </c>
      <c r="AA199" s="32" t="n">
        <f aca="false">AA197+AA198+AA10+AA11+AA57+AA104+AA196</f>
        <v>810579.566497948</v>
      </c>
      <c r="AB199" s="32" t="n">
        <f aca="false">AB197+AB198+AB10+AB11+AB57+AB104+AB196</f>
        <v>672445.296497952</v>
      </c>
      <c r="AC199" s="32" t="n">
        <f aca="false">AC197+AC198+AC10+AC11+AC57+AC104+AC196</f>
        <v>576208.456497955</v>
      </c>
      <c r="AD199" s="32" t="n">
        <f aca="false">AD197+AD198+AD10+AD11+AD57+AD104+AD196</f>
        <v>598774.496497951</v>
      </c>
      <c r="AE199" s="32" t="n">
        <f aca="false">AE197+AE198+AE10+AE11+AE57+AE104+AE196</f>
        <v>589858.176497948</v>
      </c>
      <c r="AF199" s="32" t="n">
        <f aca="false">AF197+AF198+AF10+AF11+AF57+AF104+AF196</f>
        <v>748242.303216604</v>
      </c>
      <c r="AG199" s="32" t="n">
        <f aca="false">AG197+AG198+AG10+AG11+AG57+AG104+AG196</f>
        <v>681641.806260252</v>
      </c>
      <c r="AH199" s="32" t="n">
        <f aca="false">AH197+AH198+AH10+AH11+AH57+AH104+AH196</f>
        <v>545306.323298351</v>
      </c>
      <c r="AI199" s="32" t="n">
        <f aca="false">AI197+AI198+AI10+AI11+AI57+AI104+AI196</f>
        <v>539242.613298357</v>
      </c>
      <c r="AJ199" s="32" t="n">
        <f aca="false">AJ197+AJ198+AJ10+AJ11+AJ57+AJ104+AJ196</f>
        <v>546664.812866098</v>
      </c>
      <c r="AK199" s="32" t="n">
        <f aca="false">AK197+AK198+AK10+AK11+AK57+AK104+AK196</f>
        <v>292748.704057217</v>
      </c>
      <c r="AL199" s="32" t="n">
        <f aca="false">AL197+AL198+AL10+AL11+AL57+AL104+AL196</f>
        <v>306819.414057218</v>
      </c>
      <c r="AM199" s="32" t="n">
        <f aca="false">AM197+AM198+AM10+AM11+AM57+AM104+AM196</f>
        <v>318502.454057215</v>
      </c>
      <c r="AN199" s="32" t="n">
        <f aca="false">AN197+AN198+AN10+AN11+AN57+AN104+AN196</f>
        <v>211834.944057214</v>
      </c>
      <c r="AO199" s="32" t="n">
        <f aca="false">AO197+AO198+AO10+AO11+AO57+AO104+AO196</f>
        <v>172574.204057217</v>
      </c>
      <c r="AP199" s="32" t="n">
        <f aca="false">AP197+AP198+AP10+AP11+AP57+AP104+AP196</f>
        <v>172574.204057217</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0.112272717328546</v>
      </c>
      <c r="R200" s="33" t="n">
        <f aca="false">IFERROR(R199/R58,0)</f>
        <v>0.108831680247147</v>
      </c>
      <c r="S200" s="33" t="n">
        <f aca="false">IFERROR(S199/S58,0)</f>
        <v>0.0178929424676428</v>
      </c>
      <c r="T200" s="33" t="n">
        <f aca="false">IFERROR(T199/T58,0)</f>
        <v>0.111198320255856</v>
      </c>
      <c r="U200" s="33" t="n">
        <f aca="false">IFERROR(U199/U58,0)</f>
        <v>0.106787196437843</v>
      </c>
      <c r="V200" s="33" t="n">
        <f aca="false">IFERROR(V199/V58,0)</f>
        <v>0.108121617451746</v>
      </c>
      <c r="W200" s="33" t="n">
        <f aca="false">IFERROR(W199/W58,0)</f>
        <v>0.105442563421517</v>
      </c>
      <c r="X200" s="33" t="n">
        <f aca="false">IFERROR(X199/X58,0)</f>
        <v>0.10617821192004</v>
      </c>
      <c r="Y200" s="33" t="n">
        <f aca="false">IFERROR(Y199/Y58,0)</f>
        <v>0.102920284752023</v>
      </c>
      <c r="Z200" s="33" t="n">
        <f aca="false">IFERROR(Z199/Z58,0)</f>
        <v>0.104823772678356</v>
      </c>
      <c r="AA200" s="33" t="n">
        <f aca="false">IFERROR(AA199/AA58,0)</f>
        <v>0.104647029557482</v>
      </c>
      <c r="AB200" s="33" t="n">
        <f aca="false">IFERROR(AB199/AB58,0)</f>
        <v>0.104416807206533</v>
      </c>
      <c r="AC200" s="33" t="n">
        <f aca="false">IFERROR(AC199/AC58,0)</f>
        <v>0.105644041623755</v>
      </c>
      <c r="AD200" s="33" t="n">
        <f aca="false">IFERROR(AD199/AD58,0)</f>
        <v>0.110255916961554</v>
      </c>
      <c r="AE200" s="33" t="n">
        <f aca="false">IFERROR(AE199/AE58,0)</f>
        <v>0.115156264253058</v>
      </c>
      <c r="AF200" s="33" t="n">
        <f aca="false">IFERROR(AF199/AF58,0)</f>
        <v>0.145348467196072</v>
      </c>
      <c r="AG200" s="33" t="n">
        <f aca="false">IFERROR(AG199/AG58,0)</f>
        <v>0.124454197269244</v>
      </c>
      <c r="AH200" s="33" t="n">
        <f aca="false">IFERROR(AH199/AH58,0)</f>
        <v>0.110031342298394</v>
      </c>
      <c r="AI200" s="33" t="n">
        <f aca="false">IFERROR(AI199/AI58,0)</f>
        <v>0.112409203778823</v>
      </c>
      <c r="AJ200" s="33" t="n">
        <f aca="false">IFERROR(AJ199/AJ58,0)</f>
        <v>0.149108701357671</v>
      </c>
      <c r="AK200" s="33" t="n">
        <f aca="false">IFERROR(AK199/AK58,0)</f>
        <v>0.0987336060809781</v>
      </c>
      <c r="AL200" s="33" t="n">
        <f aca="false">IFERROR(AL199/AL58,0)</f>
        <v>0.102070377078471</v>
      </c>
      <c r="AM200" s="33" t="n">
        <f aca="false">IFERROR(AM199/AM58,0)</f>
        <v>0.105747047732572</v>
      </c>
      <c r="AN200" s="33" t="n">
        <f aca="false">IFERROR(AN199/AN58,0)</f>
        <v>0.10510566315449</v>
      </c>
      <c r="AO200" s="33" t="n">
        <f aca="false">IFERROR(AO199/AO58,0)</f>
        <v>0.109702511126458</v>
      </c>
      <c r="AP200" s="33" t="n">
        <f aca="false">IFERROR(AP199/AP58,0)</f>
        <v>0.118832419009621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-381273.62</v>
      </c>
      <c r="T203" s="13" t="n">
        <f aca="false">IF(ISBLANK(Actuals!U21),(-(SUMPRODUCT((Personnel!$O$9:$O$100="GC")*(Personnel!$G$9:$G$100="Yes")*(16&gt;=Personnel!$E$9:$E$100)*((Personnel!$K$9:$K$100="")+(16&lt;=Personnel!$K$9:$K$100)&gt;0)*Personnel!$D$9:$D$100*(1-Personnel!$H$9:$H$100))+Staffing!T81))*Escalation!$B$17,Actuals!U21)</f>
        <v>-381273.62</v>
      </c>
      <c r="U203" s="13" t="n">
        <f aca="false">IF(ISBLANK(Actuals!V21),(-(SUMPRODUCT((Personnel!$O$9:$O$100="GC")*(Personnel!$G$9:$G$100="Yes")*(17&gt;=Personnel!$E$9:$E$100)*((Personnel!$K$9:$K$100="")+(17&lt;=Personnel!$K$9:$K$100)&gt;0)*Personnel!$D$9:$D$100*(1-Personnel!$H$9:$H$100))+Staffing!U81))*Escalation!$B$18,Actuals!V21)</f>
        <v>-381273.62</v>
      </c>
      <c r="V203" s="13" t="n">
        <f aca="false">IF(ISBLANK(Actuals!W21),(-(SUMPRODUCT((Personnel!$O$9:$O$100="GC")*(Personnel!$G$9:$G$100="Yes")*(18&gt;=Personnel!$E$9:$E$100)*((Personnel!$K$9:$K$100="")+(18&lt;=Personnel!$K$9:$K$100)&gt;0)*Personnel!$D$9:$D$100*(1-Personnel!$H$9:$H$100))+Staffing!V81))*Escalation!$B$19,Actuals!W21)</f>
        <v>-381273.62</v>
      </c>
      <c r="W203" s="13" t="n">
        <f aca="false">IF(ISBLANK(Actuals!X21),(-(SUMPRODUCT((Personnel!$O$9:$O$100="GC")*(Personnel!$G$9:$G$100="Yes")*(19&gt;=Personnel!$E$9:$E$100)*((Personnel!$K$9:$K$100="")+(19&lt;=Personnel!$K$9:$K$100)&gt;0)*Personnel!$D$9:$D$100*(1-Personnel!$H$9:$H$100))+Staffing!W81))*Escalation!$B$20,Actuals!X21)</f>
        <v>-381273.62</v>
      </c>
      <c r="X203" s="13" t="n">
        <f aca="false">IF(ISBLANK(Actuals!Y21),(-(SUMPRODUCT((Personnel!$O$9:$O$100="GC")*(Personnel!$G$9:$G$100="Yes")*(20&gt;=Personnel!$E$9:$E$100)*((Personnel!$K$9:$K$100="")+(20&lt;=Personnel!$K$9:$K$100)&gt;0)*Personnel!$D$9:$D$100*(1-Personnel!$H$9:$H$100))+Staffing!X81))*Escalation!$B$21,Actuals!Y21)</f>
        <v>-381273.62</v>
      </c>
      <c r="Y203" s="13" t="n">
        <f aca="false">IF(ISBLANK(Actuals!Z21),(-(SUMPRODUCT((Personnel!$O$9:$O$100="GC")*(Personnel!$G$9:$G$100="Yes")*(21&gt;=Personnel!$E$9:$E$100)*((Personnel!$K$9:$K$100="")+(21&lt;=Personnel!$K$9:$K$100)&gt;0)*Personnel!$D$9:$D$100*(1-Personnel!$H$9:$H$100))+Staffing!Y81))*Escalation!$B$22,Actuals!Z21)</f>
        <v>-381273.62</v>
      </c>
      <c r="Z203" s="13" t="n">
        <f aca="false">IF(ISBLANK(Actuals!AA21),(-(SUMPRODUCT((Personnel!$O$9:$O$100="GC")*(Personnel!$G$9:$G$100="Yes")*(22&gt;=Personnel!$E$9:$E$100)*((Personnel!$K$9:$K$100="")+(22&lt;=Personnel!$K$9:$K$100)&gt;0)*Personnel!$D$9:$D$100*(1-Personnel!$H$9:$H$100))+Staffing!Z81))*Escalation!$B$23,Actuals!AA21)</f>
        <v>-341748.62</v>
      </c>
      <c r="AA203" s="13" t="n">
        <f aca="false">IF(ISBLANK(Actuals!AB21),(-(SUMPRODUCT((Personnel!$O$9:$O$100="GC")*(Personnel!$G$9:$G$100="Yes")*(23&gt;=Personnel!$E$9:$E$100)*((Personnel!$K$9:$K$100="")+(23&lt;=Personnel!$K$9:$K$100)&gt;0)*Personnel!$D$9:$D$100*(1-Personnel!$H$9:$H$100))+Staffing!AA81))*Escalation!$B$24,Actuals!AB21)</f>
        <v>-334948.62</v>
      </c>
      <c r="AB203" s="13" t="n">
        <f aca="false">IF(ISBLANK(Actuals!AC21),(-(SUMPRODUCT((Personnel!$O$9:$O$100="GC")*(Personnel!$G$9:$G$100="Yes")*(24&gt;=Personnel!$E$9:$E$100)*((Personnel!$K$9:$K$100="")+(24&lt;=Personnel!$K$9:$K$100)&gt;0)*Personnel!$D$9:$D$100*(1-Personnel!$H$9:$H$100))+Staffing!AB81))*Escalation!$B$25,Actuals!AC21)</f>
        <v>-321348.62</v>
      </c>
      <c r="AC203" s="13" t="n">
        <f aca="false">IF(ISBLANK(Actuals!AD21),(-(SUMPRODUCT((Personnel!$O$9:$O$100="GC")*(Personnel!$G$9:$G$100="Yes")*(25&gt;=Personnel!$E$9:$E$100)*((Personnel!$K$9:$K$100="")+(25&lt;=Personnel!$K$9:$K$100)&gt;0)*Personnel!$D$9:$D$100*(1-Personnel!$H$9:$H$100))+Staffing!AC81))*Escalation!$B$26,Actuals!AD21)</f>
        <v>-303066.0924</v>
      </c>
      <c r="AD203" s="13" t="n">
        <f aca="false">IF(ISBLANK(Actuals!AE21),(-(SUMPRODUCT((Personnel!$O$9:$O$100="GC")*(Personnel!$G$9:$G$100="Yes")*(26&gt;=Personnel!$E$9:$E$100)*((Personnel!$K$9:$K$100="")+(26&lt;=Personnel!$K$9:$K$100)&gt;0)*Personnel!$D$9:$D$100*(1-Personnel!$H$9:$H$100))+Staffing!AD81))*Escalation!$B$27,Actuals!AE21)</f>
        <v>-277923.0924</v>
      </c>
      <c r="AE203" s="13" t="n">
        <f aca="false">IF(ISBLANK(Actuals!AF21),(-(SUMPRODUCT((Personnel!$O$9:$O$100="GC")*(Personnel!$G$9:$G$100="Yes")*(27&gt;=Personnel!$E$9:$E$100)*((Personnel!$K$9:$K$100="")+(27&lt;=Personnel!$K$9:$K$100)&gt;0)*Personnel!$D$9:$D$100*(1-Personnel!$H$9:$H$100))+Staffing!AE81))*Escalation!$B$28,Actuals!AF21)</f>
        <v>-277923.0924</v>
      </c>
      <c r="AF203" s="13" t="n">
        <f aca="false">IF(ISBLANK(Actuals!AG21),(-(SUMPRODUCT((Personnel!$O$9:$O$100="GC")*(Personnel!$G$9:$G$100="Yes")*(28&gt;=Personnel!$E$9:$E$100)*((Personnel!$K$9:$K$100="")+(28&lt;=Personnel!$K$9:$K$100)&gt;0)*Personnel!$D$9:$D$100*(1-Personnel!$H$9:$H$100))+Staffing!AF81))*Escalation!$B$29,Actuals!AG21)</f>
        <v>-277923.0924</v>
      </c>
      <c r="AG203" s="13" t="n">
        <f aca="false">IF(ISBLANK(Actuals!AH21),(-(SUMPRODUCT((Personnel!$O$9:$O$100="GC")*(Personnel!$G$9:$G$100="Yes")*(29&gt;=Personnel!$E$9:$E$100)*((Personnel!$K$9:$K$100="")+(29&lt;=Personnel!$K$9:$K$100)&gt;0)*Personnel!$D$9:$D$100*(1-Personnel!$H$9:$H$100))+Staffing!AG81))*Escalation!$B$30,Actuals!AH21)</f>
        <v>-277923.0924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-30556.6534</v>
      </c>
      <c r="T204" s="13" t="n">
        <f aca="false">IF(ISBLANK(Actuals!U22),-Helpers!R4*Assumptions!$B$20,Actuals!U22)</f>
        <v>-30556.6534</v>
      </c>
      <c r="U204" s="13" t="n">
        <f aca="false">IF(ISBLANK(Actuals!V22),-Helpers!S4*Assumptions!$B$20,Actuals!V22)</f>
        <v>-30556.6534</v>
      </c>
      <c r="V204" s="13" t="n">
        <f aca="false">IF(ISBLANK(Actuals!W22),-Helpers!T4*Assumptions!$B$20,Actuals!W22)</f>
        <v>-30556.6534</v>
      </c>
      <c r="W204" s="13" t="n">
        <f aca="false">IF(ISBLANK(Actuals!X22),-Helpers!U4*Assumptions!$B$20,Actuals!X22)</f>
        <v>-30556.6534</v>
      </c>
      <c r="X204" s="13" t="n">
        <f aca="false">IF(ISBLANK(Actuals!Y22),-Helpers!V4*Assumptions!$B$20,Actuals!Y22)</f>
        <v>-30556.6534</v>
      </c>
      <c r="Y204" s="13" t="n">
        <f aca="false">IF(ISBLANK(Actuals!Z22),-Helpers!W4*Assumptions!$B$20,Actuals!Z22)</f>
        <v>-30556.6534</v>
      </c>
      <c r="Z204" s="13" t="n">
        <f aca="false">IF(ISBLANK(Actuals!AA22),-Helpers!X4*Assumptions!$B$20,Actuals!AA22)</f>
        <v>-27789.9034</v>
      </c>
      <c r="AA204" s="13" t="n">
        <f aca="false">IF(ISBLANK(Actuals!AB22),-Helpers!Y4*Assumptions!$B$20,Actuals!AB22)</f>
        <v>-27313.9034</v>
      </c>
      <c r="AB204" s="13" t="n">
        <f aca="false">IF(ISBLANK(Actuals!AC22),-Helpers!Z4*Assumptions!$B$20,Actuals!AC22)</f>
        <v>-26361.9034</v>
      </c>
      <c r="AC204" s="13" t="n">
        <f aca="false">IF(ISBLANK(Actuals!AD22),-Helpers!AA4*Assumptions!$B$20,Actuals!AD22)</f>
        <v>-25159.476468</v>
      </c>
      <c r="AD204" s="13" t="n">
        <f aca="false">IF(ISBLANK(Actuals!AE22),-Helpers!AB4*Assumptions!$B$20,Actuals!AE22)</f>
        <v>-23399.466468</v>
      </c>
      <c r="AE204" s="13" t="n">
        <f aca="false">IF(ISBLANK(Actuals!AF22),-Helpers!AC4*Assumptions!$B$20,Actuals!AF22)</f>
        <v>-23399.466468</v>
      </c>
      <c r="AF204" s="13" t="n">
        <f aca="false">IF(ISBLANK(Actuals!AG22),-Helpers!AD4*Assumptions!$B$20,Actuals!AG22)</f>
        <v>-23399.466468</v>
      </c>
      <c r="AG204" s="13" t="n">
        <f aca="false">IF(ISBLANK(Actuals!AH22),-Helpers!AE4*Assumptions!$B$20,Actuals!AH22)</f>
        <v>-23399.466468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-14430.4517</v>
      </c>
      <c r="R206" s="13" t="n">
        <f aca="false">IF(ISBLANK(Actuals!S24),-Helpers!P4*Assumptions!$B$24,Actuals!S24)</f>
        <v>-14430.4517</v>
      </c>
      <c r="S206" s="13" t="n">
        <f aca="false">IF(ISBLANK(Actuals!T24),-Helpers!Q4*Assumptions!$B$24,Actuals!T24)</f>
        <v>-15278.3267</v>
      </c>
      <c r="T206" s="13" t="n">
        <f aca="false">IF(ISBLANK(Actuals!U24),-Helpers!R4*Assumptions!$B$24,Actuals!U24)</f>
        <v>-15278.3267</v>
      </c>
      <c r="U206" s="13" t="n">
        <f aca="false">IF(ISBLANK(Actuals!V24),-Helpers!S4*Assumptions!$B$24,Actuals!V24)</f>
        <v>-15278.3267</v>
      </c>
      <c r="V206" s="13" t="n">
        <f aca="false">IF(ISBLANK(Actuals!W24),-Helpers!T4*Assumptions!$B$24,Actuals!W24)</f>
        <v>-15278.3267</v>
      </c>
      <c r="W206" s="13" t="n">
        <f aca="false">IF(ISBLANK(Actuals!X24),-Helpers!U4*Assumptions!$B$24,Actuals!X24)</f>
        <v>-15278.3267</v>
      </c>
      <c r="X206" s="13" t="n">
        <f aca="false">IF(ISBLANK(Actuals!Y24),-Helpers!V4*Assumptions!$B$24,Actuals!Y24)</f>
        <v>-15278.3267</v>
      </c>
      <c r="Y206" s="13" t="n">
        <f aca="false">IF(ISBLANK(Actuals!Z24),-Helpers!W4*Assumptions!$B$24,Actuals!Z24)</f>
        <v>-15278.3267</v>
      </c>
      <c r="Z206" s="13" t="n">
        <f aca="false">IF(ISBLANK(Actuals!AA24),-Helpers!X4*Assumptions!$B$24,Actuals!AA24)</f>
        <v>-13894.9517</v>
      </c>
      <c r="AA206" s="13" t="n">
        <f aca="false">IF(ISBLANK(Actuals!AB24),-Helpers!Y4*Assumptions!$B$24,Actuals!AB24)</f>
        <v>-13656.9517</v>
      </c>
      <c r="AB206" s="13" t="n">
        <f aca="false">IF(ISBLANK(Actuals!AC24),-Helpers!Z4*Assumptions!$B$24,Actuals!AC24)</f>
        <v>-13180.9517</v>
      </c>
      <c r="AC206" s="13" t="n">
        <f aca="false">IF(ISBLANK(Actuals!AD24),-Helpers!AA4*Assumptions!$B$24,Actuals!AD24)</f>
        <v>-12579.738234</v>
      </c>
      <c r="AD206" s="13" t="n">
        <f aca="false">IF(ISBLANK(Actuals!AE24),-Helpers!AB4*Assumptions!$B$24,Actuals!AE24)</f>
        <v>-11699.733234</v>
      </c>
      <c r="AE206" s="13" t="n">
        <f aca="false">IF(ISBLANK(Actuals!AF24),-Helpers!AC4*Assumptions!$B$24,Actuals!AF24)</f>
        <v>-11699.733234</v>
      </c>
      <c r="AF206" s="13" t="n">
        <f aca="false">IF(ISBLANK(Actuals!AG24),-Helpers!AD4*Assumptions!$B$24,Actuals!AG24)</f>
        <v>-11699.733234</v>
      </c>
      <c r="AG206" s="13" t="n">
        <f aca="false">IF(ISBLANK(Actuals!AH24),-Helpers!AE4*Assumptions!$B$24,Actuals!AH24)</f>
        <v>-11699.733234</v>
      </c>
      <c r="AH206" s="13" t="n">
        <f aca="false">IF(ISBLANK(Actuals!AI24),-Helpers!AF4*Assumptions!$B$24,Actuals!AI24)</f>
        <v>-11320.420734</v>
      </c>
      <c r="AI206" s="13" t="n">
        <f aca="false">IF(ISBLANK(Actuals!AJ24),-Helpers!AG4*Assumptions!$B$24,Actuals!AJ24)</f>
        <v>-11320.420734</v>
      </c>
      <c r="AJ206" s="13" t="n">
        <f aca="false">IF(ISBLANK(Actuals!AK24),-Helpers!AH4*Assumptions!$B$24,Actuals!AK24)</f>
        <v>-11320.420734</v>
      </c>
      <c r="AK206" s="13" t="n">
        <f aca="false">IF(ISBLANK(Actuals!AL24),-Helpers!AI4*Assumptions!$B$24,Actuals!AL24)</f>
        <v>-11320.420734</v>
      </c>
      <c r="AL206" s="13" t="n">
        <f aca="false">IF(ISBLANK(Actuals!AM24),-Helpers!AJ4*Assumptions!$B$24,Actuals!AM24)</f>
        <v>-11320.420734</v>
      </c>
      <c r="AM206" s="13" t="n">
        <f aca="false">IF(ISBLANK(Actuals!AN24),-Helpers!AK4*Assumptions!$B$24,Actuals!AN24)</f>
        <v>-11320.420734</v>
      </c>
      <c r="AN206" s="13" t="n">
        <f aca="false">IF(ISBLANK(Actuals!AO24),-Helpers!AL4*Assumptions!$B$24,Actuals!AO24)</f>
        <v>-11320.420734</v>
      </c>
      <c r="AO206" s="13" t="n">
        <f aca="false">IF(ISBLANK(Actuals!AP24),-Helpers!AM4*Assumptions!$B$24,Actuals!AP24)</f>
        <v>-11546.82914868</v>
      </c>
      <c r="AP206" s="13" t="n">
        <f aca="false">IF(ISBLANK(Actuals!AQ24),-Helpers!AN4*Assumptions!$B$24,Actuals!AQ24)</f>
        <v>-11546.82914868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-1236.89586</v>
      </c>
      <c r="R207" s="13" t="n">
        <f aca="false">IF(ISBLANK(Actuals!S25),-Helpers!P4*Assumptions!$B$27,Actuals!S25)</f>
        <v>-1236.89586</v>
      </c>
      <c r="S207" s="13" t="n">
        <f aca="false">IF(ISBLANK(Actuals!T25),-Helpers!Q4*Assumptions!$B$27,Actuals!T25)</f>
        <v>-1309.57086</v>
      </c>
      <c r="T207" s="13" t="n">
        <f aca="false">IF(ISBLANK(Actuals!U25),-Helpers!R4*Assumptions!$B$27,Actuals!U25)</f>
        <v>-1309.57086</v>
      </c>
      <c r="U207" s="13" t="n">
        <f aca="false">IF(ISBLANK(Actuals!V25),-Helpers!S4*Assumptions!$B$27,Actuals!V25)</f>
        <v>-1309.57086</v>
      </c>
      <c r="V207" s="13" t="n">
        <f aca="false">IF(ISBLANK(Actuals!W25),-Helpers!T4*Assumptions!$B$27,Actuals!W25)</f>
        <v>-1309.57086</v>
      </c>
      <c r="W207" s="13" t="n">
        <f aca="false">IF(ISBLANK(Actuals!X25),-Helpers!U4*Assumptions!$B$27,Actuals!X25)</f>
        <v>-1309.57086</v>
      </c>
      <c r="X207" s="13" t="n">
        <f aca="false">IF(ISBLANK(Actuals!Y25),-Helpers!V4*Assumptions!$B$27,Actuals!Y25)</f>
        <v>-1309.57086</v>
      </c>
      <c r="Y207" s="13" t="n">
        <f aca="false">IF(ISBLANK(Actuals!Z25),-Helpers!W4*Assumptions!$B$27,Actuals!Z25)</f>
        <v>-1309.57086</v>
      </c>
      <c r="Z207" s="13" t="n">
        <f aca="false">IF(ISBLANK(Actuals!AA25),-Helpers!X4*Assumptions!$B$27,Actuals!AA25)</f>
        <v>-1190.99586</v>
      </c>
      <c r="AA207" s="13" t="n">
        <f aca="false">IF(ISBLANK(Actuals!AB25),-Helpers!Y4*Assumptions!$B$27,Actuals!AB25)</f>
        <v>-1170.59586</v>
      </c>
      <c r="AB207" s="13" t="n">
        <f aca="false">IF(ISBLANK(Actuals!AC25),-Helpers!Z4*Assumptions!$B$27,Actuals!AC25)</f>
        <v>-1129.79586</v>
      </c>
      <c r="AC207" s="13" t="n">
        <f aca="false">IF(ISBLANK(Actuals!AD25),-Helpers!AA4*Assumptions!$B$27,Actuals!AD25)</f>
        <v>-1078.2632772</v>
      </c>
      <c r="AD207" s="13" t="n">
        <f aca="false">IF(ISBLANK(Actuals!AE25),-Helpers!AB4*Assumptions!$B$27,Actuals!AE25)</f>
        <v>-1002.8342772</v>
      </c>
      <c r="AE207" s="13" t="n">
        <f aca="false">IF(ISBLANK(Actuals!AF25),-Helpers!AC4*Assumptions!$B$27,Actuals!AF25)</f>
        <v>-1002.8342772</v>
      </c>
      <c r="AF207" s="13" t="n">
        <f aca="false">IF(ISBLANK(Actuals!AG25),-Helpers!AD4*Assumptions!$B$27,Actuals!AG25)</f>
        <v>-1002.8342772</v>
      </c>
      <c r="AG207" s="13" t="n">
        <f aca="false">IF(ISBLANK(Actuals!AH25),-Helpers!AE4*Assumptions!$B$27,Actuals!AH25)</f>
        <v>-1002.8342772</v>
      </c>
      <c r="AH207" s="13" t="n">
        <f aca="false">IF(ISBLANK(Actuals!AI25),-Helpers!AF4*Assumptions!$B$27,Actuals!AI25)</f>
        <v>-970.3217772</v>
      </c>
      <c r="AI207" s="13" t="n">
        <f aca="false">IF(ISBLANK(Actuals!AJ25),-Helpers!AG4*Assumptions!$B$27,Actuals!AJ25)</f>
        <v>-970.3217772</v>
      </c>
      <c r="AJ207" s="13" t="n">
        <f aca="false">IF(ISBLANK(Actuals!AK25),-Helpers!AH4*Assumptions!$B$27,Actuals!AK25)</f>
        <v>-970.3217772</v>
      </c>
      <c r="AK207" s="13" t="n">
        <f aca="false">IF(ISBLANK(Actuals!AL25),-Helpers!AI4*Assumptions!$B$27,Actuals!AL25)</f>
        <v>-970.3217772</v>
      </c>
      <c r="AL207" s="13" t="n">
        <f aca="false">IF(ISBLANK(Actuals!AM25),-Helpers!AJ4*Assumptions!$B$27,Actuals!AM25)</f>
        <v>-970.3217772</v>
      </c>
      <c r="AM207" s="13" t="n">
        <f aca="false">IF(ISBLANK(Actuals!AN25),-Helpers!AK4*Assumptions!$B$27,Actuals!AN25)</f>
        <v>-970.3217772</v>
      </c>
      <c r="AN207" s="13" t="n">
        <f aca="false">IF(ISBLANK(Actuals!AO25),-Helpers!AL4*Assumptions!$B$27,Actuals!AO25)</f>
        <v>-970.3217772</v>
      </c>
      <c r="AO207" s="13" t="n">
        <f aca="false">IF(ISBLANK(Actuals!AP25),-Helpers!AM4*Assumptions!$B$27,Actuals!AP25)</f>
        <v>-989.728212744</v>
      </c>
      <c r="AP207" s="13" t="n">
        <f aca="false">IF(ISBLANK(Actuals!AQ25),-Helpers!AN4*Assumptions!$B$27,Actuals!AQ25)</f>
        <v>-989.728212744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-2182.6181</v>
      </c>
      <c r="T208" s="13" t="n">
        <f aca="false">IF(ISBLANK(Actuals!U26),-Helpers!R4*Assumptions!$B$21,Actuals!U26)</f>
        <v>-2182.6181</v>
      </c>
      <c r="U208" s="13" t="n">
        <f aca="false">IF(ISBLANK(Actuals!V26),-Helpers!S4*Assumptions!$B$21,Actuals!V26)</f>
        <v>-2182.6181</v>
      </c>
      <c r="V208" s="13" t="n">
        <f aca="false">IF(ISBLANK(Actuals!W26),-Helpers!T4*Assumptions!$B$21,Actuals!W26)</f>
        <v>-2182.6181</v>
      </c>
      <c r="W208" s="13" t="n">
        <f aca="false">IF(ISBLANK(Actuals!X26),-Helpers!U4*Assumptions!$B$21,Actuals!X26)</f>
        <v>-2182.6181</v>
      </c>
      <c r="X208" s="13" t="n">
        <f aca="false">IF(ISBLANK(Actuals!Y26),-Helpers!V4*Assumptions!$B$21,Actuals!Y26)</f>
        <v>-2182.6181</v>
      </c>
      <c r="Y208" s="13" t="n">
        <f aca="false">IF(ISBLANK(Actuals!Z26),-Helpers!W4*Assumptions!$B$21,Actuals!Z26)</f>
        <v>-2182.6181</v>
      </c>
      <c r="Z208" s="13" t="n">
        <f aca="false">IF(ISBLANK(Actuals!AA26),-Helpers!X4*Assumptions!$B$21,Actuals!AA26)</f>
        <v>-1984.9931</v>
      </c>
      <c r="AA208" s="13" t="n">
        <f aca="false">IF(ISBLANK(Actuals!AB26),-Helpers!Y4*Assumptions!$B$21,Actuals!AB26)</f>
        <v>-1950.9931</v>
      </c>
      <c r="AB208" s="13" t="n">
        <f aca="false">IF(ISBLANK(Actuals!AC26),-Helpers!Z4*Assumptions!$B$21,Actuals!AC26)</f>
        <v>-1882.9931</v>
      </c>
      <c r="AC208" s="13" t="n">
        <f aca="false">IF(ISBLANK(Actuals!AD26),-Helpers!AA4*Assumptions!$B$21,Actuals!AD26)</f>
        <v>-1797.105462</v>
      </c>
      <c r="AD208" s="13" t="n">
        <f aca="false">IF(ISBLANK(Actuals!AE26),-Helpers!AB4*Assumptions!$B$21,Actuals!AE26)</f>
        <v>-1671.390462</v>
      </c>
      <c r="AE208" s="13" t="n">
        <f aca="false">IF(ISBLANK(Actuals!AF26),-Helpers!AC4*Assumptions!$B$21,Actuals!AF26)</f>
        <v>-1671.390462</v>
      </c>
      <c r="AF208" s="13" t="n">
        <f aca="false">IF(ISBLANK(Actuals!AG26),-Helpers!AD4*Assumptions!$B$21,Actuals!AG26)</f>
        <v>-1671.390462</v>
      </c>
      <c r="AG208" s="13" t="n">
        <f aca="false">IF(ISBLANK(Actuals!AH26),-Helpers!AE4*Assumptions!$B$21,Actuals!AH26)</f>
        <v>-1671.390462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-21375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-35769.2307692308</v>
      </c>
      <c r="AA223" s="13" t="n">
        <f aca="false">IF(ISBLANK(Actuals!AB41),-(SUMPRODUCT((Personnel!$O$9:$O$100="GC")*(Personnel!$G$9:$G$100="Yes")*(Personnel!$E$9:$E$100&gt;=2)*(Personnel!$Q$9:$Q$100&lt;&gt;"No")*(Personnel!$E$9:$E$100=23)*Personnel!$C$9:$C$100)*Staffing!$B$21+Staffing!AA84),Actuals!AB41)</f>
        <v>-6153.84615384615</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-485923.50726</v>
      </c>
      <c r="R236" s="30" t="n">
        <f aca="false">SUM(R202:R235)+Actuals!S54</f>
        <v>-485923.50726</v>
      </c>
      <c r="S236" s="30" t="n">
        <f aca="false">SUM(S202:S235)+Actuals!T54</f>
        <v>-534260.93226</v>
      </c>
      <c r="T236" s="30" t="n">
        <f aca="false">SUM(T202:T235)+Actuals!U54</f>
        <v>-512885.93226</v>
      </c>
      <c r="U236" s="30" t="n">
        <f aca="false">SUM(U202:U235)+Actuals!V54</f>
        <v>-512885.93226</v>
      </c>
      <c r="V236" s="30" t="n">
        <f aca="false">SUM(V202:V235)+Actuals!W54</f>
        <v>-512885.93226</v>
      </c>
      <c r="W236" s="30" t="n">
        <f aca="false">SUM(W202:W235)+Actuals!X54</f>
        <v>-512885.93226</v>
      </c>
      <c r="X236" s="30" t="n">
        <f aca="false">SUM(X202:X235)+Actuals!Y54</f>
        <v>-512885.93226</v>
      </c>
      <c r="Y236" s="30" t="n">
        <f aca="false">SUM(Y202:Y235)+Actuals!Z54</f>
        <v>-512885.93226</v>
      </c>
      <c r="Z236" s="30" t="n">
        <f aca="false">SUM(Z202:Z235)+Actuals!AA54</f>
        <v>-504663.838029231</v>
      </c>
      <c r="AA236" s="30" t="n">
        <f aca="false">SUM(AA202:AA235)+Actuals!AB54</f>
        <v>-467480.053413846</v>
      </c>
      <c r="AB236" s="30" t="n">
        <f aca="false">SUM(AB202:AB235)+Actuals!AC54</f>
        <v>-458497.099567692</v>
      </c>
      <c r="AC236" s="30" t="n">
        <f aca="false">SUM(AC202:AC235)+Actuals!AD54</f>
        <v>-449234.598828277</v>
      </c>
      <c r="AD236" s="30" t="n">
        <f aca="false">SUM(AD202:AD235)+Actuals!AE54</f>
        <v>-421635.055212892</v>
      </c>
      <c r="AE236" s="30" t="n">
        <f aca="false">SUM(AE202:AE235)+Actuals!AF54</f>
        <v>-399327.3629052</v>
      </c>
      <c r="AF236" s="30" t="n">
        <f aca="false">SUM(AF202:AF235)+Actuals!AG54</f>
        <v>-399327.3629052</v>
      </c>
      <c r="AG236" s="30" t="n">
        <f aca="false">SUM(AG202:AG235)+Actuals!AH54</f>
        <v>-399327.3629052</v>
      </c>
      <c r="AH236" s="30" t="n">
        <f aca="false">SUM(AH202:AH235)+Actuals!AI54</f>
        <v>-396880.610020585</v>
      </c>
      <c r="AI236" s="30" t="n">
        <f aca="false">SUM(AI202:AI235)+Actuals!AJ54</f>
        <v>-387265.2254052</v>
      </c>
      <c r="AJ236" s="30" t="n">
        <f aca="false">SUM(AJ202:AJ235)+Actuals!AK54</f>
        <v>-387265.2254052</v>
      </c>
      <c r="AK236" s="30" t="n">
        <f aca="false">SUM(AK202:AK235)+Actuals!AL54</f>
        <v>-387265.2254052</v>
      </c>
      <c r="AL236" s="30" t="n">
        <f aca="false">SUM(AL202:AL235)+Actuals!AM54</f>
        <v>-387265.2254052</v>
      </c>
      <c r="AM236" s="30" t="n">
        <f aca="false">SUM(AM202:AM235)+Actuals!AN54</f>
        <v>-387265.2254052</v>
      </c>
      <c r="AN236" s="30" t="n">
        <f aca="false">SUM(AN202:AN235)+Actuals!AO54</f>
        <v>-387265.2254052</v>
      </c>
      <c r="AO236" s="30" t="n">
        <f aca="false">SUM(AO202:AO235)+Actuals!AP54</f>
        <v>-394710.529913304</v>
      </c>
      <c r="AP236" s="30" t="n">
        <f aca="false">SUM(AP202:AP235)+Actuals!AQ54</f>
        <v>-394710.529913304</v>
      </c>
      <c r="AQ236" s="30" t="n">
        <f aca="false">SUM(AQ202:AQ235)+Actuals!AR54</f>
        <v>-394710.529913304</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294318.005180735</v>
      </c>
      <c r="R237" s="37" t="n">
        <f aca="false">R199+R236</f>
        <v>280923.295180735</v>
      </c>
      <c r="S237" s="37" t="n">
        <f aca="false">S199+S236</f>
        <v>-389008.506427071</v>
      </c>
      <c r="T237" s="37" t="n">
        <f aca="false">T199+T236</f>
        <v>517782.154237951</v>
      </c>
      <c r="U237" s="37" t="n">
        <f aca="false">U199+U236</f>
        <v>414080.094237953</v>
      </c>
      <c r="V237" s="37" t="n">
        <f aca="false">V199+V236</f>
        <v>499951.36423795</v>
      </c>
      <c r="W237" s="37" t="n">
        <f aca="false">W199+W236</f>
        <v>320796.534237951</v>
      </c>
      <c r="X237" s="37" t="n">
        <f aca="false">X199+X236</f>
        <v>471460.494237955</v>
      </c>
      <c r="Y237" s="37" t="n">
        <f aca="false">Y199+Y236</f>
        <v>287933.574237952</v>
      </c>
      <c r="Z237" s="37" t="n">
        <f aca="false">Z199+Z236</f>
        <v>396082.668468723</v>
      </c>
      <c r="AA237" s="37" t="n">
        <f aca="false">AA199+AA236</f>
        <v>343099.513084102</v>
      </c>
      <c r="AB237" s="37" t="n">
        <f aca="false">AB199+AB236</f>
        <v>213948.19693026</v>
      </c>
      <c r="AC237" s="37" t="n">
        <f aca="false">AC199+AC236</f>
        <v>126973.857669678</v>
      </c>
      <c r="AD237" s="37" t="n">
        <f aca="false">AD199+AD236</f>
        <v>177139.441285059</v>
      </c>
      <c r="AE237" s="37" t="n">
        <f aca="false">AE199+AE236</f>
        <v>190530.813592748</v>
      </c>
      <c r="AF237" s="37" t="n">
        <f aca="false">AF199+AF236</f>
        <v>348914.940311404</v>
      </c>
      <c r="AG237" s="37" t="n">
        <f aca="false">AG199+AG236</f>
        <v>282314.443355052</v>
      </c>
      <c r="AH237" s="37" t="n">
        <f aca="false">AH199+AH236</f>
        <v>148425.713277766</v>
      </c>
      <c r="AI237" s="37" t="n">
        <f aca="false">AI199+AI236</f>
        <v>151977.387893157</v>
      </c>
      <c r="AJ237" s="37" t="n">
        <f aca="false">AJ199+AJ236</f>
        <v>159399.587460898</v>
      </c>
      <c r="AK237" s="37" t="n">
        <f aca="false">AK199+AK236</f>
        <v>-94516.5213479834</v>
      </c>
      <c r="AL237" s="37" t="n">
        <f aca="false">AL199+AL236</f>
        <v>-80445.8113479825</v>
      </c>
      <c r="AM237" s="37" t="n">
        <f aca="false">AM199+AM236</f>
        <v>-68762.7713479848</v>
      </c>
      <c r="AN237" s="37" t="n">
        <f aca="false">AN199+AN236</f>
        <v>-175430.281347986</v>
      </c>
      <c r="AO237" s="37" t="n">
        <f aca="false">AO199+AO236</f>
        <v>-222136.325856087</v>
      </c>
      <c r="AP237" s="37" t="n">
        <f aca="false">AP199+AP236</f>
        <v>-222136.325856087</v>
      </c>
      <c r="AQ237" s="37" t="n">
        <f aca="false">AQ199+AQ236</f>
        <v>-222136.325856087</v>
      </c>
      <c r="AR237" s="37" t="n">
        <f aca="false">AR199+AR236</f>
        <v>-222136.325856087</v>
      </c>
      <c r="AS237" s="37" t="n">
        <f aca="false">AS199+AS236</f>
        <v>-222136.325856087</v>
      </c>
      <c r="AT237" s="37" t="n">
        <f aca="false">AT199+AT236</f>
        <v>-222136.325856087</v>
      </c>
      <c r="AU237" s="37" t="n">
        <f aca="false">AU199+AU236</f>
        <v>-222136.325856087</v>
      </c>
      <c r="AV237" s="37" t="n">
        <f aca="false">AV199+AV236</f>
        <v>50349.2594974125</v>
      </c>
      <c r="AW237" s="37" t="n">
        <f aca="false">AW199+AW236</f>
        <v>-394710.529913304</v>
      </c>
      <c r="AX237" s="37" t="n">
        <f aca="false">AX199+AX236</f>
        <v>-394710.529913304</v>
      </c>
      <c r="AY237" s="37" t="n">
        <f aca="false">AY199+AY236</f>
        <v>-394710.529913304</v>
      </c>
      <c r="AZ237" s="37" t="n">
        <f aca="false">AZ199+AZ236</f>
        <v>-394710.529913304</v>
      </c>
      <c r="BA237" s="37" t="n">
        <f aca="false">BA199+BA236</f>
        <v>-402304.74051157</v>
      </c>
      <c r="BB237" s="37" t="n">
        <f aca="false">BB199+BB236</f>
        <v>-402304.74051157</v>
      </c>
      <c r="BC237" s="37" t="n">
        <f aca="false">BC199+BC236</f>
        <v>-402304.74051157</v>
      </c>
      <c r="BD237" s="37" t="n">
        <f aca="false">BD199+BD236</f>
        <v>-402304.74051157</v>
      </c>
      <c r="BE237" s="37" t="n">
        <f aca="false">BE199+BE236</f>
        <v>-402304.74051157</v>
      </c>
      <c r="BF237" s="37" t="n">
        <f aca="false">BF199+BF236</f>
        <v>-402304.74051157</v>
      </c>
      <c r="BG237" s="37" t="n">
        <f aca="false">BG199+BG236</f>
        <v>-402304.74051157</v>
      </c>
      <c r="BH237" s="37" t="n">
        <f aca="false">BH199+BH236</f>
        <v>-402304.74051157</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0.0423508383923219</v>
      </c>
      <c r="R238" s="33" t="n">
        <f aca="false">IFERROR(R237/R58,0)</f>
        <v>0.0398689205428973</v>
      </c>
      <c r="S238" s="33" t="n">
        <f aca="false">IFERROR(S237/S58,0)</f>
        <v>-0.0479200728318941</v>
      </c>
      <c r="T238" s="33" t="n">
        <f aca="false">IFERROR(T237/T58,0)</f>
        <v>0.0558632857308649</v>
      </c>
      <c r="U238" s="33" t="n">
        <f aca="false">IFERROR(U237/U58,0)</f>
        <v>0.0477023440993246</v>
      </c>
      <c r="V238" s="33" t="n">
        <f aca="false">IFERROR(V237/V58,0)</f>
        <v>0.0533704182651251</v>
      </c>
      <c r="W238" s="33" t="n">
        <f aca="false">IFERROR(W237/W58,0)</f>
        <v>0.0405737319256324</v>
      </c>
      <c r="X238" s="33" t="n">
        <f aca="false">IFERROR(X237/X58,0)</f>
        <v>0.0508548930758254</v>
      </c>
      <c r="Y238" s="33" t="n">
        <f aca="false">IFERROR(Y237/Y58,0)</f>
        <v>0.0370048496693475</v>
      </c>
      <c r="Z238" s="33" t="n">
        <f aca="false">IFERROR(Z237/Z58,0)</f>
        <v>0.0460938558205737</v>
      </c>
      <c r="AA238" s="33" t="n">
        <f aca="false">IFERROR(AA237/AA58,0)</f>
        <v>0.0442946582554403</v>
      </c>
      <c r="AB238" s="33" t="n">
        <f aca="false">IFERROR(AB237/AB58,0)</f>
        <v>0.0332217174354499</v>
      </c>
      <c r="AC238" s="33" t="n">
        <f aca="false">IFERROR(AC237/AC58,0)</f>
        <v>0.0232798240871216</v>
      </c>
      <c r="AD238" s="33" t="n">
        <f aca="false">IFERROR(AD237/AD58,0)</f>
        <v>0.0326177411415659</v>
      </c>
      <c r="AE238" s="33" t="n">
        <f aca="false">IFERROR(AE237/AE58,0)</f>
        <v>0.0371967662611742</v>
      </c>
      <c r="AF238" s="33" t="n">
        <f aca="false">IFERROR(AF237/AF58,0)</f>
        <v>0.0677778462111231</v>
      </c>
      <c r="AG238" s="33" t="n">
        <f aca="false">IFERROR(AG237/AG58,0)</f>
        <v>0.051544986094723</v>
      </c>
      <c r="AH238" s="33" t="n">
        <f aca="false">IFERROR(AH237/AH58,0)</f>
        <v>0.0299491859268499</v>
      </c>
      <c r="AI238" s="33" t="n">
        <f aca="false">IFERROR(AI237/AI58,0)</f>
        <v>0.0316808366849206</v>
      </c>
      <c r="AJ238" s="33" t="n">
        <f aca="false">IFERROR(AJ237/AJ58,0)</f>
        <v>0.0434779501512654</v>
      </c>
      <c r="AK238" s="33" t="n">
        <f aca="false">IFERROR(AK237/AK58,0)</f>
        <v>-0.031877022366228</v>
      </c>
      <c r="AL238" s="33" t="n">
        <f aca="false">IFERROR(AL237/AL58,0)</f>
        <v>-0.0267621080103518</v>
      </c>
      <c r="AM238" s="33" t="n">
        <f aca="false">IFERROR(AM237/AM58,0)</f>
        <v>-0.0228301539637527</v>
      </c>
      <c r="AN238" s="33" t="n">
        <f aca="false">IFERROR(AN237/AN58,0)</f>
        <v>-0.0870428443263763</v>
      </c>
      <c r="AO238" s="33" t="n">
        <f aca="false">IFERROR(AO237/AO58,0)</f>
        <v>-0.141208316109275</v>
      </c>
      <c r="AP238" s="33" t="n">
        <f aca="false">IFERROR(AP237/AP58,0)</f>
        <v>-0.152960270601257</v>
      </c>
      <c r="AQ238" s="33" t="n">
        <f aca="false">IFERROR(AQ237/AQ58,0)</f>
        <v>-0.167352296880589</v>
      </c>
      <c r="AR238" s="33" t="n">
        <f aca="false">IFERROR(AR237/AR58,0)</f>
        <v>-0.184935798056511</v>
      </c>
      <c r="AS238" s="33" t="n">
        <f aca="false">IFERROR(AS237/AS58,0)</f>
        <v>-0.206422050285177</v>
      </c>
      <c r="AT238" s="33" t="n">
        <f aca="false">IFERROR(AT237/AT58,0)</f>
        <v>-0.232715483541021</v>
      </c>
      <c r="AU238" s="33" t="n">
        <f aca="false">IFERROR(AU237/AU58,0)</f>
        <v>-0.265000075679313</v>
      </c>
      <c r="AV238" s="33" t="n">
        <f aca="false">IFERROR(AV237/AV58,0)</f>
        <v>0.0690813364741622</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-0</v>
      </c>
      <c r="CB291" s="13" t="n">
        <f aca="false">IF(ISBLANK(Actuals!CC111),-Helpers!BZ26+CB339,Actuals!CC111)</f>
        <v>-0</v>
      </c>
      <c r="CC291" s="13" t="n">
        <f aca="false">IF(ISBLANK(Actuals!CD111),-Helpers!CA26+CC339,Actuals!CD111)</f>
        <v>-0</v>
      </c>
      <c r="CD291" s="13" t="n">
        <f aca="false">IF(ISBLANK(Actuals!CE111),-Helpers!CB26+CD339,Actuals!CE111)</f>
        <v>-0</v>
      </c>
      <c r="CE291" s="13" t="n">
        <f aca="false">IF(ISBLANK(Actuals!CF111),-Helpers!CC26+CE339,Actuals!CF111)</f>
        <v>-0</v>
      </c>
      <c r="CF291" s="13" t="n">
        <f aca="false">IF(ISBLANK(Actuals!CG111),-Helpers!CD26+CF339,Actuals!CG111)</f>
        <v>-0</v>
      </c>
      <c r="CG291" s="13" t="n">
        <f aca="false">IF(ISBLANK(Actuals!CH111),-Helpers!CE26+CG339,Actuals!CH111)</f>
        <v>-0</v>
      </c>
      <c r="CH291" s="13" t="n">
        <f aca="false">IF(ISBLANK(Actuals!CI111),-Helpers!CF26+CH339,Actuals!CI111)</f>
        <v>-0</v>
      </c>
      <c r="CI291" s="13" t="n">
        <f aca="false">IF(ISBLANK(Actuals!CJ111),-Helpers!CG26+CI339,Actuals!CJ111)</f>
        <v>-0</v>
      </c>
      <c r="CJ291" s="13" t="n">
        <f aca="false">IF(ISBLANK(Actuals!CK111),-Helpers!CH26+CJ339,Actuals!CK111)</f>
        <v>-0</v>
      </c>
      <c r="CK291" s="13" t="n">
        <f aca="false">IF(ISBLANK(Actuals!CL111),-Helpers!CI26+CK339,Actuals!CL111)</f>
        <v>-0</v>
      </c>
      <c r="CL291" s="13" t="n">
        <f aca="false">IF(ISBLANK(Actuals!CM111),-Helpers!CJ26+CL339,Actuals!CM111)</f>
        <v>-0</v>
      </c>
      <c r="CM291" s="13" t="n">
        <f aca="false">IF(ISBLANK(Actuals!CN111),-Helpers!CK26+CM339,Actuals!CN111)</f>
        <v>-0</v>
      </c>
      <c r="CN291" s="13" t="n">
        <f aca="false">IF(ISBLANK(Actuals!CO111),-Helpers!CL26+CN339,Actuals!CO111)</f>
        <v>-0</v>
      </c>
      <c r="CO291" s="13" t="n">
        <f aca="false">IF(ISBLANK(Actuals!CP111),-Helpers!CM26+CO339,Actuals!CP111)</f>
        <v>-0</v>
      </c>
      <c r="CP291" s="13" t="n">
        <f aca="false">IF(ISBLANK(Actuals!CQ111),-Helpers!CN26+CP339,Actuals!CQ111)</f>
        <v>-0</v>
      </c>
      <c r="CQ291" s="13" t="n">
        <f aca="false">IF(ISBLANK(Actuals!CR111),-Helpers!CO26+CQ339,Actuals!CR111)</f>
        <v>-0</v>
      </c>
      <c r="CR291" s="13" t="n">
        <f aca="false">IF(ISBLANK(Actuals!CS111),-Helpers!CP26+CR339,Actuals!CS111)</f>
        <v>-0</v>
      </c>
      <c r="CS291" s="13" t="n">
        <f aca="false">IF(ISBLANK(Actuals!CT111),-Helpers!CQ26+CS339,Actuals!CT111)</f>
        <v>-0</v>
      </c>
      <c r="CT291" s="13" t="n">
        <f aca="false">IF(ISBLANK(Actuals!CU111),-Helpers!CR26+CT339,Actuals!CU111)</f>
        <v>-0</v>
      </c>
      <c r="CU291" s="13" t="n">
        <f aca="false">IF(ISBLANK(Actuals!CV111),-Helpers!CS26+CU339,Actuals!CV111)</f>
        <v>-0</v>
      </c>
      <c r="CV291" s="13" t="n">
        <f aca="false">IF(ISBLANK(Actuals!CW111),-Helpers!CT26+CV339,Actuals!CW111)</f>
        <v>-0</v>
      </c>
      <c r="CW291" s="13" t="n">
        <f aca="false">IF(ISBLANK(Actuals!CX111),-Helpers!CU26+CW339,Actuals!CX111)</f>
        <v>-0</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-292574.58373789</v>
      </c>
      <c r="CB292" s="30" t="n">
        <f aca="false">SUM(CB263:CB291)+Actuals!CC113</f>
        <v>-217934.58373789</v>
      </c>
      <c r="CC292" s="30" t="n">
        <f aca="false">SUM(CC263:CC291)+Actuals!CD113</f>
        <v>-217934.58373789</v>
      </c>
      <c r="CD292" s="30" t="n">
        <f aca="false">SUM(CD263:CD291)+Actuals!CE113</f>
        <v>-299297.58373789</v>
      </c>
      <c r="CE292" s="30" t="n">
        <f aca="false">SUM(CE263:CE291)+Actuals!CF113</f>
        <v>-217934.58373789</v>
      </c>
      <c r="CF292" s="30" t="n">
        <f aca="false">SUM(CF263:CF291)+Actuals!CG113</f>
        <v>-217934.58373789</v>
      </c>
      <c r="CG292" s="30" t="n">
        <f aca="false">SUM(CG263:CG291)+Actuals!CH113</f>
        <v>-299296.58373789</v>
      </c>
      <c r="CH292" s="30" t="n">
        <f aca="false">SUM(CH263:CH291)+Actuals!CI113</f>
        <v>-217934.58373789</v>
      </c>
      <c r="CI292" s="30" t="n">
        <f aca="false">SUM(CI263:CI291)+Actuals!CJ113</f>
        <v>-217934.58373789</v>
      </c>
      <c r="CJ292" s="30" t="n">
        <f aca="false">SUM(CJ263:CJ291)+Actuals!CK113</f>
        <v>-292688.557131411</v>
      </c>
      <c r="CK292" s="30" t="n">
        <f aca="false">SUM(CK263:CK291)+Actuals!CL113</f>
        <v>-221950.515412648</v>
      </c>
      <c r="CL292" s="30" t="n">
        <f aca="false">SUM(CL263:CL291)+Actuals!CM113</f>
        <v>-221950.515412648</v>
      </c>
      <c r="CM292" s="30" t="n">
        <f aca="false">SUM(CM263:CM291)+Actuals!CN113</f>
        <v>-221950.515412648</v>
      </c>
      <c r="CN292" s="30" t="n">
        <f aca="false">SUM(CN263:CN291)+Actuals!CO113</f>
        <v>-221950.515412648</v>
      </c>
      <c r="CO292" s="30" t="n">
        <f aca="false">SUM(CO263:CO291)+Actuals!CP113</f>
        <v>-221950.515412648</v>
      </c>
      <c r="CP292" s="30" t="n">
        <f aca="false">SUM(CP263:CP291)+Actuals!CQ113</f>
        <v>-221950.515412648</v>
      </c>
      <c r="CQ292" s="30" t="n">
        <f aca="false">SUM(CQ263:CQ291)+Actuals!CR113</f>
        <v>-221950.515412648</v>
      </c>
      <c r="CR292" s="30" t="n">
        <f aca="false">SUM(CR263:CR291)+Actuals!CS113</f>
        <v>-221950.515412648</v>
      </c>
      <c r="CS292" s="30" t="n">
        <f aca="false">SUM(CS263:CS291)+Actuals!CT113</f>
        <v>-221950.515412648</v>
      </c>
      <c r="CT292" s="30" t="n">
        <f aca="false">SUM(CT263:CT291)+Actuals!CU113</f>
        <v>-216039.570414536</v>
      </c>
      <c r="CU292" s="30" t="n">
        <f aca="false">SUM(CU263:CU291)+Actuals!CV113</f>
        <v>-216039.570414536</v>
      </c>
      <c r="CV292" s="30" t="n">
        <f aca="false">SUM(CV263:CV291)+Actuals!CW113</f>
        <v>-216039.570414536</v>
      </c>
      <c r="CW292" s="30" t="n">
        <f aca="false">SUM(CW263:CW291)+Actuals!CX113</f>
        <v>-220017.601822827</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-62156.601822827</v>
      </c>
      <c r="CX293" s="37" t="n">
        <f aca="false">CX261+CX292</f>
        <v>-62156.601822827</v>
      </c>
      <c r="CY293" s="37" t="n">
        <f aca="false">CY261+CY292</f>
        <v>-62156.601822827</v>
      </c>
      <c r="CZ293" s="37" t="n">
        <f aca="false">CZ261+CZ292</f>
        <v>-62156.601822827</v>
      </c>
      <c r="DA293" s="37" t="n">
        <f aca="false">DA261+DA292</f>
        <v>-62156.601822827</v>
      </c>
      <c r="DB293" s="37" t="n">
        <f aca="false">DB261+DB292</f>
        <v>-62156.601822827</v>
      </c>
      <c r="DC293" s="37" t="n">
        <f aca="false">DC261+DC292</f>
        <v>-62156.601822827</v>
      </c>
      <c r="DD293" s="37" t="n">
        <f aca="false">DD261+DD292</f>
        <v>-62156.601822827</v>
      </c>
      <c r="DE293" s="37" t="n">
        <f aca="false">DE261+DE292</f>
        <v>-62156.601822827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780241.512440736</v>
      </c>
      <c r="R302" s="13" t="n">
        <f aca="false">R199</f>
        <v>766846.802440735</v>
      </c>
      <c r="S302" s="13" t="n">
        <f aca="false">S199</f>
        <v>145252.425832929</v>
      </c>
      <c r="T302" s="13" t="n">
        <f aca="false">T199</f>
        <v>1030668.08649795</v>
      </c>
      <c r="U302" s="13" t="n">
        <f aca="false">U199</f>
        <v>926966.026497953</v>
      </c>
      <c r="V302" s="13" t="n">
        <f aca="false">V199</f>
        <v>1012837.29649795</v>
      </c>
      <c r="W302" s="13" t="n">
        <f aca="false">W199</f>
        <v>833682.466497951</v>
      </c>
      <c r="X302" s="13" t="n">
        <f aca="false">X199</f>
        <v>984346.426497955</v>
      </c>
      <c r="Y302" s="13" t="n">
        <f aca="false">Y199</f>
        <v>800819.506497952</v>
      </c>
      <c r="Z302" s="13" t="n">
        <f aca="false">Z199</f>
        <v>900746.506497954</v>
      </c>
      <c r="AA302" s="13" t="n">
        <f aca="false">AA199</f>
        <v>810579.566497948</v>
      </c>
      <c r="AB302" s="13" t="n">
        <f aca="false">AB199</f>
        <v>672445.296497952</v>
      </c>
      <c r="AC302" s="13" t="n">
        <f aca="false">AC199</f>
        <v>576208.456497955</v>
      </c>
      <c r="AD302" s="13" t="n">
        <f aca="false">AD199</f>
        <v>598774.496497951</v>
      </c>
      <c r="AE302" s="13" t="n">
        <f aca="false">AE199</f>
        <v>589858.176497948</v>
      </c>
      <c r="AF302" s="13" t="n">
        <f aca="false">AF199</f>
        <v>748242.303216604</v>
      </c>
      <c r="AG302" s="13" t="n">
        <f aca="false">AG199</f>
        <v>681641.806260252</v>
      </c>
      <c r="AH302" s="13" t="n">
        <f aca="false">AH199</f>
        <v>545306.323298351</v>
      </c>
      <c r="AI302" s="13" t="n">
        <f aca="false">AI199</f>
        <v>539242.613298357</v>
      </c>
      <c r="AJ302" s="13" t="n">
        <f aca="false">AJ199</f>
        <v>546664.812866098</v>
      </c>
      <c r="AK302" s="13" t="n">
        <f aca="false">AK199</f>
        <v>292748.704057217</v>
      </c>
      <c r="AL302" s="13" t="n">
        <f aca="false">AL199</f>
        <v>306819.414057218</v>
      </c>
      <c r="AM302" s="13" t="n">
        <f aca="false">AM199</f>
        <v>318502.454057215</v>
      </c>
      <c r="AN302" s="13" t="n">
        <f aca="false">AN199</f>
        <v>211834.944057214</v>
      </c>
      <c r="AO302" s="13" t="n">
        <f aca="false">AO199</f>
        <v>172574.204057217</v>
      </c>
      <c r="AP302" s="13" t="n">
        <f aca="false">AP199</f>
        <v>172574.204057217</v>
      </c>
      <c r="AQ302" s="13" t="n">
        <f aca="false">AQ199</f>
        <v>172574.204057217</v>
      </c>
      <c r="AR302" s="13" t="n">
        <f aca="false">AR199</f>
        <v>172574.204057217</v>
      </c>
      <c r="AS302" s="13" t="n">
        <f aca="false">AS199</f>
        <v>172574.204057217</v>
      </c>
      <c r="AT302" s="13" t="n">
        <f aca="false">AT199</f>
        <v>172574.204057217</v>
      </c>
      <c r="AU302" s="13" t="n">
        <f aca="false">AU199</f>
        <v>172574.204057217</v>
      </c>
      <c r="AV302" s="13" t="n">
        <f aca="false">AV199</f>
        <v>445059.789410717</v>
      </c>
      <c r="AW302" s="13" t="n">
        <f aca="false">AW199</f>
        <v>0</v>
      </c>
      <c r="AX302" s="13" t="n">
        <f aca="false">AX199</f>
        <v>0</v>
      </c>
      <c r="AY302" s="13" t="n">
        <f aca="false">AY199</f>
        <v>0</v>
      </c>
      <c r="AZ302" s="13" t="n">
        <f aca="false">AZ199</f>
        <v>0</v>
      </c>
      <c r="BA302" s="13" t="n">
        <f aca="false">BA199</f>
        <v>0</v>
      </c>
      <c r="BB302" s="13" t="n">
        <f aca="false">BB199</f>
        <v>0</v>
      </c>
      <c r="BC302" s="13" t="n">
        <f aca="false">BC199</f>
        <v>0</v>
      </c>
      <c r="BD302" s="13" t="n">
        <f aca="false">BD199</f>
        <v>0</v>
      </c>
      <c r="BE302" s="13" t="n">
        <f aca="false">BE199</f>
        <v>0</v>
      </c>
      <c r="BF302" s="13" t="n">
        <f aca="false">BF199</f>
        <v>0</v>
      </c>
      <c r="BG302" s="13" t="n">
        <f aca="false">BG199</f>
        <v>0</v>
      </c>
      <c r="BH302" s="13" t="n">
        <f aca="false">BH199</f>
        <v>0</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142402</v>
      </c>
      <c r="CB303" s="13" t="n">
        <f aca="false">CB261</f>
        <v>0</v>
      </c>
      <c r="CC303" s="13" t="n">
        <f aca="false">CC261</f>
        <v>0</v>
      </c>
      <c r="CD303" s="13" t="n">
        <f aca="false">CD261</f>
        <v>157862</v>
      </c>
      <c r="CE303" s="13" t="n">
        <f aca="false">CE261</f>
        <v>0</v>
      </c>
      <c r="CF303" s="13" t="n">
        <f aca="false">CF261</f>
        <v>0</v>
      </c>
      <c r="CG303" s="13" t="n">
        <f aca="false">CG261</f>
        <v>157861</v>
      </c>
      <c r="CH303" s="13" t="n">
        <f aca="false">CH261</f>
        <v>0</v>
      </c>
      <c r="CI303" s="13" t="n">
        <f aca="false">CI261</f>
        <v>0</v>
      </c>
      <c r="CJ303" s="13" t="n">
        <f aca="false">CJ261</f>
        <v>157861</v>
      </c>
      <c r="CK303" s="13" t="n">
        <f aca="false">CK261</f>
        <v>157861</v>
      </c>
      <c r="CL303" s="13" t="n">
        <f aca="false">CL261</f>
        <v>157861</v>
      </c>
      <c r="CM303" s="13" t="n">
        <f aca="false">CM261</f>
        <v>157861</v>
      </c>
      <c r="CN303" s="13" t="n">
        <f aca="false">CN261</f>
        <v>157861</v>
      </c>
      <c r="CO303" s="13" t="n">
        <f aca="false">CO261</f>
        <v>157861</v>
      </c>
      <c r="CP303" s="13" t="n">
        <f aca="false">CP261</f>
        <v>157861</v>
      </c>
      <c r="CQ303" s="13" t="n">
        <f aca="false">CQ261</f>
        <v>157861</v>
      </c>
      <c r="CR303" s="13" t="n">
        <f aca="false">CR261</f>
        <v>157861</v>
      </c>
      <c r="CS303" s="13" t="n">
        <f aca="false">CS261</f>
        <v>157861</v>
      </c>
      <c r="CT303" s="13" t="n">
        <f aca="false">CT261</f>
        <v>157861</v>
      </c>
      <c r="CU303" s="13" t="n">
        <f aca="false">CU261</f>
        <v>157861</v>
      </c>
      <c r="CV303" s="13" t="n">
        <f aca="false">CV261</f>
        <v>157861</v>
      </c>
      <c r="CW303" s="13" t="n">
        <f aca="false">CW261</f>
        <v>157861</v>
      </c>
      <c r="CX303" s="13" t="n">
        <f aca="false">CX261</f>
        <v>157861</v>
      </c>
      <c r="CY303" s="13" t="n">
        <f aca="false">CY261</f>
        <v>157861</v>
      </c>
      <c r="CZ303" s="13" t="n">
        <f aca="false">CZ261</f>
        <v>157861</v>
      </c>
      <c r="DA303" s="13" t="n">
        <f aca="false">DA261</f>
        <v>157861</v>
      </c>
      <c r="DB303" s="13" t="n">
        <f aca="false">DB261</f>
        <v>157861</v>
      </c>
      <c r="DC303" s="13" t="n">
        <f aca="false">DC261</f>
        <v>157861</v>
      </c>
      <c r="DD303" s="13" t="n">
        <f aca="false">DD261</f>
        <v>157861</v>
      </c>
      <c r="DE303" s="13" t="n">
        <f aca="false">DE261</f>
        <v>157861</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819963.55191442</v>
      </c>
      <c r="R304" s="30" t="n">
        <f aca="false">R302+R303+R295</f>
        <v>806568.841914419</v>
      </c>
      <c r="S304" s="30" t="n">
        <f aca="false">S302+S303+S295</f>
        <v>184974.465306613</v>
      </c>
      <c r="T304" s="30" t="n">
        <f aca="false">T302+T303+T295</f>
        <v>1046483.87597164</v>
      </c>
      <c r="U304" s="30" t="n">
        <f aca="false">U302+U303+U295</f>
        <v>942781.815971637</v>
      </c>
      <c r="V304" s="30" t="n">
        <f aca="false">V302+V303+V295</f>
        <v>1028653.08597163</v>
      </c>
      <c r="W304" s="30" t="n">
        <f aca="false">W302+W303+W295</f>
        <v>849498.255971635</v>
      </c>
      <c r="X304" s="30" t="n">
        <f aca="false">X302+X303+X295</f>
        <v>1000162.21597164</v>
      </c>
      <c r="Y304" s="30" t="n">
        <f aca="false">Y302+Y303+Y295</f>
        <v>874010.295971636</v>
      </c>
      <c r="Z304" s="30" t="n">
        <f aca="false">Z302+Z303+Z295</f>
        <v>916562.295971638</v>
      </c>
      <c r="AA304" s="30" t="n">
        <f aca="false">AA302+AA303+AA295</f>
        <v>826395.355971632</v>
      </c>
      <c r="AB304" s="30" t="n">
        <f aca="false">AB302+AB303+AB295</f>
        <v>745636.085971637</v>
      </c>
      <c r="AC304" s="30" t="n">
        <f aca="false">AC302+AC303+AC295</f>
        <v>592024.245971639</v>
      </c>
      <c r="AD304" s="30" t="n">
        <f aca="false">AD302+AD303+AD295</f>
        <v>614590.285971636</v>
      </c>
      <c r="AE304" s="30" t="n">
        <f aca="false">AE302+AE303+AE295</f>
        <v>663048.965971633</v>
      </c>
      <c r="AF304" s="30" t="n">
        <f aca="false">AF302+AF303+AF295</f>
        <v>764058.092690288</v>
      </c>
      <c r="AG304" s="30" t="n">
        <f aca="false">AG302+AG303+AG295</f>
        <v>694299.700997095</v>
      </c>
      <c r="AH304" s="30" t="n">
        <f aca="false">AH302+AH303+AH295</f>
        <v>554806.323298351</v>
      </c>
      <c r="AI304" s="30" t="n">
        <f aca="false">AI302+AI303+AI295</f>
        <v>539242.613298357</v>
      </c>
      <c r="AJ304" s="30" t="n">
        <f aca="false">AJ302+AJ303+AJ295</f>
        <v>546664.812866098</v>
      </c>
      <c r="AK304" s="30" t="n">
        <f aca="false">AK302+AK303+AK295</f>
        <v>292748.704057217</v>
      </c>
      <c r="AL304" s="30" t="n">
        <f aca="false">AL302+AL303+AL295</f>
        <v>306819.414057218</v>
      </c>
      <c r="AM304" s="30" t="n">
        <f aca="false">AM302+AM303+AM295</f>
        <v>318502.454057215</v>
      </c>
      <c r="AN304" s="30" t="n">
        <f aca="false">AN302+AN303+AN295</f>
        <v>211834.944057214</v>
      </c>
      <c r="AO304" s="30" t="n">
        <f aca="false">AO302+AO303+AO295</f>
        <v>172574.204057217</v>
      </c>
      <c r="AP304" s="30" t="n">
        <f aca="false">AP302+AP303+AP295</f>
        <v>172574.204057217</v>
      </c>
      <c r="AQ304" s="30" t="n">
        <f aca="false">AQ302+AQ303+AQ295</f>
        <v>172574.204057217</v>
      </c>
      <c r="AR304" s="30" t="n">
        <f aca="false">AR302+AR303+AR295</f>
        <v>172574.204057217</v>
      </c>
      <c r="AS304" s="30" t="n">
        <f aca="false">AS302+AS303+AS295</f>
        <v>172574.204057217</v>
      </c>
      <c r="AT304" s="30" t="n">
        <f aca="false">AT302+AT303+AT295</f>
        <v>254257.204057217</v>
      </c>
      <c r="AU304" s="30" t="n">
        <f aca="false">AU302+AU303+AU295</f>
        <v>172574.204057217</v>
      </c>
      <c r="AV304" s="30" t="n">
        <f aca="false">AV302+AV303+AV295</f>
        <v>445059.789410717</v>
      </c>
      <c r="AW304" s="30" t="n">
        <f aca="false">AW302+AW303+AW295</f>
        <v>81682</v>
      </c>
      <c r="AX304" s="30" t="n">
        <f aca="false">AX302+AX303+AX295</f>
        <v>0</v>
      </c>
      <c r="AY304" s="30" t="n">
        <f aca="false">AY302+AY303+AY295</f>
        <v>0</v>
      </c>
      <c r="AZ304" s="30" t="n">
        <f aca="false">AZ302+AZ303+AZ295</f>
        <v>81682</v>
      </c>
      <c r="BA304" s="30" t="n">
        <f aca="false">BA302+BA303+BA295</f>
        <v>0</v>
      </c>
      <c r="BB304" s="30" t="n">
        <f aca="false">BB302+BB303+BB295</f>
        <v>0</v>
      </c>
      <c r="BC304" s="30" t="n">
        <f aca="false">BC302+BC303+BC295</f>
        <v>933521</v>
      </c>
      <c r="BD304" s="30" t="n">
        <f aca="false">BD302+BD303+BD295</f>
        <v>0</v>
      </c>
      <c r="BE304" s="30" t="n">
        <f aca="false">BE302+BE303+BE295</f>
        <v>0</v>
      </c>
      <c r="BF304" s="30" t="n">
        <f aca="false">BF302+BF303+BF295</f>
        <v>130878</v>
      </c>
      <c r="BG304" s="30" t="n">
        <f aca="false">BG302+BG303+BG295</f>
        <v>0</v>
      </c>
      <c r="BH304" s="30" t="n">
        <f aca="false">BH302+BH303+BH295</f>
        <v>0</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142402</v>
      </c>
      <c r="CB304" s="30" t="n">
        <f aca="false">CB302+CB303+CB295</f>
        <v>0</v>
      </c>
      <c r="CC304" s="30" t="n">
        <f aca="false">CC302+CC303+CC295</f>
        <v>0</v>
      </c>
      <c r="CD304" s="30" t="n">
        <f aca="false">CD302+CD303+CD295</f>
        <v>157862</v>
      </c>
      <c r="CE304" s="30" t="n">
        <f aca="false">CE302+CE303+CE295</f>
        <v>0</v>
      </c>
      <c r="CF304" s="30" t="n">
        <f aca="false">CF302+CF303+CF295</f>
        <v>0</v>
      </c>
      <c r="CG304" s="30" t="n">
        <f aca="false">CG302+CG303+CG295</f>
        <v>157861</v>
      </c>
      <c r="CH304" s="30" t="n">
        <f aca="false">CH302+CH303+CH295</f>
        <v>0</v>
      </c>
      <c r="CI304" s="30" t="n">
        <f aca="false">CI302+CI303+CI295</f>
        <v>0</v>
      </c>
      <c r="CJ304" s="30" t="n">
        <f aca="false">CJ302+CJ303+CJ295</f>
        <v>157861</v>
      </c>
      <c r="CK304" s="30" t="n">
        <f aca="false">CK302+CK303+CK295</f>
        <v>157861</v>
      </c>
      <c r="CL304" s="30" t="n">
        <f aca="false">CL302+CL303+CL295</f>
        <v>157861</v>
      </c>
      <c r="CM304" s="30" t="n">
        <f aca="false">CM302+CM303+CM295</f>
        <v>157861</v>
      </c>
      <c r="CN304" s="30" t="n">
        <f aca="false">CN302+CN303+CN295</f>
        <v>157861</v>
      </c>
      <c r="CO304" s="30" t="n">
        <f aca="false">CO302+CO303+CO295</f>
        <v>157861</v>
      </c>
      <c r="CP304" s="30" t="n">
        <f aca="false">CP302+CP303+CP295</f>
        <v>157861</v>
      </c>
      <c r="CQ304" s="30" t="n">
        <f aca="false">CQ302+CQ303+CQ295</f>
        <v>157861</v>
      </c>
      <c r="CR304" s="30" t="n">
        <f aca="false">CR302+CR303+CR295</f>
        <v>157861</v>
      </c>
      <c r="CS304" s="30" t="n">
        <f aca="false">CS302+CS303+CS295</f>
        <v>157861</v>
      </c>
      <c r="CT304" s="30" t="n">
        <f aca="false">CT302+CT303+CT295</f>
        <v>157861</v>
      </c>
      <c r="CU304" s="30" t="n">
        <f aca="false">CU302+CU303+CU295</f>
        <v>157861</v>
      </c>
      <c r="CV304" s="30" t="n">
        <f aca="false">CV302+CV303+CV295</f>
        <v>157861</v>
      </c>
      <c r="CW304" s="30" t="n">
        <f aca="false">CW302+CW303+CW295</f>
        <v>157861</v>
      </c>
      <c r="CX304" s="30" t="n">
        <f aca="false">CX302+CX303+CX295</f>
        <v>157861</v>
      </c>
      <c r="CY304" s="30" t="n">
        <f aca="false">CY302+CY303+CY295</f>
        <v>157861</v>
      </c>
      <c r="CZ304" s="30" t="n">
        <f aca="false">CZ302+CZ303+CZ295</f>
        <v>157861</v>
      </c>
      <c r="DA304" s="30" t="n">
        <f aca="false">DA302+DA303+DA295</f>
        <v>157861</v>
      </c>
      <c r="DB304" s="30" t="n">
        <f aca="false">DB302+DB303+DB295</f>
        <v>157861</v>
      </c>
      <c r="DC304" s="30" t="n">
        <f aca="false">DC302+DC303+DC295</f>
        <v>157861</v>
      </c>
      <c r="DD304" s="30" t="n">
        <f aca="false">DD302+DD303+DD295</f>
        <v>157861</v>
      </c>
      <c r="DE304" s="30" t="n">
        <f aca="false">DE302+DE303+DE295</f>
        <v>157861</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-485923.50726</v>
      </c>
      <c r="R305" s="13" t="n">
        <f aca="false">R236</f>
        <v>-485923.50726</v>
      </c>
      <c r="S305" s="13" t="n">
        <f aca="false">S236</f>
        <v>-534260.93226</v>
      </c>
      <c r="T305" s="13" t="n">
        <f aca="false">T236</f>
        <v>-512885.93226</v>
      </c>
      <c r="U305" s="13" t="n">
        <f aca="false">U236</f>
        <v>-512885.93226</v>
      </c>
      <c r="V305" s="13" t="n">
        <f aca="false">V236</f>
        <v>-512885.93226</v>
      </c>
      <c r="W305" s="13" t="n">
        <f aca="false">W236</f>
        <v>-512885.93226</v>
      </c>
      <c r="X305" s="13" t="n">
        <f aca="false">X236</f>
        <v>-512885.93226</v>
      </c>
      <c r="Y305" s="13" t="n">
        <f aca="false">Y236</f>
        <v>-512885.93226</v>
      </c>
      <c r="Z305" s="13" t="n">
        <f aca="false">Z236</f>
        <v>-504663.838029231</v>
      </c>
      <c r="AA305" s="13" t="n">
        <f aca="false">AA236</f>
        <v>-467480.053413846</v>
      </c>
      <c r="AB305" s="13" t="n">
        <f aca="false">AB236</f>
        <v>-458497.099567692</v>
      </c>
      <c r="AC305" s="13" t="n">
        <f aca="false">AC236</f>
        <v>-449234.598828277</v>
      </c>
      <c r="AD305" s="13" t="n">
        <f aca="false">AD236</f>
        <v>-421635.055212892</v>
      </c>
      <c r="AE305" s="13" t="n">
        <f aca="false">AE236</f>
        <v>-399327.3629052</v>
      </c>
      <c r="AF305" s="13" t="n">
        <f aca="false">AF236</f>
        <v>-399327.3629052</v>
      </c>
      <c r="AG305" s="13" t="n">
        <f aca="false">AG236</f>
        <v>-399327.3629052</v>
      </c>
      <c r="AH305" s="13" t="n">
        <f aca="false">AH236</f>
        <v>-396880.610020585</v>
      </c>
      <c r="AI305" s="13" t="n">
        <f aca="false">AI236</f>
        <v>-387265.2254052</v>
      </c>
      <c r="AJ305" s="13" t="n">
        <f aca="false">AJ236</f>
        <v>-387265.2254052</v>
      </c>
      <c r="AK305" s="13" t="n">
        <f aca="false">AK236</f>
        <v>-387265.2254052</v>
      </c>
      <c r="AL305" s="13" t="n">
        <f aca="false">AL236</f>
        <v>-387265.2254052</v>
      </c>
      <c r="AM305" s="13" t="n">
        <f aca="false">AM236</f>
        <v>-387265.2254052</v>
      </c>
      <c r="AN305" s="13" t="n">
        <f aca="false">AN236</f>
        <v>-387265.2254052</v>
      </c>
      <c r="AO305" s="13" t="n">
        <f aca="false">AO236</f>
        <v>-394710.529913304</v>
      </c>
      <c r="AP305" s="13" t="n">
        <f aca="false">AP236</f>
        <v>-394710.529913304</v>
      </c>
      <c r="AQ305" s="13" t="n">
        <f aca="false">AQ236</f>
        <v>-394710.529913304</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-292574.58373789</v>
      </c>
      <c r="CB306" s="13" t="n">
        <f aca="false">CB292</f>
        <v>-217934.58373789</v>
      </c>
      <c r="CC306" s="13" t="n">
        <f aca="false">CC292</f>
        <v>-217934.58373789</v>
      </c>
      <c r="CD306" s="13" t="n">
        <f aca="false">CD292</f>
        <v>-299297.58373789</v>
      </c>
      <c r="CE306" s="13" t="n">
        <f aca="false">CE292</f>
        <v>-217934.58373789</v>
      </c>
      <c r="CF306" s="13" t="n">
        <f aca="false">CF292</f>
        <v>-217934.58373789</v>
      </c>
      <c r="CG306" s="13" t="n">
        <f aca="false">CG292</f>
        <v>-299296.58373789</v>
      </c>
      <c r="CH306" s="13" t="n">
        <f aca="false">CH292</f>
        <v>-217934.58373789</v>
      </c>
      <c r="CI306" s="13" t="n">
        <f aca="false">CI292</f>
        <v>-217934.58373789</v>
      </c>
      <c r="CJ306" s="13" t="n">
        <f aca="false">CJ292</f>
        <v>-292688.557131411</v>
      </c>
      <c r="CK306" s="13" t="n">
        <f aca="false">CK292</f>
        <v>-221950.515412648</v>
      </c>
      <c r="CL306" s="13" t="n">
        <f aca="false">CL292</f>
        <v>-221950.515412648</v>
      </c>
      <c r="CM306" s="13" t="n">
        <f aca="false">CM292</f>
        <v>-221950.515412648</v>
      </c>
      <c r="CN306" s="13" t="n">
        <f aca="false">CN292</f>
        <v>-221950.515412648</v>
      </c>
      <c r="CO306" s="13" t="n">
        <f aca="false">CO292</f>
        <v>-221950.515412648</v>
      </c>
      <c r="CP306" s="13" t="n">
        <f aca="false">CP292</f>
        <v>-221950.515412648</v>
      </c>
      <c r="CQ306" s="13" t="n">
        <f aca="false">CQ292</f>
        <v>-221950.515412648</v>
      </c>
      <c r="CR306" s="13" t="n">
        <f aca="false">CR292</f>
        <v>-221950.515412648</v>
      </c>
      <c r="CS306" s="13" t="n">
        <f aca="false">CS292</f>
        <v>-221950.515412648</v>
      </c>
      <c r="CT306" s="13" t="n">
        <f aca="false">CT292</f>
        <v>-216039.570414536</v>
      </c>
      <c r="CU306" s="13" t="n">
        <f aca="false">CU292</f>
        <v>-216039.570414536</v>
      </c>
      <c r="CV306" s="13" t="n">
        <f aca="false">CV292</f>
        <v>-216039.570414536</v>
      </c>
      <c r="CW306" s="13" t="n">
        <f aca="false">CW292</f>
        <v>-220017.601822827</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-684929.15966</v>
      </c>
      <c r="R307" s="30" t="n">
        <f aca="false">R305+R306+R296</f>
        <v>-684929.15966</v>
      </c>
      <c r="S307" s="30" t="n">
        <f aca="false">S305+S306+S296</f>
        <v>-733266.58466</v>
      </c>
      <c r="T307" s="30" t="n">
        <f aca="false">T305+T306+T296</f>
        <v>-711891.58466</v>
      </c>
      <c r="U307" s="30" t="n">
        <f aca="false">U305+U306+U296</f>
        <v>-711891.58466</v>
      </c>
      <c r="V307" s="30" t="n">
        <f aca="false">V305+V306+V296</f>
        <v>-711891.58466</v>
      </c>
      <c r="W307" s="30" t="n">
        <f aca="false">W305+W306+W296</f>
        <v>-711891.58466</v>
      </c>
      <c r="X307" s="30" t="n">
        <f aca="false">X305+X306+X296</f>
        <v>-711891.58466</v>
      </c>
      <c r="Y307" s="30" t="n">
        <f aca="false">Y305+Y306+Y296</f>
        <v>-711891.58466</v>
      </c>
      <c r="Z307" s="30" t="n">
        <f aca="false">Z305+Z306+Z296</f>
        <v>-703669.490429231</v>
      </c>
      <c r="AA307" s="30" t="n">
        <f aca="false">AA305+AA306+AA296</f>
        <v>-666485.705813846</v>
      </c>
      <c r="AB307" s="30" t="n">
        <f aca="false">AB305+AB306+AB296</f>
        <v>-657502.751967692</v>
      </c>
      <c r="AC307" s="30" t="n">
        <f aca="false">AC305+AC306+AC296</f>
        <v>-651877.604276277</v>
      </c>
      <c r="AD307" s="30" t="n">
        <f aca="false">AD305+AD306+AD296</f>
        <v>-624278.060660892</v>
      </c>
      <c r="AE307" s="30" t="n">
        <f aca="false">AE305+AE306+AE296</f>
        <v>-601970.3683532</v>
      </c>
      <c r="AF307" s="30" t="n">
        <f aca="false">AF305+AF306+AF296</f>
        <v>-601970.3683532</v>
      </c>
      <c r="AG307" s="30" t="n">
        <f aca="false">AG305+AG306+AG296</f>
        <v>-601970.3683532</v>
      </c>
      <c r="AH307" s="30" t="n">
        <f aca="false">AH305+AH306+AH296</f>
        <v>-599523.615468585</v>
      </c>
      <c r="AI307" s="30" t="n">
        <f aca="false">AI305+AI306+AI296</f>
        <v>-589908.2308532</v>
      </c>
      <c r="AJ307" s="30" t="n">
        <f aca="false">AJ305+AJ306+AJ296</f>
        <v>-589908.2308532</v>
      </c>
      <c r="AK307" s="30" t="n">
        <f aca="false">AK305+AK306+AK296</f>
        <v>-589908.2308532</v>
      </c>
      <c r="AL307" s="30" t="n">
        <f aca="false">AL305+AL306+AL296</f>
        <v>-589908.2308532</v>
      </c>
      <c r="AM307" s="30" t="n">
        <f aca="false">AM305+AM306+AM296</f>
        <v>-589908.2308532</v>
      </c>
      <c r="AN307" s="30" t="n">
        <f aca="false">AN305+AN306+AN296</f>
        <v>-589908.2308532</v>
      </c>
      <c r="AO307" s="30" t="n">
        <f aca="false">AO305+AO306+AO296</f>
        <v>-601063.635470264</v>
      </c>
      <c r="AP307" s="30" t="n">
        <f aca="false">AP305+AP306+AP296</f>
        <v>-601063.635470264</v>
      </c>
      <c r="AQ307" s="30" t="n">
        <f aca="false">AQ305+AQ306+AQ296</f>
        <v>-601063.635470264</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-710526.435766128</v>
      </c>
      <c r="CB307" s="30" t="n">
        <f aca="false">CB305+CB306+CB296</f>
        <v>-635886.435766128</v>
      </c>
      <c r="CC307" s="30" t="n">
        <f aca="false">CC305+CC306+CC296</f>
        <v>-635886.435766128</v>
      </c>
      <c r="CD307" s="30" t="n">
        <f aca="false">CD305+CD306+CD296</f>
        <v>-717249.435766128</v>
      </c>
      <c r="CE307" s="30" t="n">
        <f aca="false">CE305+CE306+CE296</f>
        <v>-635886.435766128</v>
      </c>
      <c r="CF307" s="30" t="n">
        <f aca="false">CF305+CF306+CF296</f>
        <v>-635886.435766128</v>
      </c>
      <c r="CG307" s="30" t="n">
        <f aca="false">CG305+CG306+CG296</f>
        <v>-717248.435766128</v>
      </c>
      <c r="CH307" s="30" t="n">
        <f aca="false">CH305+CH306+CH296</f>
        <v>-635886.435766128</v>
      </c>
      <c r="CI307" s="30" t="n">
        <f aca="false">CI305+CI306+CI296</f>
        <v>-635886.435766128</v>
      </c>
      <c r="CJ307" s="30" t="n">
        <f aca="false">CJ305+CJ306+CJ296</f>
        <v>-710640.409159649</v>
      </c>
      <c r="CK307" s="30" t="n">
        <f aca="false">CK305+CK306+CK296</f>
        <v>-647961.404481451</v>
      </c>
      <c r="CL307" s="30" t="n">
        <f aca="false">CL305+CL306+CL296</f>
        <v>-647961.404481451</v>
      </c>
      <c r="CM307" s="30" t="n">
        <f aca="false">CM305+CM306+CM296</f>
        <v>-647961.404481451</v>
      </c>
      <c r="CN307" s="30" t="n">
        <f aca="false">CN305+CN306+CN296</f>
        <v>-647961.404481451</v>
      </c>
      <c r="CO307" s="30" t="n">
        <f aca="false">CO305+CO306+CO296</f>
        <v>-647961.404481451</v>
      </c>
      <c r="CP307" s="30" t="n">
        <f aca="false">CP305+CP306+CP296</f>
        <v>-647961.404481451</v>
      </c>
      <c r="CQ307" s="30" t="n">
        <f aca="false">CQ305+CQ306+CQ296</f>
        <v>-647961.404481451</v>
      </c>
      <c r="CR307" s="30" t="n">
        <f aca="false">CR305+CR306+CR296</f>
        <v>-647961.404481451</v>
      </c>
      <c r="CS307" s="30" t="n">
        <f aca="false">CS305+CS306+CS296</f>
        <v>-647961.404481451</v>
      </c>
      <c r="CT307" s="30" t="n">
        <f aca="false">CT305+CT306+CT296</f>
        <v>-601697.645441313</v>
      </c>
      <c r="CU307" s="30" t="n">
        <f aca="false">CU305+CU306+CU296</f>
        <v>-601697.645441313</v>
      </c>
      <c r="CV307" s="30" t="n">
        <f aca="false">CV305+CV306+CV296</f>
        <v>-601697.645441313</v>
      </c>
      <c r="CW307" s="30" t="n">
        <f aca="false">CW305+CW306+CW296</f>
        <v>-613088.838350139</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135034.39225442</v>
      </c>
      <c r="R308" s="37" t="n">
        <f aca="false">R304+R307</f>
        <v>121639.682254419</v>
      </c>
      <c r="S308" s="37" t="n">
        <f aca="false">S304+S307</f>
        <v>-548292.119353387</v>
      </c>
      <c r="T308" s="37" t="n">
        <f aca="false">T304+T307</f>
        <v>334592.291311635</v>
      </c>
      <c r="U308" s="37" t="n">
        <f aca="false">U304+U307</f>
        <v>230890.231311637</v>
      </c>
      <c r="V308" s="37" t="n">
        <f aca="false">V304+V307</f>
        <v>316761.501311634</v>
      </c>
      <c r="W308" s="37" t="n">
        <f aca="false">W304+W307</f>
        <v>137606.671311635</v>
      </c>
      <c r="X308" s="37" t="n">
        <f aca="false">X304+X307</f>
        <v>288270.631311639</v>
      </c>
      <c r="Y308" s="37" t="n">
        <f aca="false">Y304+Y307</f>
        <v>162118.711311636</v>
      </c>
      <c r="Z308" s="37" t="n">
        <f aca="false">Z304+Z307</f>
        <v>212892.805542407</v>
      </c>
      <c r="AA308" s="37" t="n">
        <f aca="false">AA304+AA307</f>
        <v>159909.650157786</v>
      </c>
      <c r="AB308" s="37" t="n">
        <f aca="false">AB304+AB307</f>
        <v>88133.3340039441</v>
      </c>
      <c r="AC308" s="37" t="n">
        <f aca="false">AC304+AC307</f>
        <v>-59853.3583046377</v>
      </c>
      <c r="AD308" s="37" t="n">
        <f aca="false">AD304+AD307</f>
        <v>-9687.7746892568</v>
      </c>
      <c r="AE308" s="37" t="n">
        <f aca="false">AE304+AE307</f>
        <v>61078.5976184326</v>
      </c>
      <c r="AF308" s="37" t="n">
        <f aca="false">AF304+AF307</f>
        <v>162087.724337088</v>
      </c>
      <c r="AG308" s="37" t="n">
        <f aca="false">AG304+AG307</f>
        <v>92329.3326438945</v>
      </c>
      <c r="AH308" s="37" t="n">
        <f aca="false">AH304+AH307</f>
        <v>-44717.2921702338</v>
      </c>
      <c r="AI308" s="37" t="n">
        <f aca="false">AI304+AI307</f>
        <v>-50665.6175548435</v>
      </c>
      <c r="AJ308" s="37" t="n">
        <f aca="false">AJ304+AJ307</f>
        <v>-43243.4179871018</v>
      </c>
      <c r="AK308" s="37" t="n">
        <f aca="false">AK304+AK307</f>
        <v>-297159.526795983</v>
      </c>
      <c r="AL308" s="37" t="n">
        <f aca="false">AL304+AL307</f>
        <v>-283088.816795983</v>
      </c>
      <c r="AM308" s="37" t="n">
        <f aca="false">AM304+AM307</f>
        <v>-271405.776795985</v>
      </c>
      <c r="AN308" s="37" t="n">
        <f aca="false">AN304+AN307</f>
        <v>-378073.286795986</v>
      </c>
      <c r="AO308" s="37" t="n">
        <f aca="false">AO304+AO307</f>
        <v>-428489.431413048</v>
      </c>
      <c r="AP308" s="37" t="n">
        <f aca="false">AP304+AP307</f>
        <v>-428489.431413048</v>
      </c>
      <c r="AQ308" s="37" t="n">
        <f aca="false">AQ304+AQ307</f>
        <v>-428489.431413048</v>
      </c>
      <c r="AR308" s="37" t="n">
        <f aca="false">AR304+AR307</f>
        <v>-428489.431413048</v>
      </c>
      <c r="AS308" s="37" t="n">
        <f aca="false">AS304+AS307</f>
        <v>-428489.431413048</v>
      </c>
      <c r="AT308" s="37" t="n">
        <f aca="false">AT304+AT307</f>
        <v>-428489.431413048</v>
      </c>
      <c r="AU308" s="37" t="n">
        <f aca="false">AU304+AU307</f>
        <v>-428489.431413048</v>
      </c>
      <c r="AV308" s="37" t="n">
        <f aca="false">AV304+AV307</f>
        <v>-156003.846059548</v>
      </c>
      <c r="AW308" s="37" t="n">
        <f aca="false">AW304+AW307</f>
        <v>-601063.635470264</v>
      </c>
      <c r="AX308" s="37" t="n">
        <f aca="false">AX304+AX307</f>
        <v>-601063.635470264</v>
      </c>
      <c r="AY308" s="37" t="n">
        <f aca="false">AY304+AY307</f>
        <v>-601063.635470264</v>
      </c>
      <c r="AZ308" s="37" t="n">
        <f aca="false">AZ304+AZ307</f>
        <v>-601063.635470264</v>
      </c>
      <c r="BA308" s="37" t="n">
        <f aca="false">BA304+BA307</f>
        <v>-612442.148179669</v>
      </c>
      <c r="BB308" s="37" t="n">
        <f aca="false">BB304+BB307</f>
        <v>-612442.148179669</v>
      </c>
      <c r="BC308" s="37" t="n">
        <f aca="false">BC304+BC307</f>
        <v>-612442.148179669</v>
      </c>
      <c r="BD308" s="37" t="n">
        <f aca="false">BD304+BD307</f>
        <v>-612442.148179669</v>
      </c>
      <c r="BE308" s="37" t="n">
        <f aca="false">BE304+BE307</f>
        <v>-612442.148179669</v>
      </c>
      <c r="BF308" s="37" t="n">
        <f aca="false">BF304+BF307</f>
        <v>-612442.148179669</v>
      </c>
      <c r="BG308" s="37" t="n">
        <f aca="false">BG304+BG307</f>
        <v>-612442.148179669</v>
      </c>
      <c r="BH308" s="37" t="n">
        <f aca="false">BH304+BH307</f>
        <v>-612442.148179669</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-455227.838350139</v>
      </c>
      <c r="CX308" s="37" t="n">
        <f aca="false">CX304+CX307</f>
        <v>-455227.838350139</v>
      </c>
      <c r="CY308" s="37" t="n">
        <f aca="false">CY304+CY307</f>
        <v>-455227.838350139</v>
      </c>
      <c r="CZ308" s="37" t="n">
        <f aca="false">CZ304+CZ307</f>
        <v>-455227.838350139</v>
      </c>
      <c r="DA308" s="37" t="n">
        <f aca="false">DA304+DA307</f>
        <v>-455227.838350139</v>
      </c>
      <c r="DB308" s="37" t="n">
        <f aca="false">DB304+DB307</f>
        <v>-455227.838350139</v>
      </c>
      <c r="DC308" s="37" t="n">
        <f aca="false">DC304+DC307</f>
        <v>-455227.838350139</v>
      </c>
      <c r="DD308" s="37" t="n">
        <f aca="false">DD304+DD307</f>
        <v>-455227.838350139</v>
      </c>
      <c r="DE308" s="37" t="n">
        <f aca="false">DE304+DE307</f>
        <v>-455227.838350139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0.16468340810899</v>
      </c>
      <c r="R309" s="33" t="n">
        <f aca="false">IFERROR(IF(OR(R304&lt;=0,R308/R304&lt;0,R308/R304&gt;1),0,R308/R304),0)</f>
        <v>0.150811283468008</v>
      </c>
      <c r="S309" s="33" t="n">
        <f aca="false">IFERROR(IF(OR(S304&lt;=0,S308/S304&lt;0,S308/S304&gt;1),0,S308/S304),0)</f>
        <v>0</v>
      </c>
      <c r="T309" s="33" t="n">
        <f aca="false">IFERROR(IF(OR(T304&lt;=0,T308/T304&lt;0,T308/T304&gt;1),0,T308/T304),0)</f>
        <v>0.319730001574056</v>
      </c>
      <c r="U309" s="33" t="n">
        <f aca="false">IFERROR(IF(OR(U304&lt;=0,U308/U304&lt;0,U308/U304&gt;1),0,U308/U304),0)</f>
        <v>0.24490314450293</v>
      </c>
      <c r="V309" s="33" t="n">
        <f aca="false">IFERROR(IF(OR(V304&lt;=0,V308/V304&lt;0,V308/V304&gt;1),0,V308/V304),0)</f>
        <v>0.307938123777105</v>
      </c>
      <c r="W309" s="33" t="n">
        <f aca="false">IFERROR(IF(OR(W304&lt;=0,W308/W304&lt;0,W308/W304&gt;1),0,W308/W304),0)</f>
        <v>0.161985819681577</v>
      </c>
      <c r="X309" s="33" t="n">
        <f aca="false">IFERROR(IF(OR(X304&lt;=0,X308/X304&lt;0,X308/X304&gt;1),0,X308/X304),0)</f>
        <v>0.288223876795415</v>
      </c>
      <c r="Y309" s="33" t="n">
        <f aca="false">IFERROR(IF(OR(Y304&lt;=0,Y308/Y304&lt;0,Y308/Y304&gt;1),0,Y308/Y304),0)</f>
        <v>0.185488331268923</v>
      </c>
      <c r="Z309" s="33" t="n">
        <f aca="false">IFERROR(IF(OR(Z304&lt;=0,Z308/Z304&lt;0,Z308/Z304&gt;1),0,Z308/Z304),0)</f>
        <v>0.232273143329251</v>
      </c>
      <c r="AA309" s="33" t="n">
        <f aca="false">IFERROR(IF(OR(AA304&lt;=0,AA308/AA304&lt;0,AA308/AA304&gt;1),0,AA308/AA304),0)</f>
        <v>0.193502600180724</v>
      </c>
      <c r="AB309" s="33" t="n">
        <f aca="false">IFERROR(IF(OR(AB304&lt;=0,AB308/AB304&lt;0,AB308/AB304&gt;1),0,AB308/AB304),0)</f>
        <v>0.118198858212579</v>
      </c>
      <c r="AC309" s="33" t="n">
        <f aca="false">IFERROR(IF(OR(AC304&lt;=0,AC308/AC304&lt;0,AC308/AC304&gt;1),0,AC308/AC304),0)</f>
        <v>0</v>
      </c>
      <c r="AD309" s="33" t="n">
        <f aca="false">IFERROR(IF(OR(AD304&lt;=0,AD308/AD304&lt;0,AD308/AD304&gt;1),0,AD308/AD304),0)</f>
        <v>0</v>
      </c>
      <c r="AE309" s="33" t="n">
        <f aca="false">IFERROR(IF(OR(AE304&lt;=0,AE308/AE304&lt;0,AE308/AE304&gt;1),0,AE308/AE304),0)</f>
        <v>0.0921177782532667</v>
      </c>
      <c r="AF309" s="33" t="n">
        <f aca="false">IFERROR(IF(OR(AF304&lt;=0,AF308/AF304&lt;0,AF308/AF304&gt;1),0,AF308/AF304),0)</f>
        <v>0.212140576597217</v>
      </c>
      <c r="AG309" s="33" t="n">
        <f aca="false">IFERROR(IF(OR(AG304&lt;=0,AG308/AG304&lt;0,AG308/AG304&gt;1),0,AG308/AG304),0)</f>
        <v>0.13298195651143</v>
      </c>
      <c r="AH309" s="33" t="n">
        <f aca="false">IFERROR(IF(OR(AH304&lt;=0,AH308/AH304&lt;0,AH308/AH304&gt;1),0,AH308/AH304),0)</f>
        <v>0</v>
      </c>
      <c r="AI309" s="33" t="n">
        <f aca="false">IFERROR(IF(OR(AI304&lt;=0,AI308/AI304&lt;0,AI308/AI304&gt;1),0,AI308/AI304),0)</f>
        <v>0</v>
      </c>
      <c r="AJ309" s="33" t="n">
        <f aca="false">IFERROR(IF(OR(AJ304&lt;=0,AJ308/AJ304&lt;0,AJ308/AJ304&gt;1),0,AJ308/AJ304),0)</f>
        <v>0</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135034.39</v>
      </c>
      <c r="R311" s="13" t="n">
        <f aca="false">ROUND(R308-(Budget!S57+Budget!S114),2)</f>
        <v>121639.68</v>
      </c>
      <c r="S311" s="13" t="n">
        <f aca="false">ROUND(S308-(Budget!T57+Budget!T114),2)</f>
        <v>-548292.12</v>
      </c>
      <c r="T311" s="13" t="n">
        <f aca="false">ROUND(T308-(Budget!U57+Budget!U114),2)</f>
        <v>334592.29</v>
      </c>
      <c r="U311" s="13" t="n">
        <f aca="false">ROUND(U308-(Budget!V57+Budget!V114),2)</f>
        <v>230890.23</v>
      </c>
      <c r="V311" s="13" t="n">
        <f aca="false">ROUND(V308-(Budget!W57+Budget!W114),2)</f>
        <v>316761.5</v>
      </c>
      <c r="W311" s="13" t="n">
        <f aca="false">ROUND(W308-(Budget!X57+Budget!X114),2)</f>
        <v>137606.67</v>
      </c>
      <c r="X311" s="13" t="n">
        <f aca="false">ROUND(X308-(Budget!Y57+Budget!Y114),2)</f>
        <v>288270.63</v>
      </c>
      <c r="Y311" s="13" t="n">
        <f aca="false">ROUND(Y308-(Budget!Z57+Budget!Z114),2)</f>
        <v>162118.71</v>
      </c>
      <c r="Z311" s="13" t="n">
        <f aca="false">ROUND(Z308-(Budget!AA57+Budget!AA114),2)</f>
        <v>212892.81</v>
      </c>
      <c r="AA311" s="13" t="n">
        <f aca="false">ROUND(AA308-(Budget!AB57+Budget!AB114),2)</f>
        <v>159909.65</v>
      </c>
      <c r="AB311" s="13" t="n">
        <f aca="false">ROUND(AB308-(Budget!AC57+Budget!AC114),2)</f>
        <v>88133.33</v>
      </c>
      <c r="AC311" s="13" t="n">
        <f aca="false">ROUND(AC308-(Budget!AD57+Budget!AD114),2)</f>
        <v>-59853.36</v>
      </c>
      <c r="AD311" s="13" t="n">
        <f aca="false">ROUND(AD308-(Budget!AE57+Budget!AE114),2)</f>
        <v>-9687.77</v>
      </c>
      <c r="AE311" s="13" t="n">
        <f aca="false">ROUND(AE308-(Budget!AF57+Budget!AF114),2)</f>
        <v>61078.6</v>
      </c>
      <c r="AF311" s="13" t="n">
        <f aca="false">ROUND(AF308-(Budget!AG57+Budget!AG114),2)</f>
        <v>162087.72</v>
      </c>
      <c r="AG311" s="13" t="n">
        <f aca="false">ROUND(AG308-(Budget!AH57+Budget!AH114),2)</f>
        <v>92329.33</v>
      </c>
      <c r="AH311" s="13" t="n">
        <f aca="false">ROUND(AH308-(Budget!AI57+Budget!AI114),2)</f>
        <v>-44717.29</v>
      </c>
      <c r="AI311" s="13" t="n">
        <f aca="false">ROUND(AI308-(Budget!AJ57+Budget!AJ114),2)</f>
        <v>-50665.62</v>
      </c>
      <c r="AJ311" s="13" t="n">
        <f aca="false">ROUND(AJ308-(Budget!AK57+Budget!AK114),2)</f>
        <v>-43243.42</v>
      </c>
      <c r="AK311" s="13" t="n">
        <f aca="false">ROUND(AK308-(Budget!AL57+Budget!AL114),2)</f>
        <v>-297159.53</v>
      </c>
      <c r="AL311" s="13" t="n">
        <f aca="false">ROUND(AL308-(Budget!AM57+Budget!AM114),2)</f>
        <v>-283088.82</v>
      </c>
      <c r="AM311" s="13" t="n">
        <f aca="false">ROUND(AM308-(Budget!AN57+Budget!AN114),2)</f>
        <v>-271405.78</v>
      </c>
      <c r="AN311" s="13" t="n">
        <f aca="false">ROUND(AN308-(Budget!AO57+Budget!AO114),2)</f>
        <v>-378073.29</v>
      </c>
      <c r="AO311" s="13" t="n">
        <f aca="false">ROUND(AO308-(Budget!AP57+Budget!AP114),2)</f>
        <v>-428489.43</v>
      </c>
      <c r="AP311" s="13" t="n">
        <f aca="false">ROUND(AP308-(Budget!AQ57+Budget!AQ114),2)</f>
        <v>-428489.43</v>
      </c>
      <c r="AQ311" s="13" t="n">
        <f aca="false">ROUND(AQ308-(Budget!AR57+Budget!AR114),2)</f>
        <v>-428489.43</v>
      </c>
      <c r="AR311" s="13" t="n">
        <f aca="false">ROUND(AR308-(Budget!AS57+Budget!AS114),2)</f>
        <v>-428489.43</v>
      </c>
      <c r="AS311" s="13" t="n">
        <f aca="false">ROUND(AS308-(Budget!AT57+Budget!AT114),2)</f>
        <v>-428489.43</v>
      </c>
      <c r="AT311" s="13" t="n">
        <f aca="false">ROUND(AT308-(Budget!AU57+Budget!AU114),2)</f>
        <v>-428489.43</v>
      </c>
      <c r="AU311" s="13" t="n">
        <f aca="false">ROUND(AU308-(Budget!AV57+Budget!AV114),2)</f>
        <v>-428489.43</v>
      </c>
      <c r="AV311" s="13" t="n">
        <f aca="false">ROUND(AV308-(Budget!AW57+Budget!AW114),2)</f>
        <v>-156003.85</v>
      </c>
      <c r="AW311" s="13" t="n">
        <f aca="false">ROUND(AW308-(Budget!AX57+Budget!AX114),2)</f>
        <v>-601063.64</v>
      </c>
      <c r="AX311" s="13" t="n">
        <f aca="false">ROUND(AX308-(Budget!AY57+Budget!AY114),2)</f>
        <v>-601063.64</v>
      </c>
      <c r="AY311" s="13" t="n">
        <f aca="false">ROUND(AY308-(Budget!AZ57+Budget!AZ114),2)</f>
        <v>-601063.64</v>
      </c>
      <c r="AZ311" s="13" t="n">
        <f aca="false">ROUND(AZ308-(Budget!BA57+Budget!BA114),2)</f>
        <v>-601063.64</v>
      </c>
      <c r="BA311" s="13" t="n">
        <f aca="false">ROUND(BA308-(Budget!BB57+Budget!BB114),2)</f>
        <v>-612442.15</v>
      </c>
      <c r="BB311" s="13" t="n">
        <f aca="false">ROUND(BB308-(Budget!BC57+Budget!BC114),2)</f>
        <v>-612442.15</v>
      </c>
      <c r="BC311" s="13" t="n">
        <f aca="false">ROUND(BC308-(Budget!BD57+Budget!BD114),2)</f>
        <v>-612442.15</v>
      </c>
      <c r="BD311" s="13" t="n">
        <f aca="false">ROUND(BD308-(Budget!BE57+Budget!BE114),2)</f>
        <v>-612442.15</v>
      </c>
      <c r="BE311" s="13" t="n">
        <f aca="false">ROUND(BE308-(Budget!BF57+Budget!BF114),2)</f>
        <v>-612442.15</v>
      </c>
      <c r="BF311" s="13" t="n">
        <f aca="false">ROUND(BF308-(Budget!BG57+Budget!BG114),2)</f>
        <v>-612442.15</v>
      </c>
      <c r="BG311" s="13" t="n">
        <f aca="false">ROUND(BG308-(Budget!BH57+Budget!BH114),2)</f>
        <v>-612442.15</v>
      </c>
      <c r="BH311" s="13" t="n">
        <f aca="false">ROUND(BH308-(Budget!BI57+Budget!BI114),2)</f>
        <v>-612442.15</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-455227.84</v>
      </c>
      <c r="CX311" s="13" t="n">
        <f aca="false">ROUND(CX308-(Budget!CY57+Budget!CY114),2)</f>
        <v>-455227.84</v>
      </c>
      <c r="CY311" s="13" t="n">
        <f aca="false">ROUND(CY308-(Budget!CZ57+Budget!CZ114),2)</f>
        <v>-455227.84</v>
      </c>
      <c r="CZ311" s="13" t="n">
        <f aca="false">ROUND(CZ308-(Budget!DA57+Budget!DA114),2)</f>
        <v>-455227.84</v>
      </c>
      <c r="DA311" s="13" t="n">
        <f aca="false">ROUND(DA308-(Budget!DB57+Budget!DB114),2)</f>
        <v>-455227.84</v>
      </c>
      <c r="DB311" s="13" t="n">
        <f aca="false">ROUND(DB308-(Budget!DC57+Budget!DC114),2)</f>
        <v>-455227.84</v>
      </c>
      <c r="DC311" s="13" t="n">
        <f aca="false">ROUND(DC308-(Budget!DD57+Budget!DD114),2)</f>
        <v>-455227.84</v>
      </c>
      <c r="DD311" s="13" t="n">
        <f aca="false">ROUND(DD308-(Budget!DE57+Budget!DE114),2)</f>
        <v>-455227.84</v>
      </c>
      <c r="DE311" s="13" t="n">
        <f aca="false">ROUND(DE308-(Budget!DF57+Budget!DF114),2)</f>
        <v>-455227.84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750000</v>
      </c>
      <c r="AO321" s="13" t="n">
        <f aca="false">AN323</f>
        <v>750000</v>
      </c>
      <c r="AP321" s="13" t="n">
        <f aca="false">AO323</f>
        <v>750000</v>
      </c>
      <c r="AQ321" s="13" t="n">
        <f aca="false">AP323</f>
        <v>750000</v>
      </c>
      <c r="AR321" s="13" t="n">
        <f aca="false">AQ323</f>
        <v>750000</v>
      </c>
      <c r="AS321" s="13" t="n">
        <f aca="false">AR323</f>
        <v>750000</v>
      </c>
      <c r="AT321" s="13" t="n">
        <f aca="false">AS323</f>
        <v>750000</v>
      </c>
      <c r="AU321" s="13" t="n">
        <f aca="false">AT323</f>
        <v>750000</v>
      </c>
      <c r="AV321" s="13" t="n">
        <f aca="false">AU323</f>
        <v>750000</v>
      </c>
      <c r="AW321" s="13" t="n">
        <f aca="false">AV323</f>
        <v>750000</v>
      </c>
      <c r="AX321" s="13" t="n">
        <f aca="false">AW323</f>
        <v>750000</v>
      </c>
      <c r="AY321" s="13" t="n">
        <f aca="false">AX323</f>
        <v>750000</v>
      </c>
      <c r="AZ321" s="13" t="n">
        <f aca="false">AY323</f>
        <v>750000</v>
      </c>
      <c r="BA321" s="13" t="n">
        <f aca="false">AZ323</f>
        <v>750000</v>
      </c>
      <c r="BB321" s="13" t="n">
        <f aca="false">BA323</f>
        <v>750000</v>
      </c>
      <c r="BC321" s="13" t="n">
        <f aca="false">BB323</f>
        <v>750000</v>
      </c>
      <c r="BD321" s="13" t="n">
        <f aca="false">BC323</f>
        <v>750000</v>
      </c>
      <c r="BE321" s="13" t="n">
        <f aca="false">BD323</f>
        <v>750000</v>
      </c>
      <c r="BF321" s="13" t="n">
        <f aca="false">BE323</f>
        <v>750000</v>
      </c>
      <c r="BG321" s="13" t="n">
        <f aca="false">BF323</f>
        <v>750000</v>
      </c>
      <c r="BH321" s="13" t="n">
        <f aca="false">BG323</f>
        <v>750000</v>
      </c>
      <c r="BI321" s="13" t="n">
        <f aca="false">BH323</f>
        <v>750000</v>
      </c>
      <c r="BJ321" s="13" t="n">
        <f aca="false">BI323</f>
        <v>750000</v>
      </c>
      <c r="BK321" s="13" t="n">
        <f aca="false">BJ323</f>
        <v>750000</v>
      </c>
      <c r="BL321" s="13" t="n">
        <f aca="false">BK323</f>
        <v>750000</v>
      </c>
      <c r="BM321" s="13" t="n">
        <f aca="false">BL323</f>
        <v>750000</v>
      </c>
      <c r="BN321" s="13" t="n">
        <f aca="false">BM323</f>
        <v>750000</v>
      </c>
      <c r="BO321" s="13" t="n">
        <f aca="false">BN323</f>
        <v>750000</v>
      </c>
      <c r="BP321" s="13" t="n">
        <f aca="false">BO323</f>
        <v>750000</v>
      </c>
      <c r="BQ321" s="13" t="n">
        <f aca="false">BP323</f>
        <v>750000</v>
      </c>
      <c r="BR321" s="13" t="n">
        <f aca="false">BQ323</f>
        <v>750000</v>
      </c>
      <c r="BS321" s="13" t="n">
        <f aca="false">BR323</f>
        <v>750000</v>
      </c>
      <c r="BT321" s="13" t="n">
        <f aca="false">BS323</f>
        <v>750000</v>
      </c>
      <c r="BU321" s="13" t="n">
        <f aca="false">BT323</f>
        <v>750000</v>
      </c>
      <c r="BV321" s="13" t="n">
        <f aca="false">BU323</f>
        <v>750000</v>
      </c>
      <c r="BW321" s="13" t="n">
        <f aca="false">BV323</f>
        <v>750000</v>
      </c>
      <c r="BX321" s="13" t="n">
        <f aca="false">BW323</f>
        <v>750000</v>
      </c>
      <c r="BY321" s="13" t="n">
        <f aca="false">BX323</f>
        <v>750000</v>
      </c>
      <c r="BZ321" s="13" t="n">
        <f aca="false">BY323</f>
        <v>750000</v>
      </c>
      <c r="CA321" s="13" t="n">
        <f aca="false">BZ323</f>
        <v>750000</v>
      </c>
      <c r="CB321" s="13" t="n">
        <f aca="false">CA323</f>
        <v>750000</v>
      </c>
      <c r="CC321" s="13" t="n">
        <f aca="false">CB323</f>
        <v>750000</v>
      </c>
      <c r="CD321" s="13" t="n">
        <f aca="false">CC323</f>
        <v>750000</v>
      </c>
      <c r="CE321" s="13" t="n">
        <f aca="false">CD323</f>
        <v>750000</v>
      </c>
      <c r="CF321" s="13" t="n">
        <f aca="false">CE323</f>
        <v>750000</v>
      </c>
      <c r="CG321" s="13" t="n">
        <f aca="false">CF323</f>
        <v>750000</v>
      </c>
      <c r="CH321" s="13" t="n">
        <f aca="false">CG323</f>
        <v>750000</v>
      </c>
      <c r="CI321" s="13" t="n">
        <f aca="false">CH323</f>
        <v>750000</v>
      </c>
      <c r="CJ321" s="13" t="n">
        <f aca="false">CI323</f>
        <v>750000</v>
      </c>
      <c r="CK321" s="13" t="n">
        <f aca="false">CJ323</f>
        <v>750000</v>
      </c>
      <c r="CL321" s="13" t="n">
        <f aca="false">CK323</f>
        <v>750000</v>
      </c>
      <c r="CM321" s="13" t="n">
        <f aca="false">CL323</f>
        <v>750000</v>
      </c>
      <c r="CN321" s="13" t="n">
        <f aca="false">CM323</f>
        <v>750000</v>
      </c>
      <c r="CO321" s="13" t="n">
        <f aca="false">CN323</f>
        <v>750000</v>
      </c>
      <c r="CP321" s="13" t="n">
        <f aca="false">CO323</f>
        <v>750000</v>
      </c>
      <c r="CQ321" s="13" t="n">
        <f aca="false">CP323</f>
        <v>750000</v>
      </c>
      <c r="CR321" s="13" t="n">
        <f aca="false">CQ323</f>
        <v>750000</v>
      </c>
      <c r="CS321" s="13" t="n">
        <f aca="false">CR323</f>
        <v>750000</v>
      </c>
      <c r="CT321" s="13" t="n">
        <f aca="false">CS323</f>
        <v>750000</v>
      </c>
      <c r="CU321" s="13" t="n">
        <f aca="false">CT323</f>
        <v>750000</v>
      </c>
      <c r="CV321" s="13" t="n">
        <f aca="false">CU323</f>
        <v>750000</v>
      </c>
      <c r="CW321" s="13" t="n">
        <f aca="false">CV323</f>
        <v>750000</v>
      </c>
      <c r="CX321" s="13" t="n">
        <f aca="false">CW323</f>
        <v>750000</v>
      </c>
      <c r="CY321" s="13" t="n">
        <f aca="false">CX323</f>
        <v>750000</v>
      </c>
      <c r="CZ321" s="13" t="n">
        <f aca="false">CY323</f>
        <v>750000</v>
      </c>
      <c r="DA321" s="13" t="n">
        <f aca="false">CZ323</f>
        <v>750000</v>
      </c>
      <c r="DB321" s="13" t="n">
        <f aca="false">DA323</f>
        <v>750000</v>
      </c>
      <c r="DC321" s="13" t="n">
        <f aca="false">DB323</f>
        <v>750000</v>
      </c>
      <c r="DD321" s="13" t="n">
        <f aca="false">DC323</f>
        <v>750000</v>
      </c>
      <c r="DE321" s="13" t="n">
        <f aca="false">DD323</f>
        <v>750000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750000</v>
      </c>
      <c r="AN323" s="46" t="n">
        <f aca="false">MAX(0,AN321+AN322)</f>
        <v>750000</v>
      </c>
      <c r="AO323" s="46" t="n">
        <f aca="false">MAX(0,AO321+AO322)</f>
        <v>750000</v>
      </c>
      <c r="AP323" s="46" t="n">
        <f aca="false">MAX(0,AP321+AP322)</f>
        <v>750000</v>
      </c>
      <c r="AQ323" s="46" t="n">
        <f aca="false">MAX(0,AQ321+AQ322)</f>
        <v>750000</v>
      </c>
      <c r="AR323" s="46" t="n">
        <f aca="false">MAX(0,AR321+AR322)</f>
        <v>750000</v>
      </c>
      <c r="AS323" s="46" t="n">
        <f aca="false">MAX(0,AS321+AS322)</f>
        <v>750000</v>
      </c>
      <c r="AT323" s="46" t="n">
        <f aca="false">MAX(0,AT321+AT322)</f>
        <v>750000</v>
      </c>
      <c r="AU323" s="46" t="n">
        <f aca="false">MAX(0,AU321+AU322)</f>
        <v>750000</v>
      </c>
      <c r="AV323" s="46" t="n">
        <f aca="false">MAX(0,AV321+AV322)</f>
        <v>750000</v>
      </c>
      <c r="AW323" s="46" t="n">
        <f aca="false">MAX(0,AW321+AW322)</f>
        <v>750000</v>
      </c>
      <c r="AX323" s="46" t="n">
        <f aca="false">MAX(0,AX321+AX322)</f>
        <v>750000</v>
      </c>
      <c r="AY323" s="46" t="n">
        <f aca="false">MAX(0,AY321+AY322)</f>
        <v>750000</v>
      </c>
      <c r="AZ323" s="46" t="n">
        <f aca="false">MAX(0,AZ321+AZ322)</f>
        <v>750000</v>
      </c>
      <c r="BA323" s="46" t="n">
        <f aca="false">MAX(0,BA321+BA322)</f>
        <v>750000</v>
      </c>
      <c r="BB323" s="46" t="n">
        <f aca="false">MAX(0,BB321+BB322)</f>
        <v>750000</v>
      </c>
      <c r="BC323" s="46" t="n">
        <f aca="false">MAX(0,BC321+BC322)</f>
        <v>750000</v>
      </c>
      <c r="BD323" s="46" t="n">
        <f aca="false">MAX(0,BD321+BD322)</f>
        <v>750000</v>
      </c>
      <c r="BE323" s="46" t="n">
        <f aca="false">MAX(0,BE321+BE322)</f>
        <v>750000</v>
      </c>
      <c r="BF323" s="46" t="n">
        <f aca="false">MAX(0,BF321+BF322)</f>
        <v>750000</v>
      </c>
      <c r="BG323" s="46" t="n">
        <f aca="false">MAX(0,BG321+BG322)</f>
        <v>750000</v>
      </c>
      <c r="BH323" s="46" t="n">
        <f aca="false">MAX(0,BH321+BH322)</f>
        <v>750000</v>
      </c>
      <c r="BI323" s="46" t="n">
        <f aca="false">MAX(0,BI321+BI322)</f>
        <v>750000</v>
      </c>
      <c r="BJ323" s="46" t="n">
        <f aca="false">MAX(0,BJ321+BJ322)</f>
        <v>750000</v>
      </c>
      <c r="BK323" s="46" t="n">
        <f aca="false">MAX(0,BK321+BK322)</f>
        <v>750000</v>
      </c>
      <c r="BL323" s="46" t="n">
        <f aca="false">MAX(0,BL321+BL322)</f>
        <v>750000</v>
      </c>
      <c r="BM323" s="46" t="n">
        <f aca="false">MAX(0,BM321+BM322)</f>
        <v>750000</v>
      </c>
      <c r="BN323" s="46" t="n">
        <f aca="false">MAX(0,BN321+BN322)</f>
        <v>750000</v>
      </c>
      <c r="BO323" s="46" t="n">
        <f aca="false">MAX(0,BO321+BO322)</f>
        <v>750000</v>
      </c>
      <c r="BP323" s="46" t="n">
        <f aca="false">MAX(0,BP321+BP322)</f>
        <v>750000</v>
      </c>
      <c r="BQ323" s="46" t="n">
        <f aca="false">MAX(0,BQ321+BQ322)</f>
        <v>750000</v>
      </c>
      <c r="BR323" s="46" t="n">
        <f aca="false">MAX(0,BR321+BR322)</f>
        <v>750000</v>
      </c>
      <c r="BS323" s="46" t="n">
        <f aca="false">MAX(0,BS321+BS322)</f>
        <v>750000</v>
      </c>
      <c r="BT323" s="46" t="n">
        <f aca="false">MAX(0,BT321+BT322)</f>
        <v>750000</v>
      </c>
      <c r="BU323" s="46" t="n">
        <f aca="false">MAX(0,BU321+BU322)</f>
        <v>750000</v>
      </c>
      <c r="BV323" s="46" t="n">
        <f aca="false">MAX(0,BV321+BV322)</f>
        <v>750000</v>
      </c>
      <c r="BW323" s="46" t="n">
        <f aca="false">MAX(0,BW321+BW322)</f>
        <v>750000</v>
      </c>
      <c r="BX323" s="46" t="n">
        <f aca="false">MAX(0,BX321+BX322)</f>
        <v>750000</v>
      </c>
      <c r="BY323" s="46" t="n">
        <f aca="false">MAX(0,BY321+BY322)</f>
        <v>750000</v>
      </c>
      <c r="BZ323" s="46" t="n">
        <f aca="false">MAX(0,BZ321+BZ322)</f>
        <v>750000</v>
      </c>
      <c r="CA323" s="46" t="n">
        <f aca="false">MAX(0,CA321+CA322)</f>
        <v>750000</v>
      </c>
      <c r="CB323" s="46" t="n">
        <f aca="false">MAX(0,CB321+CB322)</f>
        <v>750000</v>
      </c>
      <c r="CC323" s="46" t="n">
        <f aca="false">MAX(0,CC321+CC322)</f>
        <v>750000</v>
      </c>
      <c r="CD323" s="46" t="n">
        <f aca="false">MAX(0,CD321+CD322)</f>
        <v>750000</v>
      </c>
      <c r="CE323" s="46" t="n">
        <f aca="false">MAX(0,CE321+CE322)</f>
        <v>750000</v>
      </c>
      <c r="CF323" s="46" t="n">
        <f aca="false">MAX(0,CF321+CF322)</f>
        <v>750000</v>
      </c>
      <c r="CG323" s="46" t="n">
        <f aca="false">MAX(0,CG321+CG322)</f>
        <v>750000</v>
      </c>
      <c r="CH323" s="46" t="n">
        <f aca="false">MAX(0,CH321+CH322)</f>
        <v>750000</v>
      </c>
      <c r="CI323" s="46" t="n">
        <f aca="false">MAX(0,CI321+CI322)</f>
        <v>750000</v>
      </c>
      <c r="CJ323" s="46" t="n">
        <f aca="false">MAX(0,CJ321+CJ322)</f>
        <v>750000</v>
      </c>
      <c r="CK323" s="46" t="n">
        <f aca="false">MAX(0,CK321+CK322)</f>
        <v>750000</v>
      </c>
      <c r="CL323" s="46" t="n">
        <f aca="false">MAX(0,CL321+CL322)</f>
        <v>750000</v>
      </c>
      <c r="CM323" s="46" t="n">
        <f aca="false">MAX(0,CM321+CM322)</f>
        <v>750000</v>
      </c>
      <c r="CN323" s="46" t="n">
        <f aca="false">MAX(0,CN321+CN322)</f>
        <v>750000</v>
      </c>
      <c r="CO323" s="46" t="n">
        <f aca="false">MAX(0,CO321+CO322)</f>
        <v>750000</v>
      </c>
      <c r="CP323" s="46" t="n">
        <f aca="false">MAX(0,CP321+CP322)</f>
        <v>750000</v>
      </c>
      <c r="CQ323" s="46" t="n">
        <f aca="false">MAX(0,CQ321+CQ322)</f>
        <v>750000</v>
      </c>
      <c r="CR323" s="46" t="n">
        <f aca="false">MAX(0,CR321+CR322)</f>
        <v>750000</v>
      </c>
      <c r="CS323" s="46" t="n">
        <f aca="false">MAX(0,CS321+CS322)</f>
        <v>750000</v>
      </c>
      <c r="CT323" s="46" t="n">
        <f aca="false">MAX(0,CT321+CT322)</f>
        <v>750000</v>
      </c>
      <c r="CU323" s="46" t="n">
        <f aca="false">MAX(0,CU321+CU322)</f>
        <v>750000</v>
      </c>
      <c r="CV323" s="46" t="n">
        <f aca="false">MAX(0,CV321+CV322)</f>
        <v>750000</v>
      </c>
      <c r="CW323" s="46" t="n">
        <f aca="false">MAX(0,CW321+CW322)</f>
        <v>750000</v>
      </c>
      <c r="CX323" s="46" t="n">
        <f aca="false">MAX(0,CX321+CX322)</f>
        <v>750000</v>
      </c>
      <c r="CY323" s="46" t="n">
        <f aca="false">MAX(0,CY321+CY322)</f>
        <v>750000</v>
      </c>
      <c r="CZ323" s="46" t="n">
        <f aca="false">MAX(0,CZ321+CZ322)</f>
        <v>750000</v>
      </c>
      <c r="DA323" s="46" t="n">
        <f aca="false">MAX(0,DA321+DA322)</f>
        <v>750000</v>
      </c>
      <c r="DB323" s="46" t="n">
        <f aca="false">MAX(0,DB321+DB322)</f>
        <v>750000</v>
      </c>
      <c r="DC323" s="46" t="n">
        <f aca="false">MAX(0,DC321+DC322)</f>
        <v>750000</v>
      </c>
      <c r="DD323" s="46" t="n">
        <f aca="false">MAX(0,DD321+DD322)</f>
        <v>750000</v>
      </c>
      <c r="DE323" s="46" t="n">
        <f aca="false">MAX(0,DE321+DE322)</f>
        <v>750000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0</v>
      </c>
      <c r="F336" s="56" t="n">
        <f aca="false">E340</f>
        <v>0</v>
      </c>
      <c r="G336" s="56" t="n">
        <f aca="false">IF(Projects!$G$14="Yes",F340+Assumptions!$B$76*0.2,F340)</f>
        <v>0</v>
      </c>
      <c r="H336" s="56" t="n">
        <f aca="false">G340</f>
        <v>0</v>
      </c>
      <c r="I336" s="56" t="n">
        <f aca="false">H340</f>
        <v>0</v>
      </c>
      <c r="J336" s="56" t="n">
        <f aca="false">IF(Projects!$G$14="Yes",I340+Assumptions!$B$76*0.2,I340)</f>
        <v>0</v>
      </c>
      <c r="K336" s="56" t="n">
        <f aca="false">J340</f>
        <v>0</v>
      </c>
      <c r="L336" s="56" t="n">
        <f aca="false">K340</f>
        <v>0</v>
      </c>
      <c r="M336" s="56" t="n">
        <f aca="false">L340</f>
        <v>0</v>
      </c>
      <c r="N336" s="56" t="n">
        <f aca="false">IF(Projects!$G$14="Yes",M340+Assumptions!$B$76*0.1,M340)</f>
        <v>0</v>
      </c>
      <c r="O336" s="56" t="n">
        <f aca="false">N340</f>
        <v>0</v>
      </c>
      <c r="P336" s="56" t="n">
        <f aca="false">O340</f>
        <v>0</v>
      </c>
      <c r="Q336" s="56" t="n">
        <f aca="false">P340</f>
        <v>0</v>
      </c>
      <c r="R336" s="56" t="n">
        <f aca="false">Q340</f>
        <v>0</v>
      </c>
      <c r="S336" s="56" t="n">
        <f aca="false">IF(Projects!$G$14="Yes",R340+Assumptions!$B$76*0.1,R340)</f>
        <v>0</v>
      </c>
      <c r="T336" s="56" t="n">
        <f aca="false">S340</f>
        <v>0</v>
      </c>
      <c r="U336" s="56" t="n">
        <f aca="false">T340</f>
        <v>0</v>
      </c>
      <c r="V336" s="56" t="n">
        <f aca="false">U340</f>
        <v>0</v>
      </c>
      <c r="W336" s="56" t="n">
        <f aca="false">V340</f>
        <v>0</v>
      </c>
      <c r="X336" s="56" t="n">
        <f aca="false">W340</f>
        <v>0</v>
      </c>
      <c r="Y336" s="56" t="n">
        <f aca="false">IF(Projects!$G$14="Yes",X340+Assumptions!$B$76*0.1,X340)</f>
        <v>0</v>
      </c>
      <c r="Z336" s="56" t="n">
        <f aca="false">Y340</f>
        <v>0</v>
      </c>
      <c r="AA336" s="56" t="n">
        <f aca="false">Z340</f>
        <v>0</v>
      </c>
      <c r="AB336" s="56" t="n">
        <f aca="false">AA340</f>
        <v>0</v>
      </c>
      <c r="AC336" s="56" t="n">
        <f aca="false">AB340</f>
        <v>0</v>
      </c>
      <c r="AD336" s="56" t="n">
        <f aca="false">AC340</f>
        <v>0</v>
      </c>
      <c r="AE336" s="56" t="n">
        <f aca="false">IF(Projects!$G$14="Yes",AD340+Assumptions!$B$76,AD340)</f>
        <v>0</v>
      </c>
      <c r="AF336" s="56" t="n">
        <f aca="false">AE340</f>
        <v>0</v>
      </c>
      <c r="AG336" s="56" t="n">
        <f aca="false">AF340</f>
        <v>0</v>
      </c>
      <c r="AH336" s="56" t="n">
        <f aca="false">AG340</f>
        <v>0</v>
      </c>
      <c r="AI336" s="56" t="n">
        <f aca="false">AH340</f>
        <v>0</v>
      </c>
      <c r="AJ336" s="56" t="n">
        <f aca="false">AI340</f>
        <v>0</v>
      </c>
      <c r="AK336" s="56" t="n">
        <f aca="false">AJ340</f>
        <v>0</v>
      </c>
      <c r="AL336" s="56" t="n">
        <f aca="false">AK340</f>
        <v>0</v>
      </c>
      <c r="AM336" s="56" t="n">
        <f aca="false">AL340</f>
        <v>0</v>
      </c>
      <c r="AN336" s="56" t="n">
        <f aca="false">AM340</f>
        <v>0</v>
      </c>
      <c r="AO336" s="56" t="n">
        <f aca="false">AN340</f>
        <v>0</v>
      </c>
      <c r="AP336" s="56" t="n">
        <f aca="false">AO340</f>
        <v>0</v>
      </c>
      <c r="AQ336" s="56" t="n">
        <f aca="false">AP340</f>
        <v>0</v>
      </c>
      <c r="AR336" s="56" t="n">
        <f aca="false">AQ340</f>
        <v>0</v>
      </c>
      <c r="AS336" s="56" t="n">
        <f aca="false">AR340</f>
        <v>0</v>
      </c>
      <c r="AT336" s="56" t="n">
        <f aca="false">AS340</f>
        <v>0</v>
      </c>
      <c r="AU336" s="56" t="n">
        <f aca="false">AT340</f>
        <v>0</v>
      </c>
      <c r="AV336" s="56" t="n">
        <f aca="false">AU340</f>
        <v>0</v>
      </c>
      <c r="AW336" s="56" t="n">
        <f aca="false">AV340</f>
        <v>0</v>
      </c>
      <c r="AX336" s="56" t="n">
        <f aca="false">AW340</f>
        <v>0</v>
      </c>
      <c r="AY336" s="56" t="n">
        <f aca="false">AX340</f>
        <v>0</v>
      </c>
      <c r="AZ336" s="56" t="n">
        <f aca="false">AY340</f>
        <v>0</v>
      </c>
      <c r="BA336" s="56" t="n">
        <f aca="false">AZ340</f>
        <v>0</v>
      </c>
      <c r="BB336" s="56" t="n">
        <f aca="false">BA340</f>
        <v>0</v>
      </c>
      <c r="BC336" s="56" t="n">
        <f aca="false">BB340</f>
        <v>0</v>
      </c>
      <c r="BD336" s="56" t="n">
        <f aca="false">BC340</f>
        <v>0</v>
      </c>
      <c r="BE336" s="56" t="n">
        <f aca="false">BD340</f>
        <v>0</v>
      </c>
      <c r="BF336" s="56" t="n">
        <f aca="false">BE340</f>
        <v>0</v>
      </c>
      <c r="BG336" s="56" t="n">
        <f aca="false">BF340</f>
        <v>0</v>
      </c>
      <c r="BH336" s="56" t="n">
        <f aca="false">BG340</f>
        <v>0</v>
      </c>
      <c r="BI336" s="56" t="n">
        <f aca="false">BH340</f>
        <v>0</v>
      </c>
      <c r="BJ336" s="56" t="n">
        <f aca="false">BI340</f>
        <v>0</v>
      </c>
      <c r="BK336" s="56" t="n">
        <f aca="false">BJ340</f>
        <v>0</v>
      </c>
      <c r="BL336" s="56" t="n">
        <f aca="false">BK340</f>
        <v>0</v>
      </c>
      <c r="BM336" s="56" t="n">
        <f aca="false">BL340</f>
        <v>0</v>
      </c>
      <c r="BN336" s="56" t="n">
        <f aca="false">BM340</f>
        <v>0</v>
      </c>
      <c r="BO336" s="56" t="n">
        <f aca="false">BN340</f>
        <v>0</v>
      </c>
      <c r="BP336" s="56" t="n">
        <f aca="false">BO340</f>
        <v>0</v>
      </c>
      <c r="BQ336" s="56" t="n">
        <f aca="false">BP340</f>
        <v>0</v>
      </c>
      <c r="BR336" s="56" t="n">
        <f aca="false">BQ340</f>
        <v>0</v>
      </c>
      <c r="BS336" s="56" t="n">
        <f aca="false">BR340</f>
        <v>0</v>
      </c>
      <c r="BT336" s="56" t="n">
        <f aca="false">BS340</f>
        <v>0</v>
      </c>
      <c r="BU336" s="56" t="n">
        <f aca="false">BT340</f>
        <v>0</v>
      </c>
      <c r="BV336" s="56" t="n">
        <f aca="false">BU340</f>
        <v>0</v>
      </c>
      <c r="BW336" s="56" t="n">
        <f aca="false">BV340</f>
        <v>0</v>
      </c>
      <c r="BX336" s="56" t="n">
        <f aca="false">BW340</f>
        <v>0</v>
      </c>
      <c r="BY336" s="56" t="n">
        <f aca="false">BX340</f>
        <v>0</v>
      </c>
      <c r="BZ336" s="56" t="n">
        <f aca="false">BY340</f>
        <v>0</v>
      </c>
      <c r="CA336" s="56" t="n">
        <f aca="false">BZ340</f>
        <v>0</v>
      </c>
      <c r="CB336" s="56" t="n">
        <f aca="false">CA340</f>
        <v>0</v>
      </c>
      <c r="CC336" s="56" t="n">
        <f aca="false">CB340</f>
        <v>0</v>
      </c>
      <c r="CD336" s="56" t="n">
        <f aca="false">CC340</f>
        <v>0</v>
      </c>
      <c r="CE336" s="56" t="n">
        <f aca="false">CD340</f>
        <v>0</v>
      </c>
      <c r="CF336" s="56" t="n">
        <f aca="false">CE340</f>
        <v>0</v>
      </c>
      <c r="CG336" s="56" t="n">
        <f aca="false">CF340</f>
        <v>0</v>
      </c>
      <c r="CH336" s="56" t="n">
        <f aca="false">CG340</f>
        <v>0</v>
      </c>
      <c r="CI336" s="56" t="n">
        <f aca="false">CH340</f>
        <v>0</v>
      </c>
      <c r="CJ336" s="56" t="n">
        <f aca="false">CI340</f>
        <v>0</v>
      </c>
      <c r="CK336" s="56" t="n">
        <f aca="false">CJ340</f>
        <v>0</v>
      </c>
      <c r="CL336" s="56" t="n">
        <f aca="false">CK340</f>
        <v>0</v>
      </c>
      <c r="CM336" s="56" t="n">
        <f aca="false">CL340</f>
        <v>0</v>
      </c>
      <c r="CN336" s="56" t="n">
        <f aca="false">CM340</f>
        <v>0</v>
      </c>
      <c r="CO336" s="56" t="n">
        <f aca="false">CN340</f>
        <v>0</v>
      </c>
      <c r="CP336" s="56" t="n">
        <f aca="false">CO340</f>
        <v>0</v>
      </c>
      <c r="CQ336" s="56" t="n">
        <f aca="false">CP340</f>
        <v>0</v>
      </c>
      <c r="CR336" s="56" t="n">
        <f aca="false">CQ340</f>
        <v>0</v>
      </c>
      <c r="CS336" s="56" t="n">
        <f aca="false">CR340</f>
        <v>0</v>
      </c>
      <c r="CT336" s="56" t="n">
        <f aca="false">CS340</f>
        <v>0</v>
      </c>
      <c r="CU336" s="56" t="n">
        <f aca="false">CT340</f>
        <v>0</v>
      </c>
      <c r="CV336" s="56" t="n">
        <f aca="false">CU340</f>
        <v>0</v>
      </c>
      <c r="CW336" s="56" t="n">
        <f aca="false">CV340</f>
        <v>0</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0</v>
      </c>
      <c r="H337" s="56" t="n">
        <f aca="false">IF(AND(MOD(4,3)=0,H336&gt;0),H336*Assumptions!$B$59,0)</f>
        <v>0</v>
      </c>
      <c r="I337" s="56" t="n">
        <f aca="false">IF(AND(MOD(5,3)=0,I336&gt;0),I336*Assumptions!$B$59,0)</f>
        <v>0</v>
      </c>
      <c r="J337" s="56" t="n">
        <f aca="false">IF(AND(MOD(6,3)=0,J336&gt;0),J336*Assumptions!$B$59,0)</f>
        <v>0</v>
      </c>
      <c r="K337" s="56" t="n">
        <f aca="false">IF(AND(MOD(7,3)=0,K336&gt;0),K336*Assumptions!$B$59,0)</f>
        <v>0</v>
      </c>
      <c r="L337" s="56" t="n">
        <f aca="false">IF(AND(MOD(8,3)=0,L336&gt;0),L336*Assumptions!$B$59,0)</f>
        <v>0</v>
      </c>
      <c r="M337" s="56" t="n">
        <f aca="false">IF(AND(MOD(9,3)=0,M336&gt;0),M336*Assumptions!$B$59,0)</f>
        <v>0</v>
      </c>
      <c r="N337" s="56" t="n">
        <f aca="false">IF(AND(MOD(10,3)=0,N336&gt;0),N336*Assumptions!$B$59,0)</f>
        <v>0</v>
      </c>
      <c r="O337" s="56" t="n">
        <f aca="false">IF(AND(MOD(11,3)=0,O336&gt;0),O336*Assumptions!$B$59,0)</f>
        <v>0</v>
      </c>
      <c r="P337" s="56" t="n">
        <f aca="false">IF(AND(MOD(12,3)=0,P336&gt;0),P336*Assumptions!$B$59,0)</f>
        <v>0</v>
      </c>
      <c r="Q337" s="56" t="n">
        <f aca="false">IF(AND(MOD(13,3)=0,Q336&gt;0),Q336*Assumptions!$B$59,0)</f>
        <v>0</v>
      </c>
      <c r="R337" s="56" t="n">
        <f aca="false">IF(AND(MOD(14,3)=0,R336&gt;0),R336*Assumptions!$B$59,0)</f>
        <v>0</v>
      </c>
      <c r="S337" s="56" t="n">
        <f aca="false">IF(AND(MOD(15,3)=0,S336&gt;0),S336*Assumptions!$B$59,0)</f>
        <v>0</v>
      </c>
      <c r="T337" s="56" t="n">
        <f aca="false">IF(AND(MOD(16,3)=0,T336&gt;0),T336*Assumptions!$B$59,0)</f>
        <v>0</v>
      </c>
      <c r="U337" s="56" t="n">
        <f aca="false">IF(AND(MOD(17,3)=0,U336&gt;0),U336*Assumptions!$B$59,0)</f>
        <v>0</v>
      </c>
      <c r="V337" s="56" t="n">
        <f aca="false">IF(AND(MOD(18,3)=0,V336&gt;0),V336*Assumptions!$B$59,0)</f>
        <v>0</v>
      </c>
      <c r="W337" s="56" t="n">
        <f aca="false">IF(AND(MOD(19,3)=0,W336&gt;0),W336*Assumptions!$B$59,0)</f>
        <v>0</v>
      </c>
      <c r="X337" s="56" t="n">
        <f aca="false">IF(AND(MOD(20,3)=0,X336&gt;0),X336*Assumptions!$B$59,0)</f>
        <v>0</v>
      </c>
      <c r="Y337" s="56" t="n">
        <f aca="false">IF(AND(MOD(21,3)=0,Y336&gt;0),Y336*Assumptions!$B$59,0)</f>
        <v>0</v>
      </c>
      <c r="Z337" s="56" t="n">
        <f aca="false">IF(AND(MOD(22,3)=0,Z336&gt;0),Z336*Assumptions!$B$59,0)</f>
        <v>0</v>
      </c>
      <c r="AA337" s="56" t="n">
        <f aca="false">IF(AND(MOD(23,3)=0,AA336&gt;0),AA336*Assumptions!$B$59,0)</f>
        <v>0</v>
      </c>
      <c r="AB337" s="56" t="n">
        <f aca="false">IF(AND(MOD(24,3)=0,AB336&gt;0),AB336*Assumptions!$B$59,0)</f>
        <v>0</v>
      </c>
      <c r="AC337" s="56" t="n">
        <f aca="false">IF(AND(MOD(25,3)=0,AC336&gt;0),AC336*Assumptions!$B$59,0)</f>
        <v>0</v>
      </c>
      <c r="AD337" s="56" t="n">
        <f aca="false">IF(AND(MOD(26,3)=0,AD336&gt;0),AD336*Assumptions!$B$59,0)</f>
        <v>0</v>
      </c>
      <c r="AE337" s="56" t="n">
        <f aca="false">IF(AND(MOD(27,3)=0,AE336&gt;0),AE336*Assumptions!$B$59,0)</f>
        <v>0</v>
      </c>
      <c r="AF337" s="56" t="n">
        <f aca="false">IF(AND(MOD(28,3)=0,AF336&gt;0),AF336*Assumptions!$B$59,0)</f>
        <v>0</v>
      </c>
      <c r="AG337" s="56" t="n">
        <f aca="false">IF(AND(MOD(29,3)=0,AG336&gt;0),AG336*Assumptions!$B$59,0)</f>
        <v>0</v>
      </c>
      <c r="AH337" s="56" t="n">
        <f aca="false">IF(AND(MOD(30,3)=0,AH336&gt;0),AH336*Assumptions!$B$59,0)</f>
        <v>0</v>
      </c>
      <c r="AI337" s="56" t="n">
        <f aca="false">IF(AND(MOD(31,3)=0,AI336&gt;0),AI336*Assumptions!$B$59,0)</f>
        <v>0</v>
      </c>
      <c r="AJ337" s="56" t="n">
        <f aca="false">IF(AND(MOD(32,3)=0,AJ336&gt;0),AJ336*Assumptions!$B$59,0)</f>
        <v>0</v>
      </c>
      <c r="AK337" s="56" t="n">
        <f aca="false">IF(AND(MOD(33,3)=0,AK336&gt;0),AK336*Assumptions!$B$59,0)</f>
        <v>0</v>
      </c>
      <c r="AL337" s="56" t="n">
        <f aca="false">IF(AND(MOD(34,3)=0,AL336&gt;0),AL336*Assumptions!$B$59,0)</f>
        <v>0</v>
      </c>
      <c r="AM337" s="56" t="n">
        <f aca="false">IF(AND(MOD(35,3)=0,AM336&gt;0),AM336*Assumptions!$B$59,0)</f>
        <v>0</v>
      </c>
      <c r="AN337" s="56" t="n">
        <f aca="false">IF(AND(MOD(36,3)=0,AN336&gt;0),AN336*Assumptions!$B$59,0)</f>
        <v>0</v>
      </c>
      <c r="AO337" s="56" t="n">
        <f aca="false">IF(AND(MOD(37,3)=0,AO336&gt;0),AO336*Assumptions!$B$59,0)</f>
        <v>0</v>
      </c>
      <c r="AP337" s="56" t="n">
        <f aca="false">IF(AND(MOD(38,3)=0,AP336&gt;0),AP336*Assumptions!$B$59,0)</f>
        <v>0</v>
      </c>
      <c r="AQ337" s="56" t="n">
        <f aca="false">IF(AND(MOD(39,3)=0,AQ336&gt;0),AQ336*Assumptions!$B$59,0)</f>
        <v>0</v>
      </c>
      <c r="AR337" s="56" t="n">
        <f aca="false">IF(AND(MOD(40,3)=0,AR336&gt;0),AR336*Assumptions!$B$59,0)</f>
        <v>0</v>
      </c>
      <c r="AS337" s="56" t="n">
        <f aca="false">IF(AND(MOD(41,3)=0,AS336&gt;0),AS336*Assumptions!$B$59,0)</f>
        <v>0</v>
      </c>
      <c r="AT337" s="56" t="n">
        <f aca="false">IF(AND(MOD(42,3)=0,AT336&gt;0),AT336*Assumptions!$B$59,0)</f>
        <v>0</v>
      </c>
      <c r="AU337" s="56" t="n">
        <f aca="false">IF(AND(MOD(43,3)=0,AU336&gt;0),AU336*Assumptions!$B$59,0)</f>
        <v>0</v>
      </c>
      <c r="AV337" s="56" t="n">
        <f aca="false">IF(AND(MOD(44,3)=0,AV336&gt;0),AV336*Assumptions!$B$59,0)</f>
        <v>0</v>
      </c>
      <c r="AW337" s="56" t="n">
        <f aca="false">IF(AND(MOD(45,3)=0,AW336&gt;0),AW336*Assumptions!$B$59,0)</f>
        <v>0</v>
      </c>
      <c r="AX337" s="56" t="n">
        <f aca="false">IF(AND(MOD(46,3)=0,AX336&gt;0),AX336*Assumptions!$B$59,0)</f>
        <v>0</v>
      </c>
      <c r="AY337" s="56" t="n">
        <f aca="false">IF(AND(MOD(47,3)=0,AY336&gt;0),AY336*Assumptions!$B$59,0)</f>
        <v>0</v>
      </c>
      <c r="AZ337" s="56" t="n">
        <f aca="false">IF(AND(MOD(48,3)=0,AZ336&gt;0),AZ336*Assumptions!$B$59,0)</f>
        <v>0</v>
      </c>
      <c r="BA337" s="56" t="n">
        <f aca="false">IF(AND(MOD(49,3)=0,BA336&gt;0),BA336*Assumptions!$B$59,0)</f>
        <v>0</v>
      </c>
      <c r="BB337" s="56" t="n">
        <f aca="false">IF(AND(MOD(50,3)=0,BB336&gt;0),BB336*Assumptions!$B$59,0)</f>
        <v>0</v>
      </c>
      <c r="BC337" s="56" t="n">
        <f aca="false">IF(AND(MOD(51,3)=0,BC336&gt;0),BC336*Assumptions!$B$59,0)</f>
        <v>0</v>
      </c>
      <c r="BD337" s="56" t="n">
        <f aca="false">IF(AND(MOD(52,3)=0,BD336&gt;0),BD336*Assumptions!$B$59,0)</f>
        <v>0</v>
      </c>
      <c r="BE337" s="56" t="n">
        <f aca="false">IF(AND(MOD(53,3)=0,BE336&gt;0),BE336*Assumptions!$B$59,0)</f>
        <v>0</v>
      </c>
      <c r="BF337" s="56" t="n">
        <f aca="false">IF(AND(MOD(54,3)=0,BF336&gt;0),BF336*Assumptions!$B$59,0)</f>
        <v>0</v>
      </c>
      <c r="BG337" s="56" t="n">
        <f aca="false">IF(AND(MOD(55,3)=0,BG336&gt;0),BG336*Assumptions!$B$59,0)</f>
        <v>0</v>
      </c>
      <c r="BH337" s="56" t="n">
        <f aca="false">IF(AND(MOD(56,3)=0,BH336&gt;0),BH336*Assumptions!$B$59,0)</f>
        <v>0</v>
      </c>
      <c r="BI337" s="56" t="n">
        <f aca="false">IF(AND(MOD(57,3)=0,BI336&gt;0),BI336*Assumptions!$B$59,0)</f>
        <v>0</v>
      </c>
      <c r="BJ337" s="56" t="n">
        <f aca="false">IF(AND(MOD(58,3)=0,BJ336&gt;0),BJ336*Assumptions!$B$59,0)</f>
        <v>0</v>
      </c>
      <c r="BK337" s="56" t="n">
        <f aca="false">IF(AND(MOD(59,3)=0,BK336&gt;0),BK336*Assumptions!$B$59,0)</f>
        <v>0</v>
      </c>
      <c r="BL337" s="56" t="n">
        <f aca="false">IF(AND(MOD(60,3)=0,BL336&gt;0),BL336*Assumptions!$B$59,0)</f>
        <v>0</v>
      </c>
      <c r="BM337" s="56" t="n">
        <f aca="false">IF(AND(MOD(61,3)=0,BM336&gt;0),BM336*Assumptions!$B$59,0)</f>
        <v>0</v>
      </c>
      <c r="BN337" s="56" t="n">
        <f aca="false">IF(AND(MOD(62,3)=0,BN336&gt;0),BN336*Assumptions!$B$59,0)</f>
        <v>0</v>
      </c>
      <c r="BO337" s="56" t="n">
        <f aca="false">IF(AND(MOD(63,3)=0,BO336&gt;0),BO336*Assumptions!$B$59,0)</f>
        <v>0</v>
      </c>
      <c r="BP337" s="56" t="n">
        <f aca="false">IF(AND(MOD(64,3)=0,BP336&gt;0),BP336*Assumptions!$B$59,0)</f>
        <v>0</v>
      </c>
      <c r="BQ337" s="56" t="n">
        <f aca="false">IF(AND(MOD(65,3)=0,BQ336&gt;0),BQ336*Assumptions!$B$59,0)</f>
        <v>0</v>
      </c>
      <c r="BR337" s="56" t="n">
        <f aca="false">IF(AND(MOD(66,3)=0,BR336&gt;0),BR336*Assumptions!$B$59,0)</f>
        <v>0</v>
      </c>
      <c r="BS337" s="56" t="n">
        <f aca="false">IF(AND(MOD(67,3)=0,BS336&gt;0),BS336*Assumptions!$B$59,0)</f>
        <v>0</v>
      </c>
      <c r="BT337" s="56" t="n">
        <f aca="false">IF(AND(MOD(68,3)=0,BT336&gt;0),BT336*Assumptions!$B$59,0)</f>
        <v>0</v>
      </c>
      <c r="BU337" s="56" t="n">
        <f aca="false">IF(AND(MOD(69,3)=0,BU336&gt;0),BU336*Assumptions!$B$59,0)</f>
        <v>0</v>
      </c>
      <c r="BV337" s="56" t="n">
        <f aca="false">IF(AND(MOD(70,3)=0,BV336&gt;0),BV336*Assumptions!$B$59,0)</f>
        <v>0</v>
      </c>
      <c r="BW337" s="56" t="n">
        <f aca="false">IF(AND(MOD(71,3)=0,BW336&gt;0),BW336*Assumptions!$B$59,0)</f>
        <v>0</v>
      </c>
      <c r="BX337" s="56" t="n">
        <f aca="false">IF(AND(MOD(72,3)=0,BX336&gt;0),BX336*Assumptions!$B$59,0)</f>
        <v>0</v>
      </c>
      <c r="BY337" s="56" t="n">
        <f aca="false">IF(AND(MOD(73,3)=0,BY336&gt;0),BY336*Assumptions!$B$59,0)</f>
        <v>0</v>
      </c>
      <c r="BZ337" s="56" t="n">
        <f aca="false">IF(AND(MOD(74,3)=0,BZ336&gt;0),BZ336*Assumptions!$B$59,0)</f>
        <v>0</v>
      </c>
      <c r="CA337" s="56" t="n">
        <f aca="false">IF(AND(MOD(75,3)=0,CA336&gt;0),CA336*Assumptions!$B$59,0)</f>
        <v>0</v>
      </c>
      <c r="CB337" s="56" t="n">
        <f aca="false">IF(AND(MOD(76,3)=0,CB336&gt;0),CB336*Assumptions!$B$59,0)</f>
        <v>0</v>
      </c>
      <c r="CC337" s="56" t="n">
        <f aca="false">IF(AND(MOD(77,3)=0,CC336&gt;0),CC336*Assumptions!$B$59,0)</f>
        <v>0</v>
      </c>
      <c r="CD337" s="56" t="n">
        <f aca="false">IF(AND(MOD(78,3)=0,CD336&gt;0),CD336*Assumptions!$B$59,0)</f>
        <v>0</v>
      </c>
      <c r="CE337" s="56" t="n">
        <f aca="false">IF(AND(MOD(79,3)=0,CE336&gt;0),CE336*Assumptions!$B$59,0)</f>
        <v>0</v>
      </c>
      <c r="CF337" s="56" t="n">
        <f aca="false">IF(AND(MOD(80,3)=0,CF336&gt;0),CF336*Assumptions!$B$59,0)</f>
        <v>0</v>
      </c>
      <c r="CG337" s="56" t="n">
        <f aca="false">IF(AND(MOD(81,3)=0,CG336&gt;0),CG336*Assumptions!$B$59,0)</f>
        <v>0</v>
      </c>
      <c r="CH337" s="56" t="n">
        <f aca="false">IF(AND(MOD(82,3)=0,CH336&gt;0),CH336*Assumptions!$B$59,0)</f>
        <v>0</v>
      </c>
      <c r="CI337" s="56" t="n">
        <f aca="false">IF(AND(MOD(83,3)=0,CI336&gt;0),CI336*Assumptions!$B$59,0)</f>
        <v>0</v>
      </c>
      <c r="CJ337" s="56" t="n">
        <f aca="false">IF(AND(MOD(84,3)=0,CJ336&gt;0),CJ336*Assumptions!$B$59,0)</f>
        <v>0</v>
      </c>
      <c r="CK337" s="56" t="n">
        <f aca="false">IF(AND(MOD(85,3)=0,CK336&gt;0),CK336*Assumptions!$B$59,0)</f>
        <v>0</v>
      </c>
      <c r="CL337" s="56" t="n">
        <f aca="false">IF(AND(MOD(86,3)=0,CL336&gt;0),CL336*Assumptions!$B$59,0)</f>
        <v>0</v>
      </c>
      <c r="CM337" s="56" t="n">
        <f aca="false">IF(AND(MOD(87,3)=0,CM336&gt;0),CM336*Assumptions!$B$59,0)</f>
        <v>0</v>
      </c>
      <c r="CN337" s="56" t="n">
        <f aca="false">IF(AND(MOD(88,3)=0,CN336&gt;0),CN336*Assumptions!$B$59,0)</f>
        <v>0</v>
      </c>
      <c r="CO337" s="56" t="n">
        <f aca="false">IF(AND(MOD(89,3)=0,CO336&gt;0),CO336*Assumptions!$B$59,0)</f>
        <v>0</v>
      </c>
      <c r="CP337" s="56" t="n">
        <f aca="false">IF(AND(MOD(90,3)=0,CP336&gt;0),CP336*Assumptions!$B$59,0)</f>
        <v>0</v>
      </c>
      <c r="CQ337" s="56" t="n">
        <f aca="false">IF(AND(MOD(91,3)=0,CQ336&gt;0),CQ336*Assumptions!$B$59,0)</f>
        <v>0</v>
      </c>
      <c r="CR337" s="56" t="n">
        <f aca="false">IF(AND(MOD(92,3)=0,CR336&gt;0),CR336*Assumptions!$B$59,0)</f>
        <v>0</v>
      </c>
      <c r="CS337" s="56" t="n">
        <f aca="false">IF(AND(MOD(93,3)=0,CS336&gt;0),CS336*Assumptions!$B$59,0)</f>
        <v>0</v>
      </c>
      <c r="CT337" s="56" t="n">
        <f aca="false">IF(AND(MOD(94,3)=0,CT336&gt;0),CT336*Assumptions!$B$59,0)</f>
        <v>0</v>
      </c>
      <c r="CU337" s="56" t="n">
        <f aca="false">IF(AND(MOD(95,3)=0,CU336&gt;0),CU336*Assumptions!$B$59,0)</f>
        <v>0</v>
      </c>
      <c r="CV337" s="56" t="n">
        <f aca="false">IF(AND(MOD(96,3)=0,CV336&gt;0),CV336*Assumptions!$B$59,0)</f>
        <v>0</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-0</v>
      </c>
      <c r="CO339" s="58" t="n">
        <f aca="false">-MIN(CO336+CO337+CO338,MAX(0,CO256-Helpers!CM26))</f>
        <v>-0</v>
      </c>
      <c r="CP339" s="58" t="n">
        <f aca="false">-MIN(CP336+CP337+CP338,MAX(0,CP256-Helpers!CN26))</f>
        <v>-0</v>
      </c>
      <c r="CQ339" s="58" t="n">
        <f aca="false">-MIN(CQ336+CQ337+CQ338,MAX(0,CQ256-Helpers!CO26))</f>
        <v>-0</v>
      </c>
      <c r="CR339" s="58" t="n">
        <f aca="false">-MIN(CR336+CR337+CR338,MAX(0,CR256-Helpers!CP26))</f>
        <v>-0</v>
      </c>
      <c r="CS339" s="58" t="n">
        <f aca="false">-MIN(CS336+CS337+CS338,MAX(0,CS256-Helpers!CQ26))</f>
        <v>-0</v>
      </c>
      <c r="CT339" s="58" t="n">
        <f aca="false">-MIN(CT336+CT337+CT338,MAX(0,CT256-Helpers!CR26))</f>
        <v>-0</v>
      </c>
      <c r="CU339" s="58" t="n">
        <f aca="false">-MIN(CU336+CU337+CU338,MAX(0,CU256-Helpers!CS26))</f>
        <v>-0</v>
      </c>
      <c r="CV339" s="58" t="n">
        <f aca="false">-MIN(CV336+CV337+CV338,MAX(0,CV256-Helpers!CT26))</f>
        <v>-0</v>
      </c>
      <c r="CW339" s="58" t="n">
        <f aca="false">-MIN(CW336+CW337+CW338,MAX(0,CW256-Helpers!CU26))</f>
        <v>-0</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0</v>
      </c>
      <c r="F340" s="54" t="n">
        <f aca="false">MAX(0,F336+F337+F338+F339)</f>
        <v>0</v>
      </c>
      <c r="G340" s="54" t="n">
        <f aca="false">MAX(0,G336+G337+G338+G339)</f>
        <v>0</v>
      </c>
      <c r="H340" s="54" t="n">
        <f aca="false">MAX(0,H336+H337+H338+H339)</f>
        <v>0</v>
      </c>
      <c r="I340" s="54" t="n">
        <f aca="false">MAX(0,I336+I337+I338+I339)</f>
        <v>0</v>
      </c>
      <c r="J340" s="54" t="n">
        <f aca="false">MAX(0,J336+J337+J338+J339)</f>
        <v>0</v>
      </c>
      <c r="K340" s="54" t="n">
        <f aca="false">MAX(0,K336+K337+K338+K339)</f>
        <v>0</v>
      </c>
      <c r="L340" s="54" t="n">
        <f aca="false">MAX(0,L336+L337+L338+L339)</f>
        <v>0</v>
      </c>
      <c r="M340" s="54" t="n">
        <f aca="false">MAX(0,M336+M337+M338+M339)</f>
        <v>0</v>
      </c>
      <c r="N340" s="54" t="n">
        <f aca="false">MAX(0,N336+N337+N338+N339)</f>
        <v>0</v>
      </c>
      <c r="O340" s="54" t="n">
        <f aca="false">MAX(0,O336+O337+O338+O339)</f>
        <v>0</v>
      </c>
      <c r="P340" s="54" t="n">
        <f aca="false">MAX(0,P336+P337+P338+P339)</f>
        <v>0</v>
      </c>
      <c r="Q340" s="54" t="n">
        <f aca="false">MAX(0,Q336+Q337+Q338+Q339)</f>
        <v>0</v>
      </c>
      <c r="R340" s="54" t="n">
        <f aca="false">MAX(0,R336+R337+R338+R339)</f>
        <v>0</v>
      </c>
      <c r="S340" s="54" t="n">
        <f aca="false">MAX(0,S336+S337+S338+S339)</f>
        <v>0</v>
      </c>
      <c r="T340" s="54" t="n">
        <f aca="false">MAX(0,T336+T337+T338+T339)</f>
        <v>0</v>
      </c>
      <c r="U340" s="54" t="n">
        <f aca="false">MAX(0,U336+U337+U338+U339)</f>
        <v>0</v>
      </c>
      <c r="V340" s="54" t="n">
        <f aca="false">MAX(0,V336+V337+V338+V339)</f>
        <v>0</v>
      </c>
      <c r="W340" s="54" t="n">
        <f aca="false">MAX(0,W336+W337+W338+W339)</f>
        <v>0</v>
      </c>
      <c r="X340" s="54" t="n">
        <f aca="false">MAX(0,X336+X337+X338+X339)</f>
        <v>0</v>
      </c>
      <c r="Y340" s="54" t="n">
        <f aca="false">MAX(0,Y336+Y337+Y338+Y339)</f>
        <v>0</v>
      </c>
      <c r="Z340" s="54" t="n">
        <f aca="false">MAX(0,Z336+Z337+Z338+Z339)</f>
        <v>0</v>
      </c>
      <c r="AA340" s="54" t="n">
        <f aca="false">MAX(0,AA336+AA337+AA338+AA339)</f>
        <v>0</v>
      </c>
      <c r="AB340" s="54" t="n">
        <f aca="false">MAX(0,AB336+AB337+AB338+AB339)</f>
        <v>0</v>
      </c>
      <c r="AC340" s="54" t="n">
        <f aca="false">MAX(0,AC336+AC337+AC338+AC339)</f>
        <v>0</v>
      </c>
      <c r="AD340" s="54" t="n">
        <f aca="false">MAX(0,AD336+AD337+AD338+AD339)</f>
        <v>0</v>
      </c>
      <c r="AE340" s="54" t="n">
        <f aca="false">MAX(0,AE336+AE337+AE338+AE339)</f>
        <v>0</v>
      </c>
      <c r="AF340" s="54" t="n">
        <f aca="false">MAX(0,AF336+AF337+AF338+AF339)</f>
        <v>0</v>
      </c>
      <c r="AG340" s="54" t="n">
        <f aca="false">MAX(0,AG336+AG337+AG338+AG339)</f>
        <v>0</v>
      </c>
      <c r="AH340" s="54" t="n">
        <f aca="false">MAX(0,AH336+AH337+AH338+AH339)</f>
        <v>0</v>
      </c>
      <c r="AI340" s="54" t="n">
        <f aca="false">MAX(0,AI336+AI337+AI338+AI339)</f>
        <v>0</v>
      </c>
      <c r="AJ340" s="54" t="n">
        <f aca="false">MAX(0,AJ336+AJ337+AJ338+AJ339)</f>
        <v>0</v>
      </c>
      <c r="AK340" s="54" t="n">
        <f aca="false">MAX(0,AK336+AK337+AK338+AK339)</f>
        <v>0</v>
      </c>
      <c r="AL340" s="54" t="n">
        <f aca="false">MAX(0,AL336+AL337+AL338+AL339)</f>
        <v>0</v>
      </c>
      <c r="AM340" s="54" t="n">
        <f aca="false">MAX(0,AM336+AM337+AM338+AM339)</f>
        <v>0</v>
      </c>
      <c r="AN340" s="54" t="n">
        <f aca="false">MAX(0,AN336+AN337+AN338+AN339)</f>
        <v>0</v>
      </c>
      <c r="AO340" s="54" t="n">
        <f aca="false">MAX(0,AO336+AO337+AO338+AO339)</f>
        <v>0</v>
      </c>
      <c r="AP340" s="54" t="n">
        <f aca="false">MAX(0,AP336+AP337+AP338+AP339)</f>
        <v>0</v>
      </c>
      <c r="AQ340" s="54" t="n">
        <f aca="false">MAX(0,AQ336+AQ337+AQ338+AQ339)</f>
        <v>0</v>
      </c>
      <c r="AR340" s="54" t="n">
        <f aca="false">MAX(0,AR336+AR337+AR338+AR339)</f>
        <v>0</v>
      </c>
      <c r="AS340" s="54" t="n">
        <f aca="false">MAX(0,AS336+AS337+AS338+AS339)</f>
        <v>0</v>
      </c>
      <c r="AT340" s="54" t="n">
        <f aca="false">MAX(0,AT336+AT337+AT338+AT339)</f>
        <v>0</v>
      </c>
      <c r="AU340" s="54" t="n">
        <f aca="false">MAX(0,AU336+AU337+AU338+AU339)</f>
        <v>0</v>
      </c>
      <c r="AV340" s="54" t="n">
        <f aca="false">MAX(0,AV336+AV337+AV338+AV339)</f>
        <v>0</v>
      </c>
      <c r="AW340" s="54" t="n">
        <f aca="false">MAX(0,AW336+AW337+AW338+AW339)</f>
        <v>0</v>
      </c>
      <c r="AX340" s="54" t="n">
        <f aca="false">MAX(0,AX336+AX337+AX338+AX339)</f>
        <v>0</v>
      </c>
      <c r="AY340" s="54" t="n">
        <f aca="false">MAX(0,AY336+AY337+AY338+AY339)</f>
        <v>0</v>
      </c>
      <c r="AZ340" s="54" t="n">
        <f aca="false">MAX(0,AZ336+AZ337+AZ338+AZ339)</f>
        <v>0</v>
      </c>
      <c r="BA340" s="54" t="n">
        <f aca="false">MAX(0,BA336+BA337+BA338+BA339)</f>
        <v>0</v>
      </c>
      <c r="BB340" s="54" t="n">
        <f aca="false">MAX(0,BB336+BB337+BB338+BB339)</f>
        <v>0</v>
      </c>
      <c r="BC340" s="54" t="n">
        <f aca="false">MAX(0,BC336+BC337+BC338+BC339)</f>
        <v>0</v>
      </c>
      <c r="BD340" s="54" t="n">
        <f aca="false">MAX(0,BD336+BD337+BD338+BD339)</f>
        <v>0</v>
      </c>
      <c r="BE340" s="54" t="n">
        <f aca="false">MAX(0,BE336+BE337+BE338+BE339)</f>
        <v>0</v>
      </c>
      <c r="BF340" s="54" t="n">
        <f aca="false">MAX(0,BF336+BF337+BF338+BF339)</f>
        <v>0</v>
      </c>
      <c r="BG340" s="54" t="n">
        <f aca="false">MAX(0,BG336+BG337+BG338+BG339)</f>
        <v>0</v>
      </c>
      <c r="BH340" s="54" t="n">
        <f aca="false">MAX(0,BH336+BH337+BH338+BH339)</f>
        <v>0</v>
      </c>
      <c r="BI340" s="54" t="n">
        <f aca="false">MAX(0,BI336+BI337+BI338+BI339)</f>
        <v>0</v>
      </c>
      <c r="BJ340" s="54" t="n">
        <f aca="false">MAX(0,BJ336+BJ337+BJ338+BJ339)</f>
        <v>0</v>
      </c>
      <c r="BK340" s="54" t="n">
        <f aca="false">MAX(0,BK336+BK337+BK338+BK339)</f>
        <v>0</v>
      </c>
      <c r="BL340" s="54" t="n">
        <f aca="false">MAX(0,BL336+BL337+BL338+BL339)</f>
        <v>0</v>
      </c>
      <c r="BM340" s="54" t="n">
        <f aca="false">MAX(0,BM336+BM337+BM338+BM339)</f>
        <v>0</v>
      </c>
      <c r="BN340" s="54" t="n">
        <f aca="false">MAX(0,BN336+BN337+BN338+BN339)</f>
        <v>0</v>
      </c>
      <c r="BO340" s="54" t="n">
        <f aca="false">MAX(0,BO336+BO337+BO338+BO339)</f>
        <v>0</v>
      </c>
      <c r="BP340" s="54" t="n">
        <f aca="false">MAX(0,BP336+BP337+BP338+BP339)</f>
        <v>0</v>
      </c>
      <c r="BQ340" s="54" t="n">
        <f aca="false">MAX(0,BQ336+BQ337+BQ338+BQ339)</f>
        <v>0</v>
      </c>
      <c r="BR340" s="54" t="n">
        <f aca="false">MAX(0,BR336+BR337+BR338+BR339)</f>
        <v>0</v>
      </c>
      <c r="BS340" s="54" t="n">
        <f aca="false">MAX(0,BS336+BS337+BS338+BS339)</f>
        <v>0</v>
      </c>
      <c r="BT340" s="54" t="n">
        <f aca="false">MAX(0,BT336+BT337+BT338+BT339)</f>
        <v>0</v>
      </c>
      <c r="BU340" s="54" t="n">
        <f aca="false">MAX(0,BU336+BU337+BU338+BU339)</f>
        <v>0</v>
      </c>
      <c r="BV340" s="54" t="n">
        <f aca="false">MAX(0,BV336+BV337+BV338+BV339)</f>
        <v>0</v>
      </c>
      <c r="BW340" s="54" t="n">
        <f aca="false">MAX(0,BW336+BW337+BW338+BW339)</f>
        <v>0</v>
      </c>
      <c r="BX340" s="54" t="n">
        <f aca="false">MAX(0,BX336+BX337+BX338+BX339)</f>
        <v>0</v>
      </c>
      <c r="BY340" s="54" t="n">
        <f aca="false">MAX(0,BY336+BY337+BY338+BY339)</f>
        <v>0</v>
      </c>
      <c r="BZ340" s="54" t="n">
        <f aca="false">MAX(0,BZ336+BZ337+BZ338+BZ339)</f>
        <v>0</v>
      </c>
      <c r="CA340" s="54" t="n">
        <f aca="false">MAX(0,CA336+CA337+CA338+CA339)</f>
        <v>0</v>
      </c>
      <c r="CB340" s="54" t="n">
        <f aca="false">MAX(0,CB336+CB337+CB338+CB339)</f>
        <v>0</v>
      </c>
      <c r="CC340" s="54" t="n">
        <f aca="false">MAX(0,CC336+CC337+CC338+CC339)</f>
        <v>0</v>
      </c>
      <c r="CD340" s="54" t="n">
        <f aca="false">MAX(0,CD336+CD337+CD338+CD339)</f>
        <v>0</v>
      </c>
      <c r="CE340" s="54" t="n">
        <f aca="false">MAX(0,CE336+CE337+CE338+CE339)</f>
        <v>0</v>
      </c>
      <c r="CF340" s="54" t="n">
        <f aca="false">MAX(0,CF336+CF337+CF338+CF339)</f>
        <v>0</v>
      </c>
      <c r="CG340" s="54" t="n">
        <f aca="false">MAX(0,CG336+CG337+CG338+CG339)</f>
        <v>0</v>
      </c>
      <c r="CH340" s="54" t="n">
        <f aca="false">MAX(0,CH336+CH337+CH338+CH339)</f>
        <v>0</v>
      </c>
      <c r="CI340" s="54" t="n">
        <f aca="false">MAX(0,CI336+CI337+CI338+CI339)</f>
        <v>0</v>
      </c>
      <c r="CJ340" s="54" t="n">
        <f aca="false">MAX(0,CJ336+CJ337+CJ338+CJ339)</f>
        <v>0</v>
      </c>
      <c r="CK340" s="54" t="n">
        <f aca="false">MAX(0,CK336+CK337+CK338+CK339)</f>
        <v>0</v>
      </c>
      <c r="CL340" s="54" t="n">
        <f aca="false">MAX(0,CL336+CL337+CL338+CL339)</f>
        <v>0</v>
      </c>
      <c r="CM340" s="54" t="n">
        <f aca="false">MAX(0,CM336+CM337+CM338+CM339)</f>
        <v>0</v>
      </c>
      <c r="CN340" s="54" t="n">
        <f aca="false">MAX(0,CN336+CN337+CN338+CN339)</f>
        <v>0</v>
      </c>
      <c r="CO340" s="54" t="n">
        <f aca="false">MAX(0,CO336+CO337+CO338+CO339)</f>
        <v>0</v>
      </c>
      <c r="CP340" s="54" t="n">
        <f aca="false">MAX(0,CP336+CP337+CP338+CP339)</f>
        <v>0</v>
      </c>
      <c r="CQ340" s="54" t="n">
        <f aca="false">MAX(0,CQ336+CQ337+CQ338+CQ339)</f>
        <v>0</v>
      </c>
      <c r="CR340" s="54" t="n">
        <f aca="false">MAX(0,CR336+CR337+CR338+CR339)</f>
        <v>0</v>
      </c>
      <c r="CS340" s="54" t="n">
        <f aca="false">MAX(0,CS336+CS337+CS338+CS339)</f>
        <v>0</v>
      </c>
      <c r="CT340" s="54" t="n">
        <f aca="false">MAX(0,CT336+CT337+CT338+CT339)</f>
        <v>0</v>
      </c>
      <c r="CU340" s="54" t="n">
        <f aca="false">MAX(0,CU336+CU337+CU338+CU339)</f>
        <v>0</v>
      </c>
      <c r="CV340" s="54" t="n">
        <f aca="false">MAX(0,CV336+CV337+CV338+CV339)</f>
        <v>0</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0</v>
      </c>
      <c r="AF355" s="13" t="n">
        <f aca="false">Helpers!AD15</f>
        <v>0</v>
      </c>
      <c r="AG355" s="13" t="n">
        <f aca="false">Helpers!AE15</f>
        <v>0</v>
      </c>
      <c r="AH355" s="13" t="n">
        <f aca="false">Helpers!AF15</f>
        <v>0</v>
      </c>
      <c r="AI355" s="13" t="n">
        <f aca="false">Helpers!AG15</f>
        <v>0</v>
      </c>
      <c r="AJ355" s="13" t="n">
        <f aca="false">Helpers!AH15</f>
        <v>0</v>
      </c>
      <c r="AK355" s="13" t="n">
        <f aca="false">Helpers!AI15</f>
        <v>0</v>
      </c>
      <c r="AL355" s="13" t="n">
        <f aca="false">Helpers!AJ15</f>
        <v>0</v>
      </c>
      <c r="AM355" s="13" t="n">
        <f aca="false">Helpers!AK15</f>
        <v>0</v>
      </c>
      <c r="AN355" s="13" t="n">
        <f aca="false">Helpers!AL15</f>
        <v>0</v>
      </c>
      <c r="AO355" s="13" t="n">
        <f aca="false">Helpers!AM15</f>
        <v>0</v>
      </c>
      <c r="AP355" s="13" t="n">
        <f aca="false">Helpers!AN15</f>
        <v>0</v>
      </c>
      <c r="AQ355" s="13" t="n">
        <f aca="false">Helpers!AO15</f>
        <v>0</v>
      </c>
      <c r="AR355" s="13" t="n">
        <f aca="false">Helpers!AP15</f>
        <v>0</v>
      </c>
      <c r="AS355" s="13" t="n">
        <f aca="false">Helpers!AQ15</f>
        <v>0</v>
      </c>
      <c r="AT355" s="13" t="n">
        <f aca="false">Helpers!AR15</f>
        <v>0</v>
      </c>
      <c r="AU355" s="13" t="n">
        <f aca="false">Helpers!AS15</f>
        <v>0</v>
      </c>
      <c r="AV355" s="13" t="n">
        <f aca="false">Helpers!AT15</f>
        <v>0</v>
      </c>
      <c r="AW355" s="13" t="n">
        <f aca="false">Helpers!AU15</f>
        <v>0</v>
      </c>
      <c r="AX355" s="13" t="n">
        <f aca="false">Helpers!AV15</f>
        <v>0</v>
      </c>
      <c r="AY355" s="13" t="n">
        <f aca="false">Helpers!AW15</f>
        <v>0</v>
      </c>
      <c r="AZ355" s="13" t="n">
        <f aca="false">Helpers!AX15</f>
        <v>0</v>
      </c>
      <c r="BA355" s="13" t="n">
        <f aca="false">Helpers!AY15</f>
        <v>0</v>
      </c>
      <c r="BB355" s="13" t="n">
        <f aca="false">Helpers!AZ15</f>
        <v>0</v>
      </c>
      <c r="BC355" s="13" t="n">
        <f aca="false">Helpers!BA15</f>
        <v>0</v>
      </c>
      <c r="BD355" s="13" t="n">
        <f aca="false">Helpers!BB15</f>
        <v>0</v>
      </c>
      <c r="BE355" s="13" t="n">
        <f aca="false">Helpers!BC15</f>
        <v>0</v>
      </c>
      <c r="BF355" s="13" t="n">
        <f aca="false">Helpers!BD15</f>
        <v>0</v>
      </c>
      <c r="BG355" s="13" t="n">
        <f aca="false">Helpers!BE15</f>
        <v>0</v>
      </c>
      <c r="BH355" s="13" t="n">
        <f aca="false">Helpers!BF15</f>
        <v>0</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77189993.1819724</v>
      </c>
      <c r="R356" s="30" t="n">
        <f aca="false">SUM(R348:R355)+R357</f>
        <v>72659481.0845662</v>
      </c>
      <c r="S356" s="30" t="n">
        <f aca="false">SUM(S348:S355)+S357</f>
        <v>112297974.24353</v>
      </c>
      <c r="T356" s="30" t="n">
        <f aca="false">SUM(T348:T355)+T357</f>
        <v>105858004.711346</v>
      </c>
      <c r="U356" s="30" t="n">
        <f aca="false">SUM(U348:U355)+U357</f>
        <v>100141909.911916</v>
      </c>
      <c r="V356" s="30" t="n">
        <f aca="false">SUM(V348:V355)+V357</f>
        <v>93115291.275657</v>
      </c>
      <c r="W356" s="30" t="n">
        <f aca="false">SUM(W348:W355)+W357</f>
        <v>87248224.3217229</v>
      </c>
      <c r="X356" s="30" t="n">
        <f aca="false">SUM(X348:X355)+X357</f>
        <v>79930647.985588</v>
      </c>
      <c r="Y356" s="30" t="n">
        <f aca="false">SUM(Y348:Y355)+Y357</f>
        <v>74016619.84339</v>
      </c>
      <c r="Z356" s="30" t="n">
        <f aca="false">SUM(Z348:Z355)+Z357</f>
        <v>67149404.1711135</v>
      </c>
      <c r="AA356" s="30" t="n">
        <f aca="false">SUM(AA348:AA355)+AA357</f>
        <v>60882940.0529335</v>
      </c>
      <c r="AB356" s="30" t="n">
        <f aca="false">SUM(AB348:AB355)+AB357</f>
        <v>51526654.72656</v>
      </c>
      <c r="AC356" s="30" t="n">
        <f aca="false">SUM(AC348:AC355)+AC357</f>
        <v>47768093.07512</v>
      </c>
      <c r="AD356" s="30" t="n">
        <f aca="false">SUM(AD348:AD355)+AD357</f>
        <v>43884869.336765</v>
      </c>
      <c r="AE356" s="30" t="n">
        <f aca="false">SUM(AE348:AE355)+AE357</f>
        <v>40150142.13637</v>
      </c>
      <c r="AF356" s="30" t="n">
        <f aca="false">SUM(AF348:AF355)+AF357</f>
        <v>36666097.63336</v>
      </c>
      <c r="AG356" s="30" t="n">
        <f aca="false">SUM(AG348:AG355)+AG357</f>
        <v>32112558.27646</v>
      </c>
      <c r="AH356" s="30" t="n">
        <f aca="false">SUM(AH348:AH355)+AH357</f>
        <v>27736880.61956</v>
      </c>
      <c r="AI356" s="30" t="n">
        <f aca="false">SUM(AI348:AI355)+AI357</f>
        <v>23433159.97655</v>
      </c>
      <c r="AJ356" s="30" t="n">
        <f aca="false">SUM(AJ348:AJ355)+AJ357</f>
        <v>20189659.33654</v>
      </c>
      <c r="AK356" s="30" t="n">
        <f aca="false">SUM(AK348:AK355)+AK357</f>
        <v>17213731.86939</v>
      </c>
      <c r="AL356" s="30" t="n">
        <f aca="false">SUM(AL348:AL355)+AL357</f>
        <v>14195605.80416</v>
      </c>
      <c r="AM356" s="30" t="n">
        <f aca="false">SUM(AM348:AM355)+AM357</f>
        <v>11170452.74172</v>
      </c>
      <c r="AN356" s="30" t="n">
        <f aca="false">SUM(AN348:AN355)+AN357</f>
        <v>9151447.09059</v>
      </c>
      <c r="AO356" s="30" t="n">
        <f aca="false">SUM(AO348:AO355)+AO357</f>
        <v>7578336.29955</v>
      </c>
      <c r="AP356" s="30" t="n">
        <f aca="false">SUM(AP348:AP355)+AP357</f>
        <v>6126087.78441</v>
      </c>
      <c r="AQ356" s="30" t="n">
        <f aca="false">SUM(AQ348:AQ355)+AQ357</f>
        <v>4798730.2877</v>
      </c>
      <c r="AR356" s="30" t="n">
        <f aca="false">SUM(AR348:AR355)+AR357</f>
        <v>3597576.54575</v>
      </c>
      <c r="AS356" s="30" t="n">
        <f aca="false">SUM(AS348:AS355)+AS357</f>
        <v>2521449.62254</v>
      </c>
      <c r="AT356" s="30" t="n">
        <f aca="false">SUM(AT348:AT355)+AT357</f>
        <v>1566909.24355</v>
      </c>
      <c r="AU356" s="30" t="n">
        <f aca="false">SUM(AU348:AU355)+AU357</f>
        <v>728659.196690001</v>
      </c>
      <c r="AV356" s="30" t="n">
        <f aca="false">SUM(AV348:AV355)+AV357</f>
        <v>-181.067079995155</v>
      </c>
      <c r="AW356" s="30" t="n">
        <f aca="false">SUM(AW348:AW355)+AW357</f>
        <v>0</v>
      </c>
      <c r="AX356" s="30" t="n">
        <f aca="false">SUM(AX348:AX355)+AX357</f>
        <v>0</v>
      </c>
      <c r="AY356" s="30" t="n">
        <f aca="false">SUM(AY348:AY355)+AY357</f>
        <v>0</v>
      </c>
      <c r="AZ356" s="30" t="n">
        <f aca="false">SUM(AZ348:AZ355)+AZ357</f>
        <v>0</v>
      </c>
      <c r="BA356" s="30" t="n">
        <f aca="false">SUM(BA348:BA355)+BA357</f>
        <v>0</v>
      </c>
      <c r="BB356" s="30" t="n">
        <f aca="false">SUM(BB348:BB355)+BB357</f>
        <v>0</v>
      </c>
      <c r="BC356" s="30" t="n">
        <f aca="false">SUM(BC348:BC355)+BC357</f>
        <v>0</v>
      </c>
      <c r="BD356" s="30" t="n">
        <f aca="false">SUM(BD348:BD355)+BD357</f>
        <v>0</v>
      </c>
      <c r="BE356" s="30" t="n">
        <f aca="false">SUM(BE348:BE355)+BE357</f>
        <v>0</v>
      </c>
      <c r="BF356" s="30" t="n">
        <f aca="false">SUM(BF348:BF355)+BF357</f>
        <v>0</v>
      </c>
      <c r="BG356" s="30" t="n">
        <f aca="false">SUM(BG348:BG355)+BG357</f>
        <v>0</v>
      </c>
      <c r="BH356" s="30" t="n">
        <f aca="false">SUM(BH348:BH355)+BH357</f>
        <v>0</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1669004.85138651</v>
      </c>
      <c r="S361" s="13" t="n">
        <f aca="false">R369</f>
        <v>1922914.45394521</v>
      </c>
      <c r="T361" s="13" t="n">
        <f aca="false">S369</f>
        <v>2136519.72230105</v>
      </c>
      <c r="U361" s="13" t="n">
        <f aca="false">T369</f>
        <v>1714777.17104908</v>
      </c>
      <c r="V361" s="13" t="n">
        <f aca="false">U369</f>
        <v>2264891.34096213</v>
      </c>
      <c r="W361" s="13" t="n">
        <f aca="false">V369</f>
        <v>2765224.44687518</v>
      </c>
      <c r="X361" s="13" t="n">
        <f aca="false">W369</f>
        <v>3316491.04078824</v>
      </c>
      <c r="Y361" s="13" t="n">
        <f aca="false">X369</f>
        <v>3588712.14370129</v>
      </c>
      <c r="Z361" s="13" t="n">
        <f aca="false">Y369</f>
        <v>4021171.12261435</v>
      </c>
      <c r="AA361" s="13" t="n">
        <f aca="false">Z369</f>
        <v>4272939.64575817</v>
      </c>
      <c r="AB361" s="13" t="n">
        <f aca="false">AA369</f>
        <v>4752856.03301738</v>
      </c>
      <c r="AC361" s="13" t="n">
        <f aca="false">AB369</f>
        <v>5150246.94974452</v>
      </c>
      <c r="AD361" s="13" t="n">
        <f aca="false">AC369</f>
        <v>5345090.2745893</v>
      </c>
      <c r="AE361" s="13" t="n">
        <f aca="false">AD369</f>
        <v>5469998.96104946</v>
      </c>
      <c r="AF361" s="13" t="n">
        <f aca="false">AE369</f>
        <v>5640277.66581732</v>
      </c>
      <c r="AG361" s="13" t="n">
        <f aca="false">AF369</f>
        <v>5919866.03096789</v>
      </c>
      <c r="AH361" s="13" t="n">
        <f aca="false">AG369</f>
        <v>6292725.36744722</v>
      </c>
      <c r="AI361" s="13" t="n">
        <f aca="false">AH369</f>
        <v>6550875.24752198</v>
      </c>
      <c r="AJ361" s="13" t="n">
        <f aca="false">AI369</f>
        <v>6682561.17475021</v>
      </c>
      <c r="AK361" s="13" t="n">
        <f aca="false">AJ369</f>
        <v>6935794.85156781</v>
      </c>
      <c r="AL361" s="13" t="n">
        <f aca="false">AK369</f>
        <v>7080880.75382585</v>
      </c>
      <c r="AM361" s="13" t="n">
        <f aca="false">AL369</f>
        <v>6971292.011775</v>
      </c>
      <c r="AN361" s="13" t="n">
        <f aca="false">AM369</f>
        <v>6875221.29772416</v>
      </c>
      <c r="AO361" s="13" t="n">
        <f aca="false">AN369</f>
        <v>7053565.02517331</v>
      </c>
      <c r="AP361" s="13" t="n">
        <f aca="false">AO369</f>
        <v>6862148.53911436</v>
      </c>
      <c r="AQ361" s="13" t="n">
        <f aca="false">AP369</f>
        <v>6631383.50305542</v>
      </c>
      <c r="AR361" s="13" t="n">
        <f aca="false">AQ369</f>
        <v>6400618.46699647</v>
      </c>
      <c r="AS361" s="13" t="n">
        <f aca="false">AR369</f>
        <v>6169853.43093752</v>
      </c>
      <c r="AT361" s="13" t="n">
        <f aca="false">AS369</f>
        <v>5939088.39487857</v>
      </c>
      <c r="AU361" s="13" t="n">
        <f aca="false">AT369</f>
        <v>5708323.35881962</v>
      </c>
      <c r="AV361" s="13" t="n">
        <f aca="false">AU369</f>
        <v>5477558.32276067</v>
      </c>
      <c r="AW361" s="13" t="n">
        <f aca="false">AV369</f>
        <v>5505654.59278755</v>
      </c>
      <c r="AX361" s="13" t="n">
        <f aca="false">AW369</f>
        <v>5556003.85228496</v>
      </c>
      <c r="AY361" s="13" t="n">
        <f aca="false">AX369</f>
        <v>5161293.32237166</v>
      </c>
      <c r="AZ361" s="13" t="n">
        <f aca="false">AY369</f>
        <v>4766582.79245835</v>
      </c>
      <c r="BA361" s="13" t="n">
        <f aca="false">AZ369</f>
        <v>4371872.26254505</v>
      </c>
      <c r="BB361" s="13" t="n">
        <f aca="false">BA369</f>
        <v>3969567.52203348</v>
      </c>
      <c r="BC361" s="13" t="n">
        <f aca="false">BB369</f>
        <v>3567262.78152191</v>
      </c>
      <c r="BD361" s="13" t="n">
        <f aca="false">BC369</f>
        <v>3164958.04101034</v>
      </c>
      <c r="BE361" s="13" t="n">
        <f aca="false">BD369</f>
        <v>2762653.30049877</v>
      </c>
      <c r="BF361" s="13" t="n">
        <f aca="false">BE369</f>
        <v>2360348.5599872</v>
      </c>
      <c r="BG361" s="13" t="n">
        <f aca="false">BF369</f>
        <v>1958043.81947563</v>
      </c>
      <c r="BH361" s="13" t="n">
        <f aca="false">BG369</f>
        <v>1555739.07896406</v>
      </c>
      <c r="BI361" s="13" t="n">
        <f aca="false">BH369</f>
        <v>1153434.33845249</v>
      </c>
      <c r="BJ361" s="13" t="n">
        <f aca="false">BI369</f>
        <v>751129.597940918</v>
      </c>
      <c r="BK361" s="13" t="n">
        <f aca="false">BJ369</f>
        <v>348824.857429348</v>
      </c>
      <c r="BL361" s="13" t="n">
        <f aca="false">BK369</f>
        <v>-53479.8830822221</v>
      </c>
      <c r="BM361" s="13" t="n">
        <f aca="false">BL369</f>
        <v>-455784.623593792</v>
      </c>
      <c r="BN361" s="13" t="n">
        <f aca="false">BM369</f>
        <v>-865835.458915594</v>
      </c>
      <c r="BO361" s="13" t="n">
        <f aca="false">BN369</f>
        <v>-1275886.2942374</v>
      </c>
      <c r="BP361" s="13" t="n">
        <f aca="false">BO369</f>
        <v>-1685937.1295592</v>
      </c>
      <c r="BQ361" s="13" t="n">
        <f aca="false">BP369</f>
        <v>-2095987.964881</v>
      </c>
      <c r="BR361" s="13" t="n">
        <f aca="false">BQ369</f>
        <v>-2506038.8002028</v>
      </c>
      <c r="BS361" s="13" t="n">
        <f aca="false">BR369</f>
        <v>-2916089.6355246</v>
      </c>
      <c r="BT361" s="13" t="n">
        <f aca="false">BS369</f>
        <v>-3326140.4708464</v>
      </c>
      <c r="BU361" s="13" t="n">
        <f aca="false">BT369</f>
        <v>-3736191.3061682</v>
      </c>
      <c r="BV361" s="13" t="n">
        <f aca="false">BU369</f>
        <v>-4146242.14149001</v>
      </c>
      <c r="BW361" s="13" t="n">
        <f aca="false">BV369</f>
        <v>-4556292.97681181</v>
      </c>
      <c r="BX361" s="13" t="n">
        <f aca="false">BW369</f>
        <v>-4966343.81213361</v>
      </c>
      <c r="BY361" s="13" t="n">
        <f aca="false">BX369</f>
        <v>-5376394.64745541</v>
      </c>
      <c r="BZ361" s="13" t="n">
        <f aca="false">BY369</f>
        <v>-5794346.49948365</v>
      </c>
      <c r="CA361" s="13" t="n">
        <f aca="false">BZ369</f>
        <v>-6212298.35151189</v>
      </c>
      <c r="CB361" s="13" t="n">
        <f aca="false">CA369</f>
        <v>-6630250.20354012</v>
      </c>
      <c r="CC361" s="13" t="n">
        <f aca="false">CB369</f>
        <v>-7048202.05556836</v>
      </c>
      <c r="CD361" s="13" t="n">
        <f aca="false">CC369</f>
        <v>-7466153.9075966</v>
      </c>
      <c r="CE361" s="13" t="n">
        <f aca="false">CD369</f>
        <v>-7884105.75962484</v>
      </c>
      <c r="CF361" s="13" t="n">
        <f aca="false">CE369</f>
        <v>-8302057.61165308</v>
      </c>
      <c r="CG361" s="13" t="n">
        <f aca="false">CF369</f>
        <v>-8720009.46368131</v>
      </c>
      <c r="CH361" s="13" t="n">
        <f aca="false">CG369</f>
        <v>-9137961.31570955</v>
      </c>
      <c r="CI361" s="13" t="n">
        <f aca="false">CH369</f>
        <v>-9555913.16773779</v>
      </c>
      <c r="CJ361" s="13" t="n">
        <f aca="false">CI369</f>
        <v>-9973865.01976603</v>
      </c>
      <c r="CK361" s="13" t="n">
        <f aca="false">CJ369</f>
        <v>-10391816.8717943</v>
      </c>
      <c r="CL361" s="13" t="n">
        <f aca="false">CK369</f>
        <v>-10817827.7608631</v>
      </c>
      <c r="CM361" s="13" t="n">
        <f aca="false">CL369</f>
        <v>-11243838.6499319</v>
      </c>
      <c r="CN361" s="13" t="n">
        <f aca="false">CM369</f>
        <v>-11669849.5390007</v>
      </c>
      <c r="CO361" s="13" t="n">
        <f aca="false">CN369</f>
        <v>-12095860.4280695</v>
      </c>
      <c r="CP361" s="13" t="n">
        <f aca="false">CO369</f>
        <v>-12521871.3171383</v>
      </c>
      <c r="CQ361" s="13" t="n">
        <f aca="false">CP369</f>
        <v>-12947882.2062071</v>
      </c>
      <c r="CR361" s="13" t="n">
        <f aca="false">CQ369</f>
        <v>-13373893.0952759</v>
      </c>
      <c r="CS361" s="13" t="n">
        <f aca="false">CR369</f>
        <v>-13799903.9843447</v>
      </c>
      <c r="CT361" s="13" t="n">
        <f aca="false">CS369</f>
        <v>-14225914.8734135</v>
      </c>
      <c r="CU361" s="13" t="n">
        <f aca="false">CT369</f>
        <v>-14611572.9484403</v>
      </c>
      <c r="CV361" s="13" t="n">
        <f aca="false">CU369</f>
        <v>-14997231.023467</v>
      </c>
      <c r="CW361" s="13" t="n">
        <f aca="false">CV369</f>
        <v>-15382889.0984938</v>
      </c>
      <c r="CX361" s="13" t="n">
        <f aca="false">CW369</f>
        <v>-15775960.3350211</v>
      </c>
      <c r="CY361" s="13" t="n">
        <f aca="false">CX369</f>
        <v>-16169031.5715484</v>
      </c>
      <c r="CZ361" s="13" t="n">
        <f aca="false">CY369</f>
        <v>-16562102.8080758</v>
      </c>
      <c r="DA361" s="13" t="n">
        <f aca="false">CZ369</f>
        <v>-16955174.0446031</v>
      </c>
      <c r="DB361" s="13" t="n">
        <f aca="false">DA369</f>
        <v>-17348245.2811304</v>
      </c>
      <c r="DC361" s="13" t="n">
        <f aca="false">DB369</f>
        <v>-17741316.5176577</v>
      </c>
      <c r="DD361" s="13" t="n">
        <f aca="false">DC369</f>
        <v>-18134387.754185</v>
      </c>
      <c r="DE361" s="13" t="n">
        <f aca="false">DD369</f>
        <v>-18527458.9907123</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294318.005180735</v>
      </c>
      <c r="R362" s="13" t="n">
        <f aca="false">R237</f>
        <v>280923.295180735</v>
      </c>
      <c r="S362" s="13" t="n">
        <f aca="false">S237</f>
        <v>-389008.506427071</v>
      </c>
      <c r="T362" s="13" t="n">
        <f aca="false">T237</f>
        <v>517782.154237951</v>
      </c>
      <c r="U362" s="13" t="n">
        <f aca="false">U237</f>
        <v>414080.094237953</v>
      </c>
      <c r="V362" s="13" t="n">
        <f aca="false">V237</f>
        <v>499951.36423795</v>
      </c>
      <c r="W362" s="13" t="n">
        <f aca="false">W237</f>
        <v>320796.534237951</v>
      </c>
      <c r="X362" s="13" t="n">
        <f aca="false">X237</f>
        <v>471460.494237955</v>
      </c>
      <c r="Y362" s="13" t="n">
        <f aca="false">Y237</f>
        <v>287933.574237952</v>
      </c>
      <c r="Z362" s="13" t="n">
        <f aca="false">Z237</f>
        <v>396082.668468723</v>
      </c>
      <c r="AA362" s="13" t="n">
        <f aca="false">AA237</f>
        <v>343099.513084102</v>
      </c>
      <c r="AB362" s="13" t="n">
        <f aca="false">AB237</f>
        <v>213948.19693026</v>
      </c>
      <c r="AC362" s="13" t="n">
        <f aca="false">AC237</f>
        <v>126973.857669678</v>
      </c>
      <c r="AD362" s="13" t="n">
        <f aca="false">AD237</f>
        <v>177139.441285059</v>
      </c>
      <c r="AE362" s="13" t="n">
        <f aca="false">AE237</f>
        <v>190530.813592748</v>
      </c>
      <c r="AF362" s="13" t="n">
        <f aca="false">AF237</f>
        <v>348914.940311404</v>
      </c>
      <c r="AG362" s="13" t="n">
        <f aca="false">AG237</f>
        <v>282314.443355052</v>
      </c>
      <c r="AH362" s="13" t="n">
        <f aca="false">AH237</f>
        <v>148425.713277766</v>
      </c>
      <c r="AI362" s="13" t="n">
        <f aca="false">AI237</f>
        <v>151977.387893157</v>
      </c>
      <c r="AJ362" s="13" t="n">
        <f aca="false">AJ237</f>
        <v>159399.587460898</v>
      </c>
      <c r="AK362" s="13" t="n">
        <f aca="false">AK237</f>
        <v>-94516.5213479834</v>
      </c>
      <c r="AL362" s="13" t="n">
        <f aca="false">AL237</f>
        <v>-80445.8113479825</v>
      </c>
      <c r="AM362" s="13" t="n">
        <f aca="false">AM237</f>
        <v>-68762.7713479848</v>
      </c>
      <c r="AN362" s="13" t="n">
        <f aca="false">AN237</f>
        <v>-175430.281347986</v>
      </c>
      <c r="AO362" s="13" t="n">
        <f aca="false">AO237</f>
        <v>-222136.325856087</v>
      </c>
      <c r="AP362" s="13" t="n">
        <f aca="false">AP237</f>
        <v>-222136.325856087</v>
      </c>
      <c r="AQ362" s="13" t="n">
        <f aca="false">AQ237</f>
        <v>-222136.325856087</v>
      </c>
      <c r="AR362" s="13" t="n">
        <f aca="false">AR237</f>
        <v>-222136.325856087</v>
      </c>
      <c r="AS362" s="13" t="n">
        <f aca="false">AS237</f>
        <v>-222136.325856087</v>
      </c>
      <c r="AT362" s="13" t="n">
        <f aca="false">AT237</f>
        <v>-222136.325856087</v>
      </c>
      <c r="AU362" s="13" t="n">
        <f aca="false">AU237</f>
        <v>-222136.325856087</v>
      </c>
      <c r="AV362" s="13" t="n">
        <f aca="false">AV237</f>
        <v>50349.2594974125</v>
      </c>
      <c r="AW362" s="13" t="n">
        <f aca="false">AW237</f>
        <v>-394710.529913304</v>
      </c>
      <c r="AX362" s="13" t="n">
        <f aca="false">AX237</f>
        <v>-394710.529913304</v>
      </c>
      <c r="AY362" s="13" t="n">
        <f aca="false">AY237</f>
        <v>-394710.529913304</v>
      </c>
      <c r="AZ362" s="13" t="n">
        <f aca="false">AZ237</f>
        <v>-394710.529913304</v>
      </c>
      <c r="BA362" s="13" t="n">
        <f aca="false">BA237</f>
        <v>-402304.74051157</v>
      </c>
      <c r="BB362" s="13" t="n">
        <f aca="false">BB237</f>
        <v>-402304.74051157</v>
      </c>
      <c r="BC362" s="13" t="n">
        <f aca="false">BC237</f>
        <v>-402304.74051157</v>
      </c>
      <c r="BD362" s="13" t="n">
        <f aca="false">BD237</f>
        <v>-402304.74051157</v>
      </c>
      <c r="BE362" s="13" t="n">
        <f aca="false">BE237</f>
        <v>-402304.74051157</v>
      </c>
      <c r="BF362" s="13" t="n">
        <f aca="false">BF237</f>
        <v>-402304.74051157</v>
      </c>
      <c r="BG362" s="13" t="n">
        <f aca="false">BG237</f>
        <v>-402304.74051157</v>
      </c>
      <c r="BH362" s="13" t="n">
        <f aca="false">BH237</f>
        <v>-402304.74051157</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25940.6400000001</v>
      </c>
      <c r="R365" s="13" t="n">
        <f aca="false">Q199-R199-Q197-IF(Q$3&lt;7,0,-SUMPRODUCT('Deal Terms'!$E$4:$E$47*('Deal Terms'!$G$4:$G$47=0),Q$13:Q$56+Q$60:Q$103))</f>
        <v>13875.7600000007</v>
      </c>
      <c r="S365" s="13" t="n">
        <f aca="false">R199-S199-R197-IF(R$3&lt;7,0,-SUMPRODUCT('Deal Terms'!$E$4:$E$47*('Deal Terms'!$G$4:$G$47=0),R$13:R$56+R$60:R$103))</f>
        <v>622118.476607808</v>
      </c>
      <c r="T365" s="13" t="n">
        <f aca="false">S199-T199-S197-IF(S$3&lt;7,0,-SUMPRODUCT('Deal Terms'!$E$4:$E$47*('Deal Terms'!$G$4:$G$47=0),S$13:S$56+S$60:S$103))</f>
        <v>-884906.770665024</v>
      </c>
      <c r="U365" s="13" t="n">
        <f aca="false">T199-U199-T197-IF(T$3&lt;7,0,-SUMPRODUCT('Deal Terms'!$E$4:$E$47*('Deal Terms'!$G$4:$G$47=0),T$13:T$56+T$60:T$103))</f>
        <v>104349.459999999</v>
      </c>
      <c r="V365" s="13" t="n">
        <f aca="false">U199-V199-U197-IF(U$3&lt;7,0,-SUMPRODUCT('Deal Terms'!$E$4:$E$47*('Deal Terms'!$G$4:$G$47=0),U$13:U$56+U$60:U$103))</f>
        <v>-85365.4599999981</v>
      </c>
      <c r="W365" s="13" t="n">
        <f aca="false">V199-W199-V197-IF(V$3&lt;7,0,-SUMPRODUCT('Deal Terms'!$E$4:$E$47*('Deal Terms'!$G$4:$G$47=0),V$13:V$56+V$60:V$103))</f>
        <v>180064.73</v>
      </c>
      <c r="X365" s="13" t="n">
        <f aca="false">W199-X199-W197-IF(W$3&lt;7,0,-SUMPRODUCT('Deal Terms'!$E$4:$E$47*('Deal Terms'!$G$4:$G$47=0),W$13:W$56+W$60:W$103))</f>
        <v>-150022.070000002</v>
      </c>
      <c r="Y365" s="13" t="n">
        <f aca="false">X199-Y199-X197-IF(X$3&lt;7,0,-SUMPRODUCT('Deal Terms'!$E$4:$E$47*('Deal Terms'!$G$4:$G$47=0),X$13:X$56+X$60:X$103))</f>
        <v>184566.38</v>
      </c>
      <c r="Z365" s="13" t="n">
        <f aca="false">Y199-Z199-Y197-IF(Y$3&lt;7,0,-SUMPRODUCT('Deal Terms'!$E$4:$E$47*('Deal Terms'!$G$4:$G$47=0),Y$13:Y$56+Y$60:Y$103))</f>
        <v>-99276.8200000022</v>
      </c>
      <c r="AA365" s="13" t="n">
        <f aca="false">Z199-AA199-Z197-IF(Z$3&lt;7,0,-SUMPRODUCT('Deal Terms'!$E$4:$E$47*('Deal Terms'!$G$4:$G$47=0),Z$13:Z$56+Z$60:Z$103))</f>
        <v>91062.1600000048</v>
      </c>
      <c r="AB365" s="13" t="n">
        <f aca="false">AA199-AB199-AA197-IF(AA$3&lt;7,0,-SUMPRODUCT('Deal Terms'!$E$4:$E$47*('Deal Terms'!$G$4:$G$47=0),AA$13:AA$56+AA$60:AA$103))</f>
        <v>138848.299999999</v>
      </c>
      <c r="AC365" s="13" t="n">
        <f aca="false">AB199-AC199-AB197-IF(AB$3&lt;7,0,-SUMPRODUCT('Deal Terms'!$E$4:$E$47*('Deal Terms'!$G$4:$G$47=0),AB$13:AB$56+AB$60:AB$103))</f>
        <v>96679.8899999978</v>
      </c>
      <c r="AD365" s="13" t="n">
        <f aca="false">AC199-AD199-AC197-IF(AC$3&lt;7,0,-SUMPRODUCT('Deal Terms'!$E$4:$E$47*('Deal Terms'!$G$4:$G$47=0),AC$13:AC$56+AC$60:AC$103))</f>
        <v>-22292.0299999984</v>
      </c>
      <c r="AE365" s="13" t="n">
        <f aca="false">AD199-AE199-AD197-IF(AD$3&lt;7,0,-SUMPRODUCT('Deal Terms'!$E$4:$E$47*('Deal Terms'!$G$4:$G$47=0),AD$13:AD$56+AD$60:AD$103))</f>
        <v>9240.80000000354</v>
      </c>
      <c r="AF365" s="13" t="n">
        <f aca="false">AE199-AF199-AE197-IF(AE$3&lt;7,0,-SUMPRODUCT('Deal Terms'!$E$4:$E$47*('Deal Terms'!$G$4:$G$47=0),AE$13:AE$56+AE$60:AE$103))</f>
        <v>-158079.586718652</v>
      </c>
      <c r="AG365" s="13" t="n">
        <f aca="false">AF199-AG199-AF197-IF(AF$3&lt;7,0,-SUMPRODUCT('Deal Terms'!$E$4:$E$47*('Deal Terms'!$G$4:$G$47=0),AF$13:AF$56+AF$60:AF$103))</f>
        <v>66977.096956349</v>
      </c>
      <c r="AH365" s="13" t="n">
        <f aca="false">AG199-AH199-AG197-IF(AG$3&lt;7,0,-SUMPRODUCT('Deal Terms'!$E$4:$E$47*('Deal Terms'!$G$4:$G$47=0),AG$13:AG$56+AG$60:AG$103))</f>
        <v>136989.482961901</v>
      </c>
      <c r="AI365" s="13" t="n">
        <f aca="false">AH199-AI199-AH197-IF(AH$3&lt;7,0,-SUMPRODUCT('Deal Terms'!$E$4:$E$47*('Deal Terms'!$G$4:$G$47=0),AH$13:AH$56+AH$60:AH$103))</f>
        <v>6670.66999999527</v>
      </c>
      <c r="AJ365" s="13" t="n">
        <f aca="false">AI199-AJ199-AI197-IF(AI$3&lt;7,0,-SUMPRODUCT('Deal Terms'!$E$4:$E$47*('Deal Terms'!$G$4:$G$47=0),AI$13:AI$56+AI$60:AI$103))</f>
        <v>-6828.79956774693</v>
      </c>
      <c r="AK365" s="13" t="n">
        <f aca="false">AJ199-AK199-AJ197-IF(AJ$3&lt;7,0,-SUMPRODUCT('Deal Terms'!$E$4:$E$47*('Deal Terms'!$G$4:$G$47=0),AJ$13:AJ$56+AJ$60:AJ$103))</f>
        <v>254239.858808885</v>
      </c>
      <c r="AL365" s="13" t="n">
        <f aca="false">AK199-AL199-AK197-IF(AK$3&lt;7,0,-SUMPRODUCT('Deal Terms'!$E$4:$E$47*('Deal Terms'!$G$4:$G$47=0),AK$13:AK$56+AK$60:AK$103))</f>
        <v>-13801.9600000009</v>
      </c>
      <c r="AM365" s="13" t="n">
        <f aca="false">AL199-AM199-AL197-IF(AL$3&lt;7,0,-SUMPRODUCT('Deal Terms'!$E$4:$E$47*('Deal Terms'!$G$4:$G$47=0),AL$13:AL$56+AL$60:AL$103))</f>
        <v>-11382.8199999989</v>
      </c>
      <c r="AN365" s="13" t="n">
        <f aca="false">AM199-AN199-AM197-IF(AM$3&lt;7,0,-SUMPRODUCT('Deal Terms'!$E$4:$E$47*('Deal Terms'!$G$4:$G$47=0),AM$13:AM$56+AM$60:AM$103))</f>
        <v>106993.860000002</v>
      </c>
      <c r="AO365" s="13" t="n">
        <f aca="false">AN199-AO199-AN197-IF(AN$3&lt;7,0,-SUMPRODUCT('Deal Terms'!$E$4:$E$47*('Deal Terms'!$G$4:$G$47=0),AN$13:AN$56+AN$60:AN$103))</f>
        <v>39348.5500000001</v>
      </c>
      <c r="AP365" s="13" t="n">
        <f aca="false">AO199-AP199-AO197-IF(AO$3&lt;7,0,-SUMPRODUCT('Deal Terms'!$E$4:$E$47*('Deal Terms'!$G$4:$G$47=0),AO$13:AO$56+AO$60:AO$103))</f>
        <v>0</v>
      </c>
      <c r="AQ365" s="13" t="n">
        <f aca="false">AP199-AQ199-AP197-IF(AP$3&lt;7,0,-SUMPRODUCT('Deal Terms'!$E$4:$E$47*('Deal Terms'!$G$4:$G$47=0),AP$13:AP$56+AP$60:AP$103))</f>
        <v>0</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0</v>
      </c>
      <c r="BI365" s="13" t="n">
        <f aca="false">BH199-BI199-BH197-IF(BH$3&lt;7,0,-SUMPRODUCT('Deal Terms'!$E$4:$E$47*('Deal Terms'!$G$4:$G$47=0),BH$13:BH$56+BH$60:BH$103))</f>
        <v>0</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-42152.7036220368</v>
      </c>
      <c r="R367" s="13" t="n">
        <f aca="false">-0.05*(R10+R11)</f>
        <v>-40889.4526220368</v>
      </c>
      <c r="S367" s="13" t="n">
        <f aca="false">-0.05*(S10+S11)</f>
        <v>-49932.1853248976</v>
      </c>
      <c r="T367" s="13" t="n">
        <f aca="false">-0.05*(T10+T11)</f>
        <v>-54617.9348248976</v>
      </c>
      <c r="U367" s="13" t="n">
        <f aca="false">-0.05*(U10+U11)</f>
        <v>-49130.9123248976</v>
      </c>
      <c r="V367" s="13" t="n">
        <f aca="false">-0.05*(V10+V11)</f>
        <v>-51705.5903248976</v>
      </c>
      <c r="W367" s="13" t="n">
        <f aca="false">-0.05*(W10+W11)</f>
        <v>-41832.5373248976</v>
      </c>
      <c r="X367" s="13" t="n">
        <f aca="false">-0.05*(X10+X11)</f>
        <v>-49217.3213248976</v>
      </c>
      <c r="Y367" s="13" t="n">
        <f aca="false">-0.05*(Y10+Y11)</f>
        <v>-40040.9753248976</v>
      </c>
      <c r="Z367" s="13" t="n">
        <f aca="false">-0.05*(Z10+Z11)</f>
        <v>-45037.3253248976</v>
      </c>
      <c r="AA367" s="13" t="n">
        <f aca="false">-0.05*(AA10+AA11)</f>
        <v>-40528.9783248976</v>
      </c>
      <c r="AB367" s="13" t="n">
        <f aca="false">-0.05*(AB10+AB11)</f>
        <v>-33622.2648248976</v>
      </c>
      <c r="AC367" s="13" t="n">
        <f aca="false">-0.05*(AC10+AC11)</f>
        <v>-28810.4228248976</v>
      </c>
      <c r="AD367" s="13" t="n">
        <f aca="false">-0.05*(AD10+AD11)</f>
        <v>-29938.7248248976</v>
      </c>
      <c r="AE367" s="13" t="n">
        <f aca="false">-0.05*(AE10+AE11)</f>
        <v>-29492.9088248976</v>
      </c>
      <c r="AF367" s="13" t="n">
        <f aca="false">-0.05*(AF10+AF11)</f>
        <v>-37412.1151608301</v>
      </c>
      <c r="AG367" s="13" t="n">
        <f aca="false">-0.05*(AG10+AG11)</f>
        <v>-34082.0903130126</v>
      </c>
      <c r="AH367" s="13" t="n">
        <f aca="false">-0.05*(AH10+AH11)</f>
        <v>-27265.3161649176</v>
      </c>
      <c r="AI367" s="13" t="n">
        <f aca="false">-0.05*(AI10+AI11)</f>
        <v>-26962.1306649176</v>
      </c>
      <c r="AJ367" s="13" t="n">
        <f aca="false">-0.05*(AJ10+AJ11)</f>
        <v>-27333.2406433051</v>
      </c>
      <c r="AK367" s="13" t="n">
        <f aca="false">-0.05*(AK10+AK11)</f>
        <v>-14637.4352028608</v>
      </c>
      <c r="AL367" s="13" t="n">
        <f aca="false">-0.05*(AL10+AL11)</f>
        <v>-15340.9707028608</v>
      </c>
      <c r="AM367" s="13" t="n">
        <f aca="false">-0.05*(AM10+AM11)</f>
        <v>-15925.1227028608</v>
      </c>
      <c r="AN367" s="13" t="n">
        <f aca="false">-0.05*(AN10+AN11)</f>
        <v>-10591.7472028608</v>
      </c>
      <c r="AO367" s="13" t="n">
        <f aca="false">-0.05*(AO10+AO11)</f>
        <v>-8628.71020286083</v>
      </c>
      <c r="AP367" s="13" t="n">
        <f aca="false">-0.05*(AP10+AP11)</f>
        <v>-8628.71020286083</v>
      </c>
      <c r="AQ367" s="13" t="n">
        <f aca="false">-0.05*(AQ10+AQ11)</f>
        <v>-8628.71020286083</v>
      </c>
      <c r="AR367" s="13" t="n">
        <f aca="false">-0.05*(AR10+AR11)</f>
        <v>-8628.71020286083</v>
      </c>
      <c r="AS367" s="13" t="n">
        <f aca="false">-0.05*(AS10+AS11)</f>
        <v>-8628.71020286083</v>
      </c>
      <c r="AT367" s="13" t="n">
        <f aca="false">-0.05*(AT10+AT11)</f>
        <v>-8628.71020286083</v>
      </c>
      <c r="AU367" s="13" t="n">
        <f aca="false">-0.05*(AU10+AU11)</f>
        <v>-8628.71020286083</v>
      </c>
      <c r="AV367" s="13" t="n">
        <f aca="false">-0.05*(AV10+AV11)</f>
        <v>-22252.9894705358</v>
      </c>
      <c r="AW367" s="13" t="n">
        <f aca="false">-0.05*(AW10+AW11)</f>
        <v>-0</v>
      </c>
      <c r="AX367" s="13" t="n">
        <f aca="false">-0.05*(AX10+AX11)</f>
        <v>-0</v>
      </c>
      <c r="AY367" s="13" t="n">
        <f aca="false">-0.05*(AY10+AY11)</f>
        <v>-0</v>
      </c>
      <c r="AZ367" s="13" t="n">
        <f aca="false">-0.05*(AZ10+AZ11)</f>
        <v>-0</v>
      </c>
      <c r="BA367" s="13" t="n">
        <f aca="false">-0.05*(BA10+BA11)</f>
        <v>-0</v>
      </c>
      <c r="BB367" s="13" t="n">
        <f aca="false">-0.05*(BB10+BB11)</f>
        <v>-0</v>
      </c>
      <c r="BC367" s="13" t="n">
        <f aca="false">-0.05*(BC10+BC11)</f>
        <v>-0</v>
      </c>
      <c r="BD367" s="13" t="n">
        <f aca="false">-0.05*(BD10+BD11)</f>
        <v>-0</v>
      </c>
      <c r="BE367" s="13" t="n">
        <f aca="false">-0.05*(BE10+BE11)</f>
        <v>-0</v>
      </c>
      <c r="BF367" s="13" t="n">
        <f aca="false">-0.05*(BF10+BF11)</f>
        <v>-0</v>
      </c>
      <c r="BG367" s="13" t="n">
        <f aca="false">-0.05*(BG10+BG11)</f>
        <v>-0</v>
      </c>
      <c r="BH367" s="13" t="n">
        <f aca="false">-0.05*(BH10+BH11)</f>
        <v>-0</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0</v>
      </c>
      <c r="AI368" s="13" t="n">
        <f aca="false">SUMIFS(Retention!$E$2:$E$44,Retention!$F$2:$F$44,AI$3)</f>
        <v>0</v>
      </c>
      <c r="AJ368" s="13" t="n">
        <f aca="false">SUMIFS(Retention!$E$2:$E$44,Retention!$F$2:$F$44,AJ$3)</f>
        <v>127996.12956775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257371.896</v>
      </c>
      <c r="AO368" s="13" t="n">
        <f aca="false">SUMIFS(Retention!$E$2:$E$44,Retention!$F$2:$F$44,AO$3)</f>
        <v>0</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0</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1669004.85138651</v>
      </c>
      <c r="R369" s="68" t="n">
        <f aca="false">SUM(R361:R368)</f>
        <v>1922914.45394521</v>
      </c>
      <c r="S369" s="68" t="n">
        <f aca="false">SUM(S361:S368)</f>
        <v>2136519.72230105</v>
      </c>
      <c r="T369" s="68" t="n">
        <f aca="false">SUM(T361:T368)</f>
        <v>1714777.17104908</v>
      </c>
      <c r="U369" s="68" t="n">
        <f aca="false">SUM(U361:U368)</f>
        <v>2264891.34096213</v>
      </c>
      <c r="V369" s="68" t="n">
        <f aca="false">SUM(V361:V368)</f>
        <v>2765224.44687518</v>
      </c>
      <c r="W369" s="68" t="n">
        <f aca="false">SUM(W361:W368)</f>
        <v>3316491.04078824</v>
      </c>
      <c r="X369" s="68" t="n">
        <f aca="false">SUM(X361:X368)</f>
        <v>3588712.14370129</v>
      </c>
      <c r="Y369" s="68" t="n">
        <f aca="false">SUM(Y361:Y368)</f>
        <v>4021171.12261435</v>
      </c>
      <c r="Z369" s="68" t="n">
        <f aca="false">SUM(Z361:Z368)</f>
        <v>4272939.64575817</v>
      </c>
      <c r="AA369" s="68" t="n">
        <f aca="false">SUM(AA361:AA368)</f>
        <v>4752856.03301738</v>
      </c>
      <c r="AB369" s="68" t="n">
        <f aca="false">SUM(AB361:AB368)</f>
        <v>5150246.94974452</v>
      </c>
      <c r="AC369" s="68" t="n">
        <f aca="false">SUM(AC361:AC368)</f>
        <v>5345090.2745893</v>
      </c>
      <c r="AD369" s="68" t="n">
        <f aca="false">SUM(AD361:AD368)</f>
        <v>5469998.96104946</v>
      </c>
      <c r="AE369" s="68" t="n">
        <f aca="false">SUM(AE361:AE368)</f>
        <v>5640277.66581732</v>
      </c>
      <c r="AF369" s="68" t="n">
        <f aca="false">SUM(AF361:AF368)</f>
        <v>5919866.03096789</v>
      </c>
      <c r="AG369" s="68" t="n">
        <f aca="false">SUM(AG361:AG368)</f>
        <v>6292725.36744722</v>
      </c>
      <c r="AH369" s="68" t="n">
        <f aca="false">SUM(AH361:AH368)</f>
        <v>6550875.24752198</v>
      </c>
      <c r="AI369" s="68" t="n">
        <f aca="false">SUM(AI361:AI368)</f>
        <v>6682561.17475021</v>
      </c>
      <c r="AJ369" s="68" t="n">
        <f aca="false">SUM(AJ361:AJ368)</f>
        <v>6935794.85156781</v>
      </c>
      <c r="AK369" s="68" t="n">
        <f aca="false">SUM(AK361:AK368)</f>
        <v>7080880.75382585</v>
      </c>
      <c r="AL369" s="68" t="n">
        <f aca="false">SUM(AL361:AL368)</f>
        <v>6971292.011775</v>
      </c>
      <c r="AM369" s="68" t="n">
        <f aca="false">SUM(AM361:AM368)</f>
        <v>6875221.29772416</v>
      </c>
      <c r="AN369" s="68" t="n">
        <f aca="false">SUM(AN361:AN368)</f>
        <v>7053565.02517331</v>
      </c>
      <c r="AO369" s="68" t="n">
        <f aca="false">SUM(AO361:AO368)</f>
        <v>6862148.53911436</v>
      </c>
      <c r="AP369" s="68" t="n">
        <f aca="false">SUM(AP361:AP368)</f>
        <v>6631383.50305542</v>
      </c>
      <c r="AQ369" s="68" t="n">
        <f aca="false">SUM(AQ361:AQ368)</f>
        <v>6400618.46699647</v>
      </c>
      <c r="AR369" s="68" t="n">
        <f aca="false">SUM(AR361:AR368)</f>
        <v>6169853.43093752</v>
      </c>
      <c r="AS369" s="68" t="n">
        <f aca="false">SUM(AS361:AS368)</f>
        <v>5939088.39487857</v>
      </c>
      <c r="AT369" s="68" t="n">
        <f aca="false">SUM(AT361:AT368)</f>
        <v>5708323.35881962</v>
      </c>
      <c r="AU369" s="68" t="n">
        <f aca="false">SUM(AU361:AU368)</f>
        <v>5477558.32276067</v>
      </c>
      <c r="AV369" s="68" t="n">
        <f aca="false">SUM(AV361:AV368)</f>
        <v>5505654.59278755</v>
      </c>
      <c r="AW369" s="68" t="n">
        <f aca="false">SUM(AW361:AW368)</f>
        <v>5556003.85228496</v>
      </c>
      <c r="AX369" s="68" t="n">
        <f aca="false">SUM(AX361:AX368)</f>
        <v>5161293.32237166</v>
      </c>
      <c r="AY369" s="68" t="n">
        <f aca="false">SUM(AY361:AY368)</f>
        <v>4766582.79245835</v>
      </c>
      <c r="AZ369" s="68" t="n">
        <f aca="false">SUM(AZ361:AZ368)</f>
        <v>4371872.26254505</v>
      </c>
      <c r="BA369" s="68" t="n">
        <f aca="false">SUM(BA361:BA368)</f>
        <v>3969567.52203348</v>
      </c>
      <c r="BB369" s="68" t="n">
        <f aca="false">SUM(BB361:BB368)</f>
        <v>3567262.78152191</v>
      </c>
      <c r="BC369" s="68" t="n">
        <f aca="false">SUM(BC361:BC368)</f>
        <v>3164958.04101034</v>
      </c>
      <c r="BD369" s="68" t="n">
        <f aca="false">SUM(BD361:BD368)</f>
        <v>2762653.30049877</v>
      </c>
      <c r="BE369" s="68" t="n">
        <f aca="false">SUM(BE361:BE368)</f>
        <v>2360348.5599872</v>
      </c>
      <c r="BF369" s="68" t="n">
        <f aca="false">SUM(BF361:BF368)</f>
        <v>1958043.81947563</v>
      </c>
      <c r="BG369" s="68" t="n">
        <f aca="false">SUM(BG361:BG368)</f>
        <v>1555739.07896406</v>
      </c>
      <c r="BH369" s="68" t="n">
        <f aca="false">SUM(BH361:BH368)</f>
        <v>1153434.33845249</v>
      </c>
      <c r="BI369" s="68" t="n">
        <f aca="false">SUM(BI361:BI368)</f>
        <v>751129.597940918</v>
      </c>
      <c r="BJ369" s="68" t="n">
        <f aca="false">SUM(BJ361:BJ368)</f>
        <v>348824.857429348</v>
      </c>
      <c r="BK369" s="68" t="n">
        <f aca="false">SUM(BK361:BK368)</f>
        <v>-53479.8830822221</v>
      </c>
      <c r="BL369" s="68" t="n">
        <f aca="false">SUM(BL361:BL368)</f>
        <v>-455784.623593792</v>
      </c>
      <c r="BM369" s="68" t="n">
        <f aca="false">SUM(BM361:BM368)</f>
        <v>-865835.458915594</v>
      </c>
      <c r="BN369" s="68" t="n">
        <f aca="false">SUM(BN361:BN368)</f>
        <v>-1275886.2942374</v>
      </c>
      <c r="BO369" s="68" t="n">
        <f aca="false">SUM(BO361:BO368)</f>
        <v>-1685937.1295592</v>
      </c>
      <c r="BP369" s="68" t="n">
        <f aca="false">SUM(BP361:BP368)</f>
        <v>-2095987.964881</v>
      </c>
      <c r="BQ369" s="68" t="n">
        <f aca="false">SUM(BQ361:BQ368)</f>
        <v>-2506038.8002028</v>
      </c>
      <c r="BR369" s="68" t="n">
        <f aca="false">SUM(BR361:BR368)</f>
        <v>-2916089.6355246</v>
      </c>
      <c r="BS369" s="68" t="n">
        <f aca="false">SUM(BS361:BS368)</f>
        <v>-3326140.4708464</v>
      </c>
      <c r="BT369" s="68" t="n">
        <f aca="false">SUM(BT361:BT368)</f>
        <v>-3736191.3061682</v>
      </c>
      <c r="BU369" s="68" t="n">
        <f aca="false">SUM(BU361:BU368)</f>
        <v>-4146242.14149001</v>
      </c>
      <c r="BV369" s="68" t="n">
        <f aca="false">SUM(BV361:BV368)</f>
        <v>-4556292.97681181</v>
      </c>
      <c r="BW369" s="68" t="n">
        <f aca="false">SUM(BW361:BW368)</f>
        <v>-4966343.81213361</v>
      </c>
      <c r="BX369" s="68" t="n">
        <f aca="false">SUM(BX361:BX368)</f>
        <v>-5376394.64745541</v>
      </c>
      <c r="BY369" s="68" t="n">
        <f aca="false">SUM(BY361:BY368)</f>
        <v>-5794346.49948365</v>
      </c>
      <c r="BZ369" s="68" t="n">
        <f aca="false">SUM(BZ361:BZ368)</f>
        <v>-6212298.35151189</v>
      </c>
      <c r="CA369" s="68" t="n">
        <f aca="false">SUM(CA361:CA368)</f>
        <v>-6630250.20354012</v>
      </c>
      <c r="CB369" s="68" t="n">
        <f aca="false">SUM(CB361:CB368)</f>
        <v>-7048202.05556836</v>
      </c>
      <c r="CC369" s="68" t="n">
        <f aca="false">SUM(CC361:CC368)</f>
        <v>-7466153.9075966</v>
      </c>
      <c r="CD369" s="68" t="n">
        <f aca="false">SUM(CD361:CD368)</f>
        <v>-7884105.75962484</v>
      </c>
      <c r="CE369" s="68" t="n">
        <f aca="false">SUM(CE361:CE368)</f>
        <v>-8302057.61165308</v>
      </c>
      <c r="CF369" s="68" t="n">
        <f aca="false">SUM(CF361:CF368)</f>
        <v>-8720009.46368131</v>
      </c>
      <c r="CG369" s="68" t="n">
        <f aca="false">SUM(CG361:CG368)</f>
        <v>-9137961.31570955</v>
      </c>
      <c r="CH369" s="68" t="n">
        <f aca="false">SUM(CH361:CH368)</f>
        <v>-9555913.16773779</v>
      </c>
      <c r="CI369" s="68" t="n">
        <f aca="false">SUM(CI361:CI368)</f>
        <v>-9973865.01976603</v>
      </c>
      <c r="CJ369" s="68" t="n">
        <f aca="false">SUM(CJ361:CJ368)</f>
        <v>-10391816.8717943</v>
      </c>
      <c r="CK369" s="68" t="n">
        <f aca="false">SUM(CK361:CK368)</f>
        <v>-10817827.7608631</v>
      </c>
      <c r="CL369" s="68" t="n">
        <f aca="false">SUM(CL361:CL368)</f>
        <v>-11243838.6499319</v>
      </c>
      <c r="CM369" s="68" t="n">
        <f aca="false">SUM(CM361:CM368)</f>
        <v>-11669849.5390007</v>
      </c>
      <c r="CN369" s="68" t="n">
        <f aca="false">SUM(CN361:CN368)</f>
        <v>-12095860.4280695</v>
      </c>
      <c r="CO369" s="68" t="n">
        <f aca="false">SUM(CO361:CO368)</f>
        <v>-12521871.3171383</v>
      </c>
      <c r="CP369" s="68" t="n">
        <f aca="false">SUM(CP361:CP368)</f>
        <v>-12947882.2062071</v>
      </c>
      <c r="CQ369" s="68" t="n">
        <f aca="false">SUM(CQ361:CQ368)</f>
        <v>-13373893.0952759</v>
      </c>
      <c r="CR369" s="68" t="n">
        <f aca="false">SUM(CR361:CR368)</f>
        <v>-13799903.9843447</v>
      </c>
      <c r="CS369" s="68" t="n">
        <f aca="false">SUM(CS361:CS368)</f>
        <v>-14225914.8734135</v>
      </c>
      <c r="CT369" s="68" t="n">
        <f aca="false">SUM(CT361:CT368)</f>
        <v>-14611572.9484403</v>
      </c>
      <c r="CU369" s="68" t="n">
        <f aca="false">SUM(CU361:CU368)</f>
        <v>-14997231.023467</v>
      </c>
      <c r="CV369" s="68" t="n">
        <f aca="false">SUM(CV361:CV368)</f>
        <v>-15382889.0984938</v>
      </c>
      <c r="CW369" s="68" t="n">
        <f aca="false">SUM(CW361:CW368)</f>
        <v>-15775960.3350211</v>
      </c>
      <c r="CX369" s="68" t="n">
        <f aca="false">SUM(CX361:CX368)</f>
        <v>-16169031.5715484</v>
      </c>
      <c r="CY369" s="68" t="n">
        <f aca="false">SUM(CY361:CY368)</f>
        <v>-16562102.8080758</v>
      </c>
      <c r="CZ369" s="68" t="n">
        <f aca="false">SUM(CZ361:CZ368)</f>
        <v>-16955174.0446031</v>
      </c>
      <c r="DA369" s="68" t="n">
        <f aca="false">SUM(DA361:DA368)</f>
        <v>-17348245.2811304</v>
      </c>
      <c r="DB369" s="68" t="n">
        <f aca="false">SUM(DB361:DB368)</f>
        <v>-17741316.5176577</v>
      </c>
      <c r="DC369" s="68" t="n">
        <f aca="false">SUM(DC361:DC368)</f>
        <v>-18134387.754185</v>
      </c>
      <c r="DD369" s="68" t="n">
        <f aca="false">SUM(DD361:DD368)</f>
        <v>-18527458.9907123</v>
      </c>
      <c r="DE369" s="68" t="n">
        <f aca="false">SUM(DE361:DE368)</f>
        <v>-18920530.2272396</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-4163308.80295402</v>
      </c>
      <c r="AB372" s="13" t="n">
        <f aca="false">AA378</f>
        <v>-4708498.66588033</v>
      </c>
      <c r="AC372" s="13" t="n">
        <f aca="false">AB378</f>
        <v>-4946313.52880665</v>
      </c>
      <c r="AD372" s="13" t="n">
        <f aca="false">AC378</f>
        <v>-5245140.74478096</v>
      </c>
      <c r="AE372" s="13" t="n">
        <f aca="false">AD378</f>
        <v>-5543967.96075528</v>
      </c>
      <c r="AF372" s="13" t="n">
        <f aca="false">AE378</f>
        <v>-5785420.1767296</v>
      </c>
      <c r="AG372" s="13" t="n">
        <f aca="false">AF378</f>
        <v>-6084247.39270391</v>
      </c>
      <c r="AH372" s="13" t="n">
        <f aca="false">AG378</f>
        <v>-6386232.50341507</v>
      </c>
      <c r="AI372" s="13" t="n">
        <f aca="false">AH378</f>
        <v>-6691375.50886307</v>
      </c>
      <c r="AJ372" s="13" t="n">
        <f aca="false">AI378</f>
        <v>-7006018.51431107</v>
      </c>
      <c r="AK372" s="13" t="n">
        <f aca="false">AJ378</f>
        <v>-7320661.51975907</v>
      </c>
      <c r="AL372" s="13" t="n">
        <f aca="false">AK378</f>
        <v>-7635304.52520707</v>
      </c>
      <c r="AM372" s="13" t="n">
        <f aca="false">AL378</f>
        <v>-8086313.07242622</v>
      </c>
      <c r="AN372" s="13" t="n">
        <f aca="false">AM378</f>
        <v>-8400956.07787422</v>
      </c>
      <c r="AO372" s="13" t="n">
        <f aca="false">AN378</f>
        <v>-8673718.29140654</v>
      </c>
      <c r="AP372" s="13" t="n">
        <f aca="false">AO378</f>
        <v>-8880071.39696349</v>
      </c>
      <c r="AQ372" s="13" t="n">
        <f aca="false">AP378</f>
        <v>-9086424.50252045</v>
      </c>
      <c r="AR372" s="13" t="n">
        <f aca="false">AQ378</f>
        <v>-9292777.60807741</v>
      </c>
      <c r="AS372" s="13" t="n">
        <f aca="false">AR378</f>
        <v>-9499130.71363437</v>
      </c>
      <c r="AT372" s="13" t="n">
        <f aca="false">AS378</f>
        <v>-9705483.81919133</v>
      </c>
      <c r="AU372" s="13" t="n">
        <f aca="false">AT378</f>
        <v>-9911836.92474829</v>
      </c>
      <c r="AV372" s="13" t="n">
        <f aca="false">AU378</f>
        <v>-10118190.0303053</v>
      </c>
      <c r="AW372" s="13" t="n">
        <f aca="false">AV378</f>
        <v>-10324543.1358622</v>
      </c>
      <c r="AX372" s="13" t="n">
        <f aca="false">AW378</f>
        <v>-10530896.2414192</v>
      </c>
      <c r="AY372" s="13" t="n">
        <f aca="false">AX378</f>
        <v>-10737249.3469761</v>
      </c>
      <c r="AZ372" s="13" t="n">
        <f aca="false">AY378</f>
        <v>-10943602.4525331</v>
      </c>
      <c r="BA372" s="13" t="n">
        <f aca="false">AZ378</f>
        <v>-11149955.55809</v>
      </c>
      <c r="BB372" s="13" t="n">
        <f aca="false">BA378</f>
        <v>-11360092.9657581</v>
      </c>
      <c r="BC372" s="13" t="n">
        <f aca="false">BB378</f>
        <v>-11570230.3734262</v>
      </c>
      <c r="BD372" s="13" t="n">
        <f aca="false">BC378</f>
        <v>-11780367.7810943</v>
      </c>
      <c r="BE372" s="13" t="n">
        <f aca="false">BD378</f>
        <v>-11990505.1887624</v>
      </c>
      <c r="BF372" s="13" t="n">
        <f aca="false">BE378</f>
        <v>-12200642.5964305</v>
      </c>
      <c r="BG372" s="13" t="n">
        <f aca="false">BF378</f>
        <v>-12410780.0040986</v>
      </c>
      <c r="BH372" s="13" t="n">
        <f aca="false">BG378</f>
        <v>-12620917.4117667</v>
      </c>
      <c r="BI372" s="13" t="n">
        <f aca="false">BH378</f>
        <v>-12831054.8194348</v>
      </c>
      <c r="BJ372" s="13" t="n">
        <f aca="false">BI378</f>
        <v>-13041192.2271029</v>
      </c>
      <c r="BK372" s="13" t="n">
        <f aca="false">BJ378</f>
        <v>-13251329.634771</v>
      </c>
      <c r="BL372" s="13" t="n">
        <f aca="false">BK378</f>
        <v>-13461467.0424391</v>
      </c>
      <c r="BM372" s="13" t="n">
        <f aca="false">BL378</f>
        <v>-13671604.4501072</v>
      </c>
      <c r="BN372" s="13" t="n">
        <f aca="false">BM378</f>
        <v>-13885601.8459287</v>
      </c>
      <c r="BO372" s="13" t="n">
        <f aca="false">BN378</f>
        <v>-14099599.2417502</v>
      </c>
      <c r="BP372" s="13" t="n">
        <f aca="false">BO378</f>
        <v>-14313596.6375716</v>
      </c>
      <c r="BQ372" s="13" t="n">
        <f aca="false">BP378</f>
        <v>-14527594.0333931</v>
      </c>
      <c r="BR372" s="13" t="n">
        <f aca="false">BQ378</f>
        <v>-14741591.4292145</v>
      </c>
      <c r="BS372" s="13" t="n">
        <f aca="false">BR378</f>
        <v>-14902338.475036</v>
      </c>
      <c r="BT372" s="13" t="n">
        <f aca="false">BS378</f>
        <v>-15116335.8708575</v>
      </c>
      <c r="BU372" s="13" t="n">
        <f aca="false">BT378</f>
        <v>-15330333.2666789</v>
      </c>
      <c r="BV372" s="13" t="n">
        <f aca="false">BU378</f>
        <v>-15476568.6625004</v>
      </c>
      <c r="BW372" s="13" t="n">
        <f aca="false">BV378</f>
        <v>-15690566.0583218</v>
      </c>
      <c r="BX372" s="13" t="n">
        <f aca="false">BW378</f>
        <v>-15904563.4541433</v>
      </c>
      <c r="BY372" s="13" t="n">
        <f aca="false">BX378</f>
        <v>-16050798.8499648</v>
      </c>
      <c r="BZ372" s="13" t="n">
        <f aca="false">BY378</f>
        <v>-16268733.4337027</v>
      </c>
      <c r="CA372" s="13" t="n">
        <f aca="false">BZ378</f>
        <v>-16486668.0174406</v>
      </c>
      <c r="CB372" s="13" t="n">
        <f aca="false">CA378</f>
        <v>-16636840.6011784</v>
      </c>
      <c r="CC372" s="13" t="n">
        <f aca="false">CB378</f>
        <v>-16854775.1849163</v>
      </c>
      <c r="CD372" s="13" t="n">
        <f aca="false">CC378</f>
        <v>-17072709.7686542</v>
      </c>
      <c r="CE372" s="13" t="n">
        <f aca="false">CD378</f>
        <v>-17214145.3523921</v>
      </c>
      <c r="CF372" s="13" t="n">
        <f aca="false">CE378</f>
        <v>-17432079.93613</v>
      </c>
      <c r="CG372" s="13" t="n">
        <f aca="false">CF378</f>
        <v>-17650014.5198679</v>
      </c>
      <c r="CH372" s="13" t="n">
        <f aca="false">CG378</f>
        <v>-17791450.1036058</v>
      </c>
      <c r="CI372" s="13" t="n">
        <f aca="false">CH378</f>
        <v>-18009384.6873437</v>
      </c>
      <c r="CJ372" s="13" t="n">
        <f aca="false">CI378</f>
        <v>-18227319.2710816</v>
      </c>
      <c r="CK372" s="13" t="n">
        <f aca="false">CJ378</f>
        <v>-18362146.828213</v>
      </c>
      <c r="CL372" s="13" t="n">
        <f aca="false">CK378</f>
        <v>-18426236.3436256</v>
      </c>
      <c r="CM372" s="13" t="n">
        <f aca="false">CL378</f>
        <v>-18490325.8590383</v>
      </c>
      <c r="CN372" s="13" t="n">
        <f aca="false">CM378</f>
        <v>-18554415.3744509</v>
      </c>
      <c r="CO372" s="13" t="n">
        <f aca="false">CN378</f>
        <v>-18618504.8898636</v>
      </c>
      <c r="CP372" s="13" t="n">
        <f aca="false">CO378</f>
        <v>-18682594.4052762</v>
      </c>
      <c r="CQ372" s="13" t="n">
        <f aca="false">CP378</f>
        <v>-18746683.9206889</v>
      </c>
      <c r="CR372" s="13" t="n">
        <f aca="false">CQ378</f>
        <v>-18810773.4361015</v>
      </c>
      <c r="CS372" s="13" t="n">
        <f aca="false">CR378</f>
        <v>-18874862.9515142</v>
      </c>
      <c r="CT372" s="13" t="n">
        <f aca="false">CS378</f>
        <v>-18938952.4669268</v>
      </c>
      <c r="CU372" s="13" t="n">
        <f aca="false">CT378</f>
        <v>-18997131.0373413</v>
      </c>
      <c r="CV372" s="13" t="n">
        <f aca="false">CU378</f>
        <v>-19055309.6077559</v>
      </c>
      <c r="CW372" s="13" t="n">
        <f aca="false">CV378</f>
        <v>-19113488.1781704</v>
      </c>
      <c r="CX372" s="13" t="n">
        <f aca="false">CW378</f>
        <v>-19175644.7799932</v>
      </c>
      <c r="CY372" s="13" t="n">
        <f aca="false">CX378</f>
        <v>-19237801.3818161</v>
      </c>
      <c r="CZ372" s="13" t="n">
        <f aca="false">CY378</f>
        <v>-19299957.9836389</v>
      </c>
      <c r="DA372" s="13" t="n">
        <f aca="false">CZ378</f>
        <v>-19362114.5854617</v>
      </c>
      <c r="DB372" s="13" t="n">
        <f aca="false">DA378</f>
        <v>-19424271.1872845</v>
      </c>
      <c r="DC372" s="13" t="n">
        <f aca="false">DB378</f>
        <v>-19486427.7891074</v>
      </c>
      <c r="DD372" s="13" t="n">
        <f aca="false">DC378</f>
        <v>-19548584.3909302</v>
      </c>
      <c r="DE372" s="13" t="n">
        <f aca="false">DD378</f>
        <v>-19610740.992753</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-62156.601822827</v>
      </c>
      <c r="CX373" s="13" t="n">
        <f aca="false">CX293-CX258</f>
        <v>-62156.601822827</v>
      </c>
      <c r="CY373" s="13" t="n">
        <f aca="false">CY293-CY258</f>
        <v>-62156.601822827</v>
      </c>
      <c r="CZ373" s="13" t="n">
        <f aca="false">CZ293-CZ258</f>
        <v>-62156.601822827</v>
      </c>
      <c r="DA373" s="13" t="n">
        <f aca="false">DA293-DA258</f>
        <v>-62156.601822827</v>
      </c>
      <c r="DB373" s="13" t="n">
        <f aca="false">DB293-DB258</f>
        <v>-62156.601822827</v>
      </c>
      <c r="DC373" s="13" t="n">
        <f aca="false">DC293-DC258</f>
        <v>-62156.601822827</v>
      </c>
      <c r="DD373" s="13" t="n">
        <f aca="false">DD293-DD258</f>
        <v>-62156.601822827</v>
      </c>
      <c r="DE373" s="13" t="n">
        <f aca="false">DE293-DE258</f>
        <v>-62156.601822827</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-4163308.80295402</v>
      </c>
      <c r="AA378" s="68" t="n">
        <f aca="false">AA372+AA373+AA375+AA376+AA377+AA374+AA382</f>
        <v>-4708498.66588033</v>
      </c>
      <c r="AB378" s="68" t="n">
        <f aca="false">AB372+AB373+AB375+AB376+AB377+AB374+AB382</f>
        <v>-4946313.52880665</v>
      </c>
      <c r="AC378" s="68" t="n">
        <f aca="false">AC372+AC373+AC375+AC376+AC377+AC374+AC382</f>
        <v>-5245140.74478096</v>
      </c>
      <c r="AD378" s="68" t="n">
        <f aca="false">AD372+AD373+AD375+AD376+AD377+AD374+AD382</f>
        <v>-5543967.96075528</v>
      </c>
      <c r="AE378" s="68" t="n">
        <f aca="false">AE372+AE373+AE375+AE376+AE377+AE374+AE382</f>
        <v>-5785420.1767296</v>
      </c>
      <c r="AF378" s="68" t="n">
        <f aca="false">AF372+AF373+AF375+AF376+AF377+AF374+AF382</f>
        <v>-6084247.39270391</v>
      </c>
      <c r="AG378" s="68" t="n">
        <f aca="false">AG372+AG373+AG375+AG376+AG377+AG374+AG382</f>
        <v>-6386232.50341507</v>
      </c>
      <c r="AH378" s="68" t="n">
        <f aca="false">AH372+AH373+AH375+AH376+AH377+AH374+AH382</f>
        <v>-6691375.50886307</v>
      </c>
      <c r="AI378" s="68" t="n">
        <f aca="false">AI372+AI373+AI375+AI376+AI377+AI374+AI382</f>
        <v>-7006018.51431107</v>
      </c>
      <c r="AJ378" s="68" t="n">
        <f aca="false">AJ372+AJ373+AJ375+AJ376+AJ377+AJ374+AJ382</f>
        <v>-7320661.51975907</v>
      </c>
      <c r="AK378" s="68" t="n">
        <f aca="false">AK372+AK373+AK375+AK376+AK377+AK374+AK382</f>
        <v>-7635304.52520707</v>
      </c>
      <c r="AL378" s="68" t="n">
        <f aca="false">AL372+AL373+AL375+AL376+AL377+AL374+AL382</f>
        <v>-8086313.07242622</v>
      </c>
      <c r="AM378" s="68" t="n">
        <f aca="false">AM372+AM373+AM375+AM376+AM377+AM374+AM382</f>
        <v>-8400956.07787422</v>
      </c>
      <c r="AN378" s="68" t="n">
        <f aca="false">AN372+AN373+AN375+AN376+AN377+AN374+AN382</f>
        <v>-8673718.29140654</v>
      </c>
      <c r="AO378" s="68" t="n">
        <f aca="false">AO372+AO373+AO375+AO376+AO377+AO374+AO382</f>
        <v>-8880071.39696349</v>
      </c>
      <c r="AP378" s="68" t="n">
        <f aca="false">AP372+AP373+AP375+AP376+AP377+AP374+AP382</f>
        <v>-9086424.50252045</v>
      </c>
      <c r="AQ378" s="68" t="n">
        <f aca="false">AQ372+AQ373+AQ375+AQ376+AQ377+AQ374+AQ382</f>
        <v>-9292777.60807741</v>
      </c>
      <c r="AR378" s="68" t="n">
        <f aca="false">AR372+AR373+AR375+AR376+AR377+AR374+AR382</f>
        <v>-9499130.71363437</v>
      </c>
      <c r="AS378" s="68" t="n">
        <f aca="false">AS372+AS373+AS375+AS376+AS377+AS374+AS382</f>
        <v>-9705483.81919133</v>
      </c>
      <c r="AT378" s="68" t="n">
        <f aca="false">AT372+AT373+AT375+AT376+AT377+AT374+AT382</f>
        <v>-9911836.92474829</v>
      </c>
      <c r="AU378" s="68" t="n">
        <f aca="false">AU372+AU373+AU375+AU376+AU377+AU374+AU382</f>
        <v>-10118190.0303053</v>
      </c>
      <c r="AV378" s="68" t="n">
        <f aca="false">AV372+AV373+AV375+AV376+AV377+AV374+AV382</f>
        <v>-10324543.1358622</v>
      </c>
      <c r="AW378" s="68" t="n">
        <f aca="false">AW372+AW373+AW375+AW376+AW377+AW374+AW382</f>
        <v>-10530896.2414192</v>
      </c>
      <c r="AX378" s="68" t="n">
        <f aca="false">AX372+AX373+AX375+AX376+AX377+AX374+AX382</f>
        <v>-10737249.3469761</v>
      </c>
      <c r="AY378" s="68" t="n">
        <f aca="false">AY372+AY373+AY375+AY376+AY377+AY374+AY382</f>
        <v>-10943602.4525331</v>
      </c>
      <c r="AZ378" s="68" t="n">
        <f aca="false">AZ372+AZ373+AZ375+AZ376+AZ377+AZ374+AZ382</f>
        <v>-11149955.55809</v>
      </c>
      <c r="BA378" s="68" t="n">
        <f aca="false">BA372+BA373+BA375+BA376+BA377+BA374+BA382</f>
        <v>-11360092.9657581</v>
      </c>
      <c r="BB378" s="68" t="n">
        <f aca="false">BB372+BB373+BB375+BB376+BB377+BB374+BB382</f>
        <v>-11570230.3734262</v>
      </c>
      <c r="BC378" s="68" t="n">
        <f aca="false">BC372+BC373+BC375+BC376+BC377+BC374+BC382</f>
        <v>-11780367.7810943</v>
      </c>
      <c r="BD378" s="68" t="n">
        <f aca="false">BD372+BD373+BD375+BD376+BD377+BD374+BD382</f>
        <v>-11990505.1887624</v>
      </c>
      <c r="BE378" s="68" t="n">
        <f aca="false">BE372+BE373+BE375+BE376+BE377+BE374+BE382</f>
        <v>-12200642.5964305</v>
      </c>
      <c r="BF378" s="68" t="n">
        <f aca="false">BF372+BF373+BF375+BF376+BF377+BF374+BF382</f>
        <v>-12410780.0040986</v>
      </c>
      <c r="BG378" s="68" t="n">
        <f aca="false">BG372+BG373+BG375+BG376+BG377+BG374+BG382</f>
        <v>-12620917.4117667</v>
      </c>
      <c r="BH378" s="68" t="n">
        <f aca="false">BH372+BH373+BH375+BH376+BH377+BH374+BH382</f>
        <v>-12831054.8194348</v>
      </c>
      <c r="BI378" s="68" t="n">
        <f aca="false">BI372+BI373+BI375+BI376+BI377+BI374+BI382</f>
        <v>-13041192.2271029</v>
      </c>
      <c r="BJ378" s="68" t="n">
        <f aca="false">BJ372+BJ373+BJ375+BJ376+BJ377+BJ374+BJ382</f>
        <v>-13251329.634771</v>
      </c>
      <c r="BK378" s="68" t="n">
        <f aca="false">BK372+BK373+BK375+BK376+BK377+BK374+BK382</f>
        <v>-13461467.0424391</v>
      </c>
      <c r="BL378" s="68" t="n">
        <f aca="false">BL372+BL373+BL375+BL376+BL377+BL374+BL382</f>
        <v>-13671604.4501072</v>
      </c>
      <c r="BM378" s="68" t="n">
        <f aca="false">BM372+BM373+BM375+BM376+BM377+BM374+BM382</f>
        <v>-13885601.8459287</v>
      </c>
      <c r="BN378" s="68" t="n">
        <f aca="false">BN372+BN373+BN375+BN376+BN377+BN374+BN382</f>
        <v>-14099599.2417502</v>
      </c>
      <c r="BO378" s="68" t="n">
        <f aca="false">BO372+BO373+BO375+BO376+BO377+BO374+BO382</f>
        <v>-14313596.6375716</v>
      </c>
      <c r="BP378" s="68" t="n">
        <f aca="false">BP372+BP373+BP375+BP376+BP377+BP374+BP382</f>
        <v>-14527594.0333931</v>
      </c>
      <c r="BQ378" s="68" t="n">
        <f aca="false">BQ372+BQ373+BQ375+BQ376+BQ377+BQ374+BQ382</f>
        <v>-14741591.4292145</v>
      </c>
      <c r="BR378" s="68" t="n">
        <f aca="false">BR372+BR373+BR375+BR376+BR377+BR374+BR382</f>
        <v>-14902338.475036</v>
      </c>
      <c r="BS378" s="68" t="n">
        <f aca="false">BS372+BS373+BS375+BS376+BS377+BS374+BS382</f>
        <v>-15116335.8708575</v>
      </c>
      <c r="BT378" s="68" t="n">
        <f aca="false">BT372+BT373+BT375+BT376+BT377+BT374+BT382</f>
        <v>-15330333.2666789</v>
      </c>
      <c r="BU378" s="68" t="n">
        <f aca="false">BU372+BU373+BU375+BU376+BU377+BU374+BU382</f>
        <v>-15476568.6625004</v>
      </c>
      <c r="BV378" s="68" t="n">
        <f aca="false">BV372+BV373+BV375+BV376+BV377+BV374+BV382</f>
        <v>-15690566.0583218</v>
      </c>
      <c r="BW378" s="68" t="n">
        <f aca="false">BW372+BW373+BW375+BW376+BW377+BW374+BW382</f>
        <v>-15904563.4541433</v>
      </c>
      <c r="BX378" s="68" t="n">
        <f aca="false">BX372+BX373+BX375+BX376+BX377+BX374+BX382</f>
        <v>-16050798.8499648</v>
      </c>
      <c r="BY378" s="68" t="n">
        <f aca="false">BY372+BY373+BY375+BY376+BY377+BY374+BY382</f>
        <v>-16268733.4337027</v>
      </c>
      <c r="BZ378" s="68" t="n">
        <f aca="false">BZ372+BZ373+BZ375+BZ376+BZ377+BZ374+BZ382</f>
        <v>-16486668.0174406</v>
      </c>
      <c r="CA378" s="68" t="n">
        <f aca="false">CA372+CA373+CA375+CA376+CA377+CA374+CA382</f>
        <v>-16636840.6011784</v>
      </c>
      <c r="CB378" s="68" t="n">
        <f aca="false">CB372+CB373+CB375+CB376+CB377+CB374+CB382</f>
        <v>-16854775.1849163</v>
      </c>
      <c r="CC378" s="68" t="n">
        <f aca="false">CC372+CC373+CC375+CC376+CC377+CC374+CC382</f>
        <v>-17072709.7686542</v>
      </c>
      <c r="CD378" s="68" t="n">
        <f aca="false">CD372+CD373+CD375+CD376+CD377+CD374+CD382</f>
        <v>-17214145.3523921</v>
      </c>
      <c r="CE378" s="68" t="n">
        <f aca="false">CE372+CE373+CE375+CE376+CE377+CE374+CE382</f>
        <v>-17432079.93613</v>
      </c>
      <c r="CF378" s="68" t="n">
        <f aca="false">CF372+CF373+CF375+CF376+CF377+CF374+CF382</f>
        <v>-17650014.5198679</v>
      </c>
      <c r="CG378" s="68" t="n">
        <f aca="false">CG372+CG373+CG375+CG376+CG377+CG374+CG382</f>
        <v>-17791450.1036058</v>
      </c>
      <c r="CH378" s="68" t="n">
        <f aca="false">CH372+CH373+CH375+CH376+CH377+CH374+CH382</f>
        <v>-18009384.6873437</v>
      </c>
      <c r="CI378" s="68" t="n">
        <f aca="false">CI372+CI373+CI375+CI376+CI377+CI374+CI382</f>
        <v>-18227319.2710816</v>
      </c>
      <c r="CJ378" s="68" t="n">
        <f aca="false">CJ372+CJ373+CJ375+CJ376+CJ377+CJ374+CJ382</f>
        <v>-18362146.828213</v>
      </c>
      <c r="CK378" s="68" t="n">
        <f aca="false">CK372+CK373+CK375+CK376+CK377+CK374+CK382</f>
        <v>-18426236.3436256</v>
      </c>
      <c r="CL378" s="68" t="n">
        <f aca="false">CL372+CL373+CL375+CL376+CL377+CL374+CL382</f>
        <v>-18490325.8590383</v>
      </c>
      <c r="CM378" s="68" t="n">
        <f aca="false">CM372+CM373+CM375+CM376+CM377+CM374+CM382</f>
        <v>-18554415.3744509</v>
      </c>
      <c r="CN378" s="68" t="n">
        <f aca="false">CN372+CN373+CN375+CN376+CN377+CN374+CN382</f>
        <v>-18618504.8898636</v>
      </c>
      <c r="CO378" s="68" t="n">
        <f aca="false">CO372+CO373+CO375+CO376+CO377+CO374+CO382</f>
        <v>-18682594.4052762</v>
      </c>
      <c r="CP378" s="68" t="n">
        <f aca="false">CP372+CP373+CP375+CP376+CP377+CP374+CP382</f>
        <v>-18746683.9206889</v>
      </c>
      <c r="CQ378" s="68" t="n">
        <f aca="false">CQ372+CQ373+CQ375+CQ376+CQ377+CQ374+CQ382</f>
        <v>-18810773.4361015</v>
      </c>
      <c r="CR378" s="68" t="n">
        <f aca="false">CR372+CR373+CR375+CR376+CR377+CR374+CR382</f>
        <v>-18874862.9515142</v>
      </c>
      <c r="CS378" s="68" t="n">
        <f aca="false">CS372+CS373+CS375+CS376+CS377+CS374+CS382</f>
        <v>-18938952.4669268</v>
      </c>
      <c r="CT378" s="68" t="n">
        <f aca="false">CT372+CT373+CT375+CT376+CT377+CT374+CT382</f>
        <v>-18997131.0373413</v>
      </c>
      <c r="CU378" s="68" t="n">
        <f aca="false">CU372+CU373+CU375+CU376+CU377+CU374+CU382</f>
        <v>-19055309.6077559</v>
      </c>
      <c r="CV378" s="68" t="n">
        <f aca="false">CV372+CV373+CV375+CV376+CV377+CV374+CV382</f>
        <v>-19113488.1781704</v>
      </c>
      <c r="CW378" s="68" t="n">
        <f aca="false">CW372+CW373+CW375+CW376+CW377+CW374+CW382</f>
        <v>-19175644.7799932</v>
      </c>
      <c r="CX378" s="68" t="n">
        <f aca="false">CX372+CX373+CX375+CX376+CX377+CX374+CX382</f>
        <v>-19237801.3818161</v>
      </c>
      <c r="CY378" s="68" t="n">
        <f aca="false">CY372+CY373+CY375+CY376+CY377+CY374+CY382</f>
        <v>-19299957.9836389</v>
      </c>
      <c r="CZ378" s="68" t="n">
        <f aca="false">CZ372+CZ373+CZ375+CZ376+CZ377+CZ374+CZ382</f>
        <v>-19362114.5854617</v>
      </c>
      <c r="DA378" s="68" t="n">
        <f aca="false">DA372+DA373+DA375+DA376+DA377+DA374+DA382</f>
        <v>-19424271.1872845</v>
      </c>
      <c r="DB378" s="68" t="n">
        <f aca="false">DB372+DB373+DB375+DB376+DB377+DB374+DB382</f>
        <v>-19486427.7891074</v>
      </c>
      <c r="DC378" s="68" t="n">
        <f aca="false">DC372+DC373+DC375+DC376+DC377+DC374+DC382</f>
        <v>-19548584.3909302</v>
      </c>
      <c r="DD378" s="68" t="n">
        <f aca="false">DD372+DD373+DD375+DD376+DD377+DD374+DD382</f>
        <v>-19610740.992753</v>
      </c>
      <c r="DE378" s="68" t="n">
        <f aca="false">DE372+DE373+DE375+DE376+DE377+DE374+DE382</f>
        <v>-19672897.5945759</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542578.857155953</v>
      </c>
      <c r="S381" s="13" t="n">
        <f aca="false">S361+S372</f>
        <v>637204.846788336</v>
      </c>
      <c r="T381" s="13" t="n">
        <f aca="false">T361+T372</f>
        <v>691526.50221786</v>
      </c>
      <c r="U381" s="13" t="n">
        <f aca="false">U361+U372</f>
        <v>86594.0880395742</v>
      </c>
      <c r="V381" s="13" t="n">
        <f aca="false">V361+V372</f>
        <v>341518.395026312</v>
      </c>
      <c r="W381" s="13" t="n">
        <f aca="false">W361+W372</f>
        <v>546661.638013051</v>
      </c>
      <c r="X381" s="13" t="n">
        <f aca="false">X361+X372</f>
        <v>802738.368999789</v>
      </c>
      <c r="Y381" s="13" t="n">
        <f aca="false">Y361+Y372</f>
        <v>779769.608986528</v>
      </c>
      <c r="Z381" s="13" t="n">
        <f aca="false">Z361+Z372</f>
        <v>974413.724973267</v>
      </c>
      <c r="AA381" s="13" t="n">
        <f aca="false">AA361+AA372</f>
        <v>109630.842804156</v>
      </c>
      <c r="AB381" s="13" t="n">
        <f aca="false">AB361+AB372</f>
        <v>44357.3671370484</v>
      </c>
      <c r="AC381" s="13" t="n">
        <f aca="false">AC361+AC372</f>
        <v>203933.420937872</v>
      </c>
      <c r="AD381" s="13" t="n">
        <f aca="false">AD361+AD372</f>
        <v>99949.5298083341</v>
      </c>
      <c r="AE381" s="13" t="n">
        <f aca="false">AE361+AE372</f>
        <v>-73968.9997058194</v>
      </c>
      <c r="AF381" s="13" t="n">
        <f aca="false">AF361+AF372</f>
        <v>-145142.510912281</v>
      </c>
      <c r="AG381" s="13" t="n">
        <f aca="false">AG361+AG372</f>
        <v>-164381.361736026</v>
      </c>
      <c r="AH381" s="13" t="n">
        <f aca="false">AH361+AH372</f>
        <v>-93507.1359678451</v>
      </c>
      <c r="AI381" s="13" t="n">
        <f aca="false">AI361+AI372</f>
        <v>-140500.261341094</v>
      </c>
      <c r="AJ381" s="13" t="n">
        <f aca="false">AJ361+AJ372</f>
        <v>-323457.33956086</v>
      </c>
      <c r="AK381" s="13" t="n">
        <f aca="false">AK361+AK372</f>
        <v>-384866.668191263</v>
      </c>
      <c r="AL381" s="13" t="n">
        <f aca="false">AL361+AL372</f>
        <v>-554423.771381223</v>
      </c>
      <c r="AM381" s="13" t="n">
        <f aca="false">AM361+AM372</f>
        <v>-1115021.06065122</v>
      </c>
      <c r="AN381" s="13" t="n">
        <f aca="false">AN361+AN372</f>
        <v>-1525734.78015006</v>
      </c>
      <c r="AO381" s="13" t="n">
        <f aca="false">AO361+AO372</f>
        <v>-1620153.26623322</v>
      </c>
      <c r="AP381" s="13" t="n">
        <f aca="false">AP361+AP372</f>
        <v>-2017922.85784913</v>
      </c>
      <c r="AQ381" s="13" t="n">
        <f aca="false">AQ361+AQ372</f>
        <v>-2455040.99946504</v>
      </c>
      <c r="AR381" s="13" t="n">
        <f aca="false">AR361+AR372</f>
        <v>-2892159.14108095</v>
      </c>
      <c r="AS381" s="13" t="n">
        <f aca="false">AS361+AS372</f>
        <v>-3329277.28269685</v>
      </c>
      <c r="AT381" s="13" t="n">
        <f aca="false">AT361+AT372</f>
        <v>-3766395.42431276</v>
      </c>
      <c r="AU381" s="13" t="n">
        <f aca="false">AU361+AU372</f>
        <v>-4203513.56592867</v>
      </c>
      <c r="AV381" s="13" t="n">
        <f aca="false">AV361+AV372</f>
        <v>-4640631.70754458</v>
      </c>
      <c r="AW381" s="13" t="n">
        <f aca="false">AW361+AW372</f>
        <v>-4818888.54307466</v>
      </c>
      <c r="AX381" s="13" t="n">
        <f aca="false">AX361+AX372</f>
        <v>-4974892.38913421</v>
      </c>
      <c r="AY381" s="13" t="n">
        <f aca="false">AY361+AY372</f>
        <v>-5575956.02460447</v>
      </c>
      <c r="AZ381" s="13" t="n">
        <f aca="false">AZ361+AZ372</f>
        <v>-6177019.66007473</v>
      </c>
      <c r="BA381" s="13" t="n">
        <f aca="false">BA361+BA372</f>
        <v>-6778083.295545</v>
      </c>
      <c r="BB381" s="13" t="n">
        <f aca="false">BB361+BB372</f>
        <v>-7390525.44372467</v>
      </c>
      <c r="BC381" s="13" t="n">
        <f aca="false">BC361+BC372</f>
        <v>-8002967.59190434</v>
      </c>
      <c r="BD381" s="13" t="n">
        <f aca="false">BD361+BD372</f>
        <v>-8615409.740084</v>
      </c>
      <c r="BE381" s="13" t="n">
        <f aca="false">BE361+BE372</f>
        <v>-9227851.88826367</v>
      </c>
      <c r="BF381" s="13" t="n">
        <f aca="false">BF361+BF372</f>
        <v>-9840294.03644334</v>
      </c>
      <c r="BG381" s="13" t="n">
        <f aca="false">BG361+BG372</f>
        <v>-10452736.184623</v>
      </c>
      <c r="BH381" s="13" t="n">
        <f aca="false">BH361+BH372</f>
        <v>-11065178.3328027</v>
      </c>
      <c r="BI381" s="13" t="n">
        <f aca="false">BI361+BI372</f>
        <v>-11677620.4809823</v>
      </c>
      <c r="BJ381" s="13" t="n">
        <f aca="false">BJ361+BJ372</f>
        <v>-12290062.629162</v>
      </c>
      <c r="BK381" s="13" t="n">
        <f aca="false">BK361+BK372</f>
        <v>-12902504.7773417</v>
      </c>
      <c r="BL381" s="13" t="n">
        <f aca="false">BL361+BL372</f>
        <v>-13514946.9255214</v>
      </c>
      <c r="BM381" s="13" t="n">
        <f aca="false">BM361+BM372</f>
        <v>-14127389.073701</v>
      </c>
      <c r="BN381" s="13" t="n">
        <f aca="false">BN361+BN372</f>
        <v>-14751437.3048443</v>
      </c>
      <c r="BO381" s="13" t="n">
        <f aca="false">BO361+BO372</f>
        <v>-15375485.5359876</v>
      </c>
      <c r="BP381" s="13" t="n">
        <f aca="false">BP361+BP372</f>
        <v>-15999533.7671308</v>
      </c>
      <c r="BQ381" s="13" t="n">
        <f aca="false">BQ361+BQ372</f>
        <v>-16623581.9982741</v>
      </c>
      <c r="BR381" s="13" t="n">
        <f aca="false">BR361+BR372</f>
        <v>-17247630.2294173</v>
      </c>
      <c r="BS381" s="13" t="n">
        <f aca="false">BS361+BS372</f>
        <v>-17818428.1105606</v>
      </c>
      <c r="BT381" s="13" t="n">
        <f aca="false">BT361+BT372</f>
        <v>-18442476.3417039</v>
      </c>
      <c r="BU381" s="13" t="n">
        <f aca="false">BU361+BU372</f>
        <v>-19066524.5728471</v>
      </c>
      <c r="BV381" s="13" t="n">
        <f aca="false">BV361+BV372</f>
        <v>-19622810.8039904</v>
      </c>
      <c r="BW381" s="13" t="n">
        <f aca="false">BW361+BW372</f>
        <v>-20246859.0351337</v>
      </c>
      <c r="BX381" s="13" t="n">
        <f aca="false">BX361+BX372</f>
        <v>-20870907.2662769</v>
      </c>
      <c r="BY381" s="13" t="n">
        <f aca="false">BY361+BY372</f>
        <v>-21427193.4974202</v>
      </c>
      <c r="BZ381" s="13" t="n">
        <f aca="false">BZ361+BZ372</f>
        <v>-22063079.9331863</v>
      </c>
      <c r="CA381" s="13" t="n">
        <f aca="false">CA361+CA372</f>
        <v>-22698966.3689524</v>
      </c>
      <c r="CB381" s="13" t="n">
        <f aca="false">CB361+CB372</f>
        <v>-23267090.8047186</v>
      </c>
      <c r="CC381" s="13" t="n">
        <f aca="false">CC361+CC372</f>
        <v>-23902977.2404847</v>
      </c>
      <c r="CD381" s="13" t="n">
        <f aca="false">CD361+CD372</f>
        <v>-24538863.6762508</v>
      </c>
      <c r="CE381" s="13" t="n">
        <f aca="false">CE361+CE372</f>
        <v>-25098251.112017</v>
      </c>
      <c r="CF381" s="13" t="n">
        <f aca="false">CF361+CF372</f>
        <v>-25734137.5477831</v>
      </c>
      <c r="CG381" s="13" t="n">
        <f aca="false">CG361+CG372</f>
        <v>-26370023.9835492</v>
      </c>
      <c r="CH381" s="13" t="n">
        <f aca="false">CH361+CH372</f>
        <v>-26929411.4193153</v>
      </c>
      <c r="CI381" s="13" t="n">
        <f aca="false">CI361+CI372</f>
        <v>-27565297.8550815</v>
      </c>
      <c r="CJ381" s="13" t="n">
        <f aca="false">CJ361+CJ372</f>
        <v>-28201184.2908476</v>
      </c>
      <c r="CK381" s="13" t="n">
        <f aca="false">CK361+CK372</f>
        <v>-28753963.7000072</v>
      </c>
      <c r="CL381" s="13" t="n">
        <f aca="false">CL361+CL372</f>
        <v>-29244064.1044887</v>
      </c>
      <c r="CM381" s="13" t="n">
        <f aca="false">CM361+CM372</f>
        <v>-29734164.5089701</v>
      </c>
      <c r="CN381" s="13" t="n">
        <f aca="false">CN361+CN372</f>
        <v>-30224264.9134516</v>
      </c>
      <c r="CO381" s="13" t="n">
        <f aca="false">CO361+CO372</f>
        <v>-30714365.317933</v>
      </c>
      <c r="CP381" s="13" t="n">
        <f aca="false">CP361+CP372</f>
        <v>-31204465.7224145</v>
      </c>
      <c r="CQ381" s="13" t="n">
        <f aca="false">CQ361+CQ372</f>
        <v>-31694566.1268959</v>
      </c>
      <c r="CR381" s="13" t="n">
        <f aca="false">CR361+CR372</f>
        <v>-32184666.5313774</v>
      </c>
      <c r="CS381" s="13" t="n">
        <f aca="false">CS361+CS372</f>
        <v>-32674766.9358588</v>
      </c>
      <c r="CT381" s="13" t="n">
        <f aca="false">CT361+CT372</f>
        <v>-33164867.3403403</v>
      </c>
      <c r="CU381" s="13" t="n">
        <f aca="false">CU361+CU372</f>
        <v>-33608703.9857816</v>
      </c>
      <c r="CV381" s="13" t="n">
        <f aca="false">CV361+CV372</f>
        <v>-34052540.6312229</v>
      </c>
      <c r="CW381" s="13" t="n">
        <f aca="false">CW361+CW372</f>
        <v>-34496377.2766642</v>
      </c>
      <c r="CX381" s="13" t="n">
        <f aca="false">CX361+CX372</f>
        <v>-34951605.1150144</v>
      </c>
      <c r="CY381" s="13" t="n">
        <f aca="false">CY361+CY372</f>
        <v>-35406832.9533645</v>
      </c>
      <c r="CZ381" s="13" t="n">
        <f aca="false">CZ361+CZ372</f>
        <v>-35862060.7917147</v>
      </c>
      <c r="DA381" s="13" t="n">
        <f aca="false">DA361+DA372</f>
        <v>-36317288.6300648</v>
      </c>
      <c r="DB381" s="13" t="n">
        <f aca="false">DB361+DB372</f>
        <v>-36772516.4684149</v>
      </c>
      <c r="DC381" s="13" t="n">
        <f aca="false">DC361+DC372</f>
        <v>-37227744.3067651</v>
      </c>
      <c r="DD381" s="13" t="n">
        <f aca="false">DD361+DD372</f>
        <v>-37682972.1451152</v>
      </c>
      <c r="DE381" s="13" t="n">
        <f aca="false">DE361+DE372</f>
        <v>-38138199.9834653</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-821361.542386619</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-136365.541771152</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542578.857155953</v>
      </c>
      <c r="R383" s="68" t="n">
        <f aca="false">R369+R378</f>
        <v>637204.846788336</v>
      </c>
      <c r="S383" s="68" t="n">
        <f aca="false">S369+S378</f>
        <v>691526.50221786</v>
      </c>
      <c r="T383" s="68" t="n">
        <f aca="false">T369+T378</f>
        <v>86594.0880395742</v>
      </c>
      <c r="U383" s="68" t="n">
        <f aca="false">U369+U378</f>
        <v>341518.395026312</v>
      </c>
      <c r="V383" s="68" t="n">
        <f aca="false">V369+V378</f>
        <v>546661.638013051</v>
      </c>
      <c r="W383" s="68" t="n">
        <f aca="false">W369+W378</f>
        <v>802738.368999789</v>
      </c>
      <c r="X383" s="68" t="n">
        <f aca="false">X369+X378</f>
        <v>779769.608986528</v>
      </c>
      <c r="Y383" s="68" t="n">
        <f aca="false">Y369+Y378</f>
        <v>974413.724973267</v>
      </c>
      <c r="Z383" s="68" t="n">
        <f aca="false">Z369+Z378</f>
        <v>109630.842804156</v>
      </c>
      <c r="AA383" s="68" t="n">
        <f aca="false">AA369+AA378</f>
        <v>44357.3671370484</v>
      </c>
      <c r="AB383" s="68" t="n">
        <f aca="false">AB369+AB378</f>
        <v>203933.420937872</v>
      </c>
      <c r="AC383" s="68" t="n">
        <f aca="false">AC369+AC378</f>
        <v>99949.5298083341</v>
      </c>
      <c r="AD383" s="68" t="n">
        <f aca="false">AD369+AD378</f>
        <v>-73968.9997058194</v>
      </c>
      <c r="AE383" s="68" t="n">
        <f aca="false">AE369+AE378</f>
        <v>-145142.510912281</v>
      </c>
      <c r="AF383" s="68" t="n">
        <f aca="false">AF369+AF378</f>
        <v>-164381.361736026</v>
      </c>
      <c r="AG383" s="68" t="n">
        <f aca="false">AG369+AG378</f>
        <v>-93507.1359678451</v>
      </c>
      <c r="AH383" s="68" t="n">
        <f aca="false">AH369+AH378</f>
        <v>-140500.261341094</v>
      </c>
      <c r="AI383" s="68" t="n">
        <f aca="false">AI369+AI378</f>
        <v>-323457.33956086</v>
      </c>
      <c r="AJ383" s="68" t="n">
        <f aca="false">AJ369+AJ378</f>
        <v>-384866.668191263</v>
      </c>
      <c r="AK383" s="68" t="n">
        <f aca="false">AK369+AK378</f>
        <v>-554423.771381223</v>
      </c>
      <c r="AL383" s="68" t="n">
        <f aca="false">AL369+AL378</f>
        <v>-1115021.06065122</v>
      </c>
      <c r="AM383" s="68" t="n">
        <f aca="false">AM369+AM378</f>
        <v>-1525734.78015006</v>
      </c>
      <c r="AN383" s="68" t="n">
        <f aca="false">AN369+AN378</f>
        <v>-1620153.26623322</v>
      </c>
      <c r="AO383" s="68" t="n">
        <f aca="false">AO369+AO378</f>
        <v>-2017922.85784913</v>
      </c>
      <c r="AP383" s="68" t="n">
        <f aca="false">AP369+AP378</f>
        <v>-2455040.99946504</v>
      </c>
      <c r="AQ383" s="68" t="n">
        <f aca="false">AQ369+AQ378</f>
        <v>-2892159.14108095</v>
      </c>
      <c r="AR383" s="68" t="n">
        <f aca="false">AR369+AR378</f>
        <v>-3329277.28269685</v>
      </c>
      <c r="AS383" s="68" t="n">
        <f aca="false">AS369+AS378</f>
        <v>-3766395.42431276</v>
      </c>
      <c r="AT383" s="68" t="n">
        <f aca="false">AT369+AT378</f>
        <v>-4203513.56592867</v>
      </c>
      <c r="AU383" s="68" t="n">
        <f aca="false">AU369+AU378</f>
        <v>-4640631.70754458</v>
      </c>
      <c r="AV383" s="68" t="n">
        <f aca="false">AV369+AV378</f>
        <v>-4818888.54307466</v>
      </c>
      <c r="AW383" s="68" t="n">
        <f aca="false">AW369+AW378</f>
        <v>-4974892.38913421</v>
      </c>
      <c r="AX383" s="68" t="n">
        <f aca="false">AX369+AX378</f>
        <v>-5575956.02460447</v>
      </c>
      <c r="AY383" s="68" t="n">
        <f aca="false">AY369+AY378</f>
        <v>-6177019.66007473</v>
      </c>
      <c r="AZ383" s="68" t="n">
        <f aca="false">AZ369+AZ378</f>
        <v>-6778083.295545</v>
      </c>
      <c r="BA383" s="68" t="n">
        <f aca="false">BA369+BA378</f>
        <v>-7390525.44372467</v>
      </c>
      <c r="BB383" s="68" t="n">
        <f aca="false">BB369+BB378</f>
        <v>-8002967.59190434</v>
      </c>
      <c r="BC383" s="68" t="n">
        <f aca="false">BC369+BC378</f>
        <v>-8615409.740084</v>
      </c>
      <c r="BD383" s="68" t="n">
        <f aca="false">BD369+BD378</f>
        <v>-9227851.88826367</v>
      </c>
      <c r="BE383" s="68" t="n">
        <f aca="false">BE369+BE378</f>
        <v>-9840294.03644334</v>
      </c>
      <c r="BF383" s="68" t="n">
        <f aca="false">BF369+BF378</f>
        <v>-10452736.184623</v>
      </c>
      <c r="BG383" s="68" t="n">
        <f aca="false">BG369+BG378</f>
        <v>-11065178.3328027</v>
      </c>
      <c r="BH383" s="68" t="n">
        <f aca="false">BH369+BH378</f>
        <v>-11677620.4809823</v>
      </c>
      <c r="BI383" s="68" t="n">
        <f aca="false">BI369+BI378</f>
        <v>-12290062.629162</v>
      </c>
      <c r="BJ383" s="68" t="n">
        <f aca="false">BJ369+BJ378</f>
        <v>-12902504.7773417</v>
      </c>
      <c r="BK383" s="68" t="n">
        <f aca="false">BK369+BK378</f>
        <v>-13514946.9255214</v>
      </c>
      <c r="BL383" s="68" t="n">
        <f aca="false">BL369+BL378</f>
        <v>-14127389.073701</v>
      </c>
      <c r="BM383" s="68" t="n">
        <f aca="false">BM369+BM378</f>
        <v>-14751437.3048443</v>
      </c>
      <c r="BN383" s="68" t="n">
        <f aca="false">BN369+BN378</f>
        <v>-15375485.5359876</v>
      </c>
      <c r="BO383" s="68" t="n">
        <f aca="false">BO369+BO378</f>
        <v>-15999533.7671308</v>
      </c>
      <c r="BP383" s="68" t="n">
        <f aca="false">BP369+BP378</f>
        <v>-16623581.9982741</v>
      </c>
      <c r="BQ383" s="68" t="n">
        <f aca="false">BQ369+BQ378</f>
        <v>-17247630.2294173</v>
      </c>
      <c r="BR383" s="68" t="n">
        <f aca="false">BR369+BR378</f>
        <v>-17818428.1105606</v>
      </c>
      <c r="BS383" s="68" t="n">
        <f aca="false">BS369+BS378</f>
        <v>-18442476.3417039</v>
      </c>
      <c r="BT383" s="68" t="n">
        <f aca="false">BT369+BT378</f>
        <v>-19066524.5728471</v>
      </c>
      <c r="BU383" s="68" t="n">
        <f aca="false">BU369+BU378</f>
        <v>-19622810.8039904</v>
      </c>
      <c r="BV383" s="68" t="n">
        <f aca="false">BV369+BV378</f>
        <v>-20246859.0351337</v>
      </c>
      <c r="BW383" s="68" t="n">
        <f aca="false">BW369+BW378</f>
        <v>-20870907.2662769</v>
      </c>
      <c r="BX383" s="68" t="n">
        <f aca="false">BX369+BX378</f>
        <v>-21427193.4974202</v>
      </c>
      <c r="BY383" s="68" t="n">
        <f aca="false">BY369+BY378</f>
        <v>-22063079.9331863</v>
      </c>
      <c r="BZ383" s="68" t="n">
        <f aca="false">BZ369+BZ378</f>
        <v>-22698966.3689524</v>
      </c>
      <c r="CA383" s="68" t="n">
        <f aca="false">CA369+CA378</f>
        <v>-23267090.8047186</v>
      </c>
      <c r="CB383" s="68" t="n">
        <f aca="false">CB369+CB378</f>
        <v>-23902977.2404847</v>
      </c>
      <c r="CC383" s="68" t="n">
        <f aca="false">CC369+CC378</f>
        <v>-24538863.6762508</v>
      </c>
      <c r="CD383" s="68" t="n">
        <f aca="false">CD369+CD378</f>
        <v>-25098251.112017</v>
      </c>
      <c r="CE383" s="68" t="n">
        <f aca="false">CE369+CE378</f>
        <v>-25734137.5477831</v>
      </c>
      <c r="CF383" s="68" t="n">
        <f aca="false">CF369+CF378</f>
        <v>-26370023.9835492</v>
      </c>
      <c r="CG383" s="68" t="n">
        <f aca="false">CG369+CG378</f>
        <v>-26929411.4193153</v>
      </c>
      <c r="CH383" s="68" t="n">
        <f aca="false">CH369+CH378</f>
        <v>-27565297.8550815</v>
      </c>
      <c r="CI383" s="68" t="n">
        <f aca="false">CI369+CI378</f>
        <v>-28201184.2908476</v>
      </c>
      <c r="CJ383" s="68" t="n">
        <f aca="false">CJ369+CJ378</f>
        <v>-28753963.7000072</v>
      </c>
      <c r="CK383" s="68" t="n">
        <f aca="false">CK369+CK378</f>
        <v>-29244064.1044887</v>
      </c>
      <c r="CL383" s="68" t="n">
        <f aca="false">CL369+CL378</f>
        <v>-29734164.5089701</v>
      </c>
      <c r="CM383" s="68" t="n">
        <f aca="false">CM369+CM378</f>
        <v>-30224264.9134516</v>
      </c>
      <c r="CN383" s="68" t="n">
        <f aca="false">CN369+CN378</f>
        <v>-30714365.317933</v>
      </c>
      <c r="CO383" s="68" t="n">
        <f aca="false">CO369+CO378</f>
        <v>-31204465.7224145</v>
      </c>
      <c r="CP383" s="68" t="n">
        <f aca="false">CP369+CP378</f>
        <v>-31694566.1268959</v>
      </c>
      <c r="CQ383" s="68" t="n">
        <f aca="false">CQ369+CQ378</f>
        <v>-32184666.5313774</v>
      </c>
      <c r="CR383" s="68" t="n">
        <f aca="false">CR369+CR378</f>
        <v>-32674766.9358588</v>
      </c>
      <c r="CS383" s="68" t="n">
        <f aca="false">CS369+CS378</f>
        <v>-33164867.3403403</v>
      </c>
      <c r="CT383" s="68" t="n">
        <f aca="false">CT369+CT378</f>
        <v>-33608703.9857816</v>
      </c>
      <c r="CU383" s="68" t="n">
        <f aca="false">CU369+CU378</f>
        <v>-34052540.6312229</v>
      </c>
      <c r="CV383" s="68" t="n">
        <f aca="false">CV369+CV378</f>
        <v>-34496377.2766642</v>
      </c>
      <c r="CW383" s="68" t="n">
        <f aca="false">CW369+CW378</f>
        <v>-34951605.1150144</v>
      </c>
      <c r="CX383" s="68" t="n">
        <f aca="false">CX369+CX378</f>
        <v>-35406832.9533645</v>
      </c>
      <c r="CY383" s="68" t="n">
        <f aca="false">CY369+CY378</f>
        <v>-35862060.7917147</v>
      </c>
      <c r="CZ383" s="68" t="n">
        <f aca="false">CZ369+CZ378</f>
        <v>-36317288.6300648</v>
      </c>
      <c r="DA383" s="68" t="n">
        <f aca="false">DA369+DA378</f>
        <v>-36772516.4684149</v>
      </c>
      <c r="DB383" s="68" t="n">
        <f aca="false">DB369+DB378</f>
        <v>-37227744.3067651</v>
      </c>
      <c r="DC383" s="68" t="n">
        <f aca="false">DC369+DC378</f>
        <v>-37682972.1451152</v>
      </c>
      <c r="DD383" s="68" t="n">
        <f aca="false">DD369+DD378</f>
        <v>-38138199.9834653</v>
      </c>
      <c r="DE383" s="68" t="n">
        <f aca="false">DE369+DE378</f>
        <v>-38593427.8218155</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1669004.85138651</v>
      </c>
      <c r="R412" s="13" t="n">
        <f aca="false">IF(R$4="Actuals",IF(S$4="Actuals","",S361),R369)</f>
        <v>1922914.45394521</v>
      </c>
      <c r="S412" s="13" t="n">
        <f aca="false">IF(S$4="Actuals",IF(T$4="Actuals","",T361),S369)</f>
        <v>2136519.72230105</v>
      </c>
      <c r="T412" s="13" t="n">
        <f aca="false">IF(T$4="Actuals",IF(U$4="Actuals","",U361),T369)</f>
        <v>1714777.17104908</v>
      </c>
      <c r="U412" s="13" t="n">
        <f aca="false">IF(U$4="Actuals",IF(V$4="Actuals","",V361),U369)</f>
        <v>2264891.34096213</v>
      </c>
      <c r="V412" s="13" t="n">
        <f aca="false">IF(V$4="Actuals",IF(W$4="Actuals","",W361),V369)</f>
        <v>2765224.44687518</v>
      </c>
      <c r="W412" s="13" t="n">
        <f aca="false">IF(W$4="Actuals",IF(X$4="Actuals","",X361),W369)</f>
        <v>3316491.04078824</v>
      </c>
      <c r="X412" s="13" t="n">
        <f aca="false">IF(X$4="Actuals",IF(Y$4="Actuals","",Y361),X369)</f>
        <v>3588712.14370129</v>
      </c>
      <c r="Y412" s="13" t="n">
        <f aca="false">IF(Y$4="Actuals",IF(Z$4="Actuals","",Z361),Y369)</f>
        <v>4021171.12261435</v>
      </c>
      <c r="Z412" s="13" t="n">
        <f aca="false">IF(Z$4="Actuals",IF(AA$4="Actuals","",AA361),Z369)</f>
        <v>4272939.64575817</v>
      </c>
      <c r="AA412" s="13" t="n">
        <f aca="false">IF(AA$4="Actuals",IF(AB$4="Actuals","",AB361),AA369)</f>
        <v>4752856.03301738</v>
      </c>
      <c r="AB412" s="13" t="n">
        <f aca="false">IF(AB$4="Actuals",IF(AC$4="Actuals","",AC361),AB369)</f>
        <v>5150246.94974452</v>
      </c>
      <c r="AC412" s="13" t="n">
        <f aca="false">IF(AC$4="Actuals",IF(AD$4="Actuals","",AD361),AC369)</f>
        <v>5345090.2745893</v>
      </c>
      <c r="AD412" s="13" t="n">
        <f aca="false">IF(AD$4="Actuals",IF(AE$4="Actuals","",AE361),AD369)</f>
        <v>5469998.96104946</v>
      </c>
      <c r="AE412" s="13" t="n">
        <f aca="false">IF(AE$4="Actuals",IF(AF$4="Actuals","",AF361),AE369)</f>
        <v>5640277.66581732</v>
      </c>
      <c r="AF412" s="13" t="n">
        <f aca="false">IF(AF$4="Actuals",IF(AG$4="Actuals","",AG361),AF369)</f>
        <v>5919866.03096789</v>
      </c>
      <c r="AG412" s="13" t="n">
        <f aca="false">IF(AG$4="Actuals",IF(AH$4="Actuals","",AH361),AG369)</f>
        <v>6292725.36744722</v>
      </c>
      <c r="AH412" s="13" t="n">
        <f aca="false">IF(AH$4="Actuals",IF(AI$4="Actuals","",AI361),AH369)</f>
        <v>6550875.24752198</v>
      </c>
      <c r="AI412" s="13" t="n">
        <f aca="false">IF(AI$4="Actuals",IF(AJ$4="Actuals","",AJ361),AI369)</f>
        <v>6682561.17475021</v>
      </c>
      <c r="AJ412" s="13" t="n">
        <f aca="false">IF(AJ$4="Actuals",IF(AK$4="Actuals","",AK361),AJ369)</f>
        <v>6935794.85156781</v>
      </c>
      <c r="AK412" s="13" t="n">
        <f aca="false">IF(AK$4="Actuals",IF(AL$4="Actuals","",AL361),AK369)</f>
        <v>7080880.75382585</v>
      </c>
      <c r="AL412" s="13" t="n">
        <f aca="false">IF(AL$4="Actuals",IF(AM$4="Actuals","",AM361),AL369)</f>
        <v>6971292.011775</v>
      </c>
      <c r="AM412" s="13" t="n">
        <f aca="false">IF(AM$4="Actuals",IF(AN$4="Actuals","",AN361),AM369)</f>
        <v>6875221.29772416</v>
      </c>
      <c r="AN412" s="13" t="n">
        <f aca="false">IF(AN$4="Actuals",IF(AO$4="Actuals","",AO361),AN369)</f>
        <v>7053565.02517331</v>
      </c>
      <c r="AO412" s="13" t="n">
        <f aca="false">IF(AO$4="Actuals",IF(AP$4="Actuals","",AP361),AO369)</f>
        <v>6862148.53911436</v>
      </c>
      <c r="AP412" s="13" t="n">
        <f aca="false">IF(AP$4="Actuals",IF(AQ$4="Actuals","",AQ361),AP369)</f>
        <v>6631383.50305542</v>
      </c>
      <c r="AQ412" s="13" t="n">
        <f aca="false">IF(AQ$4="Actuals",IF(AR$4="Actuals","",AR361),AQ369)</f>
        <v>6400618.46699647</v>
      </c>
      <c r="AR412" s="13" t="n">
        <f aca="false">IF(AR$4="Actuals",IF(AS$4="Actuals","",AS361),AR369)</f>
        <v>6169853.43093752</v>
      </c>
      <c r="AS412" s="13" t="n">
        <f aca="false">IF(AS$4="Actuals",IF(AT$4="Actuals","",AT361),AS369)</f>
        <v>5939088.39487857</v>
      </c>
      <c r="AT412" s="13" t="n">
        <f aca="false">IF(AT$4="Actuals",IF(AU$4="Actuals","",AU361),AT369)</f>
        <v>5708323.35881962</v>
      </c>
      <c r="AU412" s="13" t="n">
        <f aca="false">IF(AU$4="Actuals",IF(AV$4="Actuals","",AV361),AU369)</f>
        <v>5477558.32276067</v>
      </c>
      <c r="AV412" s="13" t="n">
        <f aca="false">IF(AV$4="Actuals",IF(AW$4="Actuals","",AW361),AV369)</f>
        <v>5505654.59278755</v>
      </c>
      <c r="AW412" s="13" t="n">
        <f aca="false">IF(AW$4="Actuals",IF(AX$4="Actuals","",AX361),AW369)</f>
        <v>5556003.85228496</v>
      </c>
      <c r="AX412" s="13" t="n">
        <f aca="false">IF(AX$4="Actuals",IF(AY$4="Actuals","",AY361),AX369)</f>
        <v>5161293.32237166</v>
      </c>
      <c r="AY412" s="13" t="n">
        <f aca="false">IF(AY$4="Actuals",IF(AZ$4="Actuals","",AZ361),AY369)</f>
        <v>4766582.79245835</v>
      </c>
      <c r="AZ412" s="13" t="n">
        <f aca="false">IF(AZ$4="Actuals",IF(BA$4="Actuals","",BA361),AZ369)</f>
        <v>4371872.26254505</v>
      </c>
      <c r="BA412" s="13" t="n">
        <f aca="false">IF(BA$4="Actuals",IF(BB$4="Actuals","",BB361),BA369)</f>
        <v>3969567.52203348</v>
      </c>
      <c r="BB412" s="13" t="n">
        <f aca="false">IF(BB$4="Actuals",IF(BC$4="Actuals","",BC361),BB369)</f>
        <v>3567262.78152191</v>
      </c>
      <c r="BC412" s="13" t="n">
        <f aca="false">IF(BC$4="Actuals",IF(BD$4="Actuals","",BD361),BC369)</f>
        <v>3164958.04101034</v>
      </c>
      <c r="BD412" s="13" t="n">
        <f aca="false">IF(BD$4="Actuals",IF(BE$4="Actuals","",BE361),BD369)</f>
        <v>2762653.30049877</v>
      </c>
      <c r="BE412" s="13" t="n">
        <f aca="false">IF(BE$4="Actuals",IF(BF$4="Actuals","",BF361),BE369)</f>
        <v>2360348.5599872</v>
      </c>
      <c r="BF412" s="13" t="n">
        <f aca="false">IF(BF$4="Actuals",IF(BG$4="Actuals","",BG361),BF369)</f>
        <v>1958043.81947563</v>
      </c>
      <c r="BG412" s="13" t="n">
        <f aca="false">IF(BG$4="Actuals",IF(BH$4="Actuals","",BH361),BG369)</f>
        <v>1555739.07896406</v>
      </c>
      <c r="BH412" s="13" t="n">
        <f aca="false">IF(BH$4="Actuals",IF(BI$4="Actuals","",BI361),BH369)</f>
        <v>1153434.33845249</v>
      </c>
      <c r="BI412" s="13" t="n">
        <f aca="false">IF(BI$4="Actuals",IF(BJ$4="Actuals","",BJ361),BI369)</f>
        <v>751129.597940918</v>
      </c>
      <c r="BJ412" s="13" t="n">
        <f aca="false">IF(BJ$4="Actuals",IF(BK$4="Actuals","",BK361),BJ369)</f>
        <v>348824.857429348</v>
      </c>
      <c r="BK412" s="13" t="n">
        <f aca="false">IF(BK$4="Actuals",IF(BL$4="Actuals","",BL361),BK369)</f>
        <v>-53479.8830822221</v>
      </c>
      <c r="BL412" s="13" t="n">
        <f aca="false">IF(BL$4="Actuals",IF(BM$4="Actuals","",BM361),BL369)</f>
        <v>-455784.623593792</v>
      </c>
      <c r="BM412" s="13" t="n">
        <f aca="false">IF(BM$4="Actuals",IF(BN$4="Actuals","",BN361),BM369)</f>
        <v>-865835.458915594</v>
      </c>
      <c r="BN412" s="13" t="n">
        <f aca="false">IF(BN$4="Actuals",IF(BO$4="Actuals","",BO361),BN369)</f>
        <v>-1275886.2942374</v>
      </c>
      <c r="BO412" s="13" t="n">
        <f aca="false">IF(BO$4="Actuals",IF(BP$4="Actuals","",BP361),BO369)</f>
        <v>-1685937.1295592</v>
      </c>
      <c r="BP412" s="13" t="n">
        <f aca="false">IF(BP$4="Actuals",IF(BQ$4="Actuals","",BQ361),BP369)</f>
        <v>-2095987.964881</v>
      </c>
      <c r="BQ412" s="13" t="n">
        <f aca="false">IF(BQ$4="Actuals",IF(BR$4="Actuals","",BR361),BQ369)</f>
        <v>-2506038.8002028</v>
      </c>
      <c r="BR412" s="13" t="n">
        <f aca="false">IF(BR$4="Actuals",IF(BS$4="Actuals","",BS361),BR369)</f>
        <v>-2916089.6355246</v>
      </c>
      <c r="BS412" s="13" t="n">
        <f aca="false">IF(BS$4="Actuals",IF(BT$4="Actuals","",BT361),BS369)</f>
        <v>-3326140.4708464</v>
      </c>
      <c r="BT412" s="13" t="n">
        <f aca="false">IF(BT$4="Actuals",IF(BU$4="Actuals","",BU361),BT369)</f>
        <v>-3736191.3061682</v>
      </c>
      <c r="BU412" s="13" t="n">
        <f aca="false">IF(BU$4="Actuals",IF(BV$4="Actuals","",BV361),BU369)</f>
        <v>-4146242.14149001</v>
      </c>
      <c r="BV412" s="13" t="n">
        <f aca="false">IF(BV$4="Actuals",IF(BW$4="Actuals","",BW361),BV369)</f>
        <v>-4556292.97681181</v>
      </c>
      <c r="BW412" s="13" t="n">
        <f aca="false">IF(BW$4="Actuals",IF(BX$4="Actuals","",BX361),BW369)</f>
        <v>-4966343.81213361</v>
      </c>
      <c r="BX412" s="13" t="n">
        <f aca="false">IF(BX$4="Actuals",IF(BY$4="Actuals","",BY361),BX369)</f>
        <v>-5376394.64745541</v>
      </c>
      <c r="BY412" s="13" t="n">
        <f aca="false">IF(BY$4="Actuals",IF(BZ$4="Actuals","",BZ361),BY369)</f>
        <v>-5794346.49948365</v>
      </c>
      <c r="BZ412" s="13" t="n">
        <f aca="false">IF(BZ$4="Actuals",IF(CA$4="Actuals","",CA361),BZ369)</f>
        <v>-6212298.35151189</v>
      </c>
      <c r="CA412" s="13" t="n">
        <f aca="false">IF(CA$4="Actuals",IF(CB$4="Actuals","",CB361),CA369)</f>
        <v>-6630250.20354012</v>
      </c>
      <c r="CB412" s="13" t="n">
        <f aca="false">IF(CB$4="Actuals",IF(CC$4="Actuals","",CC361),CB369)</f>
        <v>-7048202.05556836</v>
      </c>
      <c r="CC412" s="13" t="n">
        <f aca="false">IF(CC$4="Actuals",IF(CD$4="Actuals","",CD361),CC369)</f>
        <v>-7466153.9075966</v>
      </c>
      <c r="CD412" s="13" t="n">
        <f aca="false">IF(CD$4="Actuals",IF(CE$4="Actuals","",CE361),CD369)</f>
        <v>-7884105.75962484</v>
      </c>
      <c r="CE412" s="13" t="n">
        <f aca="false">IF(CE$4="Actuals",IF(CF$4="Actuals","",CF361),CE369)</f>
        <v>-8302057.61165308</v>
      </c>
      <c r="CF412" s="13" t="n">
        <f aca="false">IF(CF$4="Actuals",IF(CG$4="Actuals","",CG361),CF369)</f>
        <v>-8720009.46368131</v>
      </c>
      <c r="CG412" s="13" t="n">
        <f aca="false">IF(CG$4="Actuals",IF(CH$4="Actuals","",CH361),CG369)</f>
        <v>-9137961.31570955</v>
      </c>
      <c r="CH412" s="13" t="n">
        <f aca="false">IF(CH$4="Actuals",IF(CI$4="Actuals","",CI361),CH369)</f>
        <v>-9555913.16773779</v>
      </c>
      <c r="CI412" s="13" t="n">
        <f aca="false">IF(CI$4="Actuals",IF(CJ$4="Actuals","",CJ361),CI369)</f>
        <v>-9973865.01976603</v>
      </c>
      <c r="CJ412" s="13" t="n">
        <f aca="false">IF(CJ$4="Actuals",IF(CK$4="Actuals","",CK361),CJ369)</f>
        <v>-10391816.8717943</v>
      </c>
      <c r="CK412" s="13" t="n">
        <f aca="false">IF(CK$4="Actuals",IF(CL$4="Actuals","",CL361),CK369)</f>
        <v>-10817827.7608631</v>
      </c>
      <c r="CL412" s="13" t="n">
        <f aca="false">IF(CL$4="Actuals",IF(CM$4="Actuals","",CM361),CL369)</f>
        <v>-11243838.6499319</v>
      </c>
      <c r="CM412" s="13" t="n">
        <f aca="false">IF(CM$4="Actuals",IF(CN$4="Actuals","",CN361),CM369)</f>
        <v>-11669849.5390007</v>
      </c>
      <c r="CN412" s="13" t="n">
        <f aca="false">IF(CN$4="Actuals",IF(CO$4="Actuals","",CO361),CN369)</f>
        <v>-12095860.4280695</v>
      </c>
      <c r="CO412" s="13" t="n">
        <f aca="false">IF(CO$4="Actuals",IF(CP$4="Actuals","",CP361),CO369)</f>
        <v>-12521871.3171383</v>
      </c>
      <c r="CP412" s="13" t="n">
        <f aca="false">IF(CP$4="Actuals",IF(CQ$4="Actuals","",CQ361),CP369)</f>
        <v>-12947882.2062071</v>
      </c>
      <c r="CQ412" s="13" t="n">
        <f aca="false">IF(CQ$4="Actuals",IF(CR$4="Actuals","",CR361),CQ369)</f>
        <v>-13373893.0952759</v>
      </c>
      <c r="CR412" s="13" t="n">
        <f aca="false">IF(CR$4="Actuals",IF(CS$4="Actuals","",CS361),CR369)</f>
        <v>-13799903.9843447</v>
      </c>
      <c r="CS412" s="13" t="n">
        <f aca="false">IF(CS$4="Actuals",IF(CT$4="Actuals","",CT361),CS369)</f>
        <v>-14225914.8734135</v>
      </c>
      <c r="CT412" s="13" t="n">
        <f aca="false">IF(CT$4="Actuals",IF(CU$4="Actuals","",CU361),CT369)</f>
        <v>-14611572.9484403</v>
      </c>
      <c r="CU412" s="13" t="n">
        <f aca="false">IF(CU$4="Actuals",IF(CV$4="Actuals","",CV361),CU369)</f>
        <v>-14997231.023467</v>
      </c>
      <c r="CV412" s="13" t="n">
        <f aca="false">IF(CV$4="Actuals",IF(CW$4="Actuals","",CW361),CV369)</f>
        <v>-15382889.0984938</v>
      </c>
      <c r="CW412" s="13" t="n">
        <f aca="false">IF(CW$4="Actuals",IF(CX$4="Actuals","",CX361),CW369)</f>
        <v>-15775960.3350211</v>
      </c>
      <c r="CX412" s="13" t="n">
        <f aca="false">IF(CX$4="Actuals",IF(CY$4="Actuals","",CY361),CX369)</f>
        <v>-16169031.5715484</v>
      </c>
      <c r="CY412" s="13" t="n">
        <f aca="false">IF(CY$4="Actuals",IF(CZ$4="Actuals","",CZ361),CY369)</f>
        <v>-16562102.8080758</v>
      </c>
      <c r="CZ412" s="13" t="n">
        <f aca="false">IF(CZ$4="Actuals",IF(DA$4="Actuals","",DA361),CZ369)</f>
        <v>-16955174.0446031</v>
      </c>
      <c r="DA412" s="13" t="n">
        <f aca="false">IF(DA$4="Actuals",IF(DB$4="Actuals","",DB361),DA369)</f>
        <v>-17348245.2811304</v>
      </c>
      <c r="DB412" s="13" t="n">
        <f aca="false">IF(DB$4="Actuals",IF(DC$4="Actuals","",DC361),DB369)</f>
        <v>-17741316.5176577</v>
      </c>
      <c r="DC412" s="13" t="n">
        <f aca="false">IF(DC$4="Actuals",IF(DD$4="Actuals","",DD361),DC369)</f>
        <v>-18134387.754185</v>
      </c>
      <c r="DD412" s="13" t="n">
        <f aca="false">IF(DD$4="Actuals",IF(DE$4="Actuals","",DE361),DD369)</f>
        <v>-18527458.9907123</v>
      </c>
      <c r="DE412" s="13" t="n">
        <f aca="false">IF(DE$4="Actuals",IF(DF$4="Actuals","",DF361),DE369)</f>
        <v>-18920530.2272396</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-4163308.80295402</v>
      </c>
      <c r="AA420" s="13" t="n">
        <f aca="false">IF(AA$4="Actuals",IF(AB$4="Actuals","",AB372),AA378)</f>
        <v>-4708498.66588033</v>
      </c>
      <c r="AB420" s="13" t="n">
        <f aca="false">IF(AB$4="Actuals",IF(AC$4="Actuals","",AC372),AB378)</f>
        <v>-4946313.52880665</v>
      </c>
      <c r="AC420" s="13" t="n">
        <f aca="false">IF(AC$4="Actuals",IF(AD$4="Actuals","",AD372),AC378)</f>
        <v>-5245140.74478096</v>
      </c>
      <c r="AD420" s="13" t="n">
        <f aca="false">IF(AD$4="Actuals",IF(AE$4="Actuals","",AE372),AD378)</f>
        <v>-5543967.96075528</v>
      </c>
      <c r="AE420" s="13" t="n">
        <f aca="false">IF(AE$4="Actuals",IF(AF$4="Actuals","",AF372),AE378)</f>
        <v>-5785420.1767296</v>
      </c>
      <c r="AF420" s="13" t="n">
        <f aca="false">IF(AF$4="Actuals",IF(AG$4="Actuals","",AG372),AF378)</f>
        <v>-6084247.39270391</v>
      </c>
      <c r="AG420" s="13" t="n">
        <f aca="false">IF(AG$4="Actuals",IF(AH$4="Actuals","",AH372),AG378)</f>
        <v>-6386232.50341507</v>
      </c>
      <c r="AH420" s="13" t="n">
        <f aca="false">IF(AH$4="Actuals",IF(AI$4="Actuals","",AI372),AH378)</f>
        <v>-6691375.50886307</v>
      </c>
      <c r="AI420" s="13" t="n">
        <f aca="false">IF(AI$4="Actuals",IF(AJ$4="Actuals","",AJ372),AI378)</f>
        <v>-7006018.51431107</v>
      </c>
      <c r="AJ420" s="13" t="n">
        <f aca="false">IF(AJ$4="Actuals",IF(AK$4="Actuals","",AK372),AJ378)</f>
        <v>-7320661.51975907</v>
      </c>
      <c r="AK420" s="13" t="n">
        <f aca="false">IF(AK$4="Actuals",IF(AL$4="Actuals","",AL372),AK378)</f>
        <v>-7635304.52520707</v>
      </c>
      <c r="AL420" s="13" t="n">
        <f aca="false">IF(AL$4="Actuals",IF(AM$4="Actuals","",AM372),AL378)</f>
        <v>-8086313.07242622</v>
      </c>
      <c r="AM420" s="13" t="n">
        <f aca="false">IF(AM$4="Actuals",IF(AN$4="Actuals","",AN372),AM378)</f>
        <v>-8400956.07787422</v>
      </c>
      <c r="AN420" s="13" t="n">
        <f aca="false">IF(AN$4="Actuals",IF(AO$4="Actuals","",AO372),AN378)</f>
        <v>-8673718.29140654</v>
      </c>
      <c r="AO420" s="13" t="n">
        <f aca="false">IF(AO$4="Actuals",IF(AP$4="Actuals","",AP372),AO378)</f>
        <v>-8880071.39696349</v>
      </c>
      <c r="AP420" s="13" t="n">
        <f aca="false">IF(AP$4="Actuals",IF(AQ$4="Actuals","",AQ372),AP378)</f>
        <v>-9086424.50252045</v>
      </c>
      <c r="AQ420" s="13" t="n">
        <f aca="false">IF(AQ$4="Actuals",IF(AR$4="Actuals","",AR372),AQ378)</f>
        <v>-9292777.60807741</v>
      </c>
      <c r="AR420" s="13" t="n">
        <f aca="false">IF(AR$4="Actuals",IF(AS$4="Actuals","",AS372),AR378)</f>
        <v>-9499130.71363437</v>
      </c>
      <c r="AS420" s="13" t="n">
        <f aca="false">IF(AS$4="Actuals",IF(AT$4="Actuals","",AT372),AS378)</f>
        <v>-9705483.81919133</v>
      </c>
      <c r="AT420" s="13" t="n">
        <f aca="false">IF(AT$4="Actuals",IF(AU$4="Actuals","",AU372),AT378)</f>
        <v>-9911836.92474829</v>
      </c>
      <c r="AU420" s="13" t="n">
        <f aca="false">IF(AU$4="Actuals",IF(AV$4="Actuals","",AV372),AU378)</f>
        <v>-10118190.0303053</v>
      </c>
      <c r="AV420" s="13" t="n">
        <f aca="false">IF(AV$4="Actuals",IF(AW$4="Actuals","",AW372),AV378)</f>
        <v>-10324543.1358622</v>
      </c>
      <c r="AW420" s="13" t="n">
        <f aca="false">IF(AW$4="Actuals",IF(AX$4="Actuals","",AX372),AW378)</f>
        <v>-10530896.2414192</v>
      </c>
      <c r="AX420" s="13" t="n">
        <f aca="false">IF(AX$4="Actuals",IF(AY$4="Actuals","",AY372),AX378)</f>
        <v>-10737249.3469761</v>
      </c>
      <c r="AY420" s="13" t="n">
        <f aca="false">IF(AY$4="Actuals",IF(AZ$4="Actuals","",AZ372),AY378)</f>
        <v>-10943602.4525331</v>
      </c>
      <c r="AZ420" s="13" t="n">
        <f aca="false">IF(AZ$4="Actuals",IF(BA$4="Actuals","",BA372),AZ378)</f>
        <v>-11149955.55809</v>
      </c>
      <c r="BA420" s="13" t="n">
        <f aca="false">IF(BA$4="Actuals",IF(BB$4="Actuals","",BB372),BA378)</f>
        <v>-11360092.9657581</v>
      </c>
      <c r="BB420" s="13" t="n">
        <f aca="false">IF(BB$4="Actuals",IF(BC$4="Actuals","",BC372),BB378)</f>
        <v>-11570230.3734262</v>
      </c>
      <c r="BC420" s="13" t="n">
        <f aca="false">IF(BC$4="Actuals",IF(BD$4="Actuals","",BD372),BC378)</f>
        <v>-11780367.7810943</v>
      </c>
      <c r="BD420" s="13" t="n">
        <f aca="false">IF(BD$4="Actuals",IF(BE$4="Actuals","",BE372),BD378)</f>
        <v>-11990505.1887624</v>
      </c>
      <c r="BE420" s="13" t="n">
        <f aca="false">IF(BE$4="Actuals",IF(BF$4="Actuals","",BF372),BE378)</f>
        <v>-12200642.5964305</v>
      </c>
      <c r="BF420" s="13" t="n">
        <f aca="false">IF(BF$4="Actuals",IF(BG$4="Actuals","",BG372),BF378)</f>
        <v>-12410780.0040986</v>
      </c>
      <c r="BG420" s="13" t="n">
        <f aca="false">IF(BG$4="Actuals",IF(BH$4="Actuals","",BH372),BG378)</f>
        <v>-12620917.4117667</v>
      </c>
      <c r="BH420" s="13" t="n">
        <f aca="false">IF(BH$4="Actuals",IF(BI$4="Actuals","",BI372),BH378)</f>
        <v>-12831054.8194348</v>
      </c>
      <c r="BI420" s="13" t="n">
        <f aca="false">IF(BI$4="Actuals",IF(BJ$4="Actuals","",BJ372),BI378)</f>
        <v>-13041192.2271029</v>
      </c>
      <c r="BJ420" s="13" t="n">
        <f aca="false">IF(BJ$4="Actuals",IF(BK$4="Actuals","",BK372),BJ378)</f>
        <v>-13251329.634771</v>
      </c>
      <c r="BK420" s="13" t="n">
        <f aca="false">IF(BK$4="Actuals",IF(BL$4="Actuals","",BL372),BK378)</f>
        <v>-13461467.0424391</v>
      </c>
      <c r="BL420" s="13" t="n">
        <f aca="false">IF(BL$4="Actuals",IF(BM$4="Actuals","",BM372),BL378)</f>
        <v>-13671604.4501072</v>
      </c>
      <c r="BM420" s="13" t="n">
        <f aca="false">IF(BM$4="Actuals",IF(BN$4="Actuals","",BN372),BM378)</f>
        <v>-13885601.8459287</v>
      </c>
      <c r="BN420" s="13" t="n">
        <f aca="false">IF(BN$4="Actuals",IF(BO$4="Actuals","",BO372),BN378)</f>
        <v>-14099599.2417502</v>
      </c>
      <c r="BO420" s="13" t="n">
        <f aca="false">IF(BO$4="Actuals",IF(BP$4="Actuals","",BP372),BO378)</f>
        <v>-14313596.6375716</v>
      </c>
      <c r="BP420" s="13" t="n">
        <f aca="false">IF(BP$4="Actuals",IF(BQ$4="Actuals","",BQ372),BP378)</f>
        <v>-14527594.0333931</v>
      </c>
      <c r="BQ420" s="13" t="n">
        <f aca="false">IF(BQ$4="Actuals",IF(BR$4="Actuals","",BR372),BQ378)</f>
        <v>-14741591.4292145</v>
      </c>
      <c r="BR420" s="13" t="n">
        <f aca="false">IF(BR$4="Actuals",IF(BS$4="Actuals","",BS372),BR378)</f>
        <v>-14902338.475036</v>
      </c>
      <c r="BS420" s="13" t="n">
        <f aca="false">IF(BS$4="Actuals",IF(BT$4="Actuals","",BT372),BS378)</f>
        <v>-15116335.8708575</v>
      </c>
      <c r="BT420" s="13" t="n">
        <f aca="false">IF(BT$4="Actuals",IF(BU$4="Actuals","",BU372),BT378)</f>
        <v>-15330333.2666789</v>
      </c>
      <c r="BU420" s="13" t="n">
        <f aca="false">IF(BU$4="Actuals",IF(BV$4="Actuals","",BV372),BU378)</f>
        <v>-15476568.6625004</v>
      </c>
      <c r="BV420" s="13" t="n">
        <f aca="false">IF(BV$4="Actuals",IF(BW$4="Actuals","",BW372),BV378)</f>
        <v>-15690566.0583218</v>
      </c>
      <c r="BW420" s="13" t="n">
        <f aca="false">IF(BW$4="Actuals",IF(BX$4="Actuals","",BX372),BW378)</f>
        <v>-15904563.4541433</v>
      </c>
      <c r="BX420" s="13" t="n">
        <f aca="false">IF(BX$4="Actuals",IF(BY$4="Actuals","",BY372),BX378)</f>
        <v>-16050798.8499648</v>
      </c>
      <c r="BY420" s="13" t="n">
        <f aca="false">IF(BY$4="Actuals",IF(BZ$4="Actuals","",BZ372),BY378)</f>
        <v>-16268733.4337027</v>
      </c>
      <c r="BZ420" s="13" t="n">
        <f aca="false">IF(BZ$4="Actuals",IF(CA$4="Actuals","",CA372),BZ378)</f>
        <v>-16486668.0174406</v>
      </c>
      <c r="CA420" s="13" t="n">
        <f aca="false">IF(CA$4="Actuals",IF(CB$4="Actuals","",CB372),CA378)</f>
        <v>-16636840.6011784</v>
      </c>
      <c r="CB420" s="13" t="n">
        <f aca="false">IF(CB$4="Actuals",IF(CC$4="Actuals","",CC372),CB378)</f>
        <v>-16854775.1849163</v>
      </c>
      <c r="CC420" s="13" t="n">
        <f aca="false">IF(CC$4="Actuals",IF(CD$4="Actuals","",CD372),CC378)</f>
        <v>-17072709.7686542</v>
      </c>
      <c r="CD420" s="13" t="n">
        <f aca="false">IF(CD$4="Actuals",IF(CE$4="Actuals","",CE372),CD378)</f>
        <v>-17214145.3523921</v>
      </c>
      <c r="CE420" s="13" t="n">
        <f aca="false">IF(CE$4="Actuals",IF(CF$4="Actuals","",CF372),CE378)</f>
        <v>-17432079.93613</v>
      </c>
      <c r="CF420" s="13" t="n">
        <f aca="false">IF(CF$4="Actuals",IF(CG$4="Actuals","",CG372),CF378)</f>
        <v>-17650014.5198679</v>
      </c>
      <c r="CG420" s="13" t="n">
        <f aca="false">IF(CG$4="Actuals",IF(CH$4="Actuals","",CH372),CG378)</f>
        <v>-17791450.1036058</v>
      </c>
      <c r="CH420" s="13" t="n">
        <f aca="false">IF(CH$4="Actuals",IF(CI$4="Actuals","",CI372),CH378)</f>
        <v>-18009384.6873437</v>
      </c>
      <c r="CI420" s="13" t="n">
        <f aca="false">IF(CI$4="Actuals",IF(CJ$4="Actuals","",CJ372),CI378)</f>
        <v>-18227319.2710816</v>
      </c>
      <c r="CJ420" s="13" t="n">
        <f aca="false">IF(CJ$4="Actuals",IF(CK$4="Actuals","",CK372),CJ378)</f>
        <v>-18362146.828213</v>
      </c>
      <c r="CK420" s="13" t="n">
        <f aca="false">IF(CK$4="Actuals",IF(CL$4="Actuals","",CL372),CK378)</f>
        <v>-18426236.3436256</v>
      </c>
      <c r="CL420" s="13" t="n">
        <f aca="false">IF(CL$4="Actuals",IF(CM$4="Actuals","",CM372),CL378)</f>
        <v>-18490325.8590383</v>
      </c>
      <c r="CM420" s="13" t="n">
        <f aca="false">IF(CM$4="Actuals",IF(CN$4="Actuals","",CN372),CM378)</f>
        <v>-18554415.3744509</v>
      </c>
      <c r="CN420" s="13" t="n">
        <f aca="false">IF(CN$4="Actuals",IF(CO$4="Actuals","",CO372),CN378)</f>
        <v>-18618504.8898636</v>
      </c>
      <c r="CO420" s="13" t="n">
        <f aca="false">IF(CO$4="Actuals",IF(CP$4="Actuals","",CP372),CO378)</f>
        <v>-18682594.4052762</v>
      </c>
      <c r="CP420" s="13" t="n">
        <f aca="false">IF(CP$4="Actuals",IF(CQ$4="Actuals","",CQ372),CP378)</f>
        <v>-18746683.9206889</v>
      </c>
      <c r="CQ420" s="13" t="n">
        <f aca="false">IF(CQ$4="Actuals",IF(CR$4="Actuals","",CR372),CQ378)</f>
        <v>-18810773.4361015</v>
      </c>
      <c r="CR420" s="13" t="n">
        <f aca="false">IF(CR$4="Actuals",IF(CS$4="Actuals","",CS372),CR378)</f>
        <v>-18874862.9515142</v>
      </c>
      <c r="CS420" s="13" t="n">
        <f aca="false">IF(CS$4="Actuals",IF(CT$4="Actuals","",CT372),CS378)</f>
        <v>-18938952.4669268</v>
      </c>
      <c r="CT420" s="13" t="n">
        <f aca="false">IF(CT$4="Actuals",IF(CU$4="Actuals","",CU372),CT378)</f>
        <v>-18997131.0373413</v>
      </c>
      <c r="CU420" s="13" t="n">
        <f aca="false">IF(CU$4="Actuals",IF(CV$4="Actuals","",CV372),CU378)</f>
        <v>-19055309.6077559</v>
      </c>
      <c r="CV420" s="13" t="n">
        <f aca="false">IF(CV$4="Actuals",IF(CW$4="Actuals","",CW372),CV378)</f>
        <v>-19113488.1781704</v>
      </c>
      <c r="CW420" s="13" t="n">
        <f aca="false">IF(CW$4="Actuals",IF(CX$4="Actuals","",CX372),CW378)</f>
        <v>-19175644.7799932</v>
      </c>
      <c r="CX420" s="13" t="n">
        <f aca="false">IF(CX$4="Actuals",IF(CY$4="Actuals","",CY372),CX378)</f>
        <v>-19237801.3818161</v>
      </c>
      <c r="CY420" s="13" t="n">
        <f aca="false">IF(CY$4="Actuals",IF(CZ$4="Actuals","",CZ372),CY378)</f>
        <v>-19299957.9836389</v>
      </c>
      <c r="CZ420" s="13" t="n">
        <f aca="false">IF(CZ$4="Actuals",IF(DA$4="Actuals","",DA372),CZ378)</f>
        <v>-19362114.5854617</v>
      </c>
      <c r="DA420" s="13" t="n">
        <f aca="false">IF(DA$4="Actuals",IF(DB$4="Actuals","",DB372),DA378)</f>
        <v>-19424271.1872845</v>
      </c>
      <c r="DB420" s="13" t="n">
        <f aca="false">IF(DB$4="Actuals",IF(DC$4="Actuals","",DC372),DB378)</f>
        <v>-19486427.7891074</v>
      </c>
      <c r="DC420" s="13" t="n">
        <f aca="false">IF(DC$4="Actuals",IF(DD$4="Actuals","",DD372),DC378)</f>
        <v>-19548584.3909302</v>
      </c>
      <c r="DD420" s="13" t="n">
        <f aca="false">IF(DD$4="Actuals",IF(DE$4="Actuals","",DE372),DD378)</f>
        <v>-19610740.992753</v>
      </c>
      <c r="DE420" s="13" t="n">
        <f aca="false">IF(DE$4="Actuals",IF(DF$4="Actuals","",DF372),DE378)</f>
        <v>-19672897.5945759</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542578.857155953</v>
      </c>
      <c r="R428" s="13" t="n">
        <f aca="false">IF(R$4="Actuals",IF(S$4="Actuals","",S381),R383)</f>
        <v>637204.846788336</v>
      </c>
      <c r="S428" s="13" t="n">
        <f aca="false">IF(S$4="Actuals",IF(T$4="Actuals","",T381),S383)</f>
        <v>691526.50221786</v>
      </c>
      <c r="T428" s="13" t="n">
        <f aca="false">IF(T$4="Actuals",IF(U$4="Actuals","",U381),T383)</f>
        <v>86594.0880395742</v>
      </c>
      <c r="U428" s="13" t="n">
        <f aca="false">IF(U$4="Actuals",IF(V$4="Actuals","",V381),U383)</f>
        <v>341518.395026312</v>
      </c>
      <c r="V428" s="13" t="n">
        <f aca="false">IF(V$4="Actuals",IF(W$4="Actuals","",W381),V383)</f>
        <v>546661.638013051</v>
      </c>
      <c r="W428" s="13" t="n">
        <f aca="false">IF(W$4="Actuals",IF(X$4="Actuals","",X381),W383)</f>
        <v>802738.368999789</v>
      </c>
      <c r="X428" s="13" t="n">
        <f aca="false">IF(X$4="Actuals",IF(Y$4="Actuals","",Y381),X383)</f>
        <v>779769.608986528</v>
      </c>
      <c r="Y428" s="13" t="n">
        <f aca="false">IF(Y$4="Actuals",IF(Z$4="Actuals","",Z381),Y383)</f>
        <v>974413.724973267</v>
      </c>
      <c r="Z428" s="13" t="n">
        <f aca="false">IF(Z$4="Actuals",IF(AA$4="Actuals","",AA381),Z383)</f>
        <v>109630.842804156</v>
      </c>
      <c r="AA428" s="13" t="n">
        <f aca="false">IF(AA$4="Actuals",IF(AB$4="Actuals","",AB381),AA383)</f>
        <v>44357.3671370484</v>
      </c>
      <c r="AB428" s="13" t="n">
        <f aca="false">IF(AB$4="Actuals",IF(AC$4="Actuals","",AC381),AB383)</f>
        <v>203933.420937872</v>
      </c>
      <c r="AC428" s="13" t="n">
        <f aca="false">IF(AC$4="Actuals",IF(AD$4="Actuals","",AD381),AC383)</f>
        <v>99949.5298083341</v>
      </c>
      <c r="AD428" s="13" t="n">
        <f aca="false">IF(AD$4="Actuals",IF(AE$4="Actuals","",AE381),AD383)</f>
        <v>-73968.9997058194</v>
      </c>
      <c r="AE428" s="13" t="n">
        <f aca="false">IF(AE$4="Actuals",IF(AF$4="Actuals","",AF381),AE383)</f>
        <v>-145142.510912281</v>
      </c>
      <c r="AF428" s="13" t="n">
        <f aca="false">IF(AF$4="Actuals",IF(AG$4="Actuals","",AG381),AF383)</f>
        <v>-164381.361736026</v>
      </c>
      <c r="AG428" s="13" t="n">
        <f aca="false">IF(AG$4="Actuals",IF(AH$4="Actuals","",AH381),AG383)</f>
        <v>-93507.1359678451</v>
      </c>
      <c r="AH428" s="13" t="n">
        <f aca="false">IF(AH$4="Actuals",IF(AI$4="Actuals","",AI381),AH383)</f>
        <v>-140500.261341094</v>
      </c>
      <c r="AI428" s="13" t="n">
        <f aca="false">IF(AI$4="Actuals",IF(AJ$4="Actuals","",AJ381),AI383)</f>
        <v>-323457.33956086</v>
      </c>
      <c r="AJ428" s="13" t="n">
        <f aca="false">IF(AJ$4="Actuals",IF(AK$4="Actuals","",AK381),AJ383)</f>
        <v>-384866.668191263</v>
      </c>
      <c r="AK428" s="13" t="n">
        <f aca="false">IF(AK$4="Actuals",IF(AL$4="Actuals","",AL381),AK383)</f>
        <v>-554423.771381223</v>
      </c>
      <c r="AL428" s="13" t="n">
        <f aca="false">IF(AL$4="Actuals",IF(AM$4="Actuals","",AM381),AL383)</f>
        <v>-1115021.06065122</v>
      </c>
      <c r="AM428" s="13" t="n">
        <f aca="false">IF(AM$4="Actuals",IF(AN$4="Actuals","",AN381),AM383)</f>
        <v>-1525734.78015006</v>
      </c>
      <c r="AN428" s="13" t="n">
        <f aca="false">IF(AN$4="Actuals",IF(AO$4="Actuals","",AO381),AN383)</f>
        <v>-1620153.26623322</v>
      </c>
      <c r="AO428" s="13" t="n">
        <f aca="false">IF(AO$4="Actuals",IF(AP$4="Actuals","",AP381),AO383)</f>
        <v>-2017922.85784913</v>
      </c>
      <c r="AP428" s="13" t="n">
        <f aca="false">IF(AP$4="Actuals",IF(AQ$4="Actuals","",AQ381),AP383)</f>
        <v>-2455040.99946504</v>
      </c>
      <c r="AQ428" s="13" t="n">
        <f aca="false">IF(AQ$4="Actuals",IF(AR$4="Actuals","",AR381),AQ383)</f>
        <v>-2892159.14108095</v>
      </c>
      <c r="AR428" s="13" t="n">
        <f aca="false">IF(AR$4="Actuals",IF(AS$4="Actuals","",AS381),AR383)</f>
        <v>-3329277.28269685</v>
      </c>
      <c r="AS428" s="13" t="n">
        <f aca="false">IF(AS$4="Actuals",IF(AT$4="Actuals","",AT381),AS383)</f>
        <v>-3766395.42431276</v>
      </c>
      <c r="AT428" s="13" t="n">
        <f aca="false">IF(AT$4="Actuals",IF(AU$4="Actuals","",AU381),AT383)</f>
        <v>-4203513.56592867</v>
      </c>
      <c r="AU428" s="13" t="n">
        <f aca="false">IF(AU$4="Actuals",IF(AV$4="Actuals","",AV381),AU383)</f>
        <v>-4640631.70754458</v>
      </c>
      <c r="AV428" s="13" t="n">
        <f aca="false">IF(AV$4="Actuals",IF(AW$4="Actuals","",AW381),AV383)</f>
        <v>-4818888.54307466</v>
      </c>
      <c r="AW428" s="13" t="n">
        <f aca="false">IF(AW$4="Actuals",IF(AX$4="Actuals","",AX381),AW383)</f>
        <v>-4974892.38913421</v>
      </c>
      <c r="AX428" s="13" t="n">
        <f aca="false">IF(AX$4="Actuals",IF(AY$4="Actuals","",AY381),AX383)</f>
        <v>-5575956.02460447</v>
      </c>
      <c r="AY428" s="13" t="n">
        <f aca="false">IF(AY$4="Actuals",IF(AZ$4="Actuals","",AZ381),AY383)</f>
        <v>-6177019.66007473</v>
      </c>
      <c r="AZ428" s="13" t="n">
        <f aca="false">IF(AZ$4="Actuals",IF(BA$4="Actuals","",BA381),AZ383)</f>
        <v>-6778083.295545</v>
      </c>
      <c r="BA428" s="13" t="n">
        <f aca="false">IF(BA$4="Actuals",IF(BB$4="Actuals","",BB381),BA383)</f>
        <v>-7390525.44372467</v>
      </c>
      <c r="BB428" s="13" t="n">
        <f aca="false">IF(BB$4="Actuals",IF(BC$4="Actuals","",BC381),BB383)</f>
        <v>-8002967.59190434</v>
      </c>
      <c r="BC428" s="13" t="n">
        <f aca="false">IF(BC$4="Actuals",IF(BD$4="Actuals","",BD381),BC383)</f>
        <v>-8615409.740084</v>
      </c>
      <c r="BD428" s="13" t="n">
        <f aca="false">IF(BD$4="Actuals",IF(BE$4="Actuals","",BE381),BD383)</f>
        <v>-9227851.88826367</v>
      </c>
      <c r="BE428" s="13" t="n">
        <f aca="false">IF(BE$4="Actuals",IF(BF$4="Actuals","",BF381),BE383)</f>
        <v>-9840294.03644334</v>
      </c>
      <c r="BF428" s="13" t="n">
        <f aca="false">IF(BF$4="Actuals",IF(BG$4="Actuals","",BG381),BF383)</f>
        <v>-10452736.184623</v>
      </c>
      <c r="BG428" s="13" t="n">
        <f aca="false">IF(BG$4="Actuals",IF(BH$4="Actuals","",BH381),BG383)</f>
        <v>-11065178.3328027</v>
      </c>
      <c r="BH428" s="13" t="n">
        <f aca="false">IF(BH$4="Actuals",IF(BI$4="Actuals","",BI381),BH383)</f>
        <v>-11677620.4809823</v>
      </c>
      <c r="BI428" s="13" t="n">
        <f aca="false">IF(BI$4="Actuals",IF(BJ$4="Actuals","",BJ381),BI383)</f>
        <v>-12290062.629162</v>
      </c>
      <c r="BJ428" s="13" t="n">
        <f aca="false">IF(BJ$4="Actuals",IF(BK$4="Actuals","",BK381),BJ383)</f>
        <v>-12902504.7773417</v>
      </c>
      <c r="BK428" s="13" t="n">
        <f aca="false">IF(BK$4="Actuals",IF(BL$4="Actuals","",BL381),BK383)</f>
        <v>-13514946.9255214</v>
      </c>
      <c r="BL428" s="13" t="n">
        <f aca="false">IF(BL$4="Actuals",IF(BM$4="Actuals","",BM381),BL383)</f>
        <v>-14127389.073701</v>
      </c>
      <c r="BM428" s="13" t="n">
        <f aca="false">IF(BM$4="Actuals",IF(BN$4="Actuals","",BN381),BM383)</f>
        <v>-14751437.3048443</v>
      </c>
      <c r="BN428" s="13" t="n">
        <f aca="false">IF(BN$4="Actuals",IF(BO$4="Actuals","",BO381),BN383)</f>
        <v>-15375485.5359876</v>
      </c>
      <c r="BO428" s="13" t="n">
        <f aca="false">IF(BO$4="Actuals",IF(BP$4="Actuals","",BP381),BO383)</f>
        <v>-15999533.7671308</v>
      </c>
      <c r="BP428" s="13" t="n">
        <f aca="false">IF(BP$4="Actuals",IF(BQ$4="Actuals","",BQ381),BP383)</f>
        <v>-16623581.9982741</v>
      </c>
      <c r="BQ428" s="13" t="n">
        <f aca="false">IF(BQ$4="Actuals",IF(BR$4="Actuals","",BR381),BQ383)</f>
        <v>-17247630.2294173</v>
      </c>
      <c r="BR428" s="13" t="n">
        <f aca="false">IF(BR$4="Actuals",IF(BS$4="Actuals","",BS381),BR383)</f>
        <v>-17818428.1105606</v>
      </c>
      <c r="BS428" s="13" t="n">
        <f aca="false">IF(BS$4="Actuals",IF(BT$4="Actuals","",BT381),BS383)</f>
        <v>-18442476.3417039</v>
      </c>
      <c r="BT428" s="13" t="n">
        <f aca="false">IF(BT$4="Actuals",IF(BU$4="Actuals","",BU381),BT383)</f>
        <v>-19066524.5728471</v>
      </c>
      <c r="BU428" s="13" t="n">
        <f aca="false">IF(BU$4="Actuals",IF(BV$4="Actuals","",BV381),BU383)</f>
        <v>-19622810.8039904</v>
      </c>
      <c r="BV428" s="13" t="n">
        <f aca="false">IF(BV$4="Actuals",IF(BW$4="Actuals","",BW381),BV383)</f>
        <v>-20246859.0351337</v>
      </c>
      <c r="BW428" s="13" t="n">
        <f aca="false">IF(BW$4="Actuals",IF(BX$4="Actuals","",BX381),BW383)</f>
        <v>-20870907.2662769</v>
      </c>
      <c r="BX428" s="13" t="n">
        <f aca="false">IF(BX$4="Actuals",IF(BY$4="Actuals","",BY381),BX383)</f>
        <v>-21427193.4974202</v>
      </c>
      <c r="BY428" s="13" t="n">
        <f aca="false">IF(BY$4="Actuals",IF(BZ$4="Actuals","",BZ381),BY383)</f>
        <v>-22063079.9331863</v>
      </c>
      <c r="BZ428" s="13" t="n">
        <f aca="false">IF(BZ$4="Actuals",IF(CA$4="Actuals","",CA381),BZ383)</f>
        <v>-22698966.3689524</v>
      </c>
      <c r="CA428" s="13" t="n">
        <f aca="false">IF(CA$4="Actuals",IF(CB$4="Actuals","",CB381),CA383)</f>
        <v>-23267090.8047186</v>
      </c>
      <c r="CB428" s="13" t="n">
        <f aca="false">IF(CB$4="Actuals",IF(CC$4="Actuals","",CC381),CB383)</f>
        <v>-23902977.2404847</v>
      </c>
      <c r="CC428" s="13" t="n">
        <f aca="false">IF(CC$4="Actuals",IF(CD$4="Actuals","",CD381),CC383)</f>
        <v>-24538863.6762508</v>
      </c>
      <c r="CD428" s="13" t="n">
        <f aca="false">IF(CD$4="Actuals",IF(CE$4="Actuals","",CE381),CD383)</f>
        <v>-25098251.112017</v>
      </c>
      <c r="CE428" s="13" t="n">
        <f aca="false">IF(CE$4="Actuals",IF(CF$4="Actuals","",CF381),CE383)</f>
        <v>-25734137.5477831</v>
      </c>
      <c r="CF428" s="13" t="n">
        <f aca="false">IF(CF$4="Actuals",IF(CG$4="Actuals","",CG381),CF383)</f>
        <v>-26370023.9835492</v>
      </c>
      <c r="CG428" s="13" t="n">
        <f aca="false">IF(CG$4="Actuals",IF(CH$4="Actuals","",CH381),CG383)</f>
        <v>-26929411.4193153</v>
      </c>
      <c r="CH428" s="13" t="n">
        <f aca="false">IF(CH$4="Actuals",IF(CI$4="Actuals","",CI381),CH383)</f>
        <v>-27565297.8550815</v>
      </c>
      <c r="CI428" s="13" t="n">
        <f aca="false">IF(CI$4="Actuals",IF(CJ$4="Actuals","",CJ381),CI383)</f>
        <v>-28201184.2908476</v>
      </c>
      <c r="CJ428" s="13" t="n">
        <f aca="false">IF(CJ$4="Actuals",IF(CK$4="Actuals","",CK381),CJ383)</f>
        <v>-28753963.7000072</v>
      </c>
      <c r="CK428" s="13" t="n">
        <f aca="false">IF(CK$4="Actuals",IF(CL$4="Actuals","",CL381),CK383)</f>
        <v>-29244064.1044887</v>
      </c>
      <c r="CL428" s="13" t="n">
        <f aca="false">IF(CL$4="Actuals",IF(CM$4="Actuals","",CM381),CL383)</f>
        <v>-29734164.5089701</v>
      </c>
      <c r="CM428" s="13" t="n">
        <f aca="false">IF(CM$4="Actuals",IF(CN$4="Actuals","",CN381),CM383)</f>
        <v>-30224264.9134516</v>
      </c>
      <c r="CN428" s="13" t="n">
        <f aca="false">IF(CN$4="Actuals",IF(CO$4="Actuals","",CO381),CN383)</f>
        <v>-30714365.317933</v>
      </c>
      <c r="CO428" s="13" t="n">
        <f aca="false">IF(CO$4="Actuals",IF(CP$4="Actuals","",CP381),CO383)</f>
        <v>-31204465.7224145</v>
      </c>
      <c r="CP428" s="13" t="n">
        <f aca="false">IF(CP$4="Actuals",IF(CQ$4="Actuals","",CQ381),CP383)</f>
        <v>-31694566.1268959</v>
      </c>
      <c r="CQ428" s="13" t="n">
        <f aca="false">IF(CQ$4="Actuals",IF(CR$4="Actuals","",CR381),CQ383)</f>
        <v>-32184666.5313774</v>
      </c>
      <c r="CR428" s="13" t="n">
        <f aca="false">IF(CR$4="Actuals",IF(CS$4="Actuals","",CS381),CR383)</f>
        <v>-32674766.9358588</v>
      </c>
      <c r="CS428" s="13" t="n">
        <f aca="false">IF(CS$4="Actuals",IF(CT$4="Actuals","",CT381),CS383)</f>
        <v>-33164867.3403403</v>
      </c>
      <c r="CT428" s="13" t="n">
        <f aca="false">IF(CT$4="Actuals",IF(CU$4="Actuals","",CU381),CT383)</f>
        <v>-33608703.9857816</v>
      </c>
      <c r="CU428" s="13" t="n">
        <f aca="false">IF(CU$4="Actuals",IF(CV$4="Actuals","",CV381),CU383)</f>
        <v>-34052540.6312229</v>
      </c>
      <c r="CV428" s="13" t="n">
        <f aca="false">IF(CV$4="Actuals",IF(CW$4="Actuals","",CW381),CV383)</f>
        <v>-34496377.2766642</v>
      </c>
      <c r="CW428" s="13" t="n">
        <f aca="false">IF(CW$4="Actuals",IF(CX$4="Actuals","",CX381),CW383)</f>
        <v>-34951605.1150144</v>
      </c>
      <c r="CX428" s="13" t="n">
        <f aca="false">IF(CX$4="Actuals",IF(CY$4="Actuals","",CY381),CX383)</f>
        <v>-35406832.9533645</v>
      </c>
      <c r="CY428" s="13" t="n">
        <f aca="false">IF(CY$4="Actuals",IF(CZ$4="Actuals","",CZ381),CY383)</f>
        <v>-35862060.7917147</v>
      </c>
      <c r="CZ428" s="13" t="n">
        <f aca="false">IF(CZ$4="Actuals",IF(DA$4="Actuals","",DA381),CZ383)</f>
        <v>-36317288.6300648</v>
      </c>
      <c r="DA428" s="13" t="n">
        <f aca="false">IF(DA$4="Actuals",IF(DB$4="Actuals","",DB381),DA383)</f>
        <v>-36772516.4684149</v>
      </c>
      <c r="DB428" s="13" t="n">
        <f aca="false">IF(DB$4="Actuals",IF(DC$4="Actuals","",DC381),DB383)</f>
        <v>-37227744.3067651</v>
      </c>
      <c r="DC428" s="13" t="n">
        <f aca="false">IF(DC$4="Actuals",IF(DD$4="Actuals","",DD381),DC383)</f>
        <v>-37682972.1451152</v>
      </c>
      <c r="DD428" s="13" t="n">
        <f aca="false">IF(DD$4="Actuals",IF(DE$4="Actuals","",DE381),DD383)</f>
        <v>-38138199.9834653</v>
      </c>
      <c r="DE428" s="13" t="n">
        <f aca="false">IF(DE$4="Actuals",IF(DF$4="Actuals","",DF381),DE383)</f>
        <v>-38593427.8218155</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6219735.44623096</v>
      </c>
      <c r="D4" s="13" t="n">
        <f aca="false">SUM(Model!Z10:AK10)</f>
        <v>4251359.8137432</v>
      </c>
      <c r="E4" s="13" t="n">
        <f aca="false">SUM(Model!AL10:AW10)</f>
        <v>1418883.68445642</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4729747.21497743</v>
      </c>
      <c r="D5" s="13" t="n">
        <f aca="false">SUM(Model!Z11:AK11)</f>
        <v>3251099.24824139</v>
      </c>
      <c r="E5" s="13" t="n">
        <f aca="false">SUM(Model!AL11:AW11)</f>
        <v>1071352.34552647</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82897000.8843522</v>
      </c>
      <c r="D6" s="13" t="n">
        <f aca="false">SUM(Model!Z57:AK57)</f>
        <v>58292891.0197805</v>
      </c>
      <c r="E6" s="13" t="n">
        <f aca="false">SUM(Model!AL57:AW57)</f>
        <v>14694726.6764871</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93846483.5455606</v>
      </c>
      <c r="D7" s="30" t="n">
        <f aca="false">SUM(Model!Z58:AK58)</f>
        <v>65795350.0817651</v>
      </c>
      <c r="E7" s="30" t="n">
        <f aca="false">SUM(Model!AL58:AW58)</f>
        <v>17184962.70647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-83404472.7143522</v>
      </c>
      <c r="D8" s="13" t="n">
        <f aca="false">SUM(Model!Z104:AK104)</f>
        <v>-58287112.2297805</v>
      </c>
      <c r="E8" s="13" t="n">
        <f aca="false">SUM(Model!AL104:AW104)</f>
        <v>-14694012.2964871</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668967.044334975</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-802202.980665025</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9632504.73054337</v>
      </c>
      <c r="D13" s="32" t="n">
        <f aca="false">SUM(Model!Z199:AK199)</f>
        <v>7502459.06198459</v>
      </c>
      <c r="E13" s="32" t="n">
        <f aca="false">SUM(Model!AL199:AW199)</f>
        <v>2490236.02998288</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0.102641083252384</v>
      </c>
      <c r="D14" s="78" t="n">
        <f aca="false">IFERROR(D13/D7,0)</f>
        <v>0.114027192691598</v>
      </c>
      <c r="E14" s="78" t="n">
        <f aca="false">IFERROR(E13/E7,0)</f>
        <v>0.144907851853838</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-5161105.16054</v>
      </c>
      <c r="D17" s="13" t="n">
        <f aca="false">SUM(Model!Z203:AK204)+SUM(Model!Z206:AK210)</f>
        <v>-4157619.0527508</v>
      </c>
      <c r="E17" s="13" t="n">
        <f aca="false">SUM(Model!AL203:AW204)+SUM(Model!AL206:AW210)</f>
        <v>-3909467.94037582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-849463.7688</v>
      </c>
      <c r="D18" s="13" t="n">
        <f aca="false">SUM(Model!Z211:AK233)+SUM(Model!Z235:AK235)</f>
        <v>-900549.967252923</v>
      </c>
      <c r="E18" s="13" t="n">
        <f aca="false">SUM(Model!AL211:AW233)+SUM(Model!AL235:AW235)</f>
        <v>-804722.50505952</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-6010568.92934</v>
      </c>
      <c r="D21" s="30" t="n">
        <f aca="false">SUM(Model!Z236:AK236)</f>
        <v>-5058169.02000372</v>
      </c>
      <c r="E21" s="30" t="n">
        <f aca="false">SUM(Model!AL236:AW236)</f>
        <v>-4714190.44543534</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3621935.80120337</v>
      </c>
      <c r="D22" s="30" t="n">
        <f aca="false">SUM(Model!Z237:AK237)</f>
        <v>2444290.04198086</v>
      </c>
      <c r="E22" s="30" t="n">
        <f aca="false">SUM(Model!AL237:AW237)</f>
        <v>-2223954.41545246</v>
      </c>
      <c r="F22" s="30" t="n">
        <f aca="false">SUM(Model!AX237:BI237)</f>
        <v>-4804874.25434404</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0.0385942622926835</v>
      </c>
      <c r="D23" s="78" t="n">
        <f aca="false">IFERROR(D22/D7,0)</f>
        <v>0.0371498903637309</v>
      </c>
      <c r="E23" s="78" t="n">
        <f aca="false">IFERROR(E22/E7,0)</f>
        <v>-0.129412815927448</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-2915408.4411054</v>
      </c>
      <c r="I26" s="13" t="n">
        <f aca="false">Model!CH292+Model!CI292+Model!CJ292+Model!CK292+Model!CL292+Model!CM292+Model!CN292+Model!CO292+Model!CP292+Model!CQ292+Model!CR292+Model!CS292</f>
        <v>-2726112.36332103</v>
      </c>
      <c r="J26" s="13" t="n">
        <f aca="false">Model!CT292+Model!CU292+Model!CV292+Model!CW292+Model!CX292+Model!CY292+Model!CZ292+Model!DA292+Model!DB292+Model!DC292+Model!DD292+Model!DE292</f>
        <v>-2628277.12764905</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-733945.127649052</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1632925.53158373</v>
      </c>
      <c r="D30" s="37" t="n">
        <f aca="false">Model!Z308+Model!AA308+Model!AB308+Model!AC308+Model!AD308+Model!AE308+Model!AF308+Model!AG308+Model!AH308+Model!AI308+Model!AJ308+Model!AK308</f>
        <v>271104.456801495</v>
      </c>
      <c r="E30" s="37" t="n">
        <f aca="false">Model!AL308+Model!AM308+Model!AN308+Model!AO308+Model!AP308+Model!AQ308+Model!AR308+Model!AS308+Model!AT308+Model!AU308+Model!AV308+Model!AW308</f>
        <v>-4689061.3818091</v>
      </c>
      <c r="F30" s="37" t="n">
        <f aca="false">Model!AX308+Model!AY308+Model!AZ308+Model!BA308+Model!BB308+Model!BC308+Model!BD308+Model!BE308+Model!BF308+Model!BG308+Model!BH308+Model!BI308</f>
        <v>-7315170.24002781</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-5428560.48147519</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-0</v>
      </c>
      <c r="I37" s="13" t="n">
        <f aca="false">Model!CH291+Model!CI291+Model!CJ291+Model!CK291+Model!CL291+Model!CM291+Model!CN291+Model!CO291+Model!CP291+Model!CQ291+Model!CR291+Model!CS291</f>
        <v>-0</v>
      </c>
      <c r="J37" s="13" t="n">
        <f aca="false">Model!CT291+Model!CU291+Model!CV291+Model!CW291+Model!CX291+Model!CY291+Model!CZ291+Model!DA291+Model!DB291+Model!DC291+Model!DD291+Model!DE291</f>
        <v>-0</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750000</v>
      </c>
      <c r="F43" s="13" t="n">
        <f aca="false">Model!BI323</f>
        <v>750000</v>
      </c>
      <c r="G43" s="13" t="n">
        <f aca="false">Model!BU323</f>
        <v>750000</v>
      </c>
      <c r="H43" s="13" t="n">
        <f aca="false">Model!CG323</f>
        <v>750000</v>
      </c>
      <c r="I43" s="13" t="n">
        <f aca="false">Model!CS323</f>
        <v>750000</v>
      </c>
      <c r="J43" s="13" t="n">
        <f aca="false">Model!DE323</f>
        <v>750000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1695181.94921875</v>
      </c>
      <c r="C45" s="13" t="n">
        <f aca="false">Model!Y330+Model!Y335+Model!Y340+Model!Y345</f>
        <v>630279.327378641</v>
      </c>
      <c r="D45" s="13" t="n">
        <f aca="false">Model!AK330+Model!AK335+Model!AK340+Model!AK345</f>
        <v>730273.404257803</v>
      </c>
      <c r="E45" s="13" t="n">
        <f aca="false">Model!AW330+Model!AW335+Model!AW340+Model!AW345</f>
        <v>846131.582935293</v>
      </c>
      <c r="F45" s="13" t="n">
        <f aca="false">Model!BI330+Model!BI335+Model!BI340+Model!BI345</f>
        <v>566072.415105011</v>
      </c>
      <c r="G45" s="13" t="n">
        <f aca="false">Model!BU330+Model!BU335+Model!BU340+Model!BU345</f>
        <v>346547.082648898</v>
      </c>
      <c r="H45" s="13" t="n">
        <f aca="false">Model!CG330+Model!CG335+Model!CG340+Model!CG345</f>
        <v>72052.0225479718</v>
      </c>
      <c r="I45" s="13" t="n">
        <f aca="false">Model!CS330+Model!CS335+Model!CS340+Model!CS345</f>
        <v>0</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74016619.84339</v>
      </c>
      <c r="D47" s="13" t="n">
        <f aca="false">Model!AK356</f>
        <v>17213731.86939</v>
      </c>
      <c r="E47" s="13" t="n">
        <f aca="false">Model!AW356</f>
        <v>0</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4021171.12261435</v>
      </c>
      <c r="D49" s="83" t="n">
        <f aca="false">Model!AK369</f>
        <v>7080880.75382585</v>
      </c>
      <c r="E49" s="83" t="n">
        <f aca="false">Model!AW369</f>
        <v>5556003.85228496</v>
      </c>
      <c r="F49" s="83" t="n">
        <f aca="false">Model!BI369</f>
        <v>751129.597940918</v>
      </c>
      <c r="G49" s="83" t="n">
        <f aca="false">Model!BU369</f>
        <v>-4146242.14149001</v>
      </c>
      <c r="H49" s="83" t="n">
        <f aca="false">Model!CG369</f>
        <v>-9137961.31570955</v>
      </c>
      <c r="I49" s="83" t="n">
        <f aca="false">Model!CS369</f>
        <v>-14225914.8734135</v>
      </c>
      <c r="J49" s="83" t="n">
        <f aca="false">Model!DE369</f>
        <v>-18920530.2272396</v>
      </c>
    </row>
    <row r="50" customFormat="false" ht="15" hidden="false" customHeight="true" outlineLevel="0" collapsed="false">
      <c r="A50" s="82" t="s">
        <v>310</v>
      </c>
      <c r="B50" s="83" t="n">
        <f aca="false">Model!M378</f>
        <v>-177500.46135</v>
      </c>
      <c r="C50" s="83" t="n">
        <f aca="false">Model!Y378</f>
        <v>-3046757.39764108</v>
      </c>
      <c r="D50" s="83" t="n">
        <f aca="false">Model!AK378</f>
        <v>-7635304.52520707</v>
      </c>
      <c r="E50" s="83" t="n">
        <f aca="false">Model!AW378</f>
        <v>-10530896.2414192</v>
      </c>
      <c r="F50" s="83" t="n">
        <f aca="false">Model!BI378</f>
        <v>-13041192.2271029</v>
      </c>
      <c r="G50" s="83" t="n">
        <f aca="false">Model!BU378</f>
        <v>-15476568.6625004</v>
      </c>
      <c r="H50" s="83" t="n">
        <f aca="false">Model!CG378</f>
        <v>-17791450.1036058</v>
      </c>
      <c r="I50" s="83" t="n">
        <f aca="false">Model!CS378</f>
        <v>-18938952.4669268</v>
      </c>
      <c r="J50" s="83" t="n">
        <f aca="false">Model!DE378</f>
        <v>-19672897.5945759</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-821361.542386619</v>
      </c>
      <c r="E51" s="83" t="n">
        <f aca="false">Model!AL382+Model!AM382+Model!AN382+Model!AO382+Model!AP382+Model!AQ382+Model!AR382+Model!AS382+Model!AT382+Model!AU382+Model!AV382+Model!AW382</f>
        <v>-136365.541771152</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974413.724973267</v>
      </c>
      <c r="D52" s="84" t="n">
        <f aca="false">Model!AK383</f>
        <v>-554423.771381223</v>
      </c>
      <c r="E52" s="84" t="n">
        <f aca="false">Model!AW383</f>
        <v>-4974892.38913421</v>
      </c>
      <c r="F52" s="84" t="n">
        <f aca="false">Model!BI383</f>
        <v>-12290062.629162</v>
      </c>
      <c r="G52" s="84" t="n">
        <f aca="false">Model!BU383</f>
        <v>-19622810.8039904</v>
      </c>
      <c r="H52" s="84" t="n">
        <f aca="false">Model!CG383</f>
        <v>-26929411.4193153</v>
      </c>
      <c r="I52" s="84" t="n">
        <f aca="false">Model!CS383</f>
        <v>-33164867.3403403</v>
      </c>
      <c r="J52" s="84" t="n">
        <f aca="false">Model!DE383</f>
        <v>-38593427.8218155</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1516087.76997736</v>
      </c>
      <c r="H4" s="13" t="n">
        <f aca="false">SUM(Model!T10:V10)</f>
        <v>1769346.09131353</v>
      </c>
      <c r="I4" s="13" t="n">
        <f aca="false">SUM(Model!W10:Y10)</f>
        <v>1480343.61131353</v>
      </c>
      <c r="J4" s="13" t="n">
        <f aca="false">SUM(Model!Z10:AB10)</f>
        <v>1348306.18131353</v>
      </c>
      <c r="K4" s="13" t="n">
        <f aca="false">SUM(Model!AC10:AE10)</f>
        <v>1003006.26131353</v>
      </c>
      <c r="L4" s="13" t="n">
        <f aca="false">SUM(Model!AF10:AH10)</f>
        <v>1119067.16429428</v>
      </c>
      <c r="M4" s="13" t="n">
        <f aca="false">SUM(Model!AI10:AK10)</f>
        <v>780980.206821854</v>
      </c>
      <c r="N4" s="13" t="n">
        <f aca="false">SUM(Model!AL10:AN10)</f>
        <v>474265.02700425</v>
      </c>
      <c r="O4" s="13" t="n">
        <f aca="false">SUM(Model!AO10:AQ10)</f>
        <v>295842.10700425</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1143399.06140206</v>
      </c>
      <c r="H5" s="13" t="n">
        <f aca="false">SUM(Model!T11:V11)</f>
        <v>1339742.65818033</v>
      </c>
      <c r="I5" s="13" t="n">
        <f aca="false">SUM(Model!W11:Y11)</f>
        <v>1141473.06818033</v>
      </c>
      <c r="J5" s="13" t="n">
        <f aca="false">SUM(Model!Z11:AB11)</f>
        <v>1035465.18818033</v>
      </c>
      <c r="K5" s="13" t="n">
        <f aca="false">SUM(Model!AC11:AE11)</f>
        <v>761834.868180325</v>
      </c>
      <c r="L5" s="13" t="n">
        <f aca="false">SUM(Model!AF11:AH11)</f>
        <v>856123.268480925</v>
      </c>
      <c r="M5" s="13" t="n">
        <f aca="false">SUM(Model!AI11:AK11)</f>
        <v>597675.923399817</v>
      </c>
      <c r="N5" s="13" t="n">
        <f aca="false">SUM(Model!AL11:AN11)</f>
        <v>362891.7851674</v>
      </c>
      <c r="O5" s="13" t="n">
        <f aca="false">SUM(Model!AO11:AQ11)</f>
        <v>221880.5051674</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19454067.2549303</v>
      </c>
      <c r="H6" s="13" t="n">
        <f aca="false">SUM(Model!T57:V57)</f>
        <v>24207721.3935211</v>
      </c>
      <c r="I6" s="13" t="n">
        <f aca="false">SUM(Model!W57:Y57)</f>
        <v>22336360.6278341</v>
      </c>
      <c r="J6" s="13" t="n">
        <f aca="false">SUM(Model!Z57:AB57)</f>
        <v>20395042.9670799</v>
      </c>
      <c r="K6" s="13" t="n">
        <f aca="false">SUM(Model!AC57:AE57)</f>
        <v>14242414.6569651</v>
      </c>
      <c r="L6" s="13" t="n">
        <f aca="false">SUM(Model!AF57:AH57)</f>
        <v>13605697.3994221</v>
      </c>
      <c r="M6" s="13" t="n">
        <f aca="false">SUM(Model!AI57:AK57)</f>
        <v>10049735.9963133</v>
      </c>
      <c r="N6" s="13" t="n">
        <f aca="false">SUM(Model!AL57:AN57)</f>
        <v>7196177.73662835</v>
      </c>
      <c r="O6" s="13" t="n">
        <f aca="false">SUM(Model!AO57:AQ57)</f>
        <v>3834994.19071835</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22113554.0863097</v>
      </c>
      <c r="H7" s="88" t="n">
        <f aca="false">SUM(Model!T58:V58)</f>
        <v>27316810.1430149</v>
      </c>
      <c r="I7" s="88" t="n">
        <f aca="false">SUM(Model!W58:Y58)</f>
        <v>24958177.3073279</v>
      </c>
      <c r="J7" s="88" t="n">
        <f aca="false">SUM(Model!Z58:AB58)</f>
        <v>22778814.3365737</v>
      </c>
      <c r="K7" s="88" t="n">
        <f aca="false">SUM(Model!AC58:AE58)</f>
        <v>16007255.786459</v>
      </c>
      <c r="L7" s="88" t="n">
        <f aca="false">SUM(Model!AF58:AH58)</f>
        <v>15580887.8321974</v>
      </c>
      <c r="M7" s="88" t="n">
        <f aca="false">SUM(Model!AI58:AK58)</f>
        <v>11428392.126535</v>
      </c>
      <c r="N7" s="88" t="n">
        <f aca="false">SUM(Model!AL58:AN58)</f>
        <v>8033334.5488</v>
      </c>
      <c r="O7" s="88" t="n">
        <f aca="false">SUM(Model!AO58:AQ58)</f>
        <v>4352716.80289</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-19617496.3249303</v>
      </c>
      <c r="H8" s="13" t="n">
        <f aca="false">SUM(Model!T104:V104)</f>
        <v>-24344275.6235211</v>
      </c>
      <c r="I8" s="13" t="n">
        <f aca="false">SUM(Model!W104:Y104)</f>
        <v>-22336997.3778341</v>
      </c>
      <c r="J8" s="13" t="n">
        <f aca="false">SUM(Model!Z104:AB104)</f>
        <v>-20392990.6670799</v>
      </c>
      <c r="K8" s="13" t="n">
        <f aca="false">SUM(Model!AC104:AE104)</f>
        <v>-14241511.6269651</v>
      </c>
      <c r="L8" s="13" t="n">
        <f aca="false">SUM(Model!AF104:AH104)</f>
        <v>-13604059.8394222</v>
      </c>
      <c r="M8" s="13" t="n">
        <f aca="false">SUM(Model!AI104:AK104)</f>
        <v>-10048550.0963133</v>
      </c>
      <c r="N8" s="13" t="n">
        <f aca="false">SUM(Model!AL104:AN104)</f>
        <v>-7195463.35662835</v>
      </c>
      <c r="O8" s="13" t="n">
        <f aca="false">SUM(Model!AO104:AQ104)</f>
        <v>-3834994.19071835</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668967.044334975</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-802202.980665025</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1692340.7407144</v>
      </c>
      <c r="H13" s="32" t="n">
        <f aca="false">SUM(Model!T199:V199)</f>
        <v>2970471.40949385</v>
      </c>
      <c r="I13" s="32" t="n">
        <f aca="false">SUM(Model!W199:Y199)</f>
        <v>2618848.39949386</v>
      </c>
      <c r="J13" s="32" t="n">
        <f aca="false">SUM(Model!Z199:AB199)</f>
        <v>2383771.36949385</v>
      </c>
      <c r="K13" s="32" t="n">
        <f aca="false">SUM(Model!AC199:AE199)</f>
        <v>1764841.12949386</v>
      </c>
      <c r="L13" s="32" t="n">
        <f aca="false">SUM(Model!AF199:AH199)</f>
        <v>1975190.43277521</v>
      </c>
      <c r="M13" s="32" t="n">
        <f aca="false">SUM(Model!AI199:AK199)</f>
        <v>1378656.13022167</v>
      </c>
      <c r="N13" s="32" t="n">
        <f aca="false">SUM(Model!AL199:AN199)</f>
        <v>837156.812171647</v>
      </c>
      <c r="O13" s="32" t="n">
        <f aca="false">SUM(Model!AO199:AQ199)</f>
        <v>517722.61217165</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0.0765295679794009</v>
      </c>
      <c r="H14" s="89" t="n">
        <f aca="false">IFERROR(H13/H7,0)</f>
        <v>0.108741518279118</v>
      </c>
      <c r="I14" s="89" t="n">
        <f aca="false">IFERROR(I13/I7,0)</f>
        <v>0.104929473304324</v>
      </c>
      <c r="J14" s="89" t="n">
        <f aca="false">IFERROR(J13/J7,0)</f>
        <v>0.104648614904704</v>
      </c>
      <c r="K14" s="89" t="n">
        <f aca="false">IFERROR(K13/K7,0)</f>
        <v>0.110252572523192</v>
      </c>
      <c r="L14" s="89" t="n">
        <f aca="false">IFERROR(L13/L7,0)</f>
        <v>0.126770082298747</v>
      </c>
      <c r="M14" s="89" t="n">
        <f aca="false">IFERROR(M13/M7,0)</f>
        <v>0.120634304017329</v>
      </c>
      <c r="N14" s="89" t="n">
        <f aca="false">IFERROR(N13/N7,0)</f>
        <v>0.104210375789304</v>
      </c>
      <c r="O14" s="89" t="n">
        <f aca="false">IFERROR(O13/O7,0)</f>
        <v>0.118942406689061</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-1288877.51718</v>
      </c>
      <c r="H17" s="13" t="n">
        <f aca="false">SUM(Model!T203:V204)+SUM(Model!T206:V210)</f>
        <v>-1342802.36718</v>
      </c>
      <c r="I17" s="13" t="n">
        <f aca="false">SUM(Model!W203:Y204)+SUM(Model!W206:Y210)</f>
        <v>-1342802.36718</v>
      </c>
      <c r="J17" s="13" t="n">
        <f aca="false">SUM(Model!Z203:AB204)+SUM(Model!Z206:AB210)</f>
        <v>-1180554.79218</v>
      </c>
      <c r="K17" s="13" t="n">
        <f aca="false">SUM(Model!AC203:AE204)+SUM(Model!AC206:AE210)</f>
        <v>-1027093.7095236</v>
      </c>
      <c r="L17" s="13" t="n">
        <f aca="false">SUM(Model!AF203:AH204)+SUM(Model!AF206:AH210)</f>
        <v>-987047.4130236</v>
      </c>
      <c r="M17" s="13" t="n">
        <f aca="false">SUM(Model!AI203:AK204)+SUM(Model!AI206:AK210)</f>
        <v>-962923.1380236</v>
      </c>
      <c r="N17" s="13" t="n">
        <f aca="false">SUM(Model!AL203:AN204)+SUM(Model!AL206:AN210)</f>
        <v>-962923.1380236</v>
      </c>
      <c r="O17" s="13" t="n">
        <f aca="false">SUM(Model!AO203:AQ204)+SUM(Model!AO206:AQ210)</f>
        <v>-982181.600784072</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-217230.4296</v>
      </c>
      <c r="H18" s="13" t="n">
        <f aca="false">SUM(Model!T211:V233)+SUM(Model!T235:V235)</f>
        <v>-195855.4296</v>
      </c>
      <c r="I18" s="13" t="n">
        <f aca="false">SUM(Model!W211:Y233)+SUM(Model!W235:Y235)</f>
        <v>-195855.4296</v>
      </c>
      <c r="J18" s="13" t="n">
        <f aca="false">SUM(Model!Z211:AB233)+SUM(Model!Z235:AB235)</f>
        <v>-250086.198830769</v>
      </c>
      <c r="K18" s="13" t="n">
        <f aca="false">SUM(Model!AC211:AE233)+SUM(Model!AC235:AE235)</f>
        <v>-243103.307422769</v>
      </c>
      <c r="L18" s="13" t="n">
        <f aca="false">SUM(Model!AF211:AH233)+SUM(Model!AF235:AH235)</f>
        <v>-208487.922807385</v>
      </c>
      <c r="M18" s="13" t="n">
        <f aca="false">SUM(Model!AI211:AK233)+SUM(Model!AI235:AK235)</f>
        <v>-198872.538192</v>
      </c>
      <c r="N18" s="13" t="n">
        <f aca="false">SUM(Model!AL211:AN233)+SUM(Model!AL235:AN235)</f>
        <v>-198872.538192</v>
      </c>
      <c r="O18" s="13" t="n">
        <f aca="false">SUM(Model!AO211:AQ233)+SUM(Model!AO235:AQ235)</f>
        <v>-201949.98895584</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-1506107.94678</v>
      </c>
      <c r="H21" s="88" t="n">
        <f aca="false">SUM(Model!T236:V236)</f>
        <v>-1538657.79678</v>
      </c>
      <c r="I21" s="88" t="n">
        <f aca="false">SUM(Model!W236:Y236)</f>
        <v>-1538657.79678</v>
      </c>
      <c r="J21" s="88" t="n">
        <f aca="false">SUM(Model!Z236:AB236)</f>
        <v>-1430640.99101077</v>
      </c>
      <c r="K21" s="88" t="n">
        <f aca="false">SUM(Model!AC236:AE236)</f>
        <v>-1270197.01694637</v>
      </c>
      <c r="L21" s="88" t="n">
        <f aca="false">SUM(Model!AF236:AH236)</f>
        <v>-1195535.33583098</v>
      </c>
      <c r="M21" s="88" t="n">
        <f aca="false">SUM(Model!AI236:AK236)</f>
        <v>-1161795.6762156</v>
      </c>
      <c r="N21" s="88" t="n">
        <f aca="false">SUM(Model!AL236:AN236)</f>
        <v>-1161795.6762156</v>
      </c>
      <c r="O21" s="88" t="n">
        <f aca="false">SUM(Model!AO236:AQ236)</f>
        <v>-1184131.58973991</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186232.793934399</v>
      </c>
      <c r="H22" s="91" t="n">
        <f aca="false">SUM(Model!T237:V237)</f>
        <v>1431813.61271385</v>
      </c>
      <c r="I22" s="91" t="n">
        <f aca="false">SUM(Model!W237:Y237)</f>
        <v>1080190.60271386</v>
      </c>
      <c r="J22" s="91" t="n">
        <f aca="false">SUM(Model!Z237:AB237)</f>
        <v>953130.378483085</v>
      </c>
      <c r="K22" s="91" t="n">
        <f aca="false">SUM(Model!AC237:AE237)</f>
        <v>494644.112547486</v>
      </c>
      <c r="L22" s="91" t="n">
        <f aca="false">SUM(Model!AF237:AH237)</f>
        <v>779655.096944222</v>
      </c>
      <c r="M22" s="91" t="n">
        <f aca="false">SUM(Model!AI237:AK237)</f>
        <v>216860.454006071</v>
      </c>
      <c r="N22" s="91" t="n">
        <f aca="false">SUM(Model!AL237:AN237)</f>
        <v>-324638.864043953</v>
      </c>
      <c r="O22" s="91" t="n">
        <f aca="false">SUM(Model!AO237:AQ237)</f>
        <v>-666408.977568262</v>
      </c>
      <c r="P22" s="91" t="n">
        <f aca="false">SUM(Model!AR237:AT237)</f>
        <v>-666408.977568262</v>
      </c>
      <c r="Q22" s="91" t="n">
        <f aca="false">SUM(Model!AU237:AW237)</f>
        <v>-566497.596271979</v>
      </c>
      <c r="R22" s="91" t="n">
        <f aca="false">SUM(Model!AX237:AZ237)</f>
        <v>-1184131.58973991</v>
      </c>
      <c r="S22" s="91" t="n">
        <f aca="false">SUM(Model!BA237:BC237)</f>
        <v>-1206914.22153471</v>
      </c>
      <c r="T22" s="91" t="n">
        <f aca="false">SUM(Model!BD237:BF237)</f>
        <v>-1206914.22153471</v>
      </c>
      <c r="U22" s="91" t="n">
        <f aca="false">SUM(Model!BG237:BI237)</f>
        <v>-1206914.22153471</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0.00842165819241574</v>
      </c>
      <c r="H23" s="89" t="n">
        <f aca="false">IFERROR(H22/H7,0)</f>
        <v>0.0524151101544328</v>
      </c>
      <c r="I23" s="89" t="n">
        <f aca="false">IFERROR(I22/I7,0)</f>
        <v>0.0432800276002809</v>
      </c>
      <c r="J23" s="89" t="n">
        <f aca="false">IFERROR(J22/J7,0)</f>
        <v>0.0418428441621185</v>
      </c>
      <c r="K23" s="89" t="n">
        <f aca="false">IFERROR(K22/K7,0)</f>
        <v>0.0309012437326028</v>
      </c>
      <c r="L23" s="89" t="n">
        <f aca="false">IFERROR(L22/L7,0)</f>
        <v>0.0500391957981427</v>
      </c>
      <c r="M23" s="89" t="n">
        <f aca="false">IFERROR(M22/M7,0)</f>
        <v>0.0189755874321598</v>
      </c>
      <c r="N23" s="89" t="n">
        <f aca="false">IFERROR(N22/N7,0)</f>
        <v>-0.0404114707375715</v>
      </c>
      <c r="O23" s="89" t="n">
        <f aca="false">IFERROR(O22/O7,0)</f>
        <v>-0.153101845984053</v>
      </c>
      <c r="P23" s="89" t="n">
        <f aca="false">IFERROR(P22/P7,0)</f>
        <v>-0.206202313947595</v>
      </c>
      <c r="Q23" s="89" t="n">
        <f aca="false">IFERROR(Q22/Q7,0)</f>
        <v>-0.361496457753118</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-728443.751213671</v>
      </c>
      <c r="AB26" s="92" t="n">
        <f aca="false">Model!CB292+Model!CC292+Model!CD292</f>
        <v>-735166.751213671</v>
      </c>
      <c r="AC26" s="92" t="n">
        <f aca="false">Model!CE292+Model!CF292+Model!CG292</f>
        <v>-735165.751213671</v>
      </c>
      <c r="AD26" s="92" t="n">
        <f aca="false">Model!CH292+Model!CI292+Model!CJ292</f>
        <v>-728557.724607192</v>
      </c>
      <c r="AE26" s="92" t="n">
        <f aca="false">Model!CK292+Model!CL292+Model!CM292</f>
        <v>-665851.546237945</v>
      </c>
      <c r="AF26" s="92" t="n">
        <f aca="false">Model!CN292+Model!CO292+Model!CP292</f>
        <v>-665851.546237945</v>
      </c>
      <c r="AG26" s="92" t="n">
        <f aca="false">Model!CQ292+Model!CR292+Model!CS292</f>
        <v>-665851.546237945</v>
      </c>
      <c r="AH26" s="92" t="n">
        <f aca="false">Model!CT292+Model!CU292+Model!CV292</f>
        <v>-648118.711243609</v>
      </c>
      <c r="AI26" s="92" t="n">
        <f aca="false">Model!CW292+Model!CX292+Model!CY292</f>
        <v>-660052.805468481</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-186469.805468481</v>
      </c>
      <c r="AJ27" s="37" t="n">
        <f aca="false">Model!CZ293+Model!DA293+Model!DB293</f>
        <v>-186469.805468481</v>
      </c>
      <c r="AK27" s="37" t="n">
        <f aca="false">Model!DC293+Model!DD293+Model!DE293</f>
        <v>-186469.805468481</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-291618.044844549</v>
      </c>
      <c r="H30" s="37" t="n">
        <f aca="false">Model!T308+Model!U308+Model!V308</f>
        <v>882244.023934907</v>
      </c>
      <c r="I30" s="37" t="n">
        <f aca="false">Model!W308+Model!X308+Model!Y308</f>
        <v>587996.013934911</v>
      </c>
      <c r="J30" s="37" t="n">
        <f aca="false">Model!Z308+Model!AA308+Model!AB308</f>
        <v>460935.789704137</v>
      </c>
      <c r="K30" s="37" t="n">
        <f aca="false">Model!AC308+Model!AD308+Model!AE308</f>
        <v>-8462.53537546191</v>
      </c>
      <c r="L30" s="37" t="n">
        <f aca="false">Model!AF308+Model!AG308+Model!AH308</f>
        <v>209699.764810748</v>
      </c>
      <c r="M30" s="37" t="n">
        <f aca="false">Model!AI308+Model!AJ308+Model!AK308</f>
        <v>-391068.562337929</v>
      </c>
      <c r="N30" s="37" t="n">
        <f aca="false">Model!AL308+Model!AM308+Model!AN308</f>
        <v>-932567.880387953</v>
      </c>
      <c r="O30" s="37" t="n">
        <f aca="false">Model!AO308+Model!AP308+Model!AQ308</f>
        <v>-1285468.29423914</v>
      </c>
      <c r="P30" s="37" t="n">
        <f aca="false">Model!AR308+Model!AS308+Model!AT308</f>
        <v>-1285468.29423914</v>
      </c>
      <c r="Q30" s="37" t="n">
        <f aca="false">Model!AU308+Model!AV308+Model!AW308</f>
        <v>-1185556.91294286</v>
      </c>
      <c r="R30" s="37" t="n">
        <f aca="false">Model!AX308+Model!AY308+Model!AZ308</f>
        <v>-1803190.90641079</v>
      </c>
      <c r="S30" s="37" t="n">
        <f aca="false">Model!BA308+Model!BB308+Model!BC308</f>
        <v>-1837326.44453901</v>
      </c>
      <c r="T30" s="37" t="n">
        <f aca="false">Model!BD308+Model!BE308+Model!BF308</f>
        <v>-1837326.44453901</v>
      </c>
      <c r="U30" s="37" t="n">
        <f aca="false">Model!BG308+Model!BH308+Model!BI308</f>
        <v>-1837326.44453901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-1365683.51505042</v>
      </c>
      <c r="AJ30" s="37" t="n">
        <f aca="false">Model!CZ308+Model!DA308+Model!DB308</f>
        <v>-1365683.51505042</v>
      </c>
      <c r="AK30" s="37" t="n">
        <f aca="false">Model!DC308+Model!DD308+Model!DE308</f>
        <v>-1365683.51505042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-0</v>
      </c>
      <c r="AB37" s="93" t="n">
        <f aca="false">Model!CB291+Model!CC291+Model!CD291</f>
        <v>-0</v>
      </c>
      <c r="AC37" s="93" t="n">
        <f aca="false">Model!CE291+Model!CF291+Model!CG291</f>
        <v>-0</v>
      </c>
      <c r="AD37" s="93" t="n">
        <f aca="false">Model!CH291+Model!CI291+Model!CJ291</f>
        <v>-0</v>
      </c>
      <c r="AE37" s="93" t="n">
        <f aca="false">Model!CK291+Model!CL291+Model!CM291</f>
        <v>-0</v>
      </c>
      <c r="AF37" s="93" t="n">
        <f aca="false">Model!CN291+Model!CO291+Model!CP291</f>
        <v>-0</v>
      </c>
      <c r="AG37" s="93" t="n">
        <f aca="false">Model!CQ291+Model!CR291+Model!CS291</f>
        <v>-0</v>
      </c>
      <c r="AH37" s="93" t="n">
        <f aca="false">Model!CT291+Model!CU291+Model!CV291</f>
        <v>-0</v>
      </c>
      <c r="AI37" s="93" t="n">
        <f aca="false">Model!CW291+Model!CX291+Model!CY291</f>
        <v>-0</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750000</v>
      </c>
      <c r="O43" s="93" t="n">
        <f aca="false">Model!AQ323</f>
        <v>750000</v>
      </c>
      <c r="P43" s="93" t="n">
        <f aca="false">Model!AT323</f>
        <v>750000</v>
      </c>
      <c r="Q43" s="93" t="n">
        <f aca="false">Model!AW323</f>
        <v>750000</v>
      </c>
      <c r="R43" s="93" t="n">
        <f aca="false">Model!AZ323</f>
        <v>750000</v>
      </c>
      <c r="S43" s="93" t="n">
        <f aca="false">Model!BC323</f>
        <v>750000</v>
      </c>
      <c r="T43" s="93" t="n">
        <f aca="false">Model!BF323</f>
        <v>750000</v>
      </c>
      <c r="U43" s="93" t="n">
        <f aca="false">Model!BI323</f>
        <v>750000</v>
      </c>
      <c r="V43" s="93" t="n">
        <f aca="false">Model!BL323</f>
        <v>750000</v>
      </c>
      <c r="W43" s="93" t="n">
        <f aca="false">Model!BO323</f>
        <v>750000</v>
      </c>
      <c r="X43" s="93" t="n">
        <f aca="false">Model!BR323</f>
        <v>750000</v>
      </c>
      <c r="Y43" s="93" t="n">
        <f aca="false">Model!BU323</f>
        <v>750000</v>
      </c>
      <c r="Z43" s="93" t="n">
        <f aca="false">Model!BX323</f>
        <v>750000</v>
      </c>
      <c r="AA43" s="93" t="n">
        <f aca="false">Model!CA323</f>
        <v>750000</v>
      </c>
      <c r="AB43" s="93" t="n">
        <f aca="false">Model!CD323</f>
        <v>750000</v>
      </c>
      <c r="AC43" s="93" t="n">
        <f aca="false">Model!CG323</f>
        <v>750000</v>
      </c>
      <c r="AD43" s="93" t="n">
        <f aca="false">Model!CJ323</f>
        <v>750000</v>
      </c>
      <c r="AE43" s="93" t="n">
        <f aca="false">Model!CM323</f>
        <v>750000</v>
      </c>
      <c r="AF43" s="93" t="n">
        <f aca="false">Model!CP323</f>
        <v>750000</v>
      </c>
      <c r="AG43" s="93" t="n">
        <f aca="false">Model!CS323</f>
        <v>750000</v>
      </c>
      <c r="AH43" s="93" t="n">
        <f aca="false">Model!CV323</f>
        <v>750000</v>
      </c>
      <c r="AI43" s="93" t="n">
        <f aca="false">Model!CY323</f>
        <v>750000</v>
      </c>
      <c r="AJ43" s="93" t="n">
        <f aca="false">Model!DB323</f>
        <v>750000</v>
      </c>
      <c r="AK43" s="93" t="n">
        <f aca="false">Model!DE323</f>
        <v>750000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1280275</v>
      </c>
      <c r="D45" s="93" t="n">
        <f aca="false">Model!J330+Model!J335+Model!J340+Model!J345</f>
        <v>1483910.3125</v>
      </c>
      <c r="E45" s="93" t="n">
        <f aca="false">Model!M330+Model!M335+Model!M340+Model!M345</f>
        <v>1695181.94921875</v>
      </c>
      <c r="F45" s="93" t="n">
        <f aca="false">Model!P330+Model!P335+Model!P340+Model!P345</f>
        <v>1914376.27231445</v>
      </c>
      <c r="G45" s="93" t="n">
        <f aca="false">Model!S330+Model!S335+Model!S340+Model!S345</f>
        <v>585540.382526245</v>
      </c>
      <c r="H45" s="93" t="n">
        <f aca="false">Model!V330+Model!V335+Model!V340+Model!V345</f>
        <v>607498.146870979</v>
      </c>
      <c r="I45" s="93" t="n">
        <f aca="false">Model!Y330+Model!Y335+Model!Y340+Model!Y345</f>
        <v>630279.327378641</v>
      </c>
      <c r="J45" s="93" t="n">
        <f aca="false">Model!AB330+Model!AB335+Model!AB340+Model!AB345</f>
        <v>653914.80215534</v>
      </c>
      <c r="K45" s="93" t="n">
        <f aca="false">Model!AE330+Model!AE335+Model!AE340+Model!AE345</f>
        <v>678436.607236165</v>
      </c>
      <c r="L45" s="93" t="n">
        <f aca="false">Model!AH330+Model!AH335+Model!AH340+Model!AH345</f>
        <v>703877.980007521</v>
      </c>
      <c r="M45" s="93" t="n">
        <f aca="false">Model!AK330+Model!AK335+Model!AK340+Model!AK345</f>
        <v>730273.404257803</v>
      </c>
      <c r="N45" s="93" t="n">
        <f aca="false">Model!AN330+Model!AN335+Model!AN340+Model!AN345</f>
        <v>757658.656917471</v>
      </c>
      <c r="O45" s="93" t="n">
        <f aca="false">Model!AQ330+Model!AQ335+Model!AQ340+Model!AQ345</f>
        <v>786070.856551876</v>
      </c>
      <c r="P45" s="93" t="n">
        <f aca="false">Model!AT330+Model!AT335+Model!AT340+Model!AT345</f>
        <v>815548.513672571</v>
      </c>
      <c r="Q45" s="93" t="n">
        <f aca="false">Model!AW330+Model!AW335+Model!AW340+Model!AW345</f>
        <v>846131.582935293</v>
      </c>
      <c r="R45" s="93" t="n">
        <f aca="false">Model!AZ330+Model!AZ335+Model!AZ340+Model!AZ345</f>
        <v>877861.517295366</v>
      </c>
      <c r="S45" s="93" t="n">
        <f aca="false">Model!BC330+Model!BC335+Model!BC340+Model!BC345</f>
        <v>661610.024193943</v>
      </c>
      <c r="T45" s="93" t="n">
        <f aca="false">Model!BF330+Model!BF335+Model!BF340+Model!BF345</f>
        <v>614720.400101215</v>
      </c>
      <c r="U45" s="93" t="n">
        <f aca="false">Model!BI330+Model!BI335+Model!BI340+Model!BI345</f>
        <v>566072.415105011</v>
      </c>
      <c r="V45" s="93" t="n">
        <f aca="false">Model!BL330+Model!BL335+Model!BL340+Model!BL345</f>
        <v>515600.130671449</v>
      </c>
      <c r="W45" s="93" t="n">
        <f aca="false">Model!BO330+Model!BO335+Model!BO340+Model!BO345</f>
        <v>463235.135571628</v>
      </c>
      <c r="X45" s="93" t="n">
        <f aca="false">Model!BR330+Model!BR335+Model!BR340+Model!BR345</f>
        <v>405963.453155564</v>
      </c>
      <c r="Y45" s="93" t="n">
        <f aca="false">Model!BU330+Model!BU335+Model!BU340+Model!BU345</f>
        <v>346547.082648898</v>
      </c>
      <c r="Z45" s="93" t="n">
        <f aca="false">Model!BX330+Model!BX335+Model!BX340+Model!BX345</f>
        <v>284902.598248232</v>
      </c>
      <c r="AA45" s="93" t="n">
        <f aca="false">Model!CA330+Model!CA335+Model!CA340+Model!CA345</f>
        <v>220946.44568254</v>
      </c>
      <c r="AB45" s="93" t="n">
        <f aca="false">Model!CD330+Model!CD335+Model!CD340+Model!CD345</f>
        <v>147868.937395636</v>
      </c>
      <c r="AC45" s="93" t="n">
        <f aca="false">Model!CG330+Model!CG335+Model!CG340+Model!CG345</f>
        <v>72052.0225479718</v>
      </c>
      <c r="AD45" s="93" t="n">
        <f aca="false">Model!CJ330+Model!CJ335+Model!CJ340+Model!CJ345</f>
        <v>0</v>
      </c>
      <c r="AE45" s="93" t="n">
        <f aca="false">Model!CM330+Model!CM335+Model!CM340+Model!CM345</f>
        <v>0</v>
      </c>
      <c r="AF45" s="93" t="n">
        <f aca="false">Model!CP330+Model!CP335+Model!CP340+Model!CP345</f>
        <v>0</v>
      </c>
      <c r="AG45" s="93" t="n">
        <f aca="false">Model!CS330+Model!CS335+Model!CS340+Model!CS345</f>
        <v>0</v>
      </c>
      <c r="AH45" s="93" t="n">
        <f aca="false">Model!CV330+Model!CV335+Model!CV340+Model!CV345</f>
        <v>0</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112297974.24353</v>
      </c>
      <c r="H47" s="93" t="n">
        <f aca="false">Model!V356</f>
        <v>93115291.275657</v>
      </c>
      <c r="I47" s="93" t="n">
        <f aca="false">Model!Y356</f>
        <v>74016619.84339</v>
      </c>
      <c r="J47" s="93" t="n">
        <f aca="false">Model!AB356</f>
        <v>51526654.72656</v>
      </c>
      <c r="K47" s="93" t="n">
        <f aca="false">Model!AE356</f>
        <v>40150142.13637</v>
      </c>
      <c r="L47" s="93" t="n">
        <f aca="false">Model!AH356</f>
        <v>27736880.61956</v>
      </c>
      <c r="M47" s="93" t="n">
        <f aca="false">Model!AK356</f>
        <v>17213731.86939</v>
      </c>
      <c r="N47" s="93" t="n">
        <f aca="false">Model!AN356</f>
        <v>9151447.09059</v>
      </c>
      <c r="O47" s="93" t="n">
        <f aca="false">Model!AQ356</f>
        <v>4798730.2877</v>
      </c>
      <c r="P47" s="93" t="n">
        <f aca="false">Model!AT356</f>
        <v>1566909.24355</v>
      </c>
      <c r="Q47" s="93" t="n">
        <f aca="false">Model!AW356</f>
        <v>0</v>
      </c>
      <c r="R47" s="93" t="n">
        <f aca="false">Model!AZ356</f>
        <v>0</v>
      </c>
      <c r="S47" s="93" t="n">
        <f aca="false">Model!BC356</f>
        <v>0</v>
      </c>
      <c r="T47" s="93" t="n">
        <f aca="false">Model!BF356</f>
        <v>0</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2136519.72230105</v>
      </c>
      <c r="H49" s="83" t="n">
        <f aca="false">Model!V369</f>
        <v>2765224.44687518</v>
      </c>
      <c r="I49" s="83" t="n">
        <f aca="false">Model!Y369</f>
        <v>4021171.12261435</v>
      </c>
      <c r="J49" s="83" t="n">
        <f aca="false">Model!AB369</f>
        <v>5150246.94974452</v>
      </c>
      <c r="K49" s="83" t="n">
        <f aca="false">Model!AE369</f>
        <v>5640277.66581732</v>
      </c>
      <c r="L49" s="83" t="n">
        <f aca="false">Model!AH369</f>
        <v>6550875.24752198</v>
      </c>
      <c r="M49" s="83" t="n">
        <f aca="false">Model!AK369</f>
        <v>7080880.75382585</v>
      </c>
      <c r="N49" s="83" t="n">
        <f aca="false">Model!AN369</f>
        <v>7053565.02517331</v>
      </c>
      <c r="O49" s="83" t="n">
        <f aca="false">Model!AQ369</f>
        <v>6400618.46699647</v>
      </c>
      <c r="P49" s="83" t="n">
        <f aca="false">Model!AT369</f>
        <v>5708323.35881962</v>
      </c>
      <c r="Q49" s="83" t="n">
        <f aca="false">Model!AW369</f>
        <v>5556003.85228496</v>
      </c>
      <c r="R49" s="83" t="n">
        <f aca="false">Model!AZ369</f>
        <v>4371872.26254505</v>
      </c>
      <c r="S49" s="83" t="n">
        <f aca="false">Model!BC369</f>
        <v>3164958.04101034</v>
      </c>
      <c r="T49" s="83" t="n">
        <f aca="false">Model!BF369</f>
        <v>1958043.81947563</v>
      </c>
      <c r="U49" s="83" t="n">
        <f aca="false">Model!BI369</f>
        <v>751129.597940918</v>
      </c>
      <c r="V49" s="83" t="n">
        <f aca="false">Model!BL369</f>
        <v>-455784.623593792</v>
      </c>
      <c r="W49" s="83" t="n">
        <f aca="false">Model!BO369</f>
        <v>-1685937.1295592</v>
      </c>
      <c r="X49" s="83" t="n">
        <f aca="false">Model!BR369</f>
        <v>-2916089.6355246</v>
      </c>
      <c r="Y49" s="83" t="n">
        <f aca="false">Model!BU369</f>
        <v>-4146242.14149001</v>
      </c>
      <c r="Z49" s="83" t="n">
        <f aca="false">Model!BX369</f>
        <v>-5376394.64745541</v>
      </c>
      <c r="AA49" s="83" t="n">
        <f aca="false">Model!CA369</f>
        <v>-6630250.20354012</v>
      </c>
      <c r="AB49" s="83" t="n">
        <f aca="false">Model!CD369</f>
        <v>-7884105.75962484</v>
      </c>
      <c r="AC49" s="83" t="n">
        <f aca="false">Model!CG369</f>
        <v>-9137961.31570955</v>
      </c>
      <c r="AD49" s="83" t="n">
        <f aca="false">Model!CJ369</f>
        <v>-10391816.8717943</v>
      </c>
      <c r="AE49" s="83" t="n">
        <f aca="false">Model!CM369</f>
        <v>-11669849.5390007</v>
      </c>
      <c r="AF49" s="83" t="n">
        <f aca="false">Model!CP369</f>
        <v>-12947882.2062071</v>
      </c>
      <c r="AG49" s="83" t="n">
        <f aca="false">Model!CS369</f>
        <v>-14225914.8734135</v>
      </c>
      <c r="AH49" s="83" t="n">
        <f aca="false">Model!CV369</f>
        <v>-15382889.0984938</v>
      </c>
      <c r="AI49" s="83" t="n">
        <f aca="false">Model!CY369</f>
        <v>-16562102.8080758</v>
      </c>
      <c r="AJ49" s="83" t="n">
        <f aca="false">Model!DB369</f>
        <v>-17741316.5176577</v>
      </c>
      <c r="AK49" s="83" t="n">
        <f aca="false">Model!DE369</f>
        <v>-18920530.2272396</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-4946313.52880665</v>
      </c>
      <c r="K50" s="83" t="n">
        <f aca="false">Model!AE378</f>
        <v>-5785420.1767296</v>
      </c>
      <c r="L50" s="83" t="n">
        <f aca="false">Model!AH378</f>
        <v>-6691375.50886307</v>
      </c>
      <c r="M50" s="83" t="n">
        <f aca="false">Model!AK378</f>
        <v>-7635304.52520707</v>
      </c>
      <c r="N50" s="83" t="n">
        <f aca="false">Model!AN378</f>
        <v>-8673718.29140654</v>
      </c>
      <c r="O50" s="83" t="n">
        <f aca="false">Model!AQ378</f>
        <v>-9292777.60807741</v>
      </c>
      <c r="P50" s="83" t="n">
        <f aca="false">Model!AT378</f>
        <v>-9911836.92474829</v>
      </c>
      <c r="Q50" s="83" t="n">
        <f aca="false">Model!AW378</f>
        <v>-10530896.2414192</v>
      </c>
      <c r="R50" s="83" t="n">
        <f aca="false">Model!AZ378</f>
        <v>-11149955.55809</v>
      </c>
      <c r="S50" s="83" t="n">
        <f aca="false">Model!BC378</f>
        <v>-11780367.7810943</v>
      </c>
      <c r="T50" s="83" t="n">
        <f aca="false">Model!BF378</f>
        <v>-12410780.0040986</v>
      </c>
      <c r="U50" s="83" t="n">
        <f aca="false">Model!BI378</f>
        <v>-13041192.2271029</v>
      </c>
      <c r="V50" s="83" t="n">
        <f aca="false">Model!BL378</f>
        <v>-13671604.4501072</v>
      </c>
      <c r="W50" s="83" t="n">
        <f aca="false">Model!BO378</f>
        <v>-14313596.6375716</v>
      </c>
      <c r="X50" s="83" t="n">
        <f aca="false">Model!BR378</f>
        <v>-14902338.475036</v>
      </c>
      <c r="Y50" s="83" t="n">
        <f aca="false">Model!BU378</f>
        <v>-15476568.6625004</v>
      </c>
      <c r="Z50" s="83" t="n">
        <f aca="false">Model!BX378</f>
        <v>-16050798.8499648</v>
      </c>
      <c r="AA50" s="83" t="n">
        <f aca="false">Model!CA378</f>
        <v>-16636840.6011784</v>
      </c>
      <c r="AB50" s="83" t="n">
        <f aca="false">Model!CD378</f>
        <v>-17214145.3523921</v>
      </c>
      <c r="AC50" s="83" t="n">
        <f aca="false">Model!CG378</f>
        <v>-17791450.1036058</v>
      </c>
      <c r="AD50" s="83" t="n">
        <f aca="false">Model!CJ378</f>
        <v>-18362146.828213</v>
      </c>
      <c r="AE50" s="83" t="n">
        <f aca="false">Model!CM378</f>
        <v>-18554415.3744509</v>
      </c>
      <c r="AF50" s="83" t="n">
        <f aca="false">Model!CP378</f>
        <v>-18746683.9206889</v>
      </c>
      <c r="AG50" s="83" t="n">
        <f aca="false">Model!CS378</f>
        <v>-18938952.4669268</v>
      </c>
      <c r="AH50" s="83" t="n">
        <f aca="false">Model!CV378</f>
        <v>-19113488.1781704</v>
      </c>
      <c r="AI50" s="83" t="n">
        <f aca="false">Model!CY378</f>
        <v>-19299957.9836389</v>
      </c>
      <c r="AJ50" s="83" t="n">
        <f aca="false">Model!DB378</f>
        <v>-19486427.7891074</v>
      </c>
      <c r="AK50" s="83" t="n">
        <f aca="false">Model!DE378</f>
        <v>-19672897.5945759</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-821361.542386619</v>
      </c>
      <c r="K51" s="83" t="n">
        <f aca="false">Model!AC382+Model!AD382+Model!AE382</f>
        <v>0</v>
      </c>
      <c r="L51" s="83" t="n">
        <f aca="false">Model!AF382+Model!AG382+Model!AH382</f>
        <v>0</v>
      </c>
      <c r="M51" s="83" t="n">
        <f aca="false">Model!AI382+Model!AJ382+Model!AK382</f>
        <v>0</v>
      </c>
      <c r="N51" s="83" t="n">
        <f aca="false">Model!AL382+Model!AM382+Model!AN382</f>
        <v>-136365.541771152</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691526.50221786</v>
      </c>
      <c r="H52" s="84" t="n">
        <f aca="false">Model!V383</f>
        <v>546661.638013051</v>
      </c>
      <c r="I52" s="84" t="n">
        <f aca="false">Model!Y383</f>
        <v>974413.724973267</v>
      </c>
      <c r="J52" s="84" t="n">
        <f aca="false">Model!AB383</f>
        <v>203933.420937872</v>
      </c>
      <c r="K52" s="84" t="n">
        <f aca="false">Model!AE383</f>
        <v>-145142.510912281</v>
      </c>
      <c r="L52" s="84" t="n">
        <f aca="false">Model!AH383</f>
        <v>-140500.261341094</v>
      </c>
      <c r="M52" s="84" t="n">
        <f aca="false">Model!AK383</f>
        <v>-554423.771381223</v>
      </c>
      <c r="N52" s="84" t="n">
        <f aca="false">Model!AN383</f>
        <v>-1620153.26623322</v>
      </c>
      <c r="O52" s="84" t="n">
        <f aca="false">Model!AQ383</f>
        <v>-2892159.14108095</v>
      </c>
      <c r="P52" s="84" t="n">
        <f aca="false">Model!AT383</f>
        <v>-4203513.56592867</v>
      </c>
      <c r="Q52" s="84" t="n">
        <f aca="false">Model!AW383</f>
        <v>-4974892.38913421</v>
      </c>
      <c r="R52" s="84" t="n">
        <f aca="false">Model!AZ383</f>
        <v>-6778083.295545</v>
      </c>
      <c r="S52" s="84" t="n">
        <f aca="false">Model!BC383</f>
        <v>-8615409.740084</v>
      </c>
      <c r="T52" s="84" t="n">
        <f aca="false">Model!BF383</f>
        <v>-10452736.184623</v>
      </c>
      <c r="U52" s="84" t="n">
        <f aca="false">Model!BI383</f>
        <v>-12290062.629162</v>
      </c>
      <c r="V52" s="84" t="n">
        <f aca="false">Model!BL383</f>
        <v>-14127389.073701</v>
      </c>
      <c r="W52" s="84" t="n">
        <f aca="false">Model!BO383</f>
        <v>-15999533.7671308</v>
      </c>
      <c r="X52" s="84" t="n">
        <f aca="false">Model!BR383</f>
        <v>-17818428.1105606</v>
      </c>
      <c r="Y52" s="84" t="n">
        <f aca="false">Model!BU383</f>
        <v>-19622810.8039904</v>
      </c>
      <c r="Z52" s="84" t="n">
        <f aca="false">Model!BX383</f>
        <v>-21427193.4974202</v>
      </c>
      <c r="AA52" s="84" t="n">
        <f aca="false">Model!CA383</f>
        <v>-23267090.8047186</v>
      </c>
      <c r="AB52" s="84" t="n">
        <f aca="false">Model!CD383</f>
        <v>-25098251.112017</v>
      </c>
      <c r="AC52" s="84" t="n">
        <f aca="false">Model!CG383</f>
        <v>-26929411.4193153</v>
      </c>
      <c r="AD52" s="84" t="n">
        <f aca="false">Model!CJ383</f>
        <v>-28753963.7000072</v>
      </c>
      <c r="AE52" s="84" t="n">
        <f aca="false">Model!CM383</f>
        <v>-30224264.9134516</v>
      </c>
      <c r="AF52" s="84" t="n">
        <f aca="false">Model!CP383</f>
        <v>-31694566.1268959</v>
      </c>
      <c r="AG52" s="84" t="n">
        <f aca="false">Model!CS383</f>
        <v>-33164867.3403403</v>
      </c>
      <c r="AH52" s="84" t="n">
        <f aca="false">Model!CV383</f>
        <v>-34496377.2766642</v>
      </c>
      <c r="AI52" s="84" t="n">
        <f aca="false">Model!CY383</f>
        <v>-35862060.7917147</v>
      </c>
      <c r="AJ52" s="84" t="n">
        <f aca="false">Model!DB383</f>
        <v>-37227744.3067651</v>
      </c>
      <c r="AK52" s="84" t="n">
        <f aca="false">Model!DE383</f>
        <v>-38593427.8218155</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fals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4424138.78186839</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2444290.04198086</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-2223954.41545246</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-4804874.25434404</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0</v>
      </c>
      <c r="C13" s="168" t="n">
        <f aca="false">SUM(C5:C12)</f>
        <v>0</v>
      </c>
      <c r="D13" s="168" t="n">
        <f aca="false">SUM(D5:D12)</f>
        <v>0</v>
      </c>
      <c r="E13" s="168" t="n">
        <f aca="false">SUM(E5:E12)</f>
        <v>0</v>
      </c>
      <c r="F13" s="168" t="n">
        <f aca="false">SUM(F5:F12)</f>
        <v>0</v>
      </c>
      <c r="G13" s="168" t="n">
        <f aca="false">SUM(G5:G12)</f>
        <v>-12606874.3070605</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583</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583</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583</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583</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583</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583</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34</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584</v>
      </c>
    </row>
    <row r="24" customFormat="false" ht="15" hidden="false" customHeight="true" outlineLevel="0" collapsed="false">
      <c r="A24" s="175" t="s">
        <v>27</v>
      </c>
      <c r="B24" s="176" t="n">
        <v>18000000</v>
      </c>
      <c r="C24" s="177" t="n">
        <v>37</v>
      </c>
      <c r="D24" s="177" t="n">
        <v>19</v>
      </c>
      <c r="E24" s="177" t="n">
        <v>3</v>
      </c>
      <c r="F24" s="177" t="s">
        <v>583</v>
      </c>
      <c r="G24" s="177" t="s">
        <v>583</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584</v>
      </c>
    </row>
    <row r="25" customFormat="false" ht="15" hidden="false" customHeight="true" outlineLevel="0" collapsed="false">
      <c r="A25" s="175" t="s">
        <v>28</v>
      </c>
      <c r="B25" s="176" t="n">
        <v>18000000</v>
      </c>
      <c r="C25" s="177" t="n">
        <v>40</v>
      </c>
      <c r="D25" s="177" t="n">
        <v>19</v>
      </c>
      <c r="E25" s="177" t="n">
        <v>3</v>
      </c>
      <c r="F25" s="177" t="s">
        <v>583</v>
      </c>
      <c r="G25" s="177" t="s">
        <v>583</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584</v>
      </c>
    </row>
    <row r="26" customFormat="false" ht="15" hidden="false" customHeight="true" outlineLevel="0" collapsed="false">
      <c r="A26" s="175" t="s">
        <v>29</v>
      </c>
      <c r="B26" s="176" t="n">
        <v>18000000</v>
      </c>
      <c r="C26" s="177" t="n">
        <v>42</v>
      </c>
      <c r="D26" s="177" t="n">
        <v>19</v>
      </c>
      <c r="E26" s="177" t="n">
        <v>3</v>
      </c>
      <c r="F26" s="177" t="s">
        <v>583</v>
      </c>
      <c r="G26" s="177" t="s">
        <v>583</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584</v>
      </c>
    </row>
    <row r="27" customFormat="false" ht="15" hidden="false" customHeight="true" outlineLevel="0" collapsed="false">
      <c r="A27" s="175" t="s">
        <v>30</v>
      </c>
      <c r="B27" s="176" t="n">
        <v>15000000</v>
      </c>
      <c r="C27" s="177" t="n">
        <v>44</v>
      </c>
      <c r="D27" s="177" t="n">
        <v>19</v>
      </c>
      <c r="E27" s="177" t="n">
        <v>3</v>
      </c>
      <c r="F27" s="177" t="s">
        <v>583</v>
      </c>
      <c r="G27" s="177" t="s">
        <v>583</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584</v>
      </c>
    </row>
    <row r="28" customFormat="false" ht="15" hidden="false" customHeight="true" outlineLevel="0" collapsed="false">
      <c r="A28" s="175" t="s">
        <v>31</v>
      </c>
      <c r="B28" s="176" t="n">
        <v>15000000</v>
      </c>
      <c r="C28" s="177" t="n">
        <v>46</v>
      </c>
      <c r="D28" s="177" t="n">
        <v>19</v>
      </c>
      <c r="E28" s="177" t="n">
        <v>3</v>
      </c>
      <c r="F28" s="177" t="s">
        <v>584</v>
      </c>
      <c r="G28" s="177" t="s">
        <v>583</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584</v>
      </c>
    </row>
    <row r="29" customFormat="false" ht="15" hidden="false" customHeight="true" outlineLevel="0" collapsed="false">
      <c r="A29" s="175" t="s">
        <v>32</v>
      </c>
      <c r="B29" s="176" t="n">
        <v>15000000</v>
      </c>
      <c r="C29" s="177" t="n">
        <v>48</v>
      </c>
      <c r="D29" s="177" t="n">
        <v>19</v>
      </c>
      <c r="E29" s="177" t="n">
        <v>3</v>
      </c>
      <c r="F29" s="177" t="s">
        <v>583</v>
      </c>
      <c r="G29" s="177" t="s">
        <v>583</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584</v>
      </c>
    </row>
    <row r="30" customFormat="false" ht="15" hidden="false" customHeight="true" outlineLevel="0" collapsed="false">
      <c r="A30" s="175" t="s">
        <v>33</v>
      </c>
      <c r="B30" s="176" t="n">
        <v>15000000</v>
      </c>
      <c r="C30" s="177" t="n">
        <v>50</v>
      </c>
      <c r="D30" s="177" t="n">
        <v>19</v>
      </c>
      <c r="E30" s="177" t="n">
        <v>3</v>
      </c>
      <c r="F30" s="177" t="s">
        <v>583</v>
      </c>
      <c r="G30" s="177" t="s">
        <v>583</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584</v>
      </c>
    </row>
    <row r="31" customFormat="false" ht="15" hidden="false" customHeight="true" outlineLevel="0" collapsed="false">
      <c r="A31" s="175" t="s">
        <v>34</v>
      </c>
      <c r="B31" s="176" t="n">
        <v>18000000</v>
      </c>
      <c r="C31" s="177" t="n">
        <v>52</v>
      </c>
      <c r="D31" s="177" t="n">
        <v>19</v>
      </c>
      <c r="E31" s="177" t="n">
        <v>3</v>
      </c>
      <c r="F31" s="177" t="s">
        <v>583</v>
      </c>
      <c r="G31" s="177" t="s">
        <v>583</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584</v>
      </c>
    </row>
    <row r="32" customFormat="false" ht="15" hidden="false" customHeight="true" outlineLevel="0" collapsed="false">
      <c r="A32" s="175" t="s">
        <v>35</v>
      </c>
      <c r="B32" s="176" t="n">
        <v>15000000</v>
      </c>
      <c r="C32" s="177" t="n">
        <v>54</v>
      </c>
      <c r="D32" s="177" t="n">
        <v>19</v>
      </c>
      <c r="E32" s="177" t="n">
        <v>3</v>
      </c>
      <c r="F32" s="177" t="s">
        <v>583</v>
      </c>
      <c r="G32" s="177" t="s">
        <v>583</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584</v>
      </c>
    </row>
    <row r="33" customFormat="false" ht="15" hidden="false" customHeight="true" outlineLevel="0" collapsed="false">
      <c r="A33" s="175" t="s">
        <v>36</v>
      </c>
      <c r="B33" s="176" t="n">
        <v>15000000</v>
      </c>
      <c r="C33" s="177" t="n">
        <v>56</v>
      </c>
      <c r="D33" s="177" t="n">
        <v>19</v>
      </c>
      <c r="E33" s="177" t="n">
        <v>3</v>
      </c>
      <c r="F33" s="177" t="s">
        <v>583</v>
      </c>
      <c r="G33" s="177" t="s">
        <v>583</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584</v>
      </c>
    </row>
    <row r="34" customFormat="false" ht="15" hidden="false" customHeight="true" outlineLevel="0" collapsed="false">
      <c r="A34" s="175" t="s">
        <v>37</v>
      </c>
      <c r="B34" s="176" t="n">
        <v>18000000</v>
      </c>
      <c r="C34" s="177" t="n">
        <v>58</v>
      </c>
      <c r="D34" s="177" t="n">
        <v>19</v>
      </c>
      <c r="E34" s="177" t="n">
        <v>3</v>
      </c>
      <c r="F34" s="177" t="s">
        <v>584</v>
      </c>
      <c r="G34" s="177" t="s">
        <v>583</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584</v>
      </c>
    </row>
    <row r="35" customFormat="false" ht="15" hidden="false" customHeight="true" outlineLevel="0" collapsed="false">
      <c r="A35" s="175" t="s">
        <v>38</v>
      </c>
      <c r="B35" s="176" t="n">
        <v>15000000</v>
      </c>
      <c r="C35" s="177" t="n">
        <v>60</v>
      </c>
      <c r="D35" s="177" t="n">
        <v>19</v>
      </c>
      <c r="E35" s="177" t="n">
        <v>3</v>
      </c>
      <c r="F35" s="177" t="s">
        <v>583</v>
      </c>
      <c r="G35" s="177" t="s">
        <v>583</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584</v>
      </c>
    </row>
    <row r="36" customFormat="false" ht="15" hidden="false" customHeight="true" outlineLevel="0" collapsed="false">
      <c r="A36" s="175" t="s">
        <v>39</v>
      </c>
      <c r="B36" s="176" t="n">
        <v>18000000</v>
      </c>
      <c r="C36" s="177" t="n">
        <v>62</v>
      </c>
      <c r="D36" s="177" t="n">
        <v>19</v>
      </c>
      <c r="E36" s="177" t="n">
        <v>3</v>
      </c>
      <c r="F36" s="177" t="s">
        <v>583</v>
      </c>
      <c r="G36" s="177" t="s">
        <v>583</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584</v>
      </c>
    </row>
    <row r="37" customFormat="false" ht="15" hidden="false" customHeight="true" outlineLevel="0" collapsed="false">
      <c r="A37" s="175" t="s">
        <v>40</v>
      </c>
      <c r="B37" s="176" t="n">
        <v>15000000</v>
      </c>
      <c r="C37" s="177" t="n">
        <v>64</v>
      </c>
      <c r="D37" s="177" t="n">
        <v>19</v>
      </c>
      <c r="E37" s="177" t="n">
        <v>3</v>
      </c>
      <c r="F37" s="177" t="s">
        <v>583</v>
      </c>
      <c r="G37" s="177" t="s">
        <v>583</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584</v>
      </c>
    </row>
    <row r="38" customFormat="false" ht="15" hidden="false" customHeight="true" outlineLevel="0" collapsed="false">
      <c r="A38" s="175" t="s">
        <v>41</v>
      </c>
      <c r="B38" s="176" t="n">
        <v>15000000</v>
      </c>
      <c r="C38" s="177" t="n">
        <v>66</v>
      </c>
      <c r="D38" s="177" t="n">
        <v>19</v>
      </c>
      <c r="E38" s="177" t="n">
        <v>3</v>
      </c>
      <c r="F38" s="177" t="s">
        <v>583</v>
      </c>
      <c r="G38" s="177" t="s">
        <v>583</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584</v>
      </c>
    </row>
    <row r="39" customFormat="false" ht="15" hidden="false" customHeight="true" outlineLevel="0" collapsed="false">
      <c r="A39" s="175" t="s">
        <v>42</v>
      </c>
      <c r="B39" s="176" t="n">
        <v>18000000</v>
      </c>
      <c r="C39" s="177" t="n">
        <v>68</v>
      </c>
      <c r="D39" s="177" t="n">
        <v>19</v>
      </c>
      <c r="E39" s="177" t="n">
        <v>3</v>
      </c>
      <c r="F39" s="177" t="s">
        <v>583</v>
      </c>
      <c r="G39" s="177" t="s">
        <v>583</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584</v>
      </c>
    </row>
    <row r="40" customFormat="false" ht="15" hidden="false" customHeight="true" outlineLevel="0" collapsed="false">
      <c r="A40" s="175" t="s">
        <v>43</v>
      </c>
      <c r="B40" s="176" t="n">
        <v>15000000</v>
      </c>
      <c r="C40" s="177" t="n">
        <v>70</v>
      </c>
      <c r="D40" s="177" t="n">
        <v>19</v>
      </c>
      <c r="E40" s="177" t="n">
        <v>3</v>
      </c>
      <c r="F40" s="177" t="s">
        <v>584</v>
      </c>
      <c r="G40" s="177" t="s">
        <v>583</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584</v>
      </c>
    </row>
    <row r="41" customFormat="false" ht="15" hidden="false" customHeight="true" outlineLevel="0" collapsed="false">
      <c r="A41" s="175" t="s">
        <v>44</v>
      </c>
      <c r="B41" s="176" t="n">
        <v>15000000</v>
      </c>
      <c r="C41" s="177" t="n">
        <v>72</v>
      </c>
      <c r="D41" s="177" t="n">
        <v>19</v>
      </c>
      <c r="E41" s="177" t="n">
        <v>3</v>
      </c>
      <c r="F41" s="177" t="s">
        <v>583</v>
      </c>
      <c r="G41" s="177" t="s">
        <v>583</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584</v>
      </c>
    </row>
    <row r="42" customFormat="false" ht="15" hidden="false" customHeight="true" outlineLevel="0" collapsed="false">
      <c r="A42" s="175" t="s">
        <v>45</v>
      </c>
      <c r="B42" s="176" t="n">
        <v>18000000</v>
      </c>
      <c r="C42" s="177" t="n">
        <v>74</v>
      </c>
      <c r="D42" s="177" t="n">
        <v>19</v>
      </c>
      <c r="E42" s="177" t="n">
        <v>3</v>
      </c>
      <c r="F42" s="177" t="s">
        <v>583</v>
      </c>
      <c r="G42" s="177" t="s">
        <v>583</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584</v>
      </c>
    </row>
    <row r="43" customFormat="false" ht="15" hidden="false" customHeight="true" outlineLevel="0" collapsed="false">
      <c r="A43" s="175" t="s">
        <v>46</v>
      </c>
      <c r="B43" s="176" t="n">
        <v>15000000</v>
      </c>
      <c r="C43" s="177" t="n">
        <v>76</v>
      </c>
      <c r="D43" s="177" t="n">
        <v>19</v>
      </c>
      <c r="E43" s="177" t="n">
        <v>3</v>
      </c>
      <c r="F43" s="177" t="s">
        <v>583</v>
      </c>
      <c r="G43" s="177" t="s">
        <v>583</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584</v>
      </c>
    </row>
    <row r="44" customFormat="false" ht="15" hidden="false" customHeight="true" outlineLevel="0" collapsed="false">
      <c r="A44" s="175" t="s">
        <v>47</v>
      </c>
      <c r="B44" s="176" t="n">
        <v>15000000</v>
      </c>
      <c r="C44" s="177" t="n">
        <v>78</v>
      </c>
      <c r="D44" s="177" t="n">
        <v>19</v>
      </c>
      <c r="E44" s="177" t="n">
        <v>3</v>
      </c>
      <c r="F44" s="177" t="s">
        <v>583</v>
      </c>
      <c r="G44" s="177" t="s">
        <v>583</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584</v>
      </c>
    </row>
    <row r="45" customFormat="false" ht="15" hidden="false" customHeight="true" outlineLevel="0" collapsed="false">
      <c r="A45" s="175" t="s">
        <v>48</v>
      </c>
      <c r="B45" s="176" t="n">
        <v>18000000</v>
      </c>
      <c r="C45" s="177" t="n">
        <v>80</v>
      </c>
      <c r="D45" s="177" t="n">
        <v>19</v>
      </c>
      <c r="E45" s="177" t="n">
        <v>3</v>
      </c>
      <c r="F45" s="177" t="s">
        <v>583</v>
      </c>
      <c r="G45" s="177" t="s">
        <v>583</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584</v>
      </c>
    </row>
    <row r="46" customFormat="false" ht="15" hidden="false" customHeight="true" outlineLevel="0" collapsed="false">
      <c r="A46" s="175" t="s">
        <v>49</v>
      </c>
      <c r="B46" s="176" t="n">
        <v>15000000</v>
      </c>
      <c r="C46" s="177" t="n">
        <v>82</v>
      </c>
      <c r="D46" s="177" t="n">
        <v>19</v>
      </c>
      <c r="E46" s="177" t="n">
        <v>3</v>
      </c>
      <c r="F46" s="177" t="s">
        <v>584</v>
      </c>
      <c r="G46" s="177" t="s">
        <v>583</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0</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str">
        <f aca="false">IF(Model!AE25=0,"",Model!AE25)</f>
        <v/>
      </c>
      <c r="AH17" s="192" t="str">
        <f aca="false">IF(Model!AF25=0,"",Model!AF25)</f>
        <v/>
      </c>
      <c r="AI17" s="192" t="str">
        <f aca="false">IF(Model!AG25=0,"",Model!AG25)</f>
        <v/>
      </c>
      <c r="AJ17" s="192" t="str">
        <f aca="false">IF(Model!AH25=0,"",Model!AH25)</f>
        <v/>
      </c>
      <c r="AK17" s="192" t="str">
        <f aca="false">IF(Model!AI25=0,"",Model!AI25)</f>
        <v/>
      </c>
      <c r="AL17" s="192" t="str">
        <f aca="false">IF(Model!AJ25=0,"",Model!AJ25)</f>
        <v/>
      </c>
      <c r="AM17" s="192" t="str">
        <f aca="false">IF(Model!AK25=0,"",Model!AK25)</f>
        <v/>
      </c>
      <c r="AN17" s="192" t="str">
        <f aca="false">IF(Model!AL25=0,"",Model!AL25)</f>
        <v/>
      </c>
      <c r="AO17" s="192" t="str">
        <f aca="false">IF(Model!AM25=0,"",Model!AM25)</f>
        <v/>
      </c>
      <c r="AP17" s="192" t="str">
        <f aca="false">IF(Model!AN25=0,"",Model!AN25)</f>
        <v/>
      </c>
      <c r="AQ17" s="192" t="str">
        <f aca="false">IF(Model!AO25=0,"",Model!AO25)</f>
        <v/>
      </c>
      <c r="AR17" s="192" t="str">
        <f aca="false">IF(Model!AP25=0,"",Model!AP25)</f>
        <v/>
      </c>
      <c r="AS17" s="192" t="str">
        <f aca="false">IF(Model!AQ25=0,"",Model!AQ25)</f>
        <v/>
      </c>
      <c r="AT17" s="192" t="str">
        <f aca="false">IF(Model!AR25=0,"",Model!AR25)</f>
        <v/>
      </c>
      <c r="AU17" s="192" t="str">
        <f aca="false">IF(Model!AS25=0,"",Model!AS25)</f>
        <v/>
      </c>
      <c r="AV17" s="192" t="str">
        <f aca="false">IF(Model!AT25=0,"",Model!AT25)</f>
        <v/>
      </c>
      <c r="AW17" s="192" t="str">
        <f aca="false">IF(Model!AU25=0,"",Model!AU25)</f>
        <v/>
      </c>
      <c r="AX17" s="192" t="str">
        <f aca="false">IF(Model!AV25=0,"",Model!AV25)</f>
        <v/>
      </c>
      <c r="AY17" s="192" t="str">
        <f aca="false">IF(Model!AW25=0,"",Model!AW25)</f>
        <v/>
      </c>
      <c r="AZ17" s="192" t="str">
        <f aca="false">IF(Model!AX25=0,"",Model!AX25)</f>
        <v/>
      </c>
      <c r="BA17" s="192" t="str">
        <f aca="false">IF(Model!AY25=0,"",Model!AY25)</f>
        <v/>
      </c>
      <c r="BB17" s="192" t="str">
        <f aca="false">IF(Model!AZ25=0,"",Model!AZ25)</f>
        <v/>
      </c>
      <c r="BC17" s="192" t="str">
        <f aca="false">IF(Model!BA25=0,"",Model!BA25)</f>
        <v/>
      </c>
      <c r="BD17" s="192" t="str">
        <f aca="false">IF(Model!BB25=0,"",Model!BB25)</f>
        <v/>
      </c>
      <c r="BE17" s="192" t="str">
        <f aca="false">IF(Model!BC25=0,"",Model!BC25)</f>
        <v/>
      </c>
      <c r="BF17" s="192" t="str">
        <f aca="false">IF(Model!BD25=0,"",Model!BD25)</f>
        <v/>
      </c>
      <c r="BG17" s="192" t="str">
        <f aca="false">IF(Model!BE25=0,"",Model!BE25)</f>
        <v/>
      </c>
      <c r="BH17" s="192" t="str">
        <f aca="false">IF(Model!BF25=0,"",Model!BF25)</f>
        <v/>
      </c>
      <c r="BI17" s="192" t="str">
        <f aca="false">IF(Model!BG25=0,"",Model!BG25)</f>
        <v/>
      </c>
      <c r="BJ17" s="192" t="str">
        <f aca="false">IF(Model!BH25=0,"",Model!BH25)</f>
        <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0</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str">
        <f aca="false">IF(Model!V26=0,"",Model!V26)</f>
        <v/>
      </c>
      <c r="Y18" s="192" t="str">
        <f aca="false">IF(Model!W26=0,"",Model!W26)</f>
        <v/>
      </c>
      <c r="Z18" s="192" t="str">
        <f aca="false">IF(Model!X26=0,"",Model!X26)</f>
        <v/>
      </c>
      <c r="AA18" s="192" t="str">
        <f aca="false">IF(Model!Y26=0,"",Model!Y26)</f>
        <v/>
      </c>
      <c r="AB18" s="192" t="str">
        <f aca="false">IF(Model!Z26=0,"",Model!Z26)</f>
        <v/>
      </c>
      <c r="AC18" s="192" t="str">
        <f aca="false">IF(Model!AA26=0,"",Model!AA26)</f>
        <v/>
      </c>
      <c r="AD18" s="192" t="str">
        <f aca="false">IF(Model!AB26=0,"",Model!AB26)</f>
        <v/>
      </c>
      <c r="AE18" s="192" t="str">
        <f aca="false">IF(Model!AC26=0,"",Model!AC26)</f>
        <v/>
      </c>
      <c r="AF18" s="192" t="str">
        <f aca="false">IF(Model!AD26=0,"",Model!AD26)</f>
        <v/>
      </c>
      <c r="AG18" s="192" t="str">
        <f aca="false">IF(Model!AE26=0,"",Model!AE26)</f>
        <v/>
      </c>
      <c r="AH18" s="192" t="str">
        <f aca="false">IF(Model!AF26=0,"",Model!AF26)</f>
        <v/>
      </c>
      <c r="AI18" s="192" t="str">
        <f aca="false">IF(Model!AG26=0,"",Model!AG26)</f>
        <v/>
      </c>
      <c r="AJ18" s="192" t="str">
        <f aca="false">IF(Model!AH26=0,"",Model!AH26)</f>
        <v/>
      </c>
      <c r="AK18" s="192" t="str">
        <f aca="false">IF(Model!AI26=0,"",Model!AI26)</f>
        <v/>
      </c>
      <c r="AL18" s="192" t="str">
        <f aca="false">IF(Model!AJ26=0,"",Model!AJ26)</f>
        <v/>
      </c>
      <c r="AM18" s="192" t="str">
        <f aca="false">IF(Model!AK26=0,"",Model!AK26)</f>
        <v/>
      </c>
      <c r="AN18" s="192" t="str">
        <f aca="false">IF(Model!AL26=0,"",Model!AL26)</f>
        <v/>
      </c>
      <c r="AO18" s="192" t="str">
        <f aca="false">IF(Model!AM26=0,"",Model!AM26)</f>
        <v/>
      </c>
      <c r="AP18" s="192" t="str">
        <f aca="false">IF(Model!AN26=0,"",Model!AN26)</f>
        <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0</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str">
        <f aca="false">IF(Model!R27=0,"",Model!R27)</f>
        <v/>
      </c>
      <c r="U19" s="192" t="str">
        <f aca="false">IF(Model!S27=0,"",Model!S27)</f>
        <v/>
      </c>
      <c r="V19" s="192" t="str">
        <f aca="false">IF(Model!T27=0,"",Model!T27)</f>
        <v/>
      </c>
      <c r="W19" s="192" t="str">
        <f aca="false">IF(Model!U27=0,"",Model!U27)</f>
        <v/>
      </c>
      <c r="X19" s="192" t="str">
        <f aca="false">IF(Model!V27=0,"",Model!V27)</f>
        <v/>
      </c>
      <c r="Y19" s="192" t="str">
        <f aca="false">IF(Model!W27=0,"",Model!W27)</f>
        <v/>
      </c>
      <c r="Z19" s="192" t="str">
        <f aca="false">IF(Model!X27=0,"",Model!X27)</f>
        <v/>
      </c>
      <c r="AA19" s="192" t="str">
        <f aca="false">IF(Model!Y27=0,"",Model!Y27)</f>
        <v/>
      </c>
      <c r="AB19" s="192" t="str">
        <f aca="false">IF(Model!Z27=0,"",Model!Z27)</f>
        <v/>
      </c>
      <c r="AC19" s="192" t="str">
        <f aca="false">IF(Model!AA27=0,"",Model!AA27)</f>
        <v/>
      </c>
      <c r="AD19" s="192" t="str">
        <f aca="false">IF(Model!AB27=0,"",Model!AB27)</f>
        <v/>
      </c>
      <c r="AE19" s="192" t="str">
        <f aca="false">IF(Model!AC27=0,"",Model!AC27)</f>
        <v/>
      </c>
      <c r="AF19" s="192" t="str">
        <f aca="false">IF(Model!AD27=0,"",Model!AD27)</f>
        <v/>
      </c>
      <c r="AG19" s="192" t="str">
        <f aca="false">IF(Model!AE27=0,"",Model!AE27)</f>
        <v/>
      </c>
      <c r="AH19" s="192" t="str">
        <f aca="false">IF(Model!AF27=0,"",Model!AF27)</f>
        <v/>
      </c>
      <c r="AI19" s="192" t="str">
        <f aca="false">IF(Model!AG27=0,"",Model!AG27)</f>
        <v/>
      </c>
      <c r="AJ19" s="192" t="str">
        <f aca="false">IF(Model!AH27=0,"",Model!AH27)</f>
        <v/>
      </c>
      <c r="AK19" s="192" t="str">
        <f aca="false">IF(Model!AI27=0,"",Model!AI27)</f>
        <v/>
      </c>
      <c r="AL19" s="192" t="str">
        <f aca="false">IF(Model!AJ27=0,"",Model!AJ27)</f>
        <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0</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str">
        <f aca="false">IF(Model!Q28=0,"",Model!Q28)</f>
        <v/>
      </c>
      <c r="T20" s="192" t="str">
        <f aca="false">IF(Model!R28=0,"",Model!R28)</f>
        <v/>
      </c>
      <c r="U20" s="192" t="str">
        <f aca="false">IF(Model!S28=0,"",Model!S28)</f>
        <v/>
      </c>
      <c r="V20" s="192" t="str">
        <f aca="false">IF(Model!T28=0,"",Model!T28)</f>
        <v/>
      </c>
      <c r="W20" s="192" t="str">
        <f aca="false">IF(Model!U28=0,"",Model!U28)</f>
        <v/>
      </c>
      <c r="X20" s="192" t="str">
        <f aca="false">IF(Model!V28=0,"",Model!V28)</f>
        <v/>
      </c>
      <c r="Y20" s="192" t="str">
        <f aca="false">IF(Model!W28=0,"",Model!W28)</f>
        <v/>
      </c>
      <c r="Z20" s="192" t="str">
        <f aca="false">IF(Model!X28=0,"",Model!X28)</f>
        <v/>
      </c>
      <c r="AA20" s="192" t="str">
        <f aca="false">IF(Model!Y28=0,"",Model!Y28)</f>
        <v/>
      </c>
      <c r="AB20" s="192" t="str">
        <f aca="false">IF(Model!Z28=0,"",Model!Z28)</f>
        <v/>
      </c>
      <c r="AC20" s="192" t="str">
        <f aca="false">IF(Model!AA28=0,"",Model!AA28)</f>
        <v/>
      </c>
      <c r="AD20" s="192" t="str">
        <f aca="false">IF(Model!AB28=0,"",Model!AB28)</f>
        <v/>
      </c>
      <c r="AE20" s="192" t="str">
        <f aca="false">IF(Model!AC28=0,"",Model!AC28)</f>
        <v/>
      </c>
      <c r="AF20" s="192" t="str">
        <f aca="false">IF(Model!AD28=0,"",Model!AD28)</f>
        <v/>
      </c>
      <c r="AG20" s="192" t="str">
        <f aca="false">IF(Model!AE28=0,"",Model!AE28)</f>
        <v/>
      </c>
      <c r="AH20" s="192" t="str">
        <f aca="false">IF(Model!AF28=0,"",Model!AF28)</f>
        <v/>
      </c>
      <c r="AI20" s="192" t="str">
        <f aca="false">IF(Model!AG28=0,"",Model!AG28)</f>
        <v/>
      </c>
      <c r="AJ20" s="192" t="str">
        <f aca="false">IF(Model!AH28=0,"",Model!AH28)</f>
        <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6106466.08709629</v>
      </c>
      <c r="T21" s="193" t="n">
        <f aca="false">SUM(T7:T20)+SUM(T24:T27)</f>
        <v>6228383.53902616</v>
      </c>
      <c r="U21" s="193" t="n">
        <f aca="false">SUM(U7:U20)+SUM(U24:U27)</f>
        <v>7119217.62880785</v>
      </c>
      <c r="V21" s="193" t="n">
        <f aca="false">SUM(V7:V20)+SUM(V24:V27)</f>
        <v>8176379.21362953</v>
      </c>
      <c r="W21" s="193" t="n">
        <f aca="false">SUM(W7:W20)+SUM(W24:W27)</f>
        <v>7697879.57926436</v>
      </c>
      <c r="X21" s="193" t="n">
        <f aca="false">SUM(X7:X20)+SUM(X24:X27)</f>
        <v>8333462.60062719</v>
      </c>
      <c r="Y21" s="193" t="n">
        <f aca="false">SUM(Y7:Y20)+SUM(Y24:Y27)</f>
        <v>7069857.20859819</v>
      </c>
      <c r="Z21" s="193" t="n">
        <f aca="false">SUM(Z7:Z20)+SUM(Z24:Z27)</f>
        <v>8286354.30106036</v>
      </c>
      <c r="AA21" s="193" t="n">
        <f aca="false">SUM(AA7:AA20)+SUM(AA24:AA27)</f>
        <v>6980149.11817553</v>
      </c>
      <c r="AB21" s="193" t="n">
        <f aca="false">SUM(AB7:AB20)+SUM(AB24:AB27)</f>
        <v>7692213.69215685</v>
      </c>
      <c r="AC21" s="193" t="n">
        <f aca="false">SUM(AC7:AC20)+SUM(AC24:AC27)</f>
        <v>6935264.43811094</v>
      </c>
      <c r="AD21" s="193" t="n">
        <f aca="false">SUM(AD7:AD20)+SUM(AD24:AD27)</f>
        <v>5767564.83681208</v>
      </c>
      <c r="AE21" s="193" t="n">
        <f aca="false">SUM(AE7:AE20)+SUM(AE24:AE27)</f>
        <v>4878036.26607795</v>
      </c>
      <c r="AF21" s="193" t="n">
        <f aca="false">SUM(AF7:AF20)+SUM(AF24:AF27)</f>
        <v>4831995.23449745</v>
      </c>
      <c r="AG21" s="193" t="n">
        <f aca="false">SUM(AG7:AG20)+SUM(AG24:AG27)</f>
        <v>4532383.15638973</v>
      </c>
      <c r="AH21" s="193" t="n">
        <f aca="false">SUM(AH7:AH20)+SUM(AH24:AH27)</f>
        <v>4399677.84792775</v>
      </c>
      <c r="AI21" s="193" t="n">
        <f aca="false">SUM(AI7:AI20)+SUM(AI24:AI27)</f>
        <v>4795407.75266775</v>
      </c>
      <c r="AJ21" s="193" t="n">
        <f aca="false">SUM(AJ7:AJ20)+SUM(AJ24:AJ27)</f>
        <v>4410611.79882665</v>
      </c>
      <c r="AK21" s="193" t="n">
        <f aca="false">SUM(AK7:AK20)+SUM(AK24:AK27)</f>
        <v>4257896.72379165</v>
      </c>
      <c r="AL21" s="193" t="n">
        <f aca="false">SUM(AL7:AL20)+SUM(AL24:AL27)</f>
        <v>3119551.8994289</v>
      </c>
      <c r="AM21" s="193" t="n">
        <f aca="false">SUM(AM7:AM20)+SUM(AM24:AM27)</f>
        <v>2672287.37309278</v>
      </c>
      <c r="AN21" s="193" t="n">
        <f aca="false">SUM(AN7:AN20)+SUM(AN24:AN27)</f>
        <v>2699140.03117278</v>
      </c>
      <c r="AO21" s="193" t="n">
        <f aca="false">SUM(AO7:AO20)+SUM(AO24:AO27)</f>
        <v>2693425.16838278</v>
      </c>
      <c r="AP21" s="193" t="n">
        <f aca="false">SUM(AP7:AP20)+SUM(AP24:AP27)</f>
        <v>1803612.53707278</v>
      </c>
      <c r="AQ21" s="193" t="n">
        <f aca="false">SUM(AQ7:AQ20)+SUM(AQ24:AQ27)</f>
        <v>1400536.58698278</v>
      </c>
      <c r="AR21" s="193" t="n">
        <f aca="false">SUM(AR7:AR20)+SUM(AR24:AR27)</f>
        <v>1279674.31108278</v>
      </c>
      <c r="AS21" s="193" t="n">
        <f aca="false">SUM(AS7:AS20)+SUM(AS24:AS27)</f>
        <v>1154783.29265278</v>
      </c>
      <c r="AT21" s="193" t="n">
        <f aca="false">SUM(AT7:AT20)+SUM(AT24:AT27)</f>
        <v>1028579.53789278</v>
      </c>
      <c r="AU21" s="193" t="n">
        <f aca="false">SUM(AU7:AU20)+SUM(AU24:AU27)</f>
        <v>903552.719152783</v>
      </c>
      <c r="AV21" s="193" t="n">
        <f aca="false">SUM(AV7:AV20)+SUM(AV24:AV27)</f>
        <v>781966.174932784</v>
      </c>
      <c r="AW21" s="193" t="n">
        <f aca="false">SUM(AW7:AW20)+SUM(AW24:AW27)</f>
        <v>665675.842802783</v>
      </c>
      <c r="AX21" s="193" t="n">
        <f aca="false">SUM(AX7:AX20)+SUM(AX24:AX27)</f>
        <v>283780.474359283</v>
      </c>
      <c r="AY21" s="193" t="n">
        <f aca="false">SUM(AY7:AY20)+SUM(AY24:AY27)</f>
        <v>0</v>
      </c>
      <c r="AZ21" s="193" t="n">
        <f aca="false">SUM(AZ7:AZ20)+SUM(AZ24:AZ27)</f>
        <v>0</v>
      </c>
      <c r="BA21" s="193" t="n">
        <f aca="false">SUM(BA7:BA20)+SUM(BA24:BA27)</f>
        <v>0</v>
      </c>
      <c r="BB21" s="193" t="n">
        <f aca="false">SUM(BB7:BB20)+SUM(BB24:BB27)</f>
        <v>0</v>
      </c>
      <c r="BC21" s="193" t="n">
        <f aca="false">SUM(BC7:BC20)+SUM(BC24:BC27)</f>
        <v>0</v>
      </c>
      <c r="BD21" s="193" t="n">
        <f aca="false">SUM(BD7:BD20)+SUM(BD24:BD27)</f>
        <v>0</v>
      </c>
      <c r="BE21" s="193" t="n">
        <f aca="false">SUM(BE7:BE20)+SUM(BE24:BE27)</f>
        <v>0</v>
      </c>
      <c r="BF21" s="193" t="n">
        <f aca="false">SUM(BF7:BF20)+SUM(BF24:BF27)</f>
        <v>0</v>
      </c>
      <c r="BG21" s="193" t="n">
        <f aca="false">SUM(BG7:BG20)+SUM(BG24:BG27)</f>
        <v>0</v>
      </c>
      <c r="BH21" s="193" t="n">
        <f aca="false">SUM(BH7:BH20)+SUM(BH24:BH27)</f>
        <v>0</v>
      </c>
      <c r="BI21" s="193" t="n">
        <f aca="false">SUM(BI7:BI20)+SUM(BI24:BI27)</f>
        <v>0</v>
      </c>
      <c r="BJ21" s="193" t="n">
        <f aca="false">SUM(BJ7:BJ20)+SUM(BJ24:BJ27)</f>
        <v>0</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11</v>
      </c>
      <c r="T22" s="194" t="n">
        <f aca="false">COUNT(T7:T20)+COUNT(T24:T27)</f>
        <v>11</v>
      </c>
      <c r="U22" s="194" t="n">
        <f aca="false">COUNT(U7:U20)+COUNT(U24:U27)</f>
        <v>12</v>
      </c>
      <c r="V22" s="194" t="n">
        <f aca="false">COUNT(V7:V20)+COUNT(V24:V27)</f>
        <v>11</v>
      </c>
      <c r="W22" s="194" t="n">
        <f aca="false">COUNT(W7:W20)+COUNT(W24:W27)</f>
        <v>11</v>
      </c>
      <c r="X22" s="194" t="n">
        <f aca="false">COUNT(X7:X20)+COUNT(X24:X27)</f>
        <v>10</v>
      </c>
      <c r="Y22" s="194" t="n">
        <f aca="false">COUNT(Y7:Y20)+COUNT(Y24:Y27)</f>
        <v>9</v>
      </c>
      <c r="Z22" s="194" t="n">
        <f aca="false">COUNT(Z7:Z20)+COUNT(Z24:Z27)</f>
        <v>8</v>
      </c>
      <c r="AA22" s="194" t="n">
        <f aca="false">COUNT(AA7:AA20)+COUNT(AA24:AA27)</f>
        <v>8</v>
      </c>
      <c r="AB22" s="194" t="n">
        <f aca="false">COUNT(AB7:AB20)+COUNT(AB24:AB27)</f>
        <v>8</v>
      </c>
      <c r="AC22" s="194" t="n">
        <f aca="false">COUNT(AC7:AC20)+COUNT(AC24:AC27)</f>
        <v>8</v>
      </c>
      <c r="AD22" s="194" t="n">
        <f aca="false">COUNT(AD7:AD20)+COUNT(AD24:AD27)</f>
        <v>7</v>
      </c>
      <c r="AE22" s="194" t="n">
        <f aca="false">COUNT(AE7:AE20)+COUNT(AE24:AE27)</f>
        <v>6</v>
      </c>
      <c r="AF22" s="194" t="n">
        <f aca="false">COUNT(AF7:AF20)+COUNT(AF24:AF27)</f>
        <v>6</v>
      </c>
      <c r="AG22" s="194" t="n">
        <f aca="false">COUNT(AG7:AG20)+COUNT(AG24:AG27)</f>
        <v>6</v>
      </c>
      <c r="AH22" s="194" t="n">
        <f aca="false">COUNT(AH7:AH20)+COUNT(AH24:AH27)</f>
        <v>6</v>
      </c>
      <c r="AI22" s="194" t="n">
        <f aca="false">COUNT(AI7:AI20)+COUNT(AI24:AI27)</f>
        <v>4</v>
      </c>
      <c r="AJ22" s="194" t="n">
        <f aca="false">COUNT(AJ7:AJ20)+COUNT(AJ24:AJ27)</f>
        <v>3</v>
      </c>
      <c r="AK22" s="194" t="n">
        <f aca="false">COUNT(AK7:AK20)+COUNT(AK24:AK27)</f>
        <v>3</v>
      </c>
      <c r="AL22" s="194" t="n">
        <f aca="false">COUNT(AL7:AL20)+COUNT(AL24:AL27)</f>
        <v>3</v>
      </c>
      <c r="AM22" s="194" t="n">
        <f aca="false">COUNT(AM7:AM20)+COUNT(AM24:AM27)</f>
        <v>2</v>
      </c>
      <c r="AN22" s="194" t="n">
        <f aca="false">COUNT(AN7:AN20)+COUNT(AN24:AN27)</f>
        <v>2</v>
      </c>
      <c r="AO22" s="194" t="n">
        <f aca="false">COUNT(AO7:AO20)+COUNT(AO24:AO27)</f>
        <v>2</v>
      </c>
      <c r="AP22" s="194" t="n">
        <f aca="false">COUNT(AP7:AP20)+COUNT(AP24:AP27)</f>
        <v>2</v>
      </c>
      <c r="AQ22" s="194" t="n">
        <f aca="false">COUNT(AQ7:AQ20)+COUNT(AQ24:AQ27)</f>
        <v>1</v>
      </c>
      <c r="AR22" s="194" t="n">
        <f aca="false">COUNT(AR7:AR20)+COUNT(AR24:AR27)</f>
        <v>1</v>
      </c>
      <c r="AS22" s="194" t="n">
        <f aca="false">COUNT(AS7:AS20)+COUNT(AS24:AS27)</f>
        <v>1</v>
      </c>
      <c r="AT22" s="194" t="n">
        <f aca="false">COUNT(AT7:AT20)+COUNT(AT24:AT27)</f>
        <v>1</v>
      </c>
      <c r="AU22" s="194" t="n">
        <f aca="false">COUNT(AU7:AU20)+COUNT(AU24:AU27)</f>
        <v>1</v>
      </c>
      <c r="AV22" s="194" t="n">
        <f aca="false">COUNT(AV7:AV20)+COUNT(AV24:AV27)</f>
        <v>1</v>
      </c>
      <c r="AW22" s="194" t="n">
        <f aca="false">COUNT(AW7:AW20)+COUNT(AW24:AW27)</f>
        <v>1</v>
      </c>
      <c r="AX22" s="194" t="n">
        <f aca="false">COUNT(AX7:AX20)+COUNT(AX24:AX27)</f>
        <v>1</v>
      </c>
      <c r="AY22" s="194" t="n">
        <f aca="false">COUNT(AY7:AY20)+COUNT(AY24:AY27)</f>
        <v>0</v>
      </c>
      <c r="AZ22" s="194" t="n">
        <f aca="false">COUNT(AZ7:AZ20)+COUNT(AZ24:AZ27)</f>
        <v>0</v>
      </c>
      <c r="BA22" s="194" t="n">
        <f aca="false">COUNT(BA7:BA20)+COUNT(BA24:BA27)</f>
        <v>0</v>
      </c>
      <c r="BB22" s="194" t="n">
        <f aca="false">COUNT(BB7:BB20)+COUNT(BB24:BB27)</f>
        <v>0</v>
      </c>
      <c r="BC22" s="194" t="n">
        <f aca="false">COUNT(BC7:BC20)+COUNT(BC24:BC27)</f>
        <v>0</v>
      </c>
      <c r="BD22" s="194" t="n">
        <f aca="false">COUNT(BD7:BD20)+COUNT(BD24:BD27)</f>
        <v>0</v>
      </c>
      <c r="BE22" s="194" t="n">
        <f aca="false">COUNT(BE7:BE20)+COUNT(BE24:BE27)</f>
        <v>0</v>
      </c>
      <c r="BF22" s="194" t="n">
        <f aca="false">COUNT(BF7:BF20)+COUNT(BF24:BF27)</f>
        <v>0</v>
      </c>
      <c r="BG22" s="194" t="n">
        <f aca="false">COUNT(BG7:BG20)+COUNT(BG24:BG27)</f>
        <v>0</v>
      </c>
      <c r="BH22" s="194" t="n">
        <f aca="false">COUNT(BH7:BH20)+COUNT(BH24:BH27)</f>
        <v>0</v>
      </c>
      <c r="BI22" s="194" t="n">
        <f aca="false">COUNT(BI7:BI20)+COUNT(BI24:BI27)</f>
        <v>0</v>
      </c>
      <c r="BJ22" s="194" t="n">
        <f aca="false">COUNT(BJ7:BJ20)+COUNT(BJ24:BJ27)</f>
        <v>0</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0</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str">
        <f aca="false">IF(Model!W31=0,"",Model!W31)</f>
        <v/>
      </c>
      <c r="Z28" s="192" t="str">
        <f aca="false">IF(Model!X31=0,"",Model!X31)</f>
        <v/>
      </c>
      <c r="AA28" s="192" t="str">
        <f aca="false">IF(Model!Y31=0,"",Model!Y31)</f>
        <v/>
      </c>
      <c r="AB28" s="192" t="str">
        <f aca="false">IF(Model!Z31=0,"",Model!Z31)</f>
        <v/>
      </c>
      <c r="AC28" s="192" t="str">
        <f aca="false">IF(Model!AA31=0,"",Model!AA31)</f>
        <v/>
      </c>
      <c r="AD28" s="192" t="str">
        <f aca="false">IF(Model!AB31=0,"",Model!AB31)</f>
        <v/>
      </c>
      <c r="AE28" s="192" t="str">
        <f aca="false">IF(Model!AC31=0,"",Model!AC31)</f>
        <v/>
      </c>
      <c r="AF28" s="192" t="str">
        <f aca="false">IF(Model!AD31=0,"",Model!AD31)</f>
        <v/>
      </c>
      <c r="AG28" s="192" t="str">
        <f aca="false">IF(Model!AE31=0,"",Model!AE31)</f>
        <v/>
      </c>
      <c r="AH28" s="192" t="str">
        <f aca="false">IF(Model!AF31=0,"",Model!AF31)</f>
        <v/>
      </c>
      <c r="AI28" s="192" t="str">
        <f aca="false">IF(Model!AG31=0,"",Model!AG31)</f>
        <v/>
      </c>
      <c r="AJ28" s="192" t="str">
        <f aca="false">IF(Model!AH31=0,"",Model!AH31)</f>
        <v/>
      </c>
      <c r="AK28" s="192" t="str">
        <f aca="false">IF(Model!AI31=0,"",Model!AI31)</f>
        <v/>
      </c>
      <c r="AL28" s="192" t="str">
        <f aca="false">IF(Model!AJ31=0,"",Model!AJ31)</f>
        <v/>
      </c>
      <c r="AM28" s="192" t="str">
        <f aca="false">IF(Model!AK31=0,"",Model!AK31)</f>
        <v/>
      </c>
      <c r="AN28" s="192" t="str">
        <f aca="false">IF(Model!AL31=0,"",Model!AL31)</f>
        <v/>
      </c>
      <c r="AO28" s="192" t="str">
        <f aca="false">IF(Model!AM31=0,"",Model!AM31)</f>
        <v/>
      </c>
      <c r="AP28" s="192" t="str">
        <f aca="false">IF(Model!AN31=0,"",Model!AN31)</f>
        <v/>
      </c>
      <c r="AQ28" s="192" t="str">
        <f aca="false">IF(Model!AO31=0,"",Model!AO31)</f>
        <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0</v>
      </c>
      <c r="Z53" s="193" t="n">
        <f aca="false">SUM(Z28:Z52)</f>
        <v>0</v>
      </c>
      <c r="AA53" s="193" t="n">
        <f aca="false">SUM(AA28:AA52)</f>
        <v>0</v>
      </c>
      <c r="AB53" s="193" t="n">
        <f aca="false">SUM(AB28:AB52)</f>
        <v>0</v>
      </c>
      <c r="AC53" s="193" t="n">
        <f aca="false">SUM(AC28:AC52)</f>
        <v>0</v>
      </c>
      <c r="AD53" s="193" t="n">
        <f aca="false">SUM(AD28:AD52)</f>
        <v>0</v>
      </c>
      <c r="AE53" s="193" t="n">
        <f aca="false">SUM(AE28:AE52)</f>
        <v>0</v>
      </c>
      <c r="AF53" s="193" t="n">
        <f aca="false">SUM(AF28:AF52)</f>
        <v>0</v>
      </c>
      <c r="AG53" s="193" t="n">
        <f aca="false">SUM(AG28:AG52)</f>
        <v>0</v>
      </c>
      <c r="AH53" s="193" t="n">
        <f aca="false">SUM(AH28:AH52)</f>
        <v>0</v>
      </c>
      <c r="AI53" s="193" t="n">
        <f aca="false">SUM(AI28:AI52)</f>
        <v>0</v>
      </c>
      <c r="AJ53" s="193" t="n">
        <f aca="false">SUM(AJ28:AJ52)</f>
        <v>0</v>
      </c>
      <c r="AK53" s="193" t="n">
        <f aca="false">SUM(AK28:AK52)</f>
        <v>0</v>
      </c>
      <c r="AL53" s="193" t="n">
        <f aca="false">SUM(AL28:AL52)</f>
        <v>0</v>
      </c>
      <c r="AM53" s="193" t="n">
        <f aca="false">SUM(AM28:AM52)</f>
        <v>0</v>
      </c>
      <c r="AN53" s="193" t="n">
        <f aca="false">SUM(AN28:AN52)</f>
        <v>0</v>
      </c>
      <c r="AO53" s="193" t="n">
        <f aca="false">SUM(AO28:AO52)</f>
        <v>0</v>
      </c>
      <c r="AP53" s="193" t="n">
        <f aca="false">SUM(AP28:AP52)</f>
        <v>0</v>
      </c>
      <c r="AQ53" s="193" t="n">
        <f aca="false">SUM(AQ28:AQ52)</f>
        <v>0</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0</v>
      </c>
      <c r="Z54" s="194" t="n">
        <f aca="false">COUNT(Z28:Z52)</f>
        <v>0</v>
      </c>
      <c r="AA54" s="194" t="n">
        <f aca="false">COUNT(AA28:AA52)</f>
        <v>0</v>
      </c>
      <c r="AB54" s="194" t="n">
        <f aca="false">COUNT(AB28:AB52)</f>
        <v>0</v>
      </c>
      <c r="AC54" s="194" t="n">
        <f aca="false">COUNT(AC28:AC52)</f>
        <v>0</v>
      </c>
      <c r="AD54" s="194" t="n">
        <f aca="false">COUNT(AD28:AD52)</f>
        <v>0</v>
      </c>
      <c r="AE54" s="194" t="n">
        <f aca="false">COUNT(AE28:AE52)</f>
        <v>0</v>
      </c>
      <c r="AF54" s="194" t="n">
        <f aca="false">COUNT(AF28:AF52)</f>
        <v>0</v>
      </c>
      <c r="AG54" s="194" t="n">
        <f aca="false">COUNT(AG28:AG52)</f>
        <v>0</v>
      </c>
      <c r="AH54" s="194" t="n">
        <f aca="false">COUNT(AH28:AH52)</f>
        <v>0</v>
      </c>
      <c r="AI54" s="194" t="n">
        <f aca="false">COUNT(AI28:AI52)</f>
        <v>0</v>
      </c>
      <c r="AJ54" s="194" t="n">
        <f aca="false">COUNT(AJ28:AJ52)</f>
        <v>0</v>
      </c>
      <c r="AK54" s="194" t="n">
        <f aca="false">COUNT(AK28:AK52)</f>
        <v>0</v>
      </c>
      <c r="AL54" s="194" t="n">
        <f aca="false">COUNT(AL28:AL52)</f>
        <v>0</v>
      </c>
      <c r="AM54" s="194" t="n">
        <f aca="false">COUNT(AM28:AM52)</f>
        <v>0</v>
      </c>
      <c r="AN54" s="194" t="n">
        <f aca="false">COUNT(AN28:AN52)</f>
        <v>0</v>
      </c>
      <c r="AO54" s="194" t="n">
        <f aca="false">COUNT(AO28:AO52)</f>
        <v>0</v>
      </c>
      <c r="AP54" s="194" t="n">
        <f aca="false">COUNT(AP28:AP52)</f>
        <v>0</v>
      </c>
      <c r="AQ54" s="194" t="n">
        <f aca="false">COUNT(AQ28:AQ52)</f>
        <v>0</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843054.072440735</v>
      </c>
      <c r="T55" s="196" t="n">
        <f aca="false">Model!R10+Model!R11+Model!R56</f>
        <v>817789.052440735</v>
      </c>
      <c r="U55" s="196" t="n">
        <f aca="false">Model!S10+Model!S11+Model!S56</f>
        <v>998643.706497952</v>
      </c>
      <c r="V55" s="196" t="n">
        <f aca="false">Model!T10+Model!T11+Model!T56</f>
        <v>1092358.69649795</v>
      </c>
      <c r="W55" s="196" t="n">
        <f aca="false">Model!U10+Model!U11+Model!U56</f>
        <v>982618.246497952</v>
      </c>
      <c r="X55" s="196" t="n">
        <f aca="false">Model!V10+Model!V11+Model!V56</f>
        <v>1034111.80649795</v>
      </c>
      <c r="Y55" s="196" t="n">
        <f aca="false">Model!W10+Model!W11+Model!W56</f>
        <v>836650.746497952</v>
      </c>
      <c r="Z55" s="196" t="n">
        <f aca="false">Model!X10+Model!X11+Model!X56</f>
        <v>984346.426497952</v>
      </c>
      <c r="AA55" s="196" t="n">
        <f aca="false">Model!Y10+Model!Y11+Model!Y56</f>
        <v>800819.506497952</v>
      </c>
      <c r="AB55" s="196" t="n">
        <f aca="false">Model!Z10+Model!Z11+Model!Z56</f>
        <v>900746.506497952</v>
      </c>
      <c r="AC55" s="196" t="n">
        <f aca="false">Model!AA10+Model!AA11+Model!AA56</f>
        <v>810579.566497952</v>
      </c>
      <c r="AD55" s="196" t="n">
        <f aca="false">Model!AB10+Model!AB11+Model!AB56</f>
        <v>672445.296497952</v>
      </c>
      <c r="AE55" s="196" t="n">
        <f aca="false">Model!AC10+Model!AC11+Model!AC56</f>
        <v>576208.456497952</v>
      </c>
      <c r="AF55" s="196" t="n">
        <f aca="false">Model!AD10+Model!AD11+Model!AD56</f>
        <v>598774.496497952</v>
      </c>
      <c r="AG55" s="196" t="n">
        <f aca="false">Model!AE10+Model!AE11+Model!AE56</f>
        <v>589858.176497952</v>
      </c>
      <c r="AH55" s="196" t="n">
        <f aca="false">Model!AF10+Model!AF11+Model!AF56</f>
        <v>748242.303216602</v>
      </c>
      <c r="AI55" s="196" t="n">
        <f aca="false">Model!AG10+Model!AG11+Model!AG56</f>
        <v>681641.806260252</v>
      </c>
      <c r="AJ55" s="196" t="n">
        <f aca="false">Model!AH10+Model!AH11+Model!AH56</f>
        <v>545306.323298352</v>
      </c>
      <c r="AK55" s="196" t="n">
        <f aca="false">Model!AI10+Model!AI11+Model!AI56</f>
        <v>539242.613298352</v>
      </c>
      <c r="AL55" s="196" t="n">
        <f aca="false">Model!AJ10+Model!AJ11+Model!AJ56</f>
        <v>546664.812866102</v>
      </c>
      <c r="AM55" s="196" t="n">
        <f aca="false">Model!AK10+Model!AK11+Model!AK56</f>
        <v>292748.704057217</v>
      </c>
      <c r="AN55" s="196" t="n">
        <f aca="false">Model!AL10+Model!AL11+Model!AL56</f>
        <v>306819.414057217</v>
      </c>
      <c r="AO55" s="196" t="n">
        <f aca="false">Model!AM10+Model!AM11+Model!AM56</f>
        <v>318502.454057217</v>
      </c>
      <c r="AP55" s="196" t="n">
        <f aca="false">Model!AN10+Model!AN11+Model!AN56</f>
        <v>211834.944057217</v>
      </c>
      <c r="AQ55" s="196" t="n">
        <f aca="false">Model!AO10+Model!AO11+Model!AO56</f>
        <v>172574.204057217</v>
      </c>
      <c r="AR55" s="196" t="n">
        <f aca="false">Model!AP10+Model!AP11+Model!AP56</f>
        <v>172574.204057217</v>
      </c>
      <c r="AS55" s="196" t="n">
        <f aca="false">Model!AQ10+Model!AQ11+Model!AQ56</f>
        <v>172574.204057217</v>
      </c>
      <c r="AT55" s="196" t="n">
        <f aca="false">Model!AR10+Model!AR11+Model!AR56</f>
        <v>172574.204057217</v>
      </c>
      <c r="AU55" s="196" t="n">
        <f aca="false">Model!AS10+Model!AS11+Model!AS56</f>
        <v>172574.204057217</v>
      </c>
      <c r="AV55" s="196" t="n">
        <f aca="false">Model!AT10+Model!AT11+Model!AT56</f>
        <v>172574.204057217</v>
      </c>
      <c r="AW55" s="196" t="n">
        <f aca="false">Model!AU10+Model!AU11+Model!AU56</f>
        <v>172574.204057217</v>
      </c>
      <c r="AX55" s="196" t="n">
        <f aca="false">Model!AV10+Model!AV11+Model!AV56</f>
        <v>445059.789410717</v>
      </c>
      <c r="AY55" s="196" t="n">
        <f aca="false">Model!AW10+Model!AW11+Model!AW56</f>
        <v>0</v>
      </c>
      <c r="AZ55" s="196" t="n">
        <f aca="false">Model!AX10+Model!AX11+Model!AX56</f>
        <v>0</v>
      </c>
      <c r="BA55" s="196" t="n">
        <f aca="false">Model!AY10+Model!AY11+Model!AY56</f>
        <v>0</v>
      </c>
      <c r="BB55" s="196" t="n">
        <f aca="false">Model!AZ10+Model!AZ11+Model!AZ56</f>
        <v>0</v>
      </c>
      <c r="BC55" s="196" t="n">
        <f aca="false">Model!BA10+Model!BA11+Model!BA56</f>
        <v>0</v>
      </c>
      <c r="BD55" s="196" t="n">
        <f aca="false">Model!BB10+Model!BB11+Model!BB56</f>
        <v>0</v>
      </c>
      <c r="BE55" s="196" t="n">
        <f aca="false">Model!BC10+Model!BC11+Model!BC56</f>
        <v>0</v>
      </c>
      <c r="BF55" s="196" t="n">
        <f aca="false">Model!BD10+Model!BD11+Model!BD56</f>
        <v>0</v>
      </c>
      <c r="BG55" s="196" t="n">
        <f aca="false">Model!BE10+Model!BE11+Model!BE56</f>
        <v>0</v>
      </c>
      <c r="BH55" s="196" t="n">
        <f aca="false">Model!BF10+Model!BF11+Model!BF56</f>
        <v>0</v>
      </c>
      <c r="BI55" s="196" t="n">
        <f aca="false">Model!BG10+Model!BG11+Model!BG56</f>
        <v>0</v>
      </c>
      <c r="BJ55" s="196" t="n">
        <f aca="false">Model!BH10+Model!BH11+Model!BH56</f>
        <v>0</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6949520.15953703</v>
      </c>
      <c r="T56" s="199" t="n">
        <f aca="false">T21+T53+T55</f>
        <v>7046172.59146689</v>
      </c>
      <c r="U56" s="199" t="n">
        <f aca="false">U21+U53+U55</f>
        <v>8117861.3353058</v>
      </c>
      <c r="V56" s="199" t="n">
        <f aca="false">V21+V53+V55</f>
        <v>9268737.91012749</v>
      </c>
      <c r="W56" s="199" t="n">
        <f aca="false">W21+W53+W55</f>
        <v>8680497.82576231</v>
      </c>
      <c r="X56" s="199" t="n">
        <f aca="false">X21+X53+X55</f>
        <v>9367574.40712514</v>
      </c>
      <c r="Y56" s="199" t="n">
        <f aca="false">Y21+Y53+Y55</f>
        <v>7906507.95509614</v>
      </c>
      <c r="Z56" s="199" t="n">
        <f aca="false">Z21+Z53+Z55</f>
        <v>9270700.72755831</v>
      </c>
      <c r="AA56" s="199" t="n">
        <f aca="false">AA21+AA53+AA55</f>
        <v>7780968.62467349</v>
      </c>
      <c r="AB56" s="199" t="n">
        <f aca="false">AB21+AB53+AB55</f>
        <v>8592960.1986548</v>
      </c>
      <c r="AC56" s="199" t="n">
        <f aca="false">AC21+AC53+AC55</f>
        <v>7745844.00460889</v>
      </c>
      <c r="AD56" s="199" t="n">
        <f aca="false">AD21+AD53+AD55</f>
        <v>6440010.13331003</v>
      </c>
      <c r="AE56" s="199" t="n">
        <f aca="false">AE21+AE53+AE55</f>
        <v>5454244.7225759</v>
      </c>
      <c r="AF56" s="199" t="n">
        <f aca="false">AF21+AF53+AF55</f>
        <v>5430769.7309954</v>
      </c>
      <c r="AG56" s="199" t="n">
        <f aca="false">AG21+AG53+AG55</f>
        <v>5122241.33288768</v>
      </c>
      <c r="AH56" s="199" t="n">
        <f aca="false">AH21+AH53+AH55</f>
        <v>5147920.15114436</v>
      </c>
      <c r="AI56" s="199" t="n">
        <f aca="false">AI21+AI53+AI55</f>
        <v>5477049.558928</v>
      </c>
      <c r="AJ56" s="199" t="n">
        <f aca="false">AJ21+AJ53+AJ55</f>
        <v>4955918.122125</v>
      </c>
      <c r="AK56" s="199" t="n">
        <f aca="false">AK21+AK53+AK55</f>
        <v>4797139.33709</v>
      </c>
      <c r="AL56" s="199" t="n">
        <f aca="false">AL21+AL53+AL55</f>
        <v>3666216.712295</v>
      </c>
      <c r="AM56" s="199" t="n">
        <f aca="false">AM21+AM53+AM55</f>
        <v>2965036.07715</v>
      </c>
      <c r="AN56" s="199" t="n">
        <f aca="false">AN21+AN53+AN55</f>
        <v>3005959.44523</v>
      </c>
      <c r="AO56" s="199" t="n">
        <f aca="false">AO21+AO53+AO55</f>
        <v>3011927.62244</v>
      </c>
      <c r="AP56" s="199" t="n">
        <f aca="false">AP21+AP53+AP55</f>
        <v>2015447.48113</v>
      </c>
      <c r="AQ56" s="199" t="n">
        <f aca="false">AQ21+AQ53+AQ55</f>
        <v>1573110.79104</v>
      </c>
      <c r="AR56" s="199" t="n">
        <f aca="false">AR21+AR53+AR55</f>
        <v>1452248.51514</v>
      </c>
      <c r="AS56" s="199" t="n">
        <f aca="false">AS21+AS53+AS55</f>
        <v>1327357.49671</v>
      </c>
      <c r="AT56" s="199" t="n">
        <f aca="false">AT21+AT53+AT55</f>
        <v>1201153.74195</v>
      </c>
      <c r="AU56" s="199" t="n">
        <f aca="false">AU21+AU53+AU55</f>
        <v>1076126.92321</v>
      </c>
      <c r="AV56" s="199" t="n">
        <f aca="false">AV21+AV53+AV55</f>
        <v>954540.37899</v>
      </c>
      <c r="AW56" s="199" t="n">
        <f aca="false">AW21+AW53+AW55</f>
        <v>838250.04686</v>
      </c>
      <c r="AX56" s="199" t="n">
        <f aca="false">AX21+AX53+AX55</f>
        <v>728840.26377</v>
      </c>
      <c r="AY56" s="199" t="n">
        <f aca="false">AY21+AY53+AY55</f>
        <v>0</v>
      </c>
      <c r="AZ56" s="199" t="n">
        <f aca="false">AZ21+AZ53+AZ55</f>
        <v>0</v>
      </c>
      <c r="BA56" s="199" t="n">
        <f aca="false">BA21+BA53+BA55</f>
        <v>0</v>
      </c>
      <c r="BB56" s="199" t="n">
        <f aca="false">BB21+BB53+BB55</f>
        <v>0</v>
      </c>
      <c r="BC56" s="199" t="n">
        <f aca="false">BC21+BC53+BC55</f>
        <v>0</v>
      </c>
      <c r="BD56" s="199" t="n">
        <f aca="false">BD21+BD53+BD55</f>
        <v>0</v>
      </c>
      <c r="BE56" s="199" t="n">
        <f aca="false">BE21+BE53+BE55</f>
        <v>0</v>
      </c>
      <c r="BF56" s="199" t="n">
        <f aca="false">BF21+BF53+BF55</f>
        <v>0</v>
      </c>
      <c r="BG56" s="199" t="n">
        <f aca="false">BG21+BG53+BG55</f>
        <v>0</v>
      </c>
      <c r="BH56" s="199" t="n">
        <f aca="false">BH21+BH53+BH55</f>
        <v>0</v>
      </c>
      <c r="BI56" s="199" t="n">
        <f aca="false">BI21+BI53+BI55</f>
        <v>0</v>
      </c>
      <c r="BJ56" s="199" t="n">
        <f aca="false">BJ21+BJ53+BJ55</f>
        <v>0</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11</v>
      </c>
      <c r="T57" s="200" t="n">
        <f aca="false">T22+T54</f>
        <v>11</v>
      </c>
      <c r="U57" s="200" t="n">
        <f aca="false">U22+U54</f>
        <v>12</v>
      </c>
      <c r="V57" s="200" t="n">
        <f aca="false">V22+V54</f>
        <v>11</v>
      </c>
      <c r="W57" s="200" t="n">
        <f aca="false">W22+W54</f>
        <v>11</v>
      </c>
      <c r="X57" s="200" t="n">
        <f aca="false">X22+X54</f>
        <v>10</v>
      </c>
      <c r="Y57" s="200" t="n">
        <f aca="false">Y22+Y54</f>
        <v>9</v>
      </c>
      <c r="Z57" s="200" t="n">
        <f aca="false">Z22+Z54</f>
        <v>8</v>
      </c>
      <c r="AA57" s="200" t="n">
        <f aca="false">AA22+AA54</f>
        <v>8</v>
      </c>
      <c r="AB57" s="200" t="n">
        <f aca="false">AB22+AB54</f>
        <v>8</v>
      </c>
      <c r="AC57" s="200" t="n">
        <f aca="false">AC22+AC54</f>
        <v>8</v>
      </c>
      <c r="AD57" s="200" t="n">
        <f aca="false">AD22+AD54</f>
        <v>7</v>
      </c>
      <c r="AE57" s="200" t="n">
        <f aca="false">AE22+AE54</f>
        <v>6</v>
      </c>
      <c r="AF57" s="200" t="n">
        <f aca="false">AF22+AF54</f>
        <v>6</v>
      </c>
      <c r="AG57" s="200" t="n">
        <f aca="false">AG22+AG54</f>
        <v>6</v>
      </c>
      <c r="AH57" s="200" t="n">
        <f aca="false">AH22+AH54</f>
        <v>6</v>
      </c>
      <c r="AI57" s="200" t="n">
        <f aca="false">AI22+AI54</f>
        <v>4</v>
      </c>
      <c r="AJ57" s="200" t="n">
        <f aca="false">AJ22+AJ54</f>
        <v>3</v>
      </c>
      <c r="AK57" s="200" t="n">
        <f aca="false">AK22+AK54</f>
        <v>3</v>
      </c>
      <c r="AL57" s="200" t="n">
        <f aca="false">AL22+AL54</f>
        <v>3</v>
      </c>
      <c r="AM57" s="200" t="n">
        <f aca="false">AM22+AM54</f>
        <v>2</v>
      </c>
      <c r="AN57" s="200" t="n">
        <f aca="false">AN22+AN54</f>
        <v>2</v>
      </c>
      <c r="AO57" s="200" t="n">
        <f aca="false">AO22+AO54</f>
        <v>2</v>
      </c>
      <c r="AP57" s="200" t="n">
        <f aca="false">AP22+AP54</f>
        <v>2</v>
      </c>
      <c r="AQ57" s="200" t="n">
        <f aca="false">AQ22+AQ54</f>
        <v>1</v>
      </c>
      <c r="AR57" s="200" t="n">
        <f aca="false">AR22+AR54</f>
        <v>1</v>
      </c>
      <c r="AS57" s="200" t="n">
        <f aca="false">AS22+AS54</f>
        <v>1</v>
      </c>
      <c r="AT57" s="200" t="n">
        <f aca="false">AT22+AT54</f>
        <v>1</v>
      </c>
      <c r="AU57" s="200" t="n">
        <f aca="false">AU22+AU54</f>
        <v>1</v>
      </c>
      <c r="AV57" s="200" t="n">
        <f aca="false">AV22+AV54</f>
        <v>1</v>
      </c>
      <c r="AW57" s="200" t="n">
        <f aca="false">AW22+AW54</f>
        <v>1</v>
      </c>
      <c r="AX57" s="200" t="n">
        <f aca="false">AX22+AX54</f>
        <v>1</v>
      </c>
      <c r="AY57" s="200" t="n">
        <f aca="false">AY22+AY54</f>
        <v>0</v>
      </c>
      <c r="AZ57" s="200" t="n">
        <f aca="false">AZ22+AZ54</f>
        <v>0</v>
      </c>
      <c r="BA57" s="200" t="n">
        <f aca="false">BA22+BA54</f>
        <v>0</v>
      </c>
      <c r="BB57" s="200" t="n">
        <f aca="false">BB22+BB54</f>
        <v>0</v>
      </c>
      <c r="BC57" s="200" t="n">
        <f aca="false">BC22+BC54</f>
        <v>0</v>
      </c>
      <c r="BD57" s="200" t="n">
        <f aca="false">BD22+BD54</f>
        <v>0</v>
      </c>
      <c r="BE57" s="200" t="n">
        <f aca="false">BE22+BE54</f>
        <v>0</v>
      </c>
      <c r="BF57" s="200" t="n">
        <f aca="false">BF22+BF54</f>
        <v>0</v>
      </c>
      <c r="BG57" s="200" t="n">
        <f aca="false">BG22+BG54</f>
        <v>0</v>
      </c>
      <c r="BH57" s="200" t="n">
        <f aca="false">BH22+BH54</f>
        <v>0</v>
      </c>
      <c r="BI57" s="200" t="n">
        <f aca="false">BI22+BI54</f>
        <v>0</v>
      </c>
      <c r="BJ57" s="200" t="n">
        <f aca="false">BJ22+BJ54</f>
        <v>0</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684929.15966</v>
      </c>
      <c r="T59" s="196" t="n">
        <f aca="false">-(Model!R236+Model!R292)</f>
        <v>684929.15966</v>
      </c>
      <c r="U59" s="196" t="n">
        <f aca="false">-(Model!S236+Model!S292)</f>
        <v>733266.58466</v>
      </c>
      <c r="V59" s="196" t="n">
        <f aca="false">-(Model!T236+Model!T292)</f>
        <v>711891.58466</v>
      </c>
      <c r="W59" s="196" t="n">
        <f aca="false">-(Model!U236+Model!U292)</f>
        <v>711891.58466</v>
      </c>
      <c r="X59" s="196" t="n">
        <f aca="false">-(Model!V236+Model!V292)</f>
        <v>711891.58466</v>
      </c>
      <c r="Y59" s="196" t="n">
        <f aca="false">-(Model!W236+Model!W292)</f>
        <v>711891.58466</v>
      </c>
      <c r="Z59" s="196" t="n">
        <f aca="false">-(Model!X236+Model!X292)</f>
        <v>711891.58466</v>
      </c>
      <c r="AA59" s="196" t="n">
        <f aca="false">-(Model!Y236+Model!Y292)</f>
        <v>711891.58466</v>
      </c>
      <c r="AB59" s="196" t="n">
        <f aca="false">-(Model!Z236+Model!Z292)</f>
        <v>703669.490429231</v>
      </c>
      <c r="AC59" s="196" t="n">
        <f aca="false">-(Model!AA236+Model!AA292)</f>
        <v>666485.705813846</v>
      </c>
      <c r="AD59" s="196" t="n">
        <f aca="false">-(Model!AB236+Model!AB292)</f>
        <v>657502.751967692</v>
      </c>
      <c r="AE59" s="196" t="n">
        <f aca="false">-(Model!AC236+Model!AC292)</f>
        <v>651877.604276277</v>
      </c>
      <c r="AF59" s="196" t="n">
        <f aca="false">-(Model!AD236+Model!AD292)</f>
        <v>624278.060660892</v>
      </c>
      <c r="AG59" s="196" t="n">
        <f aca="false">-(Model!AE236+Model!AE292)</f>
        <v>601970.3683532</v>
      </c>
      <c r="AH59" s="196" t="n">
        <f aca="false">-(Model!AF236+Model!AF292)</f>
        <v>601970.3683532</v>
      </c>
      <c r="AI59" s="196" t="n">
        <f aca="false">-(Model!AG236+Model!AG292)</f>
        <v>601970.3683532</v>
      </c>
      <c r="AJ59" s="196" t="n">
        <f aca="false">-(Model!AH236+Model!AH292)</f>
        <v>599523.615468585</v>
      </c>
      <c r="AK59" s="196" t="n">
        <f aca="false">-(Model!AI236+Model!AI292)</f>
        <v>589908.2308532</v>
      </c>
      <c r="AL59" s="196" t="n">
        <f aca="false">-(Model!AJ236+Model!AJ292)</f>
        <v>589908.2308532</v>
      </c>
      <c r="AM59" s="196" t="n">
        <f aca="false">-(Model!AK236+Model!AK292)</f>
        <v>589908.2308532</v>
      </c>
      <c r="AN59" s="196" t="n">
        <f aca="false">-(Model!AL236+Model!AL292)</f>
        <v>589908.2308532</v>
      </c>
      <c r="AO59" s="196" t="n">
        <f aca="false">-(Model!AM236+Model!AM292)</f>
        <v>589908.2308532</v>
      </c>
      <c r="AP59" s="196" t="n">
        <f aca="false">-(Model!AN236+Model!AN292)</f>
        <v>589908.2308532</v>
      </c>
      <c r="AQ59" s="196" t="n">
        <f aca="false">-(Model!AO236+Model!AO292)</f>
        <v>601063.635470264</v>
      </c>
      <c r="AR59" s="196" t="n">
        <f aca="false">-(Model!AP236+Model!AP292)</f>
        <v>601063.635470264</v>
      </c>
      <c r="AS59" s="196" t="n">
        <f aca="false">-(Model!AQ236+Model!AQ292)</f>
        <v>601063.635470264</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710526.435766128</v>
      </c>
      <c r="CD59" s="196" t="n">
        <f aca="false">-(Model!CB236+Model!CB292)</f>
        <v>635886.435766128</v>
      </c>
      <c r="CE59" s="196" t="n">
        <f aca="false">-(Model!CC236+Model!CC292)</f>
        <v>635886.435766128</v>
      </c>
      <c r="CF59" s="196" t="n">
        <f aca="false">-(Model!CD236+Model!CD292)</f>
        <v>717249.435766128</v>
      </c>
      <c r="CG59" s="196" t="n">
        <f aca="false">-(Model!CE236+Model!CE292)</f>
        <v>635886.435766128</v>
      </c>
      <c r="CH59" s="196" t="n">
        <f aca="false">-(Model!CF236+Model!CF292)</f>
        <v>635886.435766128</v>
      </c>
      <c r="CI59" s="196" t="n">
        <f aca="false">-(Model!CG236+Model!CG292)</f>
        <v>717248.435766128</v>
      </c>
      <c r="CJ59" s="196" t="n">
        <f aca="false">-(Model!CH236+Model!CH292)</f>
        <v>635886.435766128</v>
      </c>
      <c r="CK59" s="196" t="n">
        <f aca="false">-(Model!CI236+Model!CI292)</f>
        <v>635886.435766128</v>
      </c>
      <c r="CL59" s="196" t="n">
        <f aca="false">-(Model!CJ236+Model!CJ292)</f>
        <v>710640.409159649</v>
      </c>
      <c r="CM59" s="196" t="n">
        <f aca="false">-(Model!CK236+Model!CK292)</f>
        <v>647961.404481451</v>
      </c>
      <c r="CN59" s="196" t="n">
        <f aca="false">-(Model!CL236+Model!CL292)</f>
        <v>647961.404481451</v>
      </c>
      <c r="CO59" s="196" t="n">
        <f aca="false">-(Model!CM236+Model!CM292)</f>
        <v>647961.404481451</v>
      </c>
      <c r="CP59" s="196" t="n">
        <f aca="false">-(Model!CN236+Model!CN292)</f>
        <v>647961.404481451</v>
      </c>
      <c r="CQ59" s="196" t="n">
        <f aca="false">-(Model!CO236+Model!CO292)</f>
        <v>647961.404481451</v>
      </c>
      <c r="CR59" s="196" t="n">
        <f aca="false">-(Model!CP236+Model!CP292)</f>
        <v>647961.404481451</v>
      </c>
      <c r="CS59" s="196" t="n">
        <f aca="false">-(Model!CQ236+Model!CQ292)</f>
        <v>647961.404481451</v>
      </c>
      <c r="CT59" s="196" t="n">
        <f aca="false">-(Model!CR236+Model!CR292)</f>
        <v>647961.404481451</v>
      </c>
      <c r="CU59" s="196" t="n">
        <f aca="false">-(Model!CS236+Model!CS292)</f>
        <v>647961.404481451</v>
      </c>
      <c r="CV59" s="196" t="n">
        <f aca="false">-(Model!CT236+Model!CT292)</f>
        <v>601697.645441313</v>
      </c>
      <c r="CW59" s="196" t="n">
        <f aca="false">-(Model!CU236+Model!CU292)</f>
        <v>601697.645441313</v>
      </c>
      <c r="CX59" s="196" t="n">
        <f aca="false">-(Model!CV236+Model!CV292)</f>
        <v>601697.645441313</v>
      </c>
      <c r="CY59" s="196" t="n">
        <f aca="false">-(Model!CW236+Model!CW292)</f>
        <v>613088.838350139</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780241.512440736</v>
      </c>
      <c r="T60" s="196" t="n">
        <f aca="false">Model!R199</f>
        <v>766846.802440735</v>
      </c>
      <c r="U60" s="196" t="n">
        <f aca="false">Model!S199</f>
        <v>145252.425832929</v>
      </c>
      <c r="V60" s="196" t="n">
        <f aca="false">Model!T199</f>
        <v>1030668.08649795</v>
      </c>
      <c r="W60" s="196" t="n">
        <f aca="false">Model!U199</f>
        <v>926966.026497953</v>
      </c>
      <c r="X60" s="196" t="n">
        <f aca="false">Model!V199</f>
        <v>1012837.29649795</v>
      </c>
      <c r="Y60" s="196" t="n">
        <f aca="false">Model!W199</f>
        <v>833682.466497951</v>
      </c>
      <c r="Z60" s="196" t="n">
        <f aca="false">Model!X199</f>
        <v>984346.426497955</v>
      </c>
      <c r="AA60" s="196" t="n">
        <f aca="false">Model!Y199</f>
        <v>800819.506497952</v>
      </c>
      <c r="AB60" s="196" t="n">
        <f aca="false">Model!Z199</f>
        <v>900746.506497954</v>
      </c>
      <c r="AC60" s="196" t="n">
        <f aca="false">Model!AA199</f>
        <v>810579.566497948</v>
      </c>
      <c r="AD60" s="196" t="n">
        <f aca="false">Model!AB199</f>
        <v>672445.296497952</v>
      </c>
      <c r="AE60" s="196" t="n">
        <f aca="false">Model!AC199</f>
        <v>576208.456497955</v>
      </c>
      <c r="AF60" s="196" t="n">
        <f aca="false">Model!AD199</f>
        <v>598774.496497951</v>
      </c>
      <c r="AG60" s="196" t="n">
        <f aca="false">Model!AE199</f>
        <v>589858.176497948</v>
      </c>
      <c r="AH60" s="196" t="n">
        <f aca="false">Model!AF199</f>
        <v>748242.303216604</v>
      </c>
      <c r="AI60" s="196" t="n">
        <f aca="false">Model!AG199</f>
        <v>681641.806260252</v>
      </c>
      <c r="AJ60" s="196" t="n">
        <f aca="false">Model!AH199</f>
        <v>545306.323298351</v>
      </c>
      <c r="AK60" s="196" t="n">
        <f aca="false">Model!AI199</f>
        <v>539242.613298357</v>
      </c>
      <c r="AL60" s="196" t="n">
        <f aca="false">Model!AJ199</f>
        <v>546664.812866098</v>
      </c>
      <c r="AM60" s="196" t="n">
        <f aca="false">Model!AK199</f>
        <v>292748.704057217</v>
      </c>
      <c r="AN60" s="196" t="n">
        <f aca="false">Model!AL199</f>
        <v>306819.414057218</v>
      </c>
      <c r="AO60" s="196" t="n">
        <f aca="false">Model!AM199</f>
        <v>318502.454057215</v>
      </c>
      <c r="AP60" s="196" t="n">
        <f aca="false">Model!AN199</f>
        <v>211834.944057214</v>
      </c>
      <c r="AQ60" s="196" t="n">
        <f aca="false">Model!AO199</f>
        <v>172574.204057217</v>
      </c>
      <c r="AR60" s="196" t="n">
        <f aca="false">Model!AP199</f>
        <v>172574.204057217</v>
      </c>
      <c r="AS60" s="196" t="n">
        <f aca="false">Model!AQ199</f>
        <v>172574.204057217</v>
      </c>
      <c r="AT60" s="196" t="n">
        <f aca="false">Model!AR199</f>
        <v>172574.204057217</v>
      </c>
      <c r="AU60" s="196" t="n">
        <f aca="false">Model!AS199</f>
        <v>172574.204057217</v>
      </c>
      <c r="AV60" s="196" t="n">
        <f aca="false">Model!AT199</f>
        <v>172574.204057217</v>
      </c>
      <c r="AW60" s="196" t="n">
        <f aca="false">Model!AU199</f>
        <v>172574.204057217</v>
      </c>
      <c r="AX60" s="196" t="n">
        <f aca="false">Model!AV199</f>
        <v>445059.789410717</v>
      </c>
      <c r="AY60" s="196" t="n">
        <f aca="false">Model!AW199</f>
        <v>0</v>
      </c>
      <c r="AZ60" s="196" t="n">
        <f aca="false">Model!AX199</f>
        <v>0</v>
      </c>
      <c r="BA60" s="196" t="n">
        <f aca="false">Model!AY199</f>
        <v>0</v>
      </c>
      <c r="BB60" s="196" t="n">
        <f aca="false">Model!AZ199</f>
        <v>0</v>
      </c>
      <c r="BC60" s="196" t="n">
        <f aca="false">Model!BA199</f>
        <v>0</v>
      </c>
      <c r="BD60" s="196" t="n">
        <f aca="false">Model!BB199</f>
        <v>0</v>
      </c>
      <c r="BE60" s="196" t="n">
        <f aca="false">Model!BC199</f>
        <v>0</v>
      </c>
      <c r="BF60" s="196" t="n">
        <f aca="false">Model!BD199</f>
        <v>0</v>
      </c>
      <c r="BG60" s="196" t="n">
        <f aca="false">Model!BE199</f>
        <v>0</v>
      </c>
      <c r="BH60" s="196" t="n">
        <f aca="false">Model!BF199</f>
        <v>0</v>
      </c>
      <c r="BI60" s="196" t="n">
        <f aca="false">Model!BG199</f>
        <v>0</v>
      </c>
      <c r="BJ60" s="196" t="n">
        <f aca="false">Model!BH199</f>
        <v>0</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0.112272717328546</v>
      </c>
      <c r="T61" s="201" t="n">
        <f aca="false">IFERROR(T60/T56,0)</f>
        <v>0.108831680247147</v>
      </c>
      <c r="U61" s="201" t="n">
        <f aca="false">IFERROR(U60/U56,0)</f>
        <v>0.0178929424676428</v>
      </c>
      <c r="V61" s="201" t="n">
        <f aca="false">IFERROR(V60/V56,0)</f>
        <v>0.111198320255856</v>
      </c>
      <c r="W61" s="201" t="n">
        <f aca="false">IFERROR(W60/W56,0)</f>
        <v>0.106787196437843</v>
      </c>
      <c r="X61" s="201" t="n">
        <f aca="false">IFERROR(X60/X56,0)</f>
        <v>0.108121617451746</v>
      </c>
      <c r="Y61" s="201" t="n">
        <f aca="false">IFERROR(Y60/Y56,0)</f>
        <v>0.105442563421517</v>
      </c>
      <c r="Z61" s="201" t="n">
        <f aca="false">IFERROR(Z60/Z56,0)</f>
        <v>0.10617821192004</v>
      </c>
      <c r="AA61" s="201" t="n">
        <f aca="false">IFERROR(AA60/AA56,0)</f>
        <v>0.102920284752023</v>
      </c>
      <c r="AB61" s="201" t="n">
        <f aca="false">IFERROR(AB60/AB56,0)</f>
        <v>0.104823772678356</v>
      </c>
      <c r="AC61" s="201" t="n">
        <f aca="false">IFERROR(AC60/AC56,0)</f>
        <v>0.104647029557482</v>
      </c>
      <c r="AD61" s="201" t="n">
        <f aca="false">IFERROR(AD60/AD56,0)</f>
        <v>0.104416807206533</v>
      </c>
      <c r="AE61" s="201" t="n">
        <f aca="false">IFERROR(AE60/AE56,0)</f>
        <v>0.105644041623755</v>
      </c>
      <c r="AF61" s="201" t="n">
        <f aca="false">IFERROR(AF60/AF56,0)</f>
        <v>0.110255916961554</v>
      </c>
      <c r="AG61" s="201" t="n">
        <f aca="false">IFERROR(AG60/AG56,0)</f>
        <v>0.115156264253058</v>
      </c>
      <c r="AH61" s="201" t="n">
        <f aca="false">IFERROR(AH60/AH56,0)</f>
        <v>0.145348467196072</v>
      </c>
      <c r="AI61" s="201" t="n">
        <f aca="false">IFERROR(AI60/AI56,0)</f>
        <v>0.124454197269244</v>
      </c>
      <c r="AJ61" s="201" t="n">
        <f aca="false">IFERROR(AJ60/AJ56,0)</f>
        <v>0.110031342298394</v>
      </c>
      <c r="AK61" s="201" t="n">
        <f aca="false">IFERROR(AK60/AK56,0)</f>
        <v>0.112409203778823</v>
      </c>
      <c r="AL61" s="201" t="n">
        <f aca="false">IFERROR(AL60/AL56,0)</f>
        <v>0.149108701357671</v>
      </c>
      <c r="AM61" s="201" t="n">
        <f aca="false">IFERROR(AM60/AM56,0)</f>
        <v>0.0987336060809781</v>
      </c>
      <c r="AN61" s="201" t="n">
        <f aca="false">IFERROR(AN60/AN56,0)</f>
        <v>0.102070377078471</v>
      </c>
      <c r="AO61" s="201" t="n">
        <f aca="false">IFERROR(AO60/AO56,0)</f>
        <v>0.105747047732572</v>
      </c>
      <c r="AP61" s="201" t="n">
        <f aca="false">IFERROR(AP60/AP56,0)</f>
        <v>0.10510566315449</v>
      </c>
      <c r="AQ61" s="201" t="n">
        <f aca="false">IFERROR(AQ60/AQ56,0)</f>
        <v>0.109702511126458</v>
      </c>
      <c r="AR61" s="201" t="n">
        <f aca="false">IFERROR(AR60/AR56,0)</f>
        <v>0.118832419009621</v>
      </c>
      <c r="AS61" s="201" t="n">
        <f aca="false">IFERROR(AS60/AS56,0)</f>
        <v>0.130013356978026</v>
      </c>
      <c r="AT61" s="201" t="n">
        <f aca="false">IFERROR(AT60/AT56,0)</f>
        <v>0.143673701400666</v>
      </c>
      <c r="AU61" s="201" t="n">
        <f aca="false">IFERROR(AU60/AU56,0)</f>
        <v>0.160366031492309</v>
      </c>
      <c r="AV61" s="201" t="n">
        <f aca="false">IFERROR(AV60/AV56,0)</f>
        <v>0.180792984619276</v>
      </c>
      <c r="AW61" s="201" t="n">
        <f aca="false">IFERROR(AW60/AW56,0)</f>
        <v>0.205874374482486</v>
      </c>
      <c r="AX61" s="201" t="n">
        <f aca="false">IFERROR(AX60/AX56,0)</f>
        <v>0.610641057491253</v>
      </c>
      <c r="AY61" s="201" t="n">
        <f aca="false">IFERROR(AY60/AY56,0)</f>
        <v>0</v>
      </c>
      <c r="AZ61" s="201" t="n">
        <f aca="false">IFERROR(AZ60/AZ56,0)</f>
        <v>0</v>
      </c>
      <c r="BA61" s="201" t="n">
        <f aca="false">IFERROR(BA60/BA56,0)</f>
        <v>0</v>
      </c>
      <c r="BB61" s="201" t="n">
        <f aca="false">IFERROR(BB60/BB56,0)</f>
        <v>0</v>
      </c>
      <c r="BC61" s="201" t="n">
        <f aca="false">IFERROR(BC60/BC56,0)</f>
        <v>0</v>
      </c>
      <c r="BD61" s="201" t="n">
        <f aca="false">IFERROR(BD60/BD56,0)</f>
        <v>0</v>
      </c>
      <c r="BE61" s="201" t="n">
        <f aca="false">IFERROR(BE60/BE56,0)</f>
        <v>0</v>
      </c>
      <c r="BF61" s="201" t="n">
        <f aca="false">IFERROR(BF60/BF56,0)</f>
        <v>0</v>
      </c>
      <c r="BG61" s="201" t="n">
        <f aca="false">IFERROR(BG60/BG56,0)</f>
        <v>0</v>
      </c>
      <c r="BH61" s="201" t="n">
        <f aca="false">IFERROR(BH60/BH56,0)</f>
        <v>0</v>
      </c>
      <c r="BI61" s="201" t="n">
        <f aca="false">IFERROR(BI60/BI56,0)</f>
        <v>0</v>
      </c>
      <c r="BJ61" s="201" t="n">
        <f aca="false">IFERROR(BJ60/BJ56,0)</f>
        <v>0</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6100584.14864651</v>
      </c>
      <c r="T62" s="196" t="n">
        <f aca="false">IF(T61&gt;0,T59/T61,"n/m")</f>
        <v>6293472.25095293</v>
      </c>
      <c r="U62" s="196" t="n">
        <f aca="false">IF(U61&gt;0,U59/U61,"n/m")</f>
        <v>40980771.3843613</v>
      </c>
      <c r="V62" s="196" t="n">
        <f aca="false">IF(V61&gt;0,V59/V61,"n/m")</f>
        <v>6401999.445873</v>
      </c>
      <c r="W62" s="196" t="n">
        <f aca="false">IF(W61&gt;0,W59/W61,"n/m")</f>
        <v>6666450.73947946</v>
      </c>
      <c r="X62" s="196" t="n">
        <f aca="false">IF(X61&gt;0,X59/X61,"n/m")</f>
        <v>6584174.39026671</v>
      </c>
      <c r="Y62" s="196" t="n">
        <f aca="false">IF(Y61&gt;0,Y59/Y61,"n/m")</f>
        <v>6751463.18108889</v>
      </c>
      <c r="Z62" s="196" t="n">
        <f aca="false">IF(Z61&gt;0,Z59/Z61,"n/m")</f>
        <v>6704686.12897821</v>
      </c>
      <c r="AA62" s="196" t="n">
        <f aca="false">IF(AA61&gt;0,AA59/AA61,"n/m")</f>
        <v>6916922.02732666</v>
      </c>
      <c r="AB62" s="196" t="n">
        <f aca="false">IF(AB61&gt;0,AB59/AB61,"n/m")</f>
        <v>6712880.79459215</v>
      </c>
      <c r="AC62" s="196" t="n">
        <f aca="false">IF(AC61&gt;0,AC59/AC61,"n/m")</f>
        <v>6368892.73046926</v>
      </c>
      <c r="AD62" s="196" t="n">
        <f aca="false">IF(AD61&gt;0,AD59/AD61,"n/m")</f>
        <v>6296905.35037308</v>
      </c>
      <c r="AE62" s="196" t="n">
        <f aca="false">IF(AE61&gt;0,AE59/AE61,"n/m")</f>
        <v>6170509.89584344</v>
      </c>
      <c r="AF62" s="196" t="n">
        <f aca="false">IF(AF61&gt;0,AF59/AF61,"n/m")</f>
        <v>5662082.16179976</v>
      </c>
      <c r="AG62" s="196" t="n">
        <f aca="false">IF(AG61&gt;0,AG59/AG61,"n/m")</f>
        <v>5227421.81901942</v>
      </c>
      <c r="AH62" s="196" t="n">
        <f aca="false">IF(AH61&gt;0,AH59/AH61,"n/m")</f>
        <v>4141566.67741913</v>
      </c>
      <c r="AI62" s="196" t="n">
        <f aca="false">IF(AI61&gt;0,AI59/AI61,"n/m")</f>
        <v>4836882.81762725</v>
      </c>
      <c r="AJ62" s="196" t="n">
        <f aca="false">IF(AJ61&gt;0,AJ59/AJ61,"n/m")</f>
        <v>5448662.19883727</v>
      </c>
      <c r="AK62" s="196" t="n">
        <f aca="false">IF(AK61&gt;0,AK59/AK61,"n/m")</f>
        <v>5247864.15188838</v>
      </c>
      <c r="AL62" s="196" t="n">
        <f aca="false">IF(AL61&gt;0,AL59/AL61,"n/m")</f>
        <v>3956229.41841718</v>
      </c>
      <c r="AM62" s="196" t="n">
        <f aca="false">IF(AM61&gt;0,AM59/AM61,"n/m")</f>
        <v>5974746.13020188</v>
      </c>
      <c r="AN62" s="196" t="n">
        <f aca="false">IF(AN61&gt;0,AN59/AN61,"n/m")</f>
        <v>5779426.38930081</v>
      </c>
      <c r="AO62" s="196" t="n">
        <f aca="false">IF(AO61&gt;0,AO59/AO61,"n/m")</f>
        <v>5578484.16104289</v>
      </c>
      <c r="AP62" s="196" t="n">
        <f aca="false">IF(AP61&gt;0,AP59/AP61,"n/m")</f>
        <v>5612525.65417073</v>
      </c>
      <c r="AQ62" s="196" t="n">
        <f aca="false">IF(AQ61&gt;0,AQ59/AQ61,"n/m")</f>
        <v>5479032.60644049</v>
      </c>
      <c r="AR62" s="196" t="n">
        <f aca="false">IF(AR61&gt;0,AR59/AR61,"n/m")</f>
        <v>5058077.9258697</v>
      </c>
      <c r="AS62" s="196" t="n">
        <f aca="false">IF(AS61&gt;0,AS59/AS61,"n/m")</f>
        <v>4623091.42261322</v>
      </c>
      <c r="AT62" s="196" t="n">
        <f aca="false">IF(AT61&gt;0,AT59/AT61,"n/m")</f>
        <v>4183532.75241421</v>
      </c>
      <c r="AU62" s="196" t="n">
        <f aca="false">IF(AU61&gt;0,AU59/AU61,"n/m")</f>
        <v>3748073.26637056</v>
      </c>
      <c r="AV62" s="196" t="n">
        <f aca="false">IF(AV61&gt;0,AV59/AV61,"n/m")</f>
        <v>3776400.04620772</v>
      </c>
      <c r="AW62" s="196" t="n">
        <f aca="false">IF(AW61&gt;0,AW59/AW61,"n/m")</f>
        <v>2919565.08419847</v>
      </c>
      <c r="AX62" s="196" t="n">
        <f aca="false">IF(AX61&gt;0,AX59/AX61,"n/m")</f>
        <v>984315.790915965</v>
      </c>
      <c r="AY62" s="196" t="str">
        <f aca="false">IF(AY61&gt;0,AY59/AY61,"n/m")</f>
        <v>n/m</v>
      </c>
      <c r="AZ62" s="196" t="str">
        <f aca="false">IF(AZ61&gt;0,AZ59/AZ61,"n/m")</f>
        <v>n/m</v>
      </c>
      <c r="BA62" s="196" t="str">
        <f aca="false">IF(BA61&gt;0,BA59/BA61,"n/m")</f>
        <v>n/m</v>
      </c>
      <c r="BB62" s="196" t="str">
        <f aca="false">IF(BB61&gt;0,BB59/BB61,"n/m")</f>
        <v>n/m</v>
      </c>
      <c r="BC62" s="196" t="str">
        <f aca="false">IF(BC61&gt;0,BC59/BC61,"n/m")</f>
        <v>n/m</v>
      </c>
      <c r="BD62" s="196" t="str">
        <f aca="false">IF(BD61&gt;0,BD59/BD61,"n/m")</f>
        <v>n/m</v>
      </c>
      <c r="BE62" s="196" t="str">
        <f aca="false">IF(BE61&gt;0,BE59/BE61,"n/m")</f>
        <v>n/m</v>
      </c>
      <c r="BF62" s="196" t="str">
        <f aca="false">IF(BF61&gt;0,BF59/BF61,"n/m")</f>
        <v>n/m</v>
      </c>
      <c r="BG62" s="196" t="str">
        <f aca="false">IF(BG61&gt;0,BG59/BG61,"n/m")</f>
        <v>n/m</v>
      </c>
      <c r="BH62" s="196" t="str">
        <f aca="false">IF(BH61&gt;0,BH59/BH61,"n/m")</f>
        <v>n/m</v>
      </c>
      <c r="BI62" s="196" t="str">
        <f aca="false">IF(BI61&gt;0,BI59/BI61,"n/m")</f>
        <v>n/m</v>
      </c>
      <c r="BJ62" s="196" t="str">
        <f aca="false">IF(BJ61&gt;0,BJ59/BJ61,"n/m")</f>
        <v>n/m</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848936.010890522</v>
      </c>
      <c r="T63" s="201" t="n">
        <f aca="false">IF(ISNUMBER(T62),T56-T62,T60-T59)</f>
        <v>752700.340513966</v>
      </c>
      <c r="U63" s="201" t="n">
        <f aca="false">IF(ISNUMBER(U62),U56-U62,U60-U59)</f>
        <v>-32862910.0490555</v>
      </c>
      <c r="V63" s="201" t="n">
        <f aca="false">IF(ISNUMBER(V62),V56-V62,V60-V59)</f>
        <v>2866738.46425448</v>
      </c>
      <c r="W63" s="201" t="n">
        <f aca="false">IF(ISNUMBER(W62),W56-W62,W60-W59)</f>
        <v>2014047.08628285</v>
      </c>
      <c r="X63" s="201" t="n">
        <f aca="false">IF(ISNUMBER(X62),X56-X62,X60-X59)</f>
        <v>2783400.01685843</v>
      </c>
      <c r="Y63" s="201" t="n">
        <f aca="false">IF(ISNUMBER(Y62),Y56-Y62,Y60-Y59)</f>
        <v>1155044.77400725</v>
      </c>
      <c r="Z63" s="201" t="n">
        <f aca="false">IF(ISNUMBER(Z62),Z56-Z62,Z60-Z59)</f>
        <v>2566014.59858011</v>
      </c>
      <c r="AA63" s="201" t="n">
        <f aca="false">IF(ISNUMBER(AA62),AA56-AA62,AA60-AA59)</f>
        <v>864046.597346827</v>
      </c>
      <c r="AB63" s="201" t="n">
        <f aca="false">IF(ISNUMBER(AB62),AB56-AB62,AB60-AB59)</f>
        <v>1880079.40406265</v>
      </c>
      <c r="AC63" s="201" t="n">
        <f aca="false">IF(ISNUMBER(AC62),AC56-AC62,AC60-AC59)</f>
        <v>1376951.27413963</v>
      </c>
      <c r="AD63" s="201" t="n">
        <f aca="false">IF(ISNUMBER(AD62),AD56-AD62,AD60-AD59)</f>
        <v>143104.782936946</v>
      </c>
      <c r="AE63" s="201" t="n">
        <f aca="false">IF(ISNUMBER(AE62),AE56-AE62,AE60-AE59)</f>
        <v>-716265.173267538</v>
      </c>
      <c r="AF63" s="201" t="n">
        <f aca="false">IF(ISNUMBER(AF62),AF56-AF62,AF60-AF59)</f>
        <v>-231312.430804361</v>
      </c>
      <c r="AG63" s="201" t="n">
        <f aca="false">IF(ISNUMBER(AG62),AG56-AG62,AG60-AG59)</f>
        <v>-105180.486131739</v>
      </c>
      <c r="AH63" s="201" t="n">
        <f aca="false">IF(ISNUMBER(AH62),AH56-AH62,AH60-AH59)</f>
        <v>1006353.47372522</v>
      </c>
      <c r="AI63" s="201" t="n">
        <f aca="false">IF(ISNUMBER(AI62),AI56-AI62,AI60-AI59)</f>
        <v>640166.741300747</v>
      </c>
      <c r="AJ63" s="201" t="n">
        <f aca="false">IF(ISNUMBER(AJ62),AJ56-AJ62,AJ60-AJ59)</f>
        <v>-492744.076712268</v>
      </c>
      <c r="AK63" s="201" t="n">
        <f aca="false">IF(ISNUMBER(AK62),AK56-AK62,AK60-AK59)</f>
        <v>-450724.814798383</v>
      </c>
      <c r="AL63" s="201" t="n">
        <f aca="false">IF(ISNUMBER(AL62),AL56-AL62,AL60-AL59)</f>
        <v>-290012.706122178</v>
      </c>
      <c r="AM63" s="201" t="n">
        <f aca="false">IF(ISNUMBER(AM62),AM56-AM62,AM60-AM59)</f>
        <v>-3009710.05305188</v>
      </c>
      <c r="AN63" s="201" t="n">
        <f aca="false">IF(ISNUMBER(AN62),AN56-AN62,AN60-AN59)</f>
        <v>-2773466.94407081</v>
      </c>
      <c r="AO63" s="201" t="n">
        <f aca="false">IF(ISNUMBER(AO62),AO56-AO62,AO60-AO59)</f>
        <v>-2566556.53860289</v>
      </c>
      <c r="AP63" s="201" t="n">
        <f aca="false">IF(ISNUMBER(AP62),AP56-AP62,AP60-AP59)</f>
        <v>-3597078.17304073</v>
      </c>
      <c r="AQ63" s="201" t="n">
        <f aca="false">IF(ISNUMBER(AQ62),AQ56-AQ62,AQ60-AQ59)</f>
        <v>-3905921.81540049</v>
      </c>
      <c r="AR63" s="201" t="n">
        <f aca="false">IF(ISNUMBER(AR62),AR56-AR62,AR60-AR59)</f>
        <v>-3605829.4107297</v>
      </c>
      <c r="AS63" s="201" t="n">
        <f aca="false">IF(ISNUMBER(AS62),AS56-AS62,AS60-AS59)</f>
        <v>-3295733.92590322</v>
      </c>
      <c r="AT63" s="201" t="n">
        <f aca="false">IF(ISNUMBER(AT62),AT56-AT62,AT60-AT59)</f>
        <v>-2982379.01046421</v>
      </c>
      <c r="AU63" s="201" t="n">
        <f aca="false">IF(ISNUMBER(AU62),AU56-AU62,AU60-AU59)</f>
        <v>-2671946.34316057</v>
      </c>
      <c r="AV63" s="201" t="n">
        <f aca="false">IF(ISNUMBER(AV62),AV56-AV62,AV60-AV59)</f>
        <v>-2821859.66721772</v>
      </c>
      <c r="AW63" s="201" t="n">
        <f aca="false">IF(ISNUMBER(AW62),AW56-AW62,AW60-AW59)</f>
        <v>-2081315.03733847</v>
      </c>
      <c r="AX63" s="201" t="n">
        <f aca="false">IF(ISNUMBER(AX62),AX56-AX62,AX60-AX59)</f>
        <v>-255475.527145965</v>
      </c>
      <c r="AY63" s="201" t="n">
        <f aca="false">IF(ISNUMBER(AY62),AY56-AY62,AY60-AY59)</f>
        <v>-682745.635470264</v>
      </c>
      <c r="AZ63" s="201" t="n">
        <f aca="false">IF(ISNUMBER(AZ62),AZ56-AZ62,AZ60-AZ59)</f>
        <v>-601063.635470264</v>
      </c>
      <c r="BA63" s="201" t="n">
        <f aca="false">IF(ISNUMBER(BA62),BA56-BA62,BA60-BA59)</f>
        <v>-601063.635470264</v>
      </c>
      <c r="BB63" s="201" t="n">
        <f aca="false">IF(ISNUMBER(BB62),BB56-BB62,BB60-BB59)</f>
        <v>-682745.635470264</v>
      </c>
      <c r="BC63" s="201" t="n">
        <f aca="false">IF(ISNUMBER(BC62),BC56-BC62,BC60-BC59)</f>
        <v>-612442.148179669</v>
      </c>
      <c r="BD63" s="201" t="n">
        <f aca="false">IF(ISNUMBER(BD62),BD56-BD62,BD60-BD59)</f>
        <v>-612442.148179669</v>
      </c>
      <c r="BE63" s="201" t="n">
        <f aca="false">IF(ISNUMBER(BE62),BE56-BE62,BE60-BE59)</f>
        <v>-1545963.14817967</v>
      </c>
      <c r="BF63" s="201" t="n">
        <f aca="false">IF(ISNUMBER(BF62),BF56-BF62,BF60-BF59)</f>
        <v>-612442.148179669</v>
      </c>
      <c r="BG63" s="201" t="n">
        <f aca="false">IF(ISNUMBER(BG62),BG56-BG62,BG60-BG59)</f>
        <v>-612442.148179669</v>
      </c>
      <c r="BH63" s="201" t="n">
        <f aca="false">IF(ISNUMBER(BH62),BH56-BH62,BH60-BH59)</f>
        <v>-743320.148179669</v>
      </c>
      <c r="BI63" s="201" t="n">
        <f aca="false">IF(ISNUMBER(BI62),BI56-BI62,BI60-BI59)</f>
        <v>-612442.148179669</v>
      </c>
      <c r="BJ63" s="201" t="n">
        <f aca="false">IF(ISNUMBER(BJ62),BJ56-BJ62,BJ60-BJ59)</f>
        <v>-612442.148179669</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-710526.435766128</v>
      </c>
      <c r="CD63" s="201" t="n">
        <f aca="false">IF(ISNUMBER(CD62),CD56-CD62,CD60-CD59)</f>
        <v>-635886.435766128</v>
      </c>
      <c r="CE63" s="201" t="n">
        <f aca="false">IF(ISNUMBER(CE62),CE56-CE62,CE60-CE59)</f>
        <v>-635886.435766128</v>
      </c>
      <c r="CF63" s="201" t="n">
        <f aca="false">IF(ISNUMBER(CF62),CF56-CF62,CF60-CF59)</f>
        <v>-717249.435766128</v>
      </c>
      <c r="CG63" s="201" t="n">
        <f aca="false">IF(ISNUMBER(CG62),CG56-CG62,CG60-CG59)</f>
        <v>-635886.435766128</v>
      </c>
      <c r="CH63" s="201" t="n">
        <f aca="false">IF(ISNUMBER(CH62),CH56-CH62,CH60-CH59)</f>
        <v>-635886.435766128</v>
      </c>
      <c r="CI63" s="201" t="n">
        <f aca="false">IF(ISNUMBER(CI62),CI56-CI62,CI60-CI59)</f>
        <v>-717248.435766128</v>
      </c>
      <c r="CJ63" s="201" t="n">
        <f aca="false">IF(ISNUMBER(CJ62),CJ56-CJ62,CJ60-CJ59)</f>
        <v>-635886.435766128</v>
      </c>
      <c r="CK63" s="201" t="n">
        <f aca="false">IF(ISNUMBER(CK62),CK56-CK62,CK60-CK59)</f>
        <v>-635886.435766128</v>
      </c>
      <c r="CL63" s="201" t="n">
        <f aca="false">IF(ISNUMBER(CL62),CL56-CL62,CL60-CL59)</f>
        <v>-710640.409159649</v>
      </c>
      <c r="CM63" s="201" t="n">
        <f aca="false">IF(ISNUMBER(CM62),CM56-CM62,CM60-CM59)</f>
        <v>-647961.404481451</v>
      </c>
      <c r="CN63" s="201" t="n">
        <f aca="false">IF(ISNUMBER(CN62),CN56-CN62,CN60-CN59)</f>
        <v>-647961.404481451</v>
      </c>
      <c r="CO63" s="201" t="n">
        <f aca="false">IF(ISNUMBER(CO62),CO56-CO62,CO60-CO59)</f>
        <v>-647961.404481451</v>
      </c>
      <c r="CP63" s="201" t="n">
        <f aca="false">IF(ISNUMBER(CP62),CP56-CP62,CP60-CP59)</f>
        <v>-647961.404481451</v>
      </c>
      <c r="CQ63" s="201" t="n">
        <f aca="false">IF(ISNUMBER(CQ62),CQ56-CQ62,CQ60-CQ59)</f>
        <v>-647961.404481451</v>
      </c>
      <c r="CR63" s="201" t="n">
        <f aca="false">IF(ISNUMBER(CR62),CR56-CR62,CR60-CR59)</f>
        <v>-647961.404481451</v>
      </c>
      <c r="CS63" s="201" t="n">
        <f aca="false">IF(ISNUMBER(CS62),CS56-CS62,CS60-CS59)</f>
        <v>-647961.404481451</v>
      </c>
      <c r="CT63" s="201" t="n">
        <f aca="false">IF(ISNUMBER(CT62),CT56-CT62,CT60-CT59)</f>
        <v>-647961.404481451</v>
      </c>
      <c r="CU63" s="201" t="n">
        <f aca="false">IF(ISNUMBER(CU62),CU56-CU62,CU60-CU59)</f>
        <v>-647961.404481451</v>
      </c>
      <c r="CV63" s="201" t="n">
        <f aca="false">IF(ISNUMBER(CV62),CV56-CV62,CV60-CV59)</f>
        <v>-601697.645441313</v>
      </c>
      <c r="CW63" s="201" t="n">
        <f aca="false">IF(ISNUMBER(CW62),CW56-CW62,CW60-CW59)</f>
        <v>-601697.645441313</v>
      </c>
      <c r="CX63" s="201" t="n">
        <f aca="false">IF(ISNUMBER(CX62),CX56-CX62,CX60-CX59)</f>
        <v>-601697.645441313</v>
      </c>
      <c r="CY63" s="201" t="n">
        <f aca="false">IF(ISNUMBER(CY62),CY56-CY62,CY60-CY59)</f>
        <v>-613088.838350139</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1.13915651193482</v>
      </c>
      <c r="T64" s="202" t="n">
        <f aca="false">IFERROR(T60/T59,"")</f>
        <v>1.11960016831726</v>
      </c>
      <c r="U64" s="202" t="n">
        <f aca="false">IFERROR(U60/U59,"")</f>
        <v>0.198089520062174</v>
      </c>
      <c r="V64" s="202" t="n">
        <f aca="false">IFERROR(V60/V59,"")</f>
        <v>1.4477879900634</v>
      </c>
      <c r="W64" s="202" t="n">
        <f aca="false">IFERROR(W60/W59,"")</f>
        <v>1.30211684822861</v>
      </c>
      <c r="X64" s="202" t="n">
        <f aca="false">IFERROR(X60/X59,"")</f>
        <v>1.42274093179748</v>
      </c>
      <c r="Y64" s="202" t="n">
        <f aca="false">IFERROR(Y60/Y59,"")</f>
        <v>1.17108065955874</v>
      </c>
      <c r="Z64" s="202" t="n">
        <f aca="false">IFERROR(Z60/Z59,"")</f>
        <v>1.38271957094152</v>
      </c>
      <c r="AA64" s="202" t="n">
        <f aca="false">IFERROR(AA60/AA59,"")</f>
        <v>1.12491778769997</v>
      </c>
      <c r="AB64" s="202" t="n">
        <f aca="false">IFERROR(AB60/AB59,"")</f>
        <v>1.28007042901421</v>
      </c>
      <c r="AC64" s="202" t="n">
        <f aca="false">IFERROR(AC60/AC59,"")</f>
        <v>1.21619947648862</v>
      </c>
      <c r="AD64" s="202" t="n">
        <f aca="false">IFERROR(AD60/AD59,"")</f>
        <v>1.02272620834748</v>
      </c>
      <c r="AE64" s="202" t="n">
        <f aca="false">IFERROR(AE60/AE59,"")</f>
        <v>0.88392123416737</v>
      </c>
      <c r="AF64" s="202" t="n">
        <f aca="false">IFERROR(AF60/AF59,"")</f>
        <v>0.959147108043583</v>
      </c>
      <c r="AG64" s="202" t="n">
        <f aca="false">IFERROR(AG60/AG59,"")</f>
        <v>0.979879089583119</v>
      </c>
      <c r="AH64" s="202" t="n">
        <f aca="false">IFERROR(AH60/AH59,"")</f>
        <v>1.24298859637154</v>
      </c>
      <c r="AI64" s="202" t="n">
        <f aca="false">IFERROR(AI60/AI59,"")</f>
        <v>1.13235109582721</v>
      </c>
      <c r="AJ64" s="202" t="n">
        <f aca="false">IFERROR(AJ60/AJ59,"")</f>
        <v>0.909566044153477</v>
      </c>
      <c r="AK64" s="202" t="n">
        <f aca="false">IFERROR(AK60/AK59,"")</f>
        <v>0.914112712952717</v>
      </c>
      <c r="AL64" s="202" t="n">
        <f aca="false">IFERROR(AL60/AL59,"")</f>
        <v>0.926694669229216</v>
      </c>
      <c r="AM64" s="202" t="n">
        <f aca="false">IFERROR(AM60/AM59,"")</f>
        <v>0.496261433128008</v>
      </c>
      <c r="AN64" s="202" t="n">
        <f aca="false">IFERROR(AN60/AN59,"")</f>
        <v>0.520113804164855</v>
      </c>
      <c r="AO64" s="202" t="n">
        <f aca="false">IFERROR(AO60/AO59,"")</f>
        <v>0.539918647340378</v>
      </c>
      <c r="AP64" s="202" t="n">
        <f aca="false">IFERROR(AP60/AP59,"")</f>
        <v>0.359098132519412</v>
      </c>
      <c r="AQ64" s="202" t="n">
        <f aca="false">IFERROR(AQ60/AQ59,"")</f>
        <v>0.287114697801002</v>
      </c>
      <c r="AR64" s="202" t="n">
        <f aca="false">IFERROR(AR60/AR59,"")</f>
        <v>0.287114697801002</v>
      </c>
      <c r="AS64" s="202" t="n">
        <f aca="false">IFERROR(AS60/AS59,"")</f>
        <v>0.287114697801002</v>
      </c>
      <c r="AT64" s="202" t="n">
        <f aca="false">IFERROR(AT60/AT59,"")</f>
        <v>0.287114697801002</v>
      </c>
      <c r="AU64" s="202" t="n">
        <f aca="false">IFERROR(AU60/AU59,"")</f>
        <v>0.287114697801002</v>
      </c>
      <c r="AV64" s="202" t="n">
        <f aca="false">IFERROR(AV60/AV59,"")</f>
        <v>0.252764634919586</v>
      </c>
      <c r="AW64" s="202" t="n">
        <f aca="false">IFERROR(AW60/AW59,"")</f>
        <v>0.287114697801002</v>
      </c>
      <c r="AX64" s="202" t="n">
        <f aca="false">IFERROR(AX60/AX59,"")</f>
        <v>0.740453694328901</v>
      </c>
      <c r="AY64" s="202" t="n">
        <f aca="false">IFERROR(AY60/AY59,"")</f>
        <v>0</v>
      </c>
      <c r="AZ64" s="202" t="n">
        <f aca="false">IFERROR(AZ60/AZ59,"")</f>
        <v>0</v>
      </c>
      <c r="BA64" s="202" t="n">
        <f aca="false">IFERROR(BA60/BA59,"")</f>
        <v>0</v>
      </c>
      <c r="BB64" s="202" t="n">
        <f aca="false">IFERROR(BB60/BB59,"")</f>
        <v>0</v>
      </c>
      <c r="BC64" s="202" t="n">
        <f aca="false">IFERROR(BC60/BC59,"")</f>
        <v>0</v>
      </c>
      <c r="BD64" s="202" t="n">
        <f aca="false">IFERROR(BD60/BD59,"")</f>
        <v>0</v>
      </c>
      <c r="BE64" s="202" t="n">
        <f aca="false">IFERROR(BE60/BE59,"")</f>
        <v>0</v>
      </c>
      <c r="BF64" s="202" t="n">
        <f aca="false">IFERROR(BF60/BF59,"")</f>
        <v>0</v>
      </c>
      <c r="BG64" s="202" t="n">
        <f aca="false">IFERROR(BG60/BG59,"")</f>
        <v>0</v>
      </c>
      <c r="BH64" s="202" t="n">
        <f aca="false">IFERROR(BH60/BH59,"")</f>
        <v>0</v>
      </c>
      <c r="BI64" s="202" t="n">
        <f aca="false">IFERROR(BI60/BI59,"")</f>
        <v>0</v>
      </c>
      <c r="BJ64" s="202" t="n">
        <f aca="false">IFERROR(BJ60/BJ59,"")</f>
        <v>0</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-0</v>
      </c>
      <c r="BZ40" s="222" t="n">
        <f aca="false">Model!CB291</f>
        <v>-0</v>
      </c>
      <c r="CA40" s="222" t="n">
        <f aca="false">Model!CC291</f>
        <v>-0</v>
      </c>
      <c r="CB40" s="222" t="n">
        <f aca="false">Model!CD291</f>
        <v>-0</v>
      </c>
      <c r="CC40" s="222" t="n">
        <f aca="false">Model!CE291</f>
        <v>-0</v>
      </c>
      <c r="CD40" s="222" t="n">
        <f aca="false">Model!CF291</f>
        <v>-0</v>
      </c>
      <c r="CE40" s="222" t="n">
        <f aca="false">Model!CG291</f>
        <v>-0</v>
      </c>
      <c r="CF40" s="222" t="n">
        <f aca="false">Model!CH291</f>
        <v>-0</v>
      </c>
      <c r="CG40" s="222" t="n">
        <f aca="false">Model!CI291</f>
        <v>-0</v>
      </c>
      <c r="CH40" s="222" t="n">
        <f aca="false">Model!CJ291</f>
        <v>-0</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0</v>
      </c>
      <c r="BZ41" s="219" t="n">
        <f aca="false">BZ39+BZ40</f>
        <v>0</v>
      </c>
      <c r="CA41" s="219" t="n">
        <f aca="false">CA39+CA40</f>
        <v>0</v>
      </c>
      <c r="CB41" s="219" t="n">
        <f aca="false">CB39+CB40</f>
        <v>0</v>
      </c>
      <c r="CC41" s="219" t="n">
        <f aca="false">CC39+CC40</f>
        <v>0</v>
      </c>
      <c r="CD41" s="219" t="n">
        <f aca="false">CD39+CD40</f>
        <v>0</v>
      </c>
      <c r="CE41" s="219" t="n">
        <f aca="false">CE39+CE40</f>
        <v>0</v>
      </c>
      <c r="CF41" s="219" t="n">
        <f aca="false">CF39+CF40</f>
        <v>0</v>
      </c>
      <c r="CG41" s="219" t="n">
        <f aca="false">CG39+CG40</f>
        <v>0</v>
      </c>
      <c r="CH41" s="219" t="n">
        <f aca="false">CH39+CH40</f>
        <v>0</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0</v>
      </c>
      <c r="BZ42" s="220" t="n">
        <f aca="false">BY42+BZ41</f>
        <v>0</v>
      </c>
      <c r="CA42" s="220" t="n">
        <f aca="false">BZ42+CA41</f>
        <v>0</v>
      </c>
      <c r="CB42" s="220" t="n">
        <f aca="false">CA42+CB41</f>
        <v>0</v>
      </c>
      <c r="CC42" s="220" t="n">
        <f aca="false">CB42+CC41</f>
        <v>0</v>
      </c>
      <c r="CD42" s="220" t="n">
        <f aca="false">CC42+CD41</f>
        <v>0</v>
      </c>
      <c r="CE42" s="220" t="n">
        <f aca="false">CD42+CE41</f>
        <v>0</v>
      </c>
      <c r="CF42" s="220" t="n">
        <f aca="false">CE42+CF41</f>
        <v>0</v>
      </c>
      <c r="CG42" s="220" t="n">
        <f aca="false">CF42+CG41</f>
        <v>0</v>
      </c>
      <c r="CH42" s="220"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67762</v>
      </c>
      <c r="BZ45" s="219" t="n">
        <f aca="false">BZ5+BZ10+BZ16+BZ22+BZ28+BZ35+BZ41</f>
        <v>0</v>
      </c>
      <c r="CA45" s="219" t="n">
        <f aca="false">CA5+CA10+CA16+CA22+CA28+CA35+CA41</f>
        <v>0</v>
      </c>
      <c r="CB45" s="219" t="n">
        <f aca="false">CB5+CB10+CB16+CB22+CB28+CB35+CB41</f>
        <v>76499</v>
      </c>
      <c r="CC45" s="219" t="n">
        <f aca="false">CC5+CC10+CC16+CC22+CC28+CC35+CC41</f>
        <v>0</v>
      </c>
      <c r="CD45" s="219" t="n">
        <f aca="false">CD5+CD10+CD16+CD22+CD28+CD35+CD41</f>
        <v>0</v>
      </c>
      <c r="CE45" s="219" t="n">
        <f aca="false">CE5+CE10+CE16+CE22+CE28+CE35+CE41</f>
        <v>76499</v>
      </c>
      <c r="CF45" s="219" t="n">
        <f aca="false">CF5+CF10+CF16+CF22+CF28+CF35+CF41</f>
        <v>0</v>
      </c>
      <c r="CG45" s="219" t="n">
        <f aca="false">CG5+CG10+CG16+CG22+CG28+CG35+CG41</f>
        <v>0</v>
      </c>
      <c r="CH45" s="219" t="n">
        <f aca="false">CH5+CH10+CH16+CH22+CH28+CH35+CH41</f>
        <v>83107.0266064792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809171.1</v>
      </c>
      <c r="BZ46" s="220" t="n">
        <f aca="false">BY46+BZ45</f>
        <v>809171.1</v>
      </c>
      <c r="CA46" s="220" t="n">
        <f aca="false">BZ46+CA45</f>
        <v>809171.1</v>
      </c>
      <c r="CB46" s="220" t="n">
        <f aca="false">CA46+CB45</f>
        <v>885670.1</v>
      </c>
      <c r="CC46" s="220" t="n">
        <f aca="false">CB46+CC45</f>
        <v>885670.1</v>
      </c>
      <c r="CD46" s="220" t="n">
        <f aca="false">CC46+CD45</f>
        <v>885670.1</v>
      </c>
      <c r="CE46" s="220" t="n">
        <f aca="false">CD46+CE45</f>
        <v>962169.1</v>
      </c>
      <c r="CF46" s="220" t="n">
        <f aca="false">CE46+CF45</f>
        <v>962169.1</v>
      </c>
      <c r="CG46" s="220" t="n">
        <f aca="false">CF46+CG45</f>
        <v>962169.1</v>
      </c>
      <c r="CH46" s="220"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No</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93846483.5455606</v>
      </c>
      <c r="D41" s="219" t="n">
        <f aca="false">'Annual Summary'!D7</f>
        <v>65795350.0817651</v>
      </c>
      <c r="E41" s="219" t="n">
        <f aca="false">'Annual Summary'!E7</f>
        <v>17184962.70647</v>
      </c>
      <c r="F41" s="219" t="n">
        <f aca="false">'Annual Summary'!F7</f>
        <v>0</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2148304.44493141</v>
      </c>
      <c r="C42" s="238" t="n">
        <f aca="false">'Annual Summary'!C22</f>
        <v>3621935.80120337</v>
      </c>
      <c r="D42" s="238" t="n">
        <f aca="false">'Annual Summary'!D22</f>
        <v>2444290.04198086</v>
      </c>
      <c r="E42" s="238" t="n">
        <f aca="false">'Annual Summary'!E22</f>
        <v>-2223954.41545246</v>
      </c>
      <c r="F42" s="238" t="n">
        <f aca="false">'Annual Summary'!F22</f>
        <v>-4804874.25434404</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0.0385942622926835</v>
      </c>
      <c r="D43" s="226" t="n">
        <f aca="false">'Annual Summary'!D23</f>
        <v>0.0371498903637309</v>
      </c>
      <c r="E43" s="226" t="n">
        <f aca="false">'Annual Summary'!E23</f>
        <v>-0.129412815927448</v>
      </c>
      <c r="F43" s="226" t="n">
        <f aca="false">'Annual Summary'!F23</f>
        <v>0</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600527</v>
      </c>
      <c r="I45" s="219" t="n">
        <f aca="false">'Annual Summary'!I25</f>
        <v>1578610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1632925.53158373</v>
      </c>
      <c r="D48" s="238" t="n">
        <f aca="false">'Annual Summary'!D30</f>
        <v>271104.456801495</v>
      </c>
      <c r="E48" s="238" t="n">
        <f aca="false">'Annual Summary'!E30</f>
        <v>-4689061.3818091</v>
      </c>
      <c r="F48" s="238" t="n">
        <f aca="false">'Annual Summary'!F30</f>
        <v>-7315170.24002781</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974413.724973267</v>
      </c>
      <c r="D50" s="240" t="n">
        <f aca="false">'Annual Summary'!D52</f>
        <v>-554423.771381223</v>
      </c>
      <c r="E50" s="240" t="n">
        <f aca="false">'Annual Summary'!E52</f>
        <v>-4974892.38913421</v>
      </c>
      <c r="F50" s="240" t="n">
        <f aca="false">'Annual Summary'!F52</f>
        <v>-12290062.629162</v>
      </c>
      <c r="G50" s="240" t="n">
        <f aca="false">'Annual Summary'!G52</f>
        <v>-19622810.8039904</v>
      </c>
      <c r="H50" s="240" t="n">
        <f aca="false">'Annual Summary'!H52</f>
        <v>-26929411.4193153</v>
      </c>
      <c r="I50" s="240" t="n">
        <f aca="false">'Annual Summary'!I52</f>
        <v>-33164867.3403403</v>
      </c>
    </row>
    <row r="51" customFormat="false" ht="15" hidden="false" customHeight="true" outlineLevel="0" collapsed="false">
      <c r="A51" s="239" t="s">
        <v>193</v>
      </c>
      <c r="B51" s="240" t="n">
        <f aca="false">'Annual Summary'!B49</f>
        <v>1835177.82653794</v>
      </c>
      <c r="C51" s="240" t="n">
        <f aca="false">'Annual Summary'!C49</f>
        <v>4021171.12261435</v>
      </c>
      <c r="D51" s="240" t="n">
        <f aca="false">'Annual Summary'!D49</f>
        <v>7080880.75382585</v>
      </c>
      <c r="E51" s="240" t="n">
        <f aca="false">'Annual Summary'!E49</f>
        <v>5556003.85228496</v>
      </c>
      <c r="F51" s="240" t="n">
        <f aca="false">'Annual Summary'!F49</f>
        <v>751129.597940918</v>
      </c>
      <c r="G51" s="240" t="n">
        <f aca="false">'Annual Summary'!G49</f>
        <v>-4146242.14149001</v>
      </c>
      <c r="H51" s="240" t="n">
        <f aca="false">'Annual Summary'!H49</f>
        <v>-9137961.31570955</v>
      </c>
      <c r="I51" s="240" t="n">
        <f aca="false">'Annual Summary'!I49</f>
        <v>-14225914.8734135</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-7635304.52520707</v>
      </c>
      <c r="E52" s="240" t="n">
        <f aca="false">'Annual Summary'!E50</f>
        <v>-10530896.2414192</v>
      </c>
      <c r="F52" s="240" t="n">
        <f aca="false">'Annual Summary'!F50</f>
        <v>-13041192.2271029</v>
      </c>
      <c r="G52" s="240" t="n">
        <f aca="false">'Annual Summary'!G50</f>
        <v>-15476568.6625004</v>
      </c>
      <c r="H52" s="240" t="n">
        <f aca="false">'Annual Summary'!H50</f>
        <v>-17791450.1036058</v>
      </c>
      <c r="I52" s="240" t="n">
        <f aca="false">'Annual Summary'!I50</f>
        <v>-18938952.4669268</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74016619.84339</v>
      </c>
      <c r="D54" s="217" t="n">
        <f aca="false">'Annual Summary'!D47</f>
        <v>17213731.86939</v>
      </c>
      <c r="E54" s="217" t="n">
        <f aca="false">'Annual Summary'!E47</f>
        <v>0</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798</v>
      </c>
      <c r="B55" s="217" t="n">
        <f aca="false">'Annual Summary'!B45</f>
        <v>1695181.94921875</v>
      </c>
      <c r="C55" s="217" t="n">
        <f aca="false">'Annual Summary'!C45</f>
        <v>630279.327378641</v>
      </c>
      <c r="D55" s="217" t="n">
        <f aca="false">'Annual Summary'!D45</f>
        <v>730273.404257803</v>
      </c>
      <c r="E55" s="217" t="n">
        <f aca="false">'Annual Summary'!E45</f>
        <v>846131.582935293</v>
      </c>
      <c r="F55" s="217" t="n">
        <f aca="false">'Annual Summary'!F45</f>
        <v>566072.415105011</v>
      </c>
      <c r="G55" s="217" t="n">
        <f aca="false">'Annual Summary'!G45</f>
        <v>346547.082648898</v>
      </c>
      <c r="H55" s="217" t="n">
        <f aca="false">'Annual Summary'!H45</f>
        <v>72052.0225479718</v>
      </c>
      <c r="I55" s="217" t="n">
        <f aca="false">'Annual Summary'!I45</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4021171.12261435</v>
      </c>
      <c r="D70" s="230" t="n">
        <f aca="false">'Annual Summary'!E49</f>
        <v>5556003.85228496</v>
      </c>
      <c r="E70" s="230" t="n">
        <f aca="false">'Annual Summary'!G49</f>
        <v>-4146242.14149001</v>
      </c>
      <c r="F70" s="230" t="n">
        <f aca="false">'Annual Summary'!I49</f>
        <v>-14225914.8734135</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-10530896.2414192</v>
      </c>
      <c r="E71" s="230" t="n">
        <f aca="false">'Annual Summary'!G50</f>
        <v>-15476568.6625004</v>
      </c>
      <c r="F71" s="230" t="n">
        <f aca="false">'Annual Summary'!I50</f>
        <v>-18938952.4669268</v>
      </c>
      <c r="G71" s="3"/>
      <c r="H71" s="3"/>
      <c r="I71" s="3"/>
    </row>
    <row r="72" customFormat="false" ht="15" hidden="false" customHeight="true" outlineLevel="0" collapsed="false">
      <c r="A72" s="239" t="s">
        <v>811</v>
      </c>
      <c r="B72" s="245" t="n">
        <f aca="false">'Annual Summary'!B52</f>
        <v>1657677.36518794</v>
      </c>
      <c r="C72" s="246" t="n">
        <f aca="false">'Annual Summary'!C52</f>
        <v>974413.724973267</v>
      </c>
      <c r="D72" s="246" t="n">
        <f aca="false">'Annual Summary'!E52</f>
        <v>-4974892.38913421</v>
      </c>
      <c r="E72" s="246" t="n">
        <f aca="false">'Annual Summary'!G52</f>
        <v>-19622810.8039904</v>
      </c>
      <c r="F72" s="246" t="n">
        <f aca="false">'Annual Summary'!I52</f>
        <v>-33164867.3403403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74016619.84339</v>
      </c>
      <c r="D98" s="230" t="n">
        <f aca="false">'Annual Summary'!D47</f>
        <v>17213731.86939</v>
      </c>
      <c r="E98" s="230" t="n">
        <f aca="false">'Annual Summary'!E47</f>
        <v>0</v>
      </c>
      <c r="F98" s="3"/>
      <c r="G98" s="3"/>
      <c r="H98" s="3"/>
      <c r="I98" s="3"/>
    </row>
    <row r="99" customFormat="false" ht="15" hidden="false" customHeight="true" outlineLevel="0" collapsed="false">
      <c r="A99" s="221" t="s">
        <v>831</v>
      </c>
      <c r="B99" s="222" t="n">
        <f aca="false">B98*0.025</f>
        <v>2346028.93574833</v>
      </c>
      <c r="C99" s="222" t="n">
        <f aca="false">C98*0.025</f>
        <v>1850415.49608475</v>
      </c>
      <c r="D99" s="222" t="n">
        <f aca="false">D98*0.025</f>
        <v>430343.29673475</v>
      </c>
      <c r="E99" s="222" t="n">
        <f aca="false">E98*0.025</f>
        <v>0</v>
      </c>
      <c r="F99" s="3"/>
      <c r="G99" s="3"/>
      <c r="H99" s="3"/>
      <c r="I99" s="3"/>
    </row>
    <row r="100" customFormat="false" ht="15" hidden="false" customHeight="true" outlineLevel="0" collapsed="false">
      <c r="A100" s="79" t="s">
        <v>832</v>
      </c>
      <c r="B100" s="230" t="n">
        <f aca="false">'Annual Summary'!B52</f>
        <v>1657677.36518794</v>
      </c>
      <c r="C100" s="230" t="n">
        <f aca="false">'Annual Summary'!C52</f>
        <v>974413.724973267</v>
      </c>
      <c r="D100" s="230" t="n">
        <f aca="false">'Annual Summary'!D52</f>
        <v>-554423.771381223</v>
      </c>
      <c r="E100" s="230" t="n">
        <f aca="false">'Annual Summary'!E52</f>
        <v>-4974892.38913421</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181096.790060168</v>
      </c>
      <c r="D101" s="230" t="n">
        <f aca="false">'Annual Summary'!D22*0.05</f>
        <v>122214.502099043</v>
      </c>
      <c r="E101" s="230" t="n">
        <f aca="false">'Annual Summary'!E22*0.05</f>
        <v>-111197.720772623</v>
      </c>
      <c r="F101" s="3"/>
      <c r="G101" s="3"/>
      <c r="H101" s="3"/>
      <c r="I101" s="3"/>
    </row>
    <row r="102" customFormat="false" ht="15" hidden="false" customHeight="true" outlineLevel="0" collapsed="false">
      <c r="A102" s="79" t="s">
        <v>834</v>
      </c>
      <c r="B102" s="230" t="n">
        <f aca="false">B100+B101</f>
        <v>1765092.58743452</v>
      </c>
      <c r="C102" s="230" t="n">
        <f aca="false">C100+C101</f>
        <v>1155510.51503343</v>
      </c>
      <c r="D102" s="230" t="n">
        <f aca="false">D100+D101</f>
        <v>-432209.269282179</v>
      </c>
      <c r="E102" s="230" t="n">
        <f aca="false">E100+E101</f>
        <v>-5086090.10990683</v>
      </c>
      <c r="F102" s="3"/>
      <c r="G102" s="3"/>
      <c r="H102" s="3"/>
      <c r="I102" s="3"/>
    </row>
    <row r="103" customFormat="false" ht="15" hidden="false" customHeight="true" outlineLevel="0" collapsed="false">
      <c r="A103" s="218" t="s">
        <v>835</v>
      </c>
      <c r="B103" s="219" t="n">
        <f aca="false">B102-B99</f>
        <v>-580936.348313815</v>
      </c>
      <c r="C103" s="219" t="n">
        <f aca="false">C102-C99</f>
        <v>-694904.981051315</v>
      </c>
      <c r="D103" s="219" t="n">
        <f aca="false">D102-D99</f>
        <v>-862552.56601693</v>
      </c>
      <c r="E103" s="219" t="n">
        <f aca="false">E102-E99</f>
        <v>-5086090.10990683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1031</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1032</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412298.62</v>
      </c>
      <c r="P4" s="257" t="n">
        <f aca="false">(SUMPRODUCT((Personnel!$O$9:$O$100&lt;&gt;"")*(Personnel!$G$9:$G$100="Yes")*(14&gt;=Personnel!$E$9:$E$100)*((Personnel!$K$9:$K$100="")+(14&lt;=Personnel!$K$9:$K$100)&gt;0)*Personnel!$D$9:$D$100*(1-Personnel!$H$9:$H$100))+Staffing!R81)*Escalation!$B$15</f>
        <v>412298.62</v>
      </c>
      <c r="Q4" s="257" t="n">
        <f aca="false">(SUMPRODUCT((Personnel!$O$9:$O$100&lt;&gt;"")*(Personnel!$G$9:$G$100="Yes")*(15&gt;=Personnel!$E$9:$E$100)*((Personnel!$K$9:$K$100="")+(15&lt;=Personnel!$K$9:$K$100)&gt;0)*Personnel!$D$9:$D$100*(1-Personnel!$H$9:$H$100))+Staffing!S81)*Escalation!$B$16</f>
        <v>436523.62</v>
      </c>
      <c r="R4" s="257" t="n">
        <f aca="false">(SUMPRODUCT((Personnel!$O$9:$O$100&lt;&gt;"")*(Personnel!$G$9:$G$100="Yes")*(16&gt;=Personnel!$E$9:$E$100)*((Personnel!$K$9:$K$100="")+(16&lt;=Personnel!$K$9:$K$100)&gt;0)*Personnel!$D$9:$D$100*(1-Personnel!$H$9:$H$100))+Staffing!T81)*Escalation!$B$17</f>
        <v>436523.62</v>
      </c>
      <c r="S4" s="257" t="n">
        <f aca="false">(SUMPRODUCT((Personnel!$O$9:$O$100&lt;&gt;"")*(Personnel!$G$9:$G$100="Yes")*(17&gt;=Personnel!$E$9:$E$100)*((Personnel!$K$9:$K$100="")+(17&lt;=Personnel!$K$9:$K$100)&gt;0)*Personnel!$D$9:$D$100*(1-Personnel!$H$9:$H$100))+Staffing!U81)*Escalation!$B$18</f>
        <v>436523.62</v>
      </c>
      <c r="T4" s="257" t="n">
        <f aca="false">(SUMPRODUCT((Personnel!$O$9:$O$100&lt;&gt;"")*(Personnel!$G$9:$G$100="Yes")*(18&gt;=Personnel!$E$9:$E$100)*((Personnel!$K$9:$K$100="")+(18&lt;=Personnel!$K$9:$K$100)&gt;0)*Personnel!$D$9:$D$100*(1-Personnel!$H$9:$H$100))+Staffing!V81)*Escalation!$B$19</f>
        <v>436523.62</v>
      </c>
      <c r="U4" s="257" t="n">
        <f aca="false">(SUMPRODUCT((Personnel!$O$9:$O$100&lt;&gt;"")*(Personnel!$G$9:$G$100="Yes")*(19&gt;=Personnel!$E$9:$E$100)*((Personnel!$K$9:$K$100="")+(19&lt;=Personnel!$K$9:$K$100)&gt;0)*Personnel!$D$9:$D$100*(1-Personnel!$H$9:$H$100))+Staffing!W81)*Escalation!$B$20</f>
        <v>436523.62</v>
      </c>
      <c r="V4" s="257" t="n">
        <f aca="false">(SUMPRODUCT((Personnel!$O$9:$O$100&lt;&gt;"")*(Personnel!$G$9:$G$100="Yes")*(20&gt;=Personnel!$E$9:$E$100)*((Personnel!$K$9:$K$100="")+(20&lt;=Personnel!$K$9:$K$100)&gt;0)*Personnel!$D$9:$D$100*(1-Personnel!$H$9:$H$100))+Staffing!X81)*Escalation!$B$21</f>
        <v>436523.62</v>
      </c>
      <c r="W4" s="257" t="n">
        <f aca="false">(SUMPRODUCT((Personnel!$O$9:$O$100&lt;&gt;"")*(Personnel!$G$9:$G$100="Yes")*(21&gt;=Personnel!$E$9:$E$100)*((Personnel!$K$9:$K$100="")+(21&lt;=Personnel!$K$9:$K$100)&gt;0)*Personnel!$D$9:$D$100*(1-Personnel!$H$9:$H$100))+Staffing!Y81)*Escalation!$B$22</f>
        <v>436523.62</v>
      </c>
      <c r="X4" s="257" t="n">
        <f aca="false">(SUMPRODUCT((Personnel!$O$9:$O$100&lt;&gt;"")*(Personnel!$G$9:$G$100="Yes")*(22&gt;=Personnel!$E$9:$E$100)*((Personnel!$K$9:$K$100="")+(22&lt;=Personnel!$K$9:$K$100)&gt;0)*Personnel!$D$9:$D$100*(1-Personnel!$H$9:$H$100))+Staffing!Z81)*Escalation!$B$23</f>
        <v>396998.62</v>
      </c>
      <c r="Y4" s="257" t="n">
        <f aca="false">(SUMPRODUCT((Personnel!$O$9:$O$100&lt;&gt;"")*(Personnel!$G$9:$G$100="Yes")*(23&gt;=Personnel!$E$9:$E$100)*((Personnel!$K$9:$K$100="")+(23&lt;=Personnel!$K$9:$K$100)&gt;0)*Personnel!$D$9:$D$100*(1-Personnel!$H$9:$H$100))+Staffing!AA81)*Escalation!$B$24</f>
        <v>390198.62</v>
      </c>
      <c r="Z4" s="257" t="n">
        <f aca="false">(SUMPRODUCT((Personnel!$O$9:$O$100&lt;&gt;"")*(Personnel!$G$9:$G$100="Yes")*(24&gt;=Personnel!$E$9:$E$100)*((Personnel!$K$9:$K$100="")+(24&lt;=Personnel!$K$9:$K$100)&gt;0)*Personnel!$D$9:$D$100*(1-Personnel!$H$9:$H$100))+Staffing!AB81)*Escalation!$B$25</f>
        <v>376598.62</v>
      </c>
      <c r="AA4" s="257" t="n">
        <f aca="false">(SUMPRODUCT((Personnel!$O$9:$O$100&lt;&gt;"")*(Personnel!$G$9:$G$100="Yes")*(25&gt;=Personnel!$E$9:$E$100)*((Personnel!$K$9:$K$100="")+(25&lt;=Personnel!$K$9:$K$100)&gt;0)*Personnel!$D$9:$D$100*(1-Personnel!$H$9:$H$100))+Staffing!AC81)*Escalation!$B$26</f>
        <v>359421.0924</v>
      </c>
      <c r="AB4" s="257" t="n">
        <f aca="false">(SUMPRODUCT((Personnel!$O$9:$O$100&lt;&gt;"")*(Personnel!$G$9:$G$100="Yes")*(26&gt;=Personnel!$E$9:$E$100)*((Personnel!$K$9:$K$100="")+(26&lt;=Personnel!$K$9:$K$100)&gt;0)*Personnel!$D$9:$D$100*(1-Personnel!$H$9:$H$100))+Staffing!AD81)*Escalation!$B$27</f>
        <v>334278.0924</v>
      </c>
      <c r="AC4" s="257" t="n">
        <f aca="false">(SUMPRODUCT((Personnel!$O$9:$O$100&lt;&gt;"")*(Personnel!$G$9:$G$100="Yes")*(27&gt;=Personnel!$E$9:$E$100)*((Personnel!$K$9:$K$100="")+(27&lt;=Personnel!$K$9:$K$100)&gt;0)*Personnel!$D$9:$D$100*(1-Personnel!$H$9:$H$100))+Staffing!AE81)*Escalation!$B$28</f>
        <v>334278.0924</v>
      </c>
      <c r="AD4" s="257" t="n">
        <f aca="false">(SUMPRODUCT((Personnel!$O$9:$O$100&lt;&gt;"")*(Personnel!$G$9:$G$100="Yes")*(28&gt;=Personnel!$E$9:$E$100)*((Personnel!$K$9:$K$100="")+(28&lt;=Personnel!$K$9:$K$100)&gt;0)*Personnel!$D$9:$D$100*(1-Personnel!$H$9:$H$100))+Staffing!AF81)*Escalation!$B$29</f>
        <v>334278.0924</v>
      </c>
      <c r="AE4" s="257" t="n">
        <f aca="false">(SUMPRODUCT((Personnel!$O$9:$O$100&lt;&gt;"")*(Personnel!$G$9:$G$100="Yes")*(29&gt;=Personnel!$E$9:$E$100)*((Personnel!$K$9:$K$100="")+(29&lt;=Personnel!$K$9:$K$100)&gt;0)*Personnel!$D$9:$D$100*(1-Personnel!$H$9:$H$100))+Staffing!AG81)*Escalation!$B$30</f>
        <v>334278.0924</v>
      </c>
      <c r="AF4" s="257" t="n">
        <f aca="false">(SUMPRODUCT((Personnel!$O$9:$O$100&lt;&gt;"")*(Personnel!$G$9:$G$100="Yes")*(30&gt;=Personnel!$E$9:$E$100)*((Personnel!$K$9:$K$100="")+(30&lt;=Personnel!$K$9:$K$100)&gt;0)*Personnel!$D$9:$D$100*(1-Personnel!$H$9:$H$100))+Staffing!AH81)*Escalation!$B$31</f>
        <v>323440.5924</v>
      </c>
      <c r="AG4" s="257" t="n">
        <f aca="false">(SUMPRODUCT((Personnel!$O$9:$O$100&lt;&gt;"")*(Personnel!$G$9:$G$100="Yes")*(31&gt;=Personnel!$E$9:$E$100)*((Personnel!$K$9:$K$100="")+(31&lt;=Personnel!$K$9:$K$100)&gt;0)*Personnel!$D$9:$D$100*(1-Personnel!$H$9:$H$100))+Staffing!AI81)*Escalation!$B$32</f>
        <v>323440.5924</v>
      </c>
      <c r="AH4" s="257" t="n">
        <f aca="false">(SUMPRODUCT((Personnel!$O$9:$O$100&lt;&gt;"")*(Personnel!$G$9:$G$100="Yes")*(32&gt;=Personnel!$E$9:$E$100)*((Personnel!$K$9:$K$100="")+(32&lt;=Personnel!$K$9:$K$100)&gt;0)*Personnel!$D$9:$D$100*(1-Personnel!$H$9:$H$100))+Staffing!AJ81)*Escalation!$B$33</f>
        <v>323440.5924</v>
      </c>
      <c r="AI4" s="257" t="n">
        <f aca="false">(SUMPRODUCT((Personnel!$O$9:$O$100&lt;&gt;"")*(Personnel!$G$9:$G$100="Yes")*(33&gt;=Personnel!$E$9:$E$100)*((Personnel!$K$9:$K$100="")+(33&lt;=Personnel!$K$9:$K$100)&gt;0)*Personnel!$D$9:$D$100*(1-Personnel!$H$9:$H$100))+Staffing!AK81)*Escalation!$B$34</f>
        <v>323440.5924</v>
      </c>
      <c r="AJ4" s="257" t="n">
        <f aca="false">(SUMPRODUCT((Personnel!$O$9:$O$100&lt;&gt;"")*(Personnel!$G$9:$G$100="Yes")*(34&gt;=Personnel!$E$9:$E$100)*((Personnel!$K$9:$K$100="")+(34&lt;=Personnel!$K$9:$K$100)&gt;0)*Personnel!$D$9:$D$100*(1-Personnel!$H$9:$H$100))+Staffing!AL81)*Escalation!$B$35</f>
        <v>323440.5924</v>
      </c>
      <c r="AK4" s="257" t="n">
        <f aca="false">(SUMPRODUCT((Personnel!$O$9:$O$100&lt;&gt;"")*(Personnel!$G$9:$G$100="Yes")*(35&gt;=Personnel!$E$9:$E$100)*((Personnel!$K$9:$K$100="")+(35&lt;=Personnel!$K$9:$K$100)&gt;0)*Personnel!$D$9:$D$100*(1-Personnel!$H$9:$H$100))+Staffing!AM81)*Escalation!$B$36</f>
        <v>323440.5924</v>
      </c>
      <c r="AL4" s="257" t="n">
        <f aca="false">(SUMPRODUCT((Personnel!$O$9:$O$100&lt;&gt;"")*(Personnel!$G$9:$G$100="Yes")*(36&gt;=Personnel!$E$9:$E$100)*((Personnel!$K$9:$K$100="")+(36&lt;=Personnel!$K$9:$K$100)&gt;0)*Personnel!$D$9:$D$100*(1-Personnel!$H$9:$H$100))+Staffing!AN81)*Escalation!$B$37</f>
        <v>323440.5924</v>
      </c>
      <c r="AM4" s="257" t="n">
        <f aca="false">(SUMPRODUCT((Personnel!$O$9:$O$100&lt;&gt;"")*(Personnel!$G$9:$G$100="Yes")*(37&gt;=Personnel!$E$9:$E$100)*((Personnel!$K$9:$K$100="")+(37&lt;=Personnel!$K$9:$K$100)&gt;0)*Personnel!$D$9:$D$100*(1-Personnel!$H$9:$H$100))+Staffing!AO81)*Escalation!$B$38</f>
        <v>329909.404248</v>
      </c>
      <c r="AN4" s="257" t="n">
        <f aca="false">(SUMPRODUCT((Personnel!$O$9:$O$100&lt;&gt;"")*(Personnel!$G$9:$G$100="Yes")*(38&gt;=Personnel!$E$9:$E$100)*((Personnel!$K$9:$K$100="")+(38&lt;=Personnel!$K$9:$K$100)&gt;0)*Personnel!$D$9:$D$100*(1-Personnel!$H$9:$H$100))+Staffing!AP81)*Escalation!$B$39</f>
        <v>329909.404248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1033</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1034</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0</v>
      </c>
      <c r="AD15" s="257" t="n">
        <f aca="false">IF(AND(Projects!$G$14="Yes",Projects!$F$14="Yes",28&gt;=Projects!$C$14,28&lt;Projects!$C$14+Projects!$D$14),Projects!$B$14*(1-SUMPRODUCT((Curves!$B$2:$AO$2)*(COLUMN(Curves!$B$2:$AO$2)-COLUMN(Curves!$B$2)+1&lt;=28-Projects!$C$14+1))),0)</f>
        <v>0</v>
      </c>
      <c r="AE15" s="257" t="n">
        <f aca="false">IF(AND(Projects!$G$14="Yes",Projects!$F$14="Yes",29&gt;=Projects!$C$14,29&lt;Projects!$C$14+Projects!$D$14),Projects!$B$14*(1-SUMPRODUCT((Curves!$B$2:$AO$2)*(COLUMN(Curves!$B$2:$AO$2)-COLUMN(Curves!$B$2)+1&lt;=29-Projects!$C$14+1))),0)</f>
        <v>0</v>
      </c>
      <c r="AF15" s="257" t="n">
        <f aca="false">IF(AND(Projects!$G$14="Yes",Projects!$F$14="Yes",30&gt;=Projects!$C$14,30&lt;Projects!$C$14+Projects!$D$14),Projects!$B$14*(1-SUMPRODUCT((Curves!$B$2:$AO$2)*(COLUMN(Curves!$B$2:$AO$2)-COLUMN(Curves!$B$2)+1&lt;=30-Projects!$C$14+1))),0)</f>
        <v>0</v>
      </c>
      <c r="AG15" s="257" t="n">
        <f aca="false">IF(AND(Projects!$G$14="Yes",Projects!$F$14="Yes",31&gt;=Projects!$C$14,31&lt;Projects!$C$14+Projects!$D$14),Projects!$B$14*(1-SUMPRODUCT((Curves!$B$2:$AO$2)*(COLUMN(Curves!$B$2:$AO$2)-COLUMN(Curves!$B$2)+1&lt;=31-Projects!$C$14+1))),0)</f>
        <v>0</v>
      </c>
      <c r="AH15" s="257" t="n">
        <f aca="false">IF(AND(Projects!$G$14="Yes",Projects!$F$14="Yes",32&gt;=Projects!$C$14,32&lt;Projects!$C$14+Projects!$D$14),Projects!$B$14*(1-SUMPRODUCT((Curves!$B$2:$AO$2)*(COLUMN(Curves!$B$2:$AO$2)-COLUMN(Curves!$B$2)+1&lt;=32-Projects!$C$14+1))),0)</f>
        <v>0</v>
      </c>
      <c r="AI15" s="257" t="n">
        <f aca="false">IF(AND(Projects!$G$14="Yes",Projects!$F$14="Yes",33&gt;=Projects!$C$14,33&lt;Projects!$C$14+Projects!$D$14),Projects!$B$14*(1-SUMPRODUCT((Curves!$B$2:$AO$2)*(COLUMN(Curves!$B$2:$AO$2)-COLUMN(Curves!$B$2)+1&lt;=33-Projects!$C$14+1))),0)</f>
        <v>0</v>
      </c>
      <c r="AJ15" s="257" t="n">
        <f aca="false">IF(AND(Projects!$G$14="Yes",Projects!$F$14="Yes",34&gt;=Projects!$C$14,34&lt;Projects!$C$14+Projects!$D$14),Projects!$B$14*(1-SUMPRODUCT((Curves!$B$2:$AO$2)*(COLUMN(Curves!$B$2:$AO$2)-COLUMN(Curves!$B$2)+1&lt;=34-Projects!$C$14+1))),0)</f>
        <v>0</v>
      </c>
      <c r="AK15" s="257" t="n">
        <f aca="false">IF(AND(Projects!$G$14="Yes",Projects!$F$14="Yes",35&gt;=Projects!$C$14,35&lt;Projects!$C$14+Projects!$D$14),Projects!$B$14*(1-SUMPRODUCT((Curves!$B$2:$AO$2)*(COLUMN(Curves!$B$2:$AO$2)-COLUMN(Curves!$B$2)+1&lt;=35-Projects!$C$14+1))),0)</f>
        <v>0</v>
      </c>
      <c r="AL15" s="257" t="n">
        <f aca="false">IF(AND(Projects!$G$14="Yes",Projects!$F$14="Yes",36&gt;=Projects!$C$14,36&lt;Projects!$C$14+Projects!$D$14),Projects!$B$14*(1-SUMPRODUCT((Curves!$B$2:$AO$2)*(COLUMN(Curves!$B$2:$AO$2)-COLUMN(Curves!$B$2)+1&lt;=36-Projects!$C$14+1))),0)</f>
        <v>0</v>
      </c>
      <c r="AM15" s="257" t="n">
        <f aca="false">IF(AND(Projects!$G$14="Yes",Projects!$F$14="Yes",37&gt;=Projects!$C$14,37&lt;Projects!$C$14+Projects!$D$14),Projects!$B$14*(1-SUMPRODUCT((Curves!$B$2:$AO$2)*(COLUMN(Curves!$B$2:$AO$2)-COLUMN(Curves!$B$2)+1&lt;=37-Projects!$C$14+1))),0)</f>
        <v>0</v>
      </c>
      <c r="AN15" s="257" t="n">
        <f aca="false">IF(AND(Projects!$G$14="Yes",Projects!$F$14="Yes",38&gt;=Projects!$C$14,38&lt;Projects!$C$14+Projects!$D$14),Projects!$B$14*(1-SUMPRODUCT((Curves!$B$2:$AO$2)*(COLUMN(Curves!$B$2:$AO$2)-COLUMN(Curves!$B$2)+1&lt;=38-Projects!$C$14+1))),0)</f>
        <v>0</v>
      </c>
      <c r="AO15" s="257" t="n">
        <f aca="false">IF(AND(Projects!$G$14="Yes",Projects!$F$14="Yes",39&gt;=Projects!$C$14,39&lt;Projects!$C$14+Projects!$D$14),Projects!$B$14*(1-SUMPRODUCT((Curves!$B$2:$AO$2)*(COLUMN(Curves!$B$2:$AO$2)-COLUMN(Curves!$B$2)+1&lt;=39-Projects!$C$14+1))),0)</f>
        <v>0</v>
      </c>
      <c r="AP15" s="257" t="n">
        <f aca="false">IF(AND(Projects!$G$14="Yes",Projects!$F$14="Yes",40&gt;=Projects!$C$14,40&lt;Projects!$C$14+Projects!$D$14),Projects!$B$14*(1-SUMPRODUCT((Curves!$B$2:$AO$2)*(COLUMN(Curves!$B$2:$AO$2)-COLUMN(Curves!$B$2)+1&lt;=40-Projects!$C$14+1))),0)</f>
        <v>0</v>
      </c>
      <c r="AQ15" s="257" t="n">
        <f aca="false">IF(AND(Projects!$G$14="Yes",Projects!$F$14="Yes",41&gt;=Projects!$C$14,41&lt;Projects!$C$14+Projects!$D$14),Projects!$B$14*(1-SUMPRODUCT((Curves!$B$2:$AO$2)*(COLUMN(Curves!$B$2:$AO$2)-COLUMN(Curves!$B$2)+1&lt;=41-Projects!$C$14+1))),0)</f>
        <v>0</v>
      </c>
      <c r="AR15" s="257" t="n">
        <f aca="false">IF(AND(Projects!$G$14="Yes",Projects!$F$14="Yes",42&gt;=Projects!$C$14,42&lt;Projects!$C$14+Projects!$D$14),Projects!$B$14*(1-SUMPRODUCT((Curves!$B$2:$AO$2)*(COLUMN(Curves!$B$2:$AO$2)-COLUMN(Curves!$B$2)+1&lt;=42-Projects!$C$14+1))),0)</f>
        <v>0</v>
      </c>
      <c r="AS15" s="257" t="n">
        <f aca="false">IF(AND(Projects!$G$14="Yes",Projects!$F$14="Yes",43&gt;=Projects!$C$14,43&lt;Projects!$C$14+Projects!$D$14),Projects!$B$14*(1-SUMPRODUCT((Curves!$B$2:$AO$2)*(COLUMN(Curves!$B$2:$AO$2)-COLUMN(Curves!$B$2)+1&lt;=43-Projects!$C$14+1))),0)</f>
        <v>0</v>
      </c>
      <c r="AT15" s="257" t="n">
        <f aca="false">IF(AND(Projects!$G$14="Yes",Projects!$F$14="Yes",44&gt;=Projects!$C$14,44&lt;Projects!$C$14+Projects!$D$14),Projects!$B$14*(1-SUMPRODUCT((Curves!$B$2:$AO$2)*(COLUMN(Curves!$B$2:$AO$2)-COLUMN(Curves!$B$2)+1&lt;=44-Projects!$C$14+1))),0)</f>
        <v>0</v>
      </c>
      <c r="AU15" s="257" t="n">
        <f aca="false">IF(AND(Projects!$G$14="Yes",Projects!$F$14="Yes",45&gt;=Projects!$C$14,45&lt;Projects!$C$14+Projects!$D$14),Projects!$B$14*(1-SUMPRODUCT((Curves!$B$2:$AO$2)*(COLUMN(Curves!$B$2:$AO$2)-COLUMN(Curves!$B$2)+1&lt;=45-Projects!$C$14+1))),0)</f>
        <v>0</v>
      </c>
      <c r="AV15" s="257" t="n">
        <f aca="false">IF(AND(Projects!$G$14="Yes",Projects!$F$14="Yes",46&gt;=Projects!$C$14,46&lt;Projects!$C$14+Projects!$D$14),Projects!$B$14*(1-SUMPRODUCT((Curves!$B$2:$AO$2)*(COLUMN(Curves!$B$2:$AO$2)-COLUMN(Curves!$B$2)+1&lt;=46-Projects!$C$14+1))),0)</f>
        <v>0</v>
      </c>
      <c r="AW15" s="257" t="n">
        <f aca="false">IF(AND(Projects!$G$14="Yes",Projects!$F$14="Yes",47&gt;=Projects!$C$14,47&lt;Projects!$C$14+Projects!$D$14),Projects!$B$14*(1-SUMPRODUCT((Curves!$B$2:$AO$2)*(COLUMN(Curves!$B$2:$AO$2)-COLUMN(Curves!$B$2)+1&lt;=47-Projects!$C$14+1))),0)</f>
        <v>0</v>
      </c>
      <c r="AX15" s="257" t="n">
        <f aca="false">IF(AND(Projects!$G$14="Yes",Projects!$F$14="Yes",48&gt;=Projects!$C$14,48&lt;Projects!$C$14+Projects!$D$14),Projects!$B$14*(1-SUMPRODUCT((Curves!$B$2:$AO$2)*(COLUMN(Curves!$B$2:$AO$2)-COLUMN(Curves!$B$2)+1&lt;=48-Projects!$C$14+1))),0)</f>
        <v>0</v>
      </c>
      <c r="AY15" s="257" t="n">
        <f aca="false">IF(AND(Projects!$G$14="Yes",Projects!$F$14="Yes",49&gt;=Projects!$C$14,49&lt;Projects!$C$14+Projects!$D$14),Projects!$B$14*(1-SUMPRODUCT((Curves!$B$2:$AO$2)*(COLUMN(Curves!$B$2:$AO$2)-COLUMN(Curves!$B$2)+1&lt;=49-Projects!$C$14+1))),0)</f>
        <v>0</v>
      </c>
      <c r="AZ15" s="257" t="n">
        <f aca="false">IF(AND(Projects!$G$14="Yes",Projects!$F$14="Yes",50&gt;=Projects!$C$14,50&lt;Projects!$C$14+Projects!$D$14),Projects!$B$14*(1-SUMPRODUCT((Curves!$B$2:$AO$2)*(COLUMN(Curves!$B$2:$AO$2)-COLUMN(Curves!$B$2)+1&lt;=50-Projects!$C$14+1))),0)</f>
        <v>0</v>
      </c>
      <c r="BA15" s="257" t="n">
        <f aca="false">IF(AND(Projects!$G$14="Yes",Projects!$F$14="Yes",51&gt;=Projects!$C$14,51&lt;Projects!$C$14+Projects!$D$14),Projects!$B$14*(1-SUMPRODUCT((Curves!$B$2:$AO$2)*(COLUMN(Curves!$B$2:$AO$2)-COLUMN(Curves!$B$2)+1&lt;=51-Projects!$C$14+1))),0)</f>
        <v>0</v>
      </c>
      <c r="BB15" s="257" t="n">
        <f aca="false">IF(AND(Projects!$G$14="Yes",Projects!$F$14="Yes",52&gt;=Projects!$C$14,52&lt;Projects!$C$14+Projects!$D$14),Projects!$B$14*(1-SUMPRODUCT((Curves!$B$2:$AO$2)*(COLUMN(Curves!$B$2:$AO$2)-COLUMN(Curves!$B$2)+1&lt;=52-Projects!$C$14+1))),0)</f>
        <v>0</v>
      </c>
      <c r="BC15" s="257" t="n">
        <f aca="false">IF(AND(Projects!$G$14="Yes",Projects!$F$14="Yes",53&gt;=Projects!$C$14,53&lt;Projects!$C$14+Projects!$D$14),Projects!$B$14*(1-SUMPRODUCT((Curves!$B$2:$AO$2)*(COLUMN(Curves!$B$2:$AO$2)-COLUMN(Curves!$B$2)+1&lt;=53-Projects!$C$14+1))),0)</f>
        <v>0</v>
      </c>
      <c r="BD15" s="257" t="n">
        <f aca="false">IF(AND(Projects!$G$14="Yes",Projects!$F$14="Yes",54&gt;=Projects!$C$14,54&lt;Projects!$C$14+Projects!$D$14),Projects!$B$14*(1-SUMPRODUCT((Curves!$B$2:$AO$2)*(COLUMN(Curves!$B$2:$AO$2)-COLUMN(Curves!$B$2)+1&lt;=54-Projects!$C$14+1))),0)</f>
        <v>0</v>
      </c>
      <c r="BE15" s="257" t="n">
        <f aca="false">IF(AND(Projects!$G$14="Yes",Projects!$F$14="Yes",55&gt;=Projects!$C$14,55&lt;Projects!$C$14+Projects!$D$14),Projects!$B$14*(1-SUMPRODUCT((Curves!$B$2:$AO$2)*(COLUMN(Curves!$B$2:$AO$2)-COLUMN(Curves!$B$2)+1&lt;=55-Projects!$C$14+1))),0)</f>
        <v>0</v>
      </c>
      <c r="BF15" s="257" t="n">
        <f aca="false">IF(AND(Projects!$G$14="Yes",Projects!$F$14="Yes",56&gt;=Projects!$C$14,56&lt;Projects!$C$14+Projects!$D$14),Projects!$B$14*(1-SUMPRODUCT((Curves!$B$2:$AO$2)*(COLUMN(Curves!$B$2:$AO$2)-COLUMN(Curves!$B$2)+1&lt;=56-Projects!$C$14+1))),0)</f>
        <v>0</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40150142.13637</v>
      </c>
      <c r="AD16" s="273" t="n">
        <f aca="false">SUM(AD8:AD15)</f>
        <v>36666097.63336</v>
      </c>
      <c r="AE16" s="273" t="n">
        <f aca="false">SUM(AE8:AE15)</f>
        <v>32112558.27646</v>
      </c>
      <c r="AF16" s="273" t="n">
        <f aca="false">SUM(AF8:AF15)</f>
        <v>27736880.61956</v>
      </c>
      <c r="AG16" s="273" t="n">
        <f aca="false">SUM(AG8:AG15)</f>
        <v>23433159.97655</v>
      </c>
      <c r="AH16" s="273" t="n">
        <f aca="false">SUM(AH8:AH15)</f>
        <v>20189659.33654</v>
      </c>
      <c r="AI16" s="273" t="n">
        <f aca="false">SUM(AI8:AI15)</f>
        <v>17213731.86939</v>
      </c>
      <c r="AJ16" s="273" t="n">
        <f aca="false">SUM(AJ8:AJ15)</f>
        <v>14195605.80416</v>
      </c>
      <c r="AK16" s="273" t="n">
        <f aca="false">SUM(AK8:AK15)</f>
        <v>11170452.74172</v>
      </c>
      <c r="AL16" s="273" t="n">
        <f aca="false">SUM(AL8:AL15)</f>
        <v>9151447.09059</v>
      </c>
      <c r="AM16" s="273" t="n">
        <f aca="false">SUM(AM8:AM15)</f>
        <v>7578336.29955</v>
      </c>
      <c r="AN16" s="273" t="n">
        <f aca="false">SUM(AN8:AN15)</f>
        <v>6126087.78441</v>
      </c>
      <c r="AO16" s="273" t="n">
        <f aca="false">SUM(AO8:AO15)</f>
        <v>4798730.2877</v>
      </c>
      <c r="AP16" s="273" t="n">
        <f aca="false">SUM(AP8:AP15)</f>
        <v>3597576.54575</v>
      </c>
      <c r="AQ16" s="273" t="n">
        <f aca="false">SUM(AQ8:AQ15)</f>
        <v>2521449.62254</v>
      </c>
      <c r="AR16" s="273" t="n">
        <f aca="false">SUM(AR8:AR15)</f>
        <v>1566909.24355</v>
      </c>
      <c r="AS16" s="273" t="n">
        <f aca="false">SUM(AS8:AS15)</f>
        <v>728659.196690001</v>
      </c>
      <c r="AT16" s="273" t="n">
        <f aca="false">SUM(AT8:AT15)</f>
        <v>-181.067079995155</v>
      </c>
      <c r="AU16" s="273" t="n">
        <f aca="false">SUM(AU8:AU15)</f>
        <v>0</v>
      </c>
      <c r="AV16" s="273" t="n">
        <f aca="false">SUM(AV8:AV15)</f>
        <v>0</v>
      </c>
      <c r="AW16" s="273" t="n">
        <f aca="false">SUM(AW8:AW15)</f>
        <v>0</v>
      </c>
      <c r="AX16" s="273" t="n">
        <f aca="false">SUM(AX8:AX15)</f>
        <v>0</v>
      </c>
      <c r="AY16" s="273" t="n">
        <f aca="false">SUM(AY8:AY15)</f>
        <v>0</v>
      </c>
      <c r="AZ16" s="273" t="n">
        <f aca="false">SUM(AZ8:AZ15)</f>
        <v>0</v>
      </c>
      <c r="BA16" s="273" t="n">
        <f aca="false">SUM(BA8:BA15)</f>
        <v>0</v>
      </c>
      <c r="BB16" s="273" t="n">
        <f aca="false">SUM(BB8:BB15)</f>
        <v>0</v>
      </c>
      <c r="BC16" s="273" t="n">
        <f aca="false">SUM(BC8:BC15)</f>
        <v>0</v>
      </c>
      <c r="BD16" s="273" t="n">
        <f aca="false">SUM(BD8:BD15)</f>
        <v>0</v>
      </c>
      <c r="BE16" s="273" t="n">
        <f aca="false">SUM(BE8:BE15)</f>
        <v>0</v>
      </c>
      <c r="BF16" s="273" t="n">
        <f aca="false">SUM(BF8:BF15)</f>
        <v>0</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1036</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1037</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1038</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1039</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1040</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1041</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1042</v>
      </c>
      <c r="B25" s="1" t="s">
        <v>1043</v>
      </c>
      <c r="C25" s="276"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1046</v>
      </c>
      <c r="B30" s="260"/>
      <c r="C30" s="260"/>
      <c r="D30" s="260"/>
      <c r="E30" s="260"/>
      <c r="F30" s="260"/>
      <c r="G30" s="260"/>
      <c r="H30" s="260"/>
      <c r="I30" s="260"/>
    </row>
    <row r="31" customFormat="false" ht="15" hidden="false" customHeight="true" outlineLevel="0" collapsed="false">
      <c r="A31" s="277" t="s">
        <v>1047</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0</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1048</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0</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1049</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40</v>
      </c>
    </row>
    <row r="44" customFormat="false" ht="15" hidden="false" customHeight="true" outlineLevel="0" collapsed="false">
      <c r="A44" s="278" t="s">
        <v>18</v>
      </c>
      <c r="B44" s="90" t="n">
        <f aca="false">40-B39</f>
        <v>29</v>
      </c>
    </row>
    <row r="46" customFormat="false" ht="15" hidden="false" customHeight="true" outlineLevel="0" collapsed="false">
      <c r="A46" s="277" t="s">
        <v>1050</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0</v>
      </c>
    </row>
    <row r="49" customFormat="false" ht="15" hidden="false" customHeight="true" outlineLevel="0" collapsed="false">
      <c r="A49" s="278" t="s">
        <v>18</v>
      </c>
      <c r="B49" s="279" t="n">
        <f aca="false">B34*B44</f>
        <v>2359498</v>
      </c>
    </row>
    <row r="51" customFormat="false" ht="15" hidden="false" customHeight="true" outlineLevel="0" collapsed="false">
      <c r="A51" s="260" t="s">
        <v>1051</v>
      </c>
      <c r="B51" s="260"/>
      <c r="C51" s="260"/>
      <c r="D51" s="260"/>
      <c r="E51" s="260"/>
      <c r="F51" s="260"/>
      <c r="G51" s="260"/>
    </row>
    <row r="52" customFormat="false" ht="15" hidden="false" customHeight="true" outlineLevel="0" collapsed="false">
      <c r="A52" s="277" t="s">
        <v>1052</v>
      </c>
      <c r="B52" s="277" t="s">
        <v>1053</v>
      </c>
      <c r="C52" s="277" t="s">
        <v>1054</v>
      </c>
      <c r="D52" s="277" t="s">
        <v>1055</v>
      </c>
      <c r="E52" s="277" t="s">
        <v>1056</v>
      </c>
      <c r="F52" s="277" t="s">
        <v>1057</v>
      </c>
      <c r="G52" s="277" t="s">
        <v>1058</v>
      </c>
    </row>
    <row r="53" customFormat="false" ht="15" hidden="false" customHeight="true" outlineLevel="0" collapsed="false">
      <c r="A53" s="90" t="n">
        <v>1</v>
      </c>
      <c r="B53" s="279" t="n">
        <f aca="false">IFERROR($B$33,0)</f>
        <v>0</v>
      </c>
      <c r="C53" s="279" t="n">
        <f aca="false">CH27</f>
        <v>0</v>
      </c>
      <c r="D53" s="279" t="n">
        <f aca="false">IFERROR(MIN(C53,B53),0)</f>
        <v>0</v>
      </c>
      <c r="E53" s="279" t="n">
        <f aca="false">Model!CJ340</f>
        <v>0</v>
      </c>
      <c r="F53" s="279" t="n">
        <f aca="false">E53*Assumptions!$B$59</f>
        <v>0</v>
      </c>
      <c r="G53" s="279" t="n">
        <f aca="false">IFERROR(MIN(E53+F53,MAX(0,B53-D53)),0)</f>
        <v>0</v>
      </c>
    </row>
    <row r="54" customFormat="false" ht="15" hidden="false" customHeight="true" outlineLevel="0" collapsed="false">
      <c r="A54" s="90" t="n">
        <v>2</v>
      </c>
      <c r="B54" s="279" t="n">
        <f aca="false">IFERROR($B$33,0)</f>
        <v>0</v>
      </c>
      <c r="C54" s="279" t="n">
        <f aca="false">IFERROR(MAX(0,C53-D53),0)</f>
        <v>0</v>
      </c>
      <c r="D54" s="279" t="n">
        <f aca="false">IFERROR(MIN(C54,B54),0)</f>
        <v>0</v>
      </c>
      <c r="E54" s="279" t="n">
        <f aca="false">IFERROR(MAX(0,E53+F53-G53),0)</f>
        <v>0</v>
      </c>
      <c r="F54" s="279" t="n">
        <f aca="false">IFERROR(E54*Assumptions!$B$59,0)</f>
        <v>0</v>
      </c>
      <c r="G54" s="279" t="n">
        <f aca="false">IFERROR(MIN(E54+F54,MAX(0,B54-D54)),0)</f>
        <v>0</v>
      </c>
    </row>
    <row r="55" customFormat="false" ht="15" hidden="false" customHeight="true" outlineLevel="0" collapsed="false">
      <c r="A55" s="90" t="n">
        <v>3</v>
      </c>
      <c r="B55" s="279" t="n">
        <f aca="false">IFERROR($B$33,0)</f>
        <v>0</v>
      </c>
      <c r="C55" s="279" t="n">
        <f aca="false">IFERROR(MAX(0,C54-D54),0)</f>
        <v>0</v>
      </c>
      <c r="D55" s="279" t="n">
        <f aca="false">IFERROR(MIN(C55,B55),0)</f>
        <v>0</v>
      </c>
      <c r="E55" s="279" t="n">
        <f aca="false">IFERROR(MAX(0,E54+F54-G54),0)</f>
        <v>0</v>
      </c>
      <c r="F55" s="279" t="n">
        <f aca="false">IFERROR(E55*Assumptions!$B$59,0)</f>
        <v>0</v>
      </c>
      <c r="G55" s="279" t="n">
        <f aca="false">IFERROR(MIN(E55+F55,MAX(0,B55-D55)),0)</f>
        <v>0</v>
      </c>
    </row>
    <row r="56" customFormat="false" ht="15" hidden="false" customHeight="true" outlineLevel="0" collapsed="false">
      <c r="A56" s="90" t="n">
        <v>4</v>
      </c>
      <c r="B56" s="279" t="n">
        <f aca="false">IFERROR($B$33,0)</f>
        <v>0</v>
      </c>
      <c r="C56" s="279" t="n">
        <f aca="false">IFERROR(MAX(0,C55-D55),0)</f>
        <v>0</v>
      </c>
      <c r="D56" s="279" t="n">
        <f aca="false">IFERROR(MIN(C56,B56),0)</f>
        <v>0</v>
      </c>
      <c r="E56" s="279" t="n">
        <f aca="false">IFERROR(MAX(0,E55+F55-G55),0)</f>
        <v>0</v>
      </c>
      <c r="F56" s="279" t="n">
        <f aca="false">IFERROR(E56*Assumptions!$B$59,0)</f>
        <v>0</v>
      </c>
      <c r="G56" s="279" t="n">
        <f aca="false">IFERROR(MIN(E56+F56,MAX(0,B56-D56)),0)</f>
        <v>0</v>
      </c>
    </row>
    <row r="57" customFormat="false" ht="15" hidden="false" customHeight="true" outlineLevel="0" collapsed="false">
      <c r="A57" s="90" t="n">
        <v>5</v>
      </c>
      <c r="B57" s="279" t="n">
        <f aca="false">IFERROR($B$33,0)</f>
        <v>0</v>
      </c>
      <c r="C57" s="279" t="n">
        <f aca="false">IFERROR(MAX(0,C56-D56),0)</f>
        <v>0</v>
      </c>
      <c r="D57" s="279" t="n">
        <f aca="false">IFERROR(MIN(C57,B57),0)</f>
        <v>0</v>
      </c>
      <c r="E57" s="279" t="n">
        <f aca="false">IFERROR(MAX(0,E56+F56-G56),0)</f>
        <v>0</v>
      </c>
      <c r="F57" s="279" t="n">
        <f aca="false">IFERROR(E57*Assumptions!$B$59,0)</f>
        <v>0</v>
      </c>
      <c r="G57" s="279" t="n">
        <f aca="false">IFERROR(MIN(E57+F57,MAX(0,B57-D57)),0)</f>
        <v>0</v>
      </c>
    </row>
    <row r="58" customFormat="false" ht="15" hidden="false" customHeight="true" outlineLevel="0" collapsed="false">
      <c r="A58" s="90" t="n">
        <v>6</v>
      </c>
      <c r="B58" s="279" t="n">
        <f aca="false">IFERROR($B$33,0)</f>
        <v>0</v>
      </c>
      <c r="C58" s="279" t="n">
        <f aca="false">IFERROR(MAX(0,C57-D57),0)</f>
        <v>0</v>
      </c>
      <c r="D58" s="279" t="n">
        <f aca="false">IFERROR(MIN(C58,B58),0)</f>
        <v>0</v>
      </c>
      <c r="E58" s="279" t="n">
        <f aca="false">IFERROR(MAX(0,E57+F57-G57),0)</f>
        <v>0</v>
      </c>
      <c r="F58" s="279" t="n">
        <f aca="false">IFERROR(E58*Assumptions!$B$59,0)</f>
        <v>0</v>
      </c>
      <c r="G58" s="279" t="n">
        <f aca="false">IFERROR(MIN(E58+F58,MAX(0,B58-D58)),0)</f>
        <v>0</v>
      </c>
    </row>
    <row r="59" customFormat="false" ht="15" hidden="false" customHeight="true" outlineLevel="0" collapsed="false">
      <c r="A59" s="90" t="n">
        <v>7</v>
      </c>
      <c r="B59" s="279" t="n">
        <f aca="false">IFERROR($B$33,0)</f>
        <v>0</v>
      </c>
      <c r="C59" s="279" t="n">
        <f aca="false">IFERROR(MAX(0,C58-D58),0)</f>
        <v>0</v>
      </c>
      <c r="D59" s="279" t="n">
        <f aca="false">IFERROR(MIN(C59,B59),0)</f>
        <v>0</v>
      </c>
      <c r="E59" s="279" t="n">
        <f aca="false">IFERROR(MAX(0,E58+F58-G58),0)</f>
        <v>0</v>
      </c>
      <c r="F59" s="279" t="n">
        <f aca="false">IFERROR(E59*Assumptions!$B$59,0)</f>
        <v>0</v>
      </c>
      <c r="G59" s="279" t="n">
        <f aca="false">IFERROR(MIN(E59+F59,MAX(0,B59-D59)),0)</f>
        <v>0</v>
      </c>
    </row>
    <row r="60" customFormat="false" ht="15" hidden="false" customHeight="true" outlineLevel="0" collapsed="false">
      <c r="A60" s="90" t="n">
        <v>8</v>
      </c>
      <c r="B60" s="279" t="n">
        <f aca="false">IFERROR($B$33,0)</f>
        <v>0</v>
      </c>
      <c r="C60" s="279" t="n">
        <f aca="false">IFERROR(MAX(0,C59-D59),0)</f>
        <v>0</v>
      </c>
      <c r="D60" s="279" t="n">
        <f aca="false">IFERROR(MIN(C60,B60),0)</f>
        <v>0</v>
      </c>
      <c r="E60" s="279" t="n">
        <f aca="false">IFERROR(MAX(0,E59+F59-G59),0)</f>
        <v>0</v>
      </c>
      <c r="F60" s="279" t="n">
        <f aca="false">IFERROR(E60*Assumptions!$B$59,0)</f>
        <v>0</v>
      </c>
      <c r="G60" s="279" t="n">
        <f aca="false">IFERROR(MIN(E60+F60,MAX(0,B60-D60)),0)</f>
        <v>0</v>
      </c>
    </row>
    <row r="61" customFormat="false" ht="15" hidden="false" customHeight="true" outlineLevel="0" collapsed="false">
      <c r="A61" s="90" t="n">
        <v>9</v>
      </c>
      <c r="B61" s="279" t="n">
        <f aca="false">IFERROR($B$33,0)</f>
        <v>0</v>
      </c>
      <c r="C61" s="279" t="n">
        <f aca="false">IFERROR(MAX(0,C60-D60),0)</f>
        <v>0</v>
      </c>
      <c r="D61" s="279" t="n">
        <f aca="false">IFERROR(MIN(C61,B61),0)</f>
        <v>0</v>
      </c>
      <c r="E61" s="279" t="n">
        <f aca="false">IFERROR(MAX(0,E60+F60-G60),0)</f>
        <v>0</v>
      </c>
      <c r="F61" s="279" t="n">
        <f aca="false">IFERROR(E61*Assumptions!$B$59,0)</f>
        <v>0</v>
      </c>
      <c r="G61" s="279" t="n">
        <f aca="false">IFERROR(MIN(E61+F61,MAX(0,B61-D61)),0)</f>
        <v>0</v>
      </c>
    </row>
    <row r="62" customFormat="false" ht="15" hidden="false" customHeight="true" outlineLevel="0" collapsed="false">
      <c r="A62" s="90" t="n">
        <v>10</v>
      </c>
      <c r="B62" s="279" t="n">
        <f aca="false">IFERROR($B$33,0)</f>
        <v>0</v>
      </c>
      <c r="C62" s="279" t="n">
        <f aca="false">IFERROR(MAX(0,C61-D61),0)</f>
        <v>0</v>
      </c>
      <c r="D62" s="279" t="n">
        <f aca="false">IFERROR(MIN(C62,B62),0)</f>
        <v>0</v>
      </c>
      <c r="E62" s="279" t="n">
        <f aca="false">IFERROR(MAX(0,E61+F61-G61),0)</f>
        <v>0</v>
      </c>
      <c r="F62" s="279" t="n">
        <f aca="false">IFERROR(E62*Assumptions!$B$59,0)</f>
        <v>0</v>
      </c>
      <c r="G62" s="279" t="n">
        <f aca="false">IFERROR(MIN(E62+F62,MAX(0,B62-D62)),0)</f>
        <v>0</v>
      </c>
    </row>
    <row r="63" customFormat="false" ht="15" hidden="false" customHeight="true" outlineLevel="0" collapsed="false">
      <c r="A63" s="90" t="n">
        <v>11</v>
      </c>
      <c r="B63" s="279" t="n">
        <f aca="false">IFERROR($B$33,0)</f>
        <v>0</v>
      </c>
      <c r="C63" s="279" t="n">
        <f aca="false">IFERROR(MAX(0,C62-D62),0)</f>
        <v>0</v>
      </c>
      <c r="D63" s="279" t="n">
        <f aca="false">IFERROR(MIN(C63,B63),0)</f>
        <v>0</v>
      </c>
      <c r="E63" s="279" t="n">
        <f aca="false">IFERROR(MAX(0,E62+F62-G62),0)</f>
        <v>0</v>
      </c>
      <c r="F63" s="279" t="n">
        <f aca="false">IFERROR(E63*Assumptions!$B$59,0)</f>
        <v>0</v>
      </c>
      <c r="G63" s="279" t="n">
        <f aca="false">IFERROR(MIN(E63+F63,MAX(0,B63-D63)),0)</f>
        <v>0</v>
      </c>
    </row>
    <row r="64" customFormat="false" ht="15" hidden="false" customHeight="true" outlineLevel="0" collapsed="false">
      <c r="A64" s="90" t="n">
        <v>12</v>
      </c>
      <c r="B64" s="279" t="n">
        <f aca="false">IFERROR($B$33,0)</f>
        <v>0</v>
      </c>
      <c r="C64" s="279" t="n">
        <f aca="false">IFERROR(MAX(0,C63-D63),0)</f>
        <v>0</v>
      </c>
      <c r="D64" s="279" t="n">
        <f aca="false">IFERROR(MIN(C64,B64),0)</f>
        <v>0</v>
      </c>
      <c r="E64" s="279" t="n">
        <f aca="false">IFERROR(MAX(0,E63+F63-G63),0)</f>
        <v>0</v>
      </c>
      <c r="F64" s="279" t="n">
        <f aca="false">IFERROR(E64*Assumptions!$B$59,0)</f>
        <v>0</v>
      </c>
      <c r="G64" s="279" t="n">
        <f aca="false">IFERROR(MIN(E64+F64,MAX(0,B64-D64)),0)</f>
        <v>0</v>
      </c>
    </row>
    <row r="65" customFormat="false" ht="15" hidden="false" customHeight="true" outlineLevel="0" collapsed="false">
      <c r="A65" s="90" t="n">
        <v>13</v>
      </c>
      <c r="B65" s="279" t="n">
        <f aca="false">IFERROR($B$33,0)</f>
        <v>0</v>
      </c>
      <c r="C65" s="279" t="n">
        <f aca="false">IFERROR(MAX(0,C64-D64),0)</f>
        <v>0</v>
      </c>
      <c r="D65" s="279" t="n">
        <f aca="false">IFERROR(MIN(C65,B65),0)</f>
        <v>0</v>
      </c>
      <c r="E65" s="279" t="n">
        <f aca="false">IFERROR(MAX(0,E64+F64-G64),0)</f>
        <v>0</v>
      </c>
      <c r="F65" s="279" t="n">
        <f aca="false">IFERROR(E65*Assumptions!$B$59,0)</f>
        <v>0</v>
      </c>
      <c r="G65" s="279" t="n">
        <f aca="false">IFERROR(MIN(E65+F65,MAX(0,B65-D65)),0)</f>
        <v>0</v>
      </c>
    </row>
    <row r="66" customFormat="false" ht="15" hidden="false" customHeight="true" outlineLevel="0" collapsed="false">
      <c r="A66" s="90" t="n">
        <v>14</v>
      </c>
      <c r="B66" s="279" t="n">
        <f aca="false">IFERROR($B$33,0)</f>
        <v>0</v>
      </c>
      <c r="C66" s="279" t="n">
        <f aca="false">IFERROR(MAX(0,C65-D65),0)</f>
        <v>0</v>
      </c>
      <c r="D66" s="279" t="n">
        <f aca="false">IFERROR(MIN(C66,B66),0)</f>
        <v>0</v>
      </c>
      <c r="E66" s="279" t="n">
        <f aca="false">IFERROR(MAX(0,E65+F65-G65),0)</f>
        <v>0</v>
      </c>
      <c r="F66" s="279" t="n">
        <f aca="false">IFERROR(E66*Assumptions!$B$59,0)</f>
        <v>0</v>
      </c>
      <c r="G66" s="279" t="n">
        <f aca="false">IFERROR(MIN(E66+F66,MAX(0,B66-D66)),0)</f>
        <v>0</v>
      </c>
    </row>
    <row r="67" customFormat="false" ht="15" hidden="false" customHeight="true" outlineLevel="0" collapsed="false">
      <c r="A67" s="90" t="n">
        <v>15</v>
      </c>
      <c r="B67" s="279" t="n">
        <f aca="false">IFERROR($B$33,0)</f>
        <v>0</v>
      </c>
      <c r="C67" s="279" t="n">
        <f aca="false">IFERROR(MAX(0,C66-D66),0)</f>
        <v>0</v>
      </c>
      <c r="D67" s="279" t="n">
        <f aca="false">IFERROR(MIN(C67,B67),0)</f>
        <v>0</v>
      </c>
      <c r="E67" s="279" t="n">
        <f aca="false">IFERROR(MAX(0,E66+F66-G66),0)</f>
        <v>0</v>
      </c>
      <c r="F67" s="279" t="n">
        <f aca="false">IFERROR(E67*Assumptions!$B$59,0)</f>
        <v>0</v>
      </c>
      <c r="G67" s="279" t="n">
        <f aca="false">IFERROR(MIN(E67+F67,MAX(0,B67-D67)),0)</f>
        <v>0</v>
      </c>
    </row>
    <row r="68" customFormat="false" ht="15" hidden="false" customHeight="true" outlineLevel="0" collapsed="false">
      <c r="A68" s="90" t="n">
        <v>16</v>
      </c>
      <c r="B68" s="279" t="n">
        <f aca="false">IFERROR($B$33,0)</f>
        <v>0</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0</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0</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0</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0</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0</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0</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0</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0</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0</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0</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0</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0</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0</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0</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0</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0</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0</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0</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0</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0</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0</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0</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0</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0</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1059</v>
      </c>
      <c r="D93" s="280" t="n">
        <f aca="false">IFERROR(SUM(D53:D92),0)</f>
        <v>0</v>
      </c>
      <c r="F93" s="280" t="n">
        <f aca="false">IFERROR(SUM(F53:F92),0)</f>
        <v>0</v>
      </c>
      <c r="G93" s="280" t="n">
        <f aca="false">IFERROR(SUM(G53:G92),0)</f>
        <v>0</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1065</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294318.005180735</v>
      </c>
      <c r="S99" s="282" t="n">
        <f aca="false">Model!R199+SUM(Model!R203:R233)+Model!R235-(Model!R196)</f>
        <v>280923.295180735</v>
      </c>
      <c r="T99" s="282" t="n">
        <f aca="false">Model!S199+SUM(Model!S203:S233)+Model!S235-(Model!S196)</f>
        <v>413194.474237953</v>
      </c>
      <c r="U99" s="282" t="n">
        <f aca="false">Model!T199+SUM(Model!T203:T233)+Model!T235-(Model!T196)</f>
        <v>517782.154237951</v>
      </c>
      <c r="V99" s="282" t="n">
        <f aca="false">Model!U199+SUM(Model!U203:U233)+Model!U235-(Model!U196)</f>
        <v>414080.094237953</v>
      </c>
      <c r="W99" s="282" t="n">
        <f aca="false">Model!V199+SUM(Model!V203:V233)+Model!V235-(Model!V196)</f>
        <v>499951.36423795</v>
      </c>
      <c r="X99" s="282" t="n">
        <f aca="false">Model!W199+SUM(Model!W203:W233)+Model!W235-(Model!W196)</f>
        <v>320796.534237951</v>
      </c>
      <c r="Y99" s="282" t="n">
        <f aca="false">Model!X199+SUM(Model!X203:X233)+Model!X235-(Model!X196)</f>
        <v>471460.494237955</v>
      </c>
      <c r="Z99" s="282" t="n">
        <f aca="false">Model!Y199+SUM(Model!Y203:Y233)+Model!Y235-(Model!Y196)</f>
        <v>287933.574237952</v>
      </c>
      <c r="AA99" s="282" t="n">
        <f aca="false">Model!Z199+SUM(Model!Z203:Z233)+Model!Z235-(Model!Z196)</f>
        <v>396082.668468723</v>
      </c>
      <c r="AB99" s="282" t="n">
        <f aca="false">Model!AA199+SUM(Model!AA203:AA233)+Model!AA235-(Model!AA196)</f>
        <v>343099.513084102</v>
      </c>
      <c r="AC99" s="282" t="n">
        <f aca="false">Model!AB199+SUM(Model!AB203:AB233)+Model!AB235-(Model!AB196)</f>
        <v>213948.19693026</v>
      </c>
      <c r="AD99" s="282" t="n">
        <f aca="false">Model!AC199+SUM(Model!AC203:AC233)+Model!AC235-(Model!AC196)</f>
        <v>126973.857669678</v>
      </c>
      <c r="AE99" s="282" t="n">
        <f aca="false">Model!AD199+SUM(Model!AD203:AD233)+Model!AD235-(Model!AD196)</f>
        <v>177139.441285059</v>
      </c>
      <c r="AF99" s="282" t="n">
        <f aca="false">Model!AE199+SUM(Model!AE203:AE233)+Model!AE235-(Model!AE196)</f>
        <v>190530.813592748</v>
      </c>
      <c r="AG99" s="282" t="n">
        <f aca="false">Model!AF199+SUM(Model!AF203:AF233)+Model!AF235-(Model!AF196)</f>
        <v>348914.940311404</v>
      </c>
      <c r="AH99" s="282" t="n">
        <f aca="false">Model!AG199+SUM(Model!AG203:AG233)+Model!AG235-(Model!AG196)</f>
        <v>282314.443355052</v>
      </c>
      <c r="AI99" s="282" t="n">
        <f aca="false">Model!AH199+SUM(Model!AH203:AH233)+Model!AH235-(Model!AH196)</f>
        <v>148425.713277766</v>
      </c>
      <c r="AJ99" s="282" t="n">
        <f aca="false">Model!AI199+SUM(Model!AI203:AI233)+Model!AI235-(Model!AI196)</f>
        <v>151977.387893157</v>
      </c>
      <c r="AK99" s="282" t="n">
        <f aca="false">Model!AJ199+SUM(Model!AJ203:AJ233)+Model!AJ235-(Model!AJ196)</f>
        <v>159399.587460898</v>
      </c>
      <c r="AL99" s="282" t="n">
        <f aca="false">Model!AK199+SUM(Model!AK203:AK233)+Model!AK235-(Model!AK196)</f>
        <v>-94516.5213479834</v>
      </c>
      <c r="AM99" s="282" t="n">
        <f aca="false">Model!AL199+SUM(Model!AL203:AL233)+Model!AL235-(Model!AL196)</f>
        <v>-80445.8113479825</v>
      </c>
      <c r="AN99" s="282" t="n">
        <f aca="false">Model!AM199+SUM(Model!AM203:AM233)+Model!AM235-(Model!AM196)</f>
        <v>-68762.7713479848</v>
      </c>
      <c r="AO99" s="282" t="n">
        <f aca="false">Model!AN199+SUM(Model!AN203:AN233)+Model!AN235-(Model!AN196)</f>
        <v>-175430.281347986</v>
      </c>
      <c r="AP99" s="282" t="n">
        <f aca="false">Model!AO199+SUM(Model!AO203:AO233)+Model!AO235-(Model!AO196)</f>
        <v>-222136.325856087</v>
      </c>
      <c r="AQ99" s="282" t="n">
        <f aca="false">Model!AP199+SUM(Model!AP203:AP233)+Model!AP235-(Model!AP196)</f>
        <v>-222136.325856087</v>
      </c>
      <c r="AR99" s="282" t="n">
        <f aca="false">Model!AQ199+SUM(Model!AQ203:AQ233)+Model!AQ235-(Model!AQ196)</f>
        <v>-222136.325856087</v>
      </c>
      <c r="AS99" s="282" t="n">
        <f aca="false">Model!AR199+SUM(Model!AR203:AR233)+Model!AR235-(Model!AR196)</f>
        <v>-222136.325856087</v>
      </c>
      <c r="AT99" s="282" t="n">
        <f aca="false">Model!AS199+SUM(Model!AS203:AS233)+Model!AS235-(Model!AS196)</f>
        <v>-222136.325856087</v>
      </c>
      <c r="AU99" s="282" t="n">
        <f aca="false">Model!AT199+SUM(Model!AT203:AT233)+Model!AT235-(Model!AT196)</f>
        <v>-222136.325856087</v>
      </c>
      <c r="AV99" s="282" t="n">
        <f aca="false">Model!AU199+SUM(Model!AU203:AU233)+Model!AU235-(Model!AU196)</f>
        <v>-222136.325856087</v>
      </c>
      <c r="AW99" s="282" t="n">
        <f aca="false">Model!AV199+SUM(Model!AV203:AV233)+Model!AV235-(Model!AV196)</f>
        <v>50349.2594974126</v>
      </c>
      <c r="AX99" s="282" t="n">
        <f aca="false">Model!AW199+SUM(Model!AW203:AW233)+Model!AW235-(Model!AW196)</f>
        <v>-394710.529913304</v>
      </c>
      <c r="AY99" s="282" t="n">
        <f aca="false">Model!AX199+SUM(Model!AX203:AX233)+Model!AX235-(Model!AX196)</f>
        <v>-394710.529913304</v>
      </c>
      <c r="AZ99" s="282" t="n">
        <f aca="false">Model!AY199+SUM(Model!AY203:AY233)+Model!AY235-(Model!AY196)</f>
        <v>-394710.529913304</v>
      </c>
      <c r="BA99" s="282" t="n">
        <f aca="false">Model!AZ199+SUM(Model!AZ203:AZ233)+Model!AZ235-(Model!AZ196)</f>
        <v>-394710.529913304</v>
      </c>
      <c r="BB99" s="282" t="n">
        <f aca="false">Model!BA199+SUM(Model!BA203:BA233)+Model!BA235-(Model!BA196)</f>
        <v>-402304.74051157</v>
      </c>
      <c r="BC99" s="282" t="n">
        <f aca="false">Model!BB199+SUM(Model!BB203:BB233)+Model!BB235-(Model!BB196)</f>
        <v>-402304.74051157</v>
      </c>
      <c r="BD99" s="282" t="n">
        <f aca="false">Model!BC199+SUM(Model!BC203:BC233)+Model!BC235-(Model!BC196)</f>
        <v>-402304.74051157</v>
      </c>
      <c r="BE99" s="282" t="n">
        <f aca="false">Model!BD199+SUM(Model!BD203:BD233)+Model!BD235-(Model!BD196)</f>
        <v>-402304.74051157</v>
      </c>
      <c r="BF99" s="282" t="n">
        <f aca="false">Model!BE199+SUM(Model!BE203:BE233)+Model!BE235-(Model!BE196)</f>
        <v>-402304.74051157</v>
      </c>
      <c r="BG99" s="282" t="n">
        <f aca="false">Model!BF199+SUM(Model!BF203:BF233)+Model!BF235-(Model!BF196)</f>
        <v>-402304.74051157</v>
      </c>
      <c r="BH99" s="282" t="n">
        <f aca="false">Model!BG199+SUM(Model!BG203:BG233)+Model!BG235-(Model!BG196)</f>
        <v>-402304.74051157</v>
      </c>
      <c r="BI99" s="282" t="n">
        <f aca="false">Model!BH199+SUM(Model!BH203:BH233)+Model!BH235-(Model!BH196)</f>
        <v>-402304.74051157</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1066</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1067</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1069</v>
      </c>
      <c r="C3" s="287" t="s">
        <v>1070</v>
      </c>
      <c r="D3" s="287"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1072</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1073</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1074</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1075</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1076</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1072</v>
      </c>
      <c r="B13" s="291" t="n">
        <f aca="false">SUM(Model!E256:CG256)</f>
        <v>0</v>
      </c>
      <c r="C13" s="291" t="n">
        <f aca="false">IFERROR(Helpers!B48,0)</f>
        <v>0</v>
      </c>
      <c r="D13" s="291" t="n">
        <f aca="false">IFERROR(B13+C13,0)</f>
        <v>0</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1073</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1074</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1057</v>
      </c>
      <c r="B16" s="298" t="n">
        <f aca="false">-SUM(Model!E337:CG337)</f>
        <v>-0</v>
      </c>
      <c r="C16" s="298" t="n">
        <f aca="false">IFERROR(-Helpers!F93,0)</f>
        <v>-0</v>
      </c>
      <c r="D16" s="298"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299" t="n">
        <f aca="false">SUM(B13:B16)</f>
        <v>-563546.32</v>
      </c>
      <c r="C17" s="299" t="n">
        <f aca="false">IFERROR(SUM(C13:C16),0)</f>
        <v>0</v>
      </c>
      <c r="D17" s="299" t="n">
        <f aca="false">IFERROR(SUM(D13:D16),0)</f>
        <v>-563546.32</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1072</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1073</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1074</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1057</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1075</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1077</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1078</v>
      </c>
      <c r="B27" s="314" t="n">
        <f aca="false">B6+B13+B20</f>
        <v>2714923</v>
      </c>
      <c r="C27" s="314" t="n">
        <f aca="false">IFERROR(C6+C13+C20,0)</f>
        <v>4271973</v>
      </c>
      <c r="D27" s="314"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1080</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1081</v>
      </c>
      <c r="B30" s="318" t="n">
        <f aca="false">B9+B16+B23</f>
        <v>-735311.322547972</v>
      </c>
      <c r="C30" s="318" t="n">
        <f aca="false">IFERROR(C9+C16+C23,0)</f>
        <v>0</v>
      </c>
      <c r="D30" s="318" t="n">
        <f aca="false">IFERROR(D9+D16+D23,0)</f>
        <v>-735311.322547972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1082</v>
      </c>
      <c r="B31" s="299" t="n">
        <f aca="false">B10+B17+B24</f>
        <v>235450.007452028</v>
      </c>
      <c r="C31" s="299" t="n">
        <f aca="false">IFERROR(C10+C17+C24,0)</f>
        <v>4271973</v>
      </c>
      <c r="D31" s="299" t="n">
        <f aca="false">IFERROR(D10+D17+D24,0)</f>
        <v>4507423.00745203</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1083</v>
      </c>
    </row>
    <row r="41" customFormat="false" ht="15" hidden="false" customHeight="true" outlineLevel="0" collapsed="false">
      <c r="A41" s="322" t="s">
        <v>1084</v>
      </c>
    </row>
    <row r="42" customFormat="false" ht="15" hidden="false" customHeight="true" outlineLevel="0" collapsed="false">
      <c r="A42" s="322" t="s">
        <v>1085</v>
      </c>
    </row>
    <row r="43" customFormat="false" ht="15" hidden="false" customHeight="true" outlineLevel="0" collapsed="false">
      <c r="A43" s="322" t="s">
        <v>1086</v>
      </c>
    </row>
    <row r="44" customFormat="false" ht="15" hidden="false" customHeight="true" outlineLevel="0" collapsed="false">
      <c r="A44" s="322"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3" t="n">
        <v>0.0025</v>
      </c>
    </row>
    <row r="3" customFormat="false" ht="15" hidden="false" customHeight="true" outlineLevel="0" collapsed="false">
      <c r="A3" s="90" t="s">
        <v>1090</v>
      </c>
      <c r="B3" s="324" t="n">
        <v>0.1</v>
      </c>
    </row>
    <row r="4" customFormat="false" ht="15" hidden="false" customHeight="true" outlineLevel="0" collapsed="false"/>
    <row r="5" customFormat="false" ht="30" hidden="false" customHeight="true" outlineLevel="0" collapsed="false">
      <c r="A5" s="325" t="s">
        <v>1091</v>
      </c>
      <c r="B5" s="325" t="s">
        <v>1092</v>
      </c>
      <c r="C5" s="325" t="s">
        <v>1093</v>
      </c>
      <c r="D5" s="326" t="s">
        <v>1094</v>
      </c>
      <c r="E5" s="326" t="s">
        <v>1095</v>
      </c>
      <c r="F5" s="326" t="s">
        <v>1096</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485923.50726</v>
      </c>
      <c r="S16" s="104" t="n">
        <f aca="false">-SUM(Model!R203:R233)-Model!R235</f>
        <v>485923.50726</v>
      </c>
      <c r="T16" s="104" t="n">
        <f aca="false">-SUM(Model!S203:S233)-Model!S235</f>
        <v>534260.93226</v>
      </c>
      <c r="U16" s="104" t="n">
        <f aca="false">-SUM(Model!T203:T233)-Model!T235</f>
        <v>512885.93226</v>
      </c>
      <c r="V16" s="104" t="n">
        <f aca="false">-SUM(Model!U203:U233)-Model!U235</f>
        <v>512885.93226</v>
      </c>
      <c r="W16" s="104" t="n">
        <f aca="false">-SUM(Model!V203:V233)-Model!V235</f>
        <v>512885.93226</v>
      </c>
      <c r="X16" s="104" t="n">
        <f aca="false">-SUM(Model!W203:W233)-Model!W235</f>
        <v>512885.93226</v>
      </c>
      <c r="Y16" s="104" t="n">
        <f aca="false">-SUM(Model!X203:X233)-Model!X235</f>
        <v>512885.93226</v>
      </c>
      <c r="Z16" s="104" t="n">
        <f aca="false">-SUM(Model!Y203:Y233)-Model!Y235</f>
        <v>512885.93226</v>
      </c>
      <c r="AA16" s="104" t="n">
        <f aca="false">-SUM(Model!Z203:Z233)-Model!Z235</f>
        <v>504663.838029231</v>
      </c>
      <c r="AB16" s="104" t="n">
        <f aca="false">-SUM(Model!AA203:AA233)-Model!AA235</f>
        <v>467480.053413846</v>
      </c>
      <c r="AC16" s="104" t="n">
        <f aca="false">-SUM(Model!AB203:AB233)-Model!AB235</f>
        <v>458497.099567692</v>
      </c>
      <c r="AD16" s="104" t="n">
        <f aca="false">-SUM(Model!AC203:AC233)-Model!AC235</f>
        <v>449234.598828277</v>
      </c>
      <c r="AE16" s="104" t="n">
        <f aca="false">-SUM(Model!AD203:AD233)-Model!AD235</f>
        <v>421635.055212892</v>
      </c>
      <c r="AF16" s="104" t="n">
        <f aca="false">-SUM(Model!AE203:AE233)-Model!AE235</f>
        <v>399327.3629052</v>
      </c>
      <c r="AG16" s="104" t="n">
        <f aca="false">-SUM(Model!AF203:AF233)-Model!AF235</f>
        <v>399327.3629052</v>
      </c>
      <c r="AH16" s="104" t="n">
        <f aca="false">-SUM(Model!AG203:AG233)-Model!AG235</f>
        <v>399327.3629052</v>
      </c>
      <c r="AI16" s="104" t="n">
        <f aca="false">-SUM(Model!AH203:AH233)-Model!AH235</f>
        <v>396880.610020585</v>
      </c>
      <c r="AJ16" s="104" t="n">
        <f aca="false">-SUM(Model!AI203:AI233)-Model!AI235</f>
        <v>387265.2254052</v>
      </c>
      <c r="AK16" s="104" t="n">
        <f aca="false">-SUM(Model!AJ203:AJ233)-Model!AJ235</f>
        <v>387265.2254052</v>
      </c>
      <c r="AL16" s="104" t="n">
        <f aca="false">-SUM(Model!AK203:AK233)-Model!AK235</f>
        <v>387265.2254052</v>
      </c>
      <c r="AM16" s="104" t="n">
        <f aca="false">-SUM(Model!AL203:AL233)-Model!AL235</f>
        <v>387265.2254052</v>
      </c>
      <c r="AN16" s="104" t="n">
        <f aca="false">-SUM(Model!AM203:AM233)-Model!AM235</f>
        <v>387265.2254052</v>
      </c>
      <c r="AO16" s="104" t="n">
        <f aca="false">-SUM(Model!AN203:AN233)-Model!AN235</f>
        <v>387265.2254052</v>
      </c>
      <c r="AP16" s="104" t="n">
        <f aca="false">-SUM(Model!AO203:AO233)-Model!AO235</f>
        <v>394710.529913304</v>
      </c>
      <c r="AQ16" s="104" t="n">
        <f aca="false">-SUM(Model!AP203:AP233)-Model!AP235</f>
        <v>394710.529913304</v>
      </c>
      <c r="AR16" s="104" t="n">
        <f aca="false">-SUM(Model!AQ203:AQ233)-Model!AQ235</f>
        <v>394710.529913304</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1</v>
      </c>
      <c r="AM17" s="9" t="n">
        <f aca="false">SUMPRODUCT((Projects!$G$2:$G$14="Yes")*(AM$15&gt;=Projects!$C$2:$C$14)*(AM$15&lt;Projects!$C$2:$C$14+Projects!$D$2:$D$14))+SUMPRODUCT((Projects!$G$17:$G$46="Yes")*(AM$15&gt;=Projects!$C$17:$C$46)*(AM$15&lt;Projects!$C$17:$C$46+Projects!$D$17:$D$46))</f>
        <v>1</v>
      </c>
      <c r="AN17" s="9" t="n">
        <f aca="false">SUMPRODUCT((Projects!$G$2:$G$14="Yes")*(AN$15&gt;=Projects!$C$2:$C$14)*(AN$15&lt;Projects!$C$2:$C$14+Projects!$D$2:$D$14))+SUMPRODUCT((Projects!$G$17:$G$46="Yes")*(AN$15&gt;=Projects!$C$17:$C$46)*(AN$15&lt;Projects!$C$17:$C$46+Projects!$D$17:$D$46))</f>
        <v>1</v>
      </c>
      <c r="AO17" s="9" t="n">
        <f aca="false">SUMPRODUCT((Projects!$G$2:$G$14="Yes")*(AO$15&gt;=Projects!$C$2:$C$14)*(AO$15&lt;Projects!$C$2:$C$14+Projects!$D$2:$D$14))+SUMPRODUCT((Projects!$G$17:$G$46="Yes")*(AO$15&gt;=Projects!$C$17:$C$46)*(AO$15&lt;Projects!$C$17:$C$46+Projects!$D$17:$D$46))</f>
        <v>1</v>
      </c>
      <c r="AP17" s="9" t="n">
        <f aca="false">SUMPRODUCT((Projects!$G$2:$G$14="Yes")*(AP$15&gt;=Projects!$C$2:$C$14)*(AP$15&lt;Projects!$C$2:$C$14+Projects!$D$2:$D$14))+SUMPRODUCT((Projects!$G$17:$G$46="Yes")*(AP$15&gt;=Projects!$C$17:$C$46)*(AP$15&lt;Projects!$C$17:$C$46+Projects!$D$17:$D$46))</f>
        <v>1</v>
      </c>
      <c r="AQ17" s="9" t="n">
        <f aca="false">SUMPRODUCT((Projects!$G$2:$G$14="Yes")*(AQ$15&gt;=Projects!$C$2:$C$14)*(AQ$15&lt;Projects!$C$2:$C$14+Projects!$D$2:$D$14))+SUMPRODUCT((Projects!$G$17:$G$46="Yes")*(AQ$15&gt;=Projects!$C$17:$C$46)*(AQ$15&lt;Projects!$C$17:$C$46+Projects!$D$17:$D$46))</f>
        <v>1</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80987.25121</v>
      </c>
      <c r="S18" s="104" t="n">
        <f aca="false">IFERROR(S16/S17,0)</f>
        <v>80987.25121</v>
      </c>
      <c r="T18" s="104" t="n">
        <f aca="false">IFERROR(T16/T17,0)</f>
        <v>76322.9903228572</v>
      </c>
      <c r="U18" s="104" t="n">
        <f aca="false">IFERROR(U16/U17,0)</f>
        <v>73269.4188942857</v>
      </c>
      <c r="V18" s="104" t="n">
        <f aca="false">IFERROR(V16/V17,0)</f>
        <v>73269.4188942857</v>
      </c>
      <c r="W18" s="104" t="n">
        <f aca="false">IFERROR(W16/W17,0)</f>
        <v>73269.4188942857</v>
      </c>
      <c r="X18" s="104" t="n">
        <f aca="false">IFERROR(X16/X17,0)</f>
        <v>73269.4188942857</v>
      </c>
      <c r="Y18" s="104" t="n">
        <f aca="false">IFERROR(Y16/Y17,0)</f>
        <v>73269.4188942857</v>
      </c>
      <c r="Z18" s="104" t="n">
        <f aca="false">IFERROR(Z16/Z17,0)</f>
        <v>73269.4188942857</v>
      </c>
      <c r="AA18" s="104" t="n">
        <f aca="false">IFERROR(AA16/AA17,0)</f>
        <v>72094.8340041758</v>
      </c>
      <c r="AB18" s="104" t="n">
        <f aca="false">IFERROR(AB16/AB17,0)</f>
        <v>66782.8647734066</v>
      </c>
      <c r="AC18" s="104" t="n">
        <f aca="false">IFERROR(AC16/AC17,0)</f>
        <v>76416.1832612821</v>
      </c>
      <c r="AD18" s="104" t="n">
        <f aca="false">IFERROR(AD16/AD17,0)</f>
        <v>89846.9197656554</v>
      </c>
      <c r="AE18" s="104" t="n">
        <f aca="false">IFERROR(AE16/AE17,0)</f>
        <v>84327.0110425785</v>
      </c>
      <c r="AF18" s="104" t="n">
        <f aca="false">IFERROR(AF16/AF17,0)</f>
        <v>79865.47258104</v>
      </c>
      <c r="AG18" s="104" t="n">
        <f aca="false">IFERROR(AG16/AG17,0)</f>
        <v>79865.47258104</v>
      </c>
      <c r="AH18" s="104" t="n">
        <f aca="false">IFERROR(AH16/AH17,0)</f>
        <v>133109.1209684</v>
      </c>
      <c r="AI18" s="104" t="n">
        <f aca="false">IFERROR(AI16/AI17,0)</f>
        <v>198440.305010292</v>
      </c>
      <c r="AJ18" s="104" t="n">
        <f aca="false">IFERROR(AJ16/AJ17,0)</f>
        <v>193632.6127026</v>
      </c>
      <c r="AK18" s="104" t="n">
        <f aca="false">IFERROR(AK16/AK17,0)</f>
        <v>193632.6127026</v>
      </c>
      <c r="AL18" s="104" t="n">
        <f aca="false">IFERROR(AL16/AL17,0)</f>
        <v>387265.2254052</v>
      </c>
      <c r="AM18" s="104" t="n">
        <f aca="false">IFERROR(AM16/AM17,0)</f>
        <v>387265.2254052</v>
      </c>
      <c r="AN18" s="104" t="n">
        <f aca="false">IFERROR(AN16/AN17,0)</f>
        <v>387265.2254052</v>
      </c>
      <c r="AO18" s="104" t="n">
        <f aca="false">IFERROR(AO16/AO17,0)</f>
        <v>387265.2254052</v>
      </c>
      <c r="AP18" s="104" t="n">
        <f aca="false">IFERROR(AP16/AP17,0)</f>
        <v>394710.529913304</v>
      </c>
      <c r="AQ18" s="104" t="n">
        <f aca="false">IFERROR(AQ16/AQ17,0)</f>
        <v>394710.529913304</v>
      </c>
      <c r="AR18" s="104" t="n">
        <f aca="false">IFERROR(AR16/AR17,0)</f>
        <v>394710.529913304</v>
      </c>
      <c r="AS18" s="104" t="n">
        <f aca="false">IFERROR(AS16/AS17,0)</f>
        <v>394710.529913304</v>
      </c>
      <c r="AT18" s="104" t="n">
        <f aca="false">IFERROR(AT16/AT17,0)</f>
        <v>394710.529913304</v>
      </c>
      <c r="AU18" s="104" t="n">
        <f aca="false">IFERROR(AU16/AU17,0)</f>
        <v>394710.529913304</v>
      </c>
      <c r="AV18" s="104" t="n">
        <f aca="false">IFERROR(AV16/AV17,0)</f>
        <v>394710.529913304</v>
      </c>
      <c r="AW18" s="104" t="n">
        <f aca="false">IFERROR(AW16/AW17,0)</f>
        <v>394710.529913304</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1100</v>
      </c>
      <c r="B20" s="122" t="s">
        <v>783</v>
      </c>
      <c r="C20" s="122" t="s">
        <v>593</v>
      </c>
      <c r="D20" s="122" t="s">
        <v>595</v>
      </c>
      <c r="E20" s="122" t="s">
        <v>567</v>
      </c>
      <c r="F20" s="122" t="s">
        <v>1101</v>
      </c>
      <c r="G20" s="122" t="s">
        <v>594</v>
      </c>
      <c r="H20" s="122" t="s">
        <v>1102</v>
      </c>
      <c r="I20" s="122" t="s">
        <v>1103</v>
      </c>
      <c r="J20" s="122" t="s">
        <v>1104</v>
      </c>
      <c r="K20" s="122" t="s">
        <v>1105</v>
      </c>
      <c r="L20" s="122" t="s">
        <v>1106</v>
      </c>
      <c r="M20" s="122" t="s">
        <v>1107</v>
      </c>
      <c r="N20" s="122" t="s">
        <v>1108</v>
      </c>
      <c r="O20" s="122" t="s">
        <v>1109</v>
      </c>
      <c r="P20" s="122" t="s">
        <v>487</v>
      </c>
      <c r="Q20" s="122"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1112</v>
      </c>
      <c r="C1" s="330" t="s">
        <v>1113</v>
      </c>
      <c r="D1" s="330" t="s">
        <v>1114</v>
      </c>
      <c r="E1" s="330" t="s">
        <v>1115</v>
      </c>
      <c r="F1" s="330" t="s">
        <v>1116</v>
      </c>
      <c r="G1" s="330" t="s">
        <v>1117</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0</v>
      </c>
      <c r="D14" s="332" t="n">
        <f aca="false">C14*0.05</f>
        <v>0</v>
      </c>
      <c r="E14" s="332" t="n">
        <f aca="false">B14+D14</f>
        <v>0</v>
      </c>
      <c r="F14" s="333" t="n">
        <f aca="false">Projects!$C$14+Projects!$D$14-1</f>
        <v>56</v>
      </c>
      <c r="G14" s="334" t="n">
        <f aca="false">EDATE(DATE(2026,4,1),F14-1)</f>
        <v>47788</v>
      </c>
    </row>
    <row r="15" customFormat="false" ht="15" hidden="false" customHeight="true" outlineLevel="0" collapsed="false">
      <c r="A15" s="175" t="s">
        <v>1118</v>
      </c>
      <c r="B15" s="176" t="n">
        <v>0</v>
      </c>
      <c r="C15" s="332" t="n">
        <f aca="false">IF(Projects!$G$17="Yes",Projects!$B$17*(Assumptions!$B$10+Assumptions!$B$11+Assumptions!$B$12),0)</f>
        <v>0</v>
      </c>
      <c r="D15" s="332" t="n">
        <f aca="false">C15*0.05</f>
        <v>0</v>
      </c>
      <c r="E15" s="332" t="n">
        <f aca="false">B15+D15</f>
        <v>0</v>
      </c>
      <c r="F15" s="333" t="n">
        <f aca="false">Projects!$C$17+Projects!$D$17-1</f>
        <v>36</v>
      </c>
      <c r="G15" s="334" t="n">
        <f aca="false">EDATE(DATE(2026,4,1),F15-1)</f>
        <v>47178</v>
      </c>
    </row>
    <row r="16" customFormat="false" ht="15" hidden="false" customHeight="true" outlineLevel="0" collapsed="false">
      <c r="A16" s="175" t="s">
        <v>1119</v>
      </c>
      <c r="B16" s="176" t="n">
        <v>0</v>
      </c>
      <c r="C16" s="332" t="n">
        <f aca="false">IF(Projects!$G$18="Yes",Projects!$B$18*(Assumptions!$B$10+Assumptions!$B$11+Assumptions!$B$12),0)</f>
        <v>0</v>
      </c>
      <c r="D16" s="332" t="n">
        <f aca="false">C16*0.05</f>
        <v>0</v>
      </c>
      <c r="E16" s="332" t="n">
        <f aca="false">B16+D16</f>
        <v>0</v>
      </c>
      <c r="F16" s="333" t="n">
        <f aca="false">Projects!$C$18+Projects!$D$18-1</f>
        <v>32</v>
      </c>
      <c r="G16" s="334" t="n">
        <f aca="false">EDATE(DATE(2026,4,1),F16-1)</f>
        <v>47058</v>
      </c>
    </row>
    <row r="17" customFormat="false" ht="15" hidden="false" customHeight="true" outlineLevel="0" collapsed="false">
      <c r="A17" s="175" t="s">
        <v>1120</v>
      </c>
      <c r="B17" s="176" t="n">
        <v>0</v>
      </c>
      <c r="C17" s="332" t="n">
        <f aca="false">IF(Projects!$G$19="Yes",Projects!$B$19*(Assumptions!$B$10+Assumptions!$B$11+Assumptions!$B$12),0)</f>
        <v>0</v>
      </c>
      <c r="D17" s="332" t="n">
        <f aca="false">C17*0.05</f>
        <v>0</v>
      </c>
      <c r="E17" s="332" t="n">
        <f aca="false">B17+D17</f>
        <v>0</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0</v>
      </c>
      <c r="D20" s="332" t="n">
        <f aca="false">C20*0.05</f>
        <v>0</v>
      </c>
      <c r="E20" s="332" t="n">
        <f aca="false">B20+D20</f>
        <v>0</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1121</v>
      </c>
      <c r="N1" s="1" t="s">
        <v>1122</v>
      </c>
      <c r="O1" s="336" t="n">
        <v>1</v>
      </c>
    </row>
    <row r="2" customFormat="false" ht="13.5" hidden="false" customHeight="true" outlineLevel="0" collapsed="false">
      <c r="A2" s="337" t="s">
        <v>1123</v>
      </c>
      <c r="N2" s="1" t="s">
        <v>1124</v>
      </c>
    </row>
    <row r="3" customFormat="false" ht="57" hidden="false" customHeight="true" outlineLevel="0" collapsed="false">
      <c r="A3" s="173" t="s">
        <v>1125</v>
      </c>
      <c r="B3" s="173" t="s">
        <v>468</v>
      </c>
      <c r="C3" s="173" t="s">
        <v>1126</v>
      </c>
      <c r="D3" s="173" t="s">
        <v>1127</v>
      </c>
      <c r="E3" s="173" t="s">
        <v>1128</v>
      </c>
      <c r="F3" s="173" t="s">
        <v>1129</v>
      </c>
      <c r="G3" s="173" t="s">
        <v>1130</v>
      </c>
      <c r="H3" s="173" t="s">
        <v>629</v>
      </c>
      <c r="I3" s="173" t="s">
        <v>1131</v>
      </c>
      <c r="J3" s="173" t="s">
        <v>1132</v>
      </c>
      <c r="K3" s="173" t="s">
        <v>1133</v>
      </c>
      <c r="L3" s="173" t="s">
        <v>1134</v>
      </c>
    </row>
    <row r="4" customFormat="false" ht="13.5" hidden="false" customHeight="true" outlineLevel="0" collapsed="false">
      <c r="A4" s="215" t="n">
        <v>13</v>
      </c>
      <c r="B4" s="213" t="s">
        <v>7</v>
      </c>
      <c r="C4" s="213" t="s">
        <v>1135</v>
      </c>
      <c r="D4" s="215" t="n">
        <v>0</v>
      </c>
      <c r="E4" s="215" t="n">
        <v>1</v>
      </c>
      <c r="F4" s="338" t="n">
        <v>150000</v>
      </c>
      <c r="G4" s="215" t="n">
        <v>9</v>
      </c>
      <c r="H4" s="213" t="s">
        <v>1136</v>
      </c>
      <c r="I4" s="215" t="n">
        <f aca="false">IF(OR($D4=1,$E4=1),SUM(INDEX(Model!$K$13:$DE$56,$A4-12,0))+SUM(INDEX(Model!$K$60:$DE$103,$A4-12,0)),0)</f>
        <v>-201983.3</v>
      </c>
      <c r="J4" s="338" t="n">
        <f aca="false">201983</f>
        <v>201983</v>
      </c>
      <c r="K4" s="215" t="n">
        <f aca="false">IF(OR($D4=1,$E4=1),J4+IF(AND($D4=1,$O$1=1),0,I4),0)</f>
        <v>-0.300000000046566</v>
      </c>
      <c r="L4" s="339" t="n">
        <v>0.5</v>
      </c>
    </row>
    <row r="5" customFormat="false" ht="13.5" hidden="false" customHeight="true" outlineLevel="0" collapsed="false">
      <c r="A5" s="340" t="n">
        <v>14</v>
      </c>
      <c r="B5" s="341" t="s">
        <v>8</v>
      </c>
      <c r="C5" s="341" t="s">
        <v>1135</v>
      </c>
      <c r="D5" s="340" t="n">
        <v>0</v>
      </c>
      <c r="E5" s="340" t="n">
        <v>1</v>
      </c>
      <c r="F5" s="342" t="n">
        <v>358268</v>
      </c>
      <c r="G5" s="340" t="n">
        <v>19</v>
      </c>
      <c r="H5" s="341" t="s">
        <v>1136</v>
      </c>
      <c r="I5" s="340" t="n">
        <f aca="false">IF(OR($D5=1,$E5=1),SUM(INDEX(Model!$K$13:$DE$56,$A5-12,0))+SUM(INDEX(Model!$K$60:$DE$103,$A5-12,0)),0)</f>
        <v>-443926.629999999</v>
      </c>
      <c r="J5" s="342" t="n">
        <f aca="false">194267</f>
        <v>194267</v>
      </c>
      <c r="K5" s="340" t="n">
        <f aca="false">IF(OR($D5=1,$E5=1),J5+IF(AND($D5=1,$O$1=1),0,I5),0)</f>
        <v>-249659.629999999</v>
      </c>
      <c r="L5" s="343" t="n">
        <v>0.5</v>
      </c>
    </row>
    <row r="6" customFormat="false" ht="13.5" hidden="false" customHeight="true" outlineLevel="0" collapsed="false">
      <c r="A6" s="215" t="n">
        <v>15</v>
      </c>
      <c r="B6" s="213" t="s">
        <v>9</v>
      </c>
      <c r="C6" s="213" t="s">
        <v>1137</v>
      </c>
      <c r="D6" s="215" t="n">
        <v>1</v>
      </c>
      <c r="E6" s="215" t="n">
        <v>0</v>
      </c>
      <c r="F6" s="338" t="n">
        <v>0</v>
      </c>
      <c r="G6" s="344" t="n">
        <f aca="false">Retention!$F$4</f>
        <v>17</v>
      </c>
      <c r="H6" s="1" t="s">
        <v>1138</v>
      </c>
      <c r="I6" s="215" t="n">
        <f aca="false">IF(OR($D6=1,$E6=1),SUM(INDEX(Model!$K$13:$DE$56,$A6-12,0))+SUM(INDEX(Model!$K$60:$DE$103,$A6-12,0)),0)</f>
        <v>-129122.51</v>
      </c>
      <c r="J6" s="338" t="n">
        <f aca="false">11610889-11656654</f>
        <v>-45765</v>
      </c>
      <c r="K6" s="215" t="n">
        <f aca="false">IF(OR($D6=1,$E6=1),J6+IF(AND($D6=1,$O$1=1),0,I6),0)</f>
        <v>-45765</v>
      </c>
      <c r="L6" s="339" t="n">
        <v>0</v>
      </c>
    </row>
    <row r="7" customFormat="false" ht="13.5" hidden="false" customHeight="true" outlineLevel="0" collapsed="false">
      <c r="A7" s="340" t="n">
        <v>16</v>
      </c>
      <c r="B7" s="341" t="s">
        <v>10</v>
      </c>
      <c r="C7" s="341" t="s">
        <v>1137</v>
      </c>
      <c r="D7" s="340" t="n">
        <v>1</v>
      </c>
      <c r="E7" s="340" t="n">
        <v>0</v>
      </c>
      <c r="F7" s="342" t="n">
        <v>0</v>
      </c>
      <c r="G7" s="345" t="n">
        <f aca="false">Retention!$F$5</f>
        <v>19</v>
      </c>
      <c r="H7" s="1" t="s">
        <v>1138</v>
      </c>
      <c r="I7" s="340" t="n">
        <f aca="false">IF(OR($D7=1,$E7=1),SUM(INDEX(Model!$K$13:$DE$56,$A7-12,0))+SUM(INDEX(Model!$K$60:$DE$103,$A7-12,0)),0)</f>
        <v>-122763.819999999</v>
      </c>
      <c r="J7" s="342" t="n">
        <f aca="false">13275793-13332488</f>
        <v>-56695</v>
      </c>
      <c r="K7" s="340" t="n">
        <f aca="false">IF(OR($D7=1,$E7=1),J7+IF(AND($D7=1,$O$1=1),0,I7),0)</f>
        <v>-56695</v>
      </c>
      <c r="L7" s="343" t="n">
        <v>0</v>
      </c>
    </row>
    <row r="8" customFormat="false" ht="13.5" hidden="false" customHeight="true" outlineLevel="0" collapsed="false">
      <c r="A8" s="215" t="n">
        <v>17</v>
      </c>
      <c r="B8" s="213" t="s">
        <v>11</v>
      </c>
      <c r="C8" s="213" t="s">
        <v>1135</v>
      </c>
      <c r="D8" s="215" t="n">
        <v>0</v>
      </c>
      <c r="E8" s="215" t="n">
        <v>1</v>
      </c>
      <c r="F8" s="338" t="n">
        <v>0</v>
      </c>
      <c r="G8" s="344" t="n">
        <f aca="false">Retention!$F$6</f>
        <v>15</v>
      </c>
      <c r="H8" s="213" t="s">
        <v>1136</v>
      </c>
      <c r="I8" s="215" t="n">
        <f aca="false">IF(OR($D8=1,$E8=1),SUM(INDEX(Model!$K$13:$DE$56,$A8-12,0))+SUM(INDEX(Model!$K$60:$DE$103,$A8-12,0)),0)</f>
        <v>-2920.55000000005</v>
      </c>
      <c r="J8" s="338" t="n">
        <f aca="false">2920</f>
        <v>2920</v>
      </c>
      <c r="K8" s="215" t="n">
        <f aca="false">IF(OR($D8=1,$E8=1),J8+IF(AND($D8=1,$O$1=1),0,I8),0)</f>
        <v>-0.550000000046566</v>
      </c>
      <c r="L8" s="339" t="n">
        <v>0.5</v>
      </c>
    </row>
    <row r="9" customFormat="false" ht="13.5" hidden="false" customHeight="true" outlineLevel="0" collapsed="false">
      <c r="A9" s="340" t="n">
        <v>18</v>
      </c>
      <c r="B9" s="341" t="s">
        <v>12</v>
      </c>
      <c r="C9" s="341" t="s">
        <v>1137</v>
      </c>
      <c r="D9" s="340" t="n">
        <v>1</v>
      </c>
      <c r="E9" s="340" t="n">
        <v>0</v>
      </c>
      <c r="F9" s="342" t="n">
        <v>0</v>
      </c>
      <c r="G9" s="345" t="n">
        <f aca="false">Retention!$F$7</f>
        <v>36</v>
      </c>
      <c r="H9" s="1" t="s">
        <v>1138</v>
      </c>
      <c r="I9" s="340" t="n">
        <f aca="false">IF(OR($D9=1,$E9=1),SUM(INDEX(Model!$K$13:$DE$56,$A9-12,0))+SUM(INDEX(Model!$K$60:$DE$103,$A9-12,0)),0)</f>
        <v>10991.7400000021</v>
      </c>
      <c r="J9" s="342" t="n">
        <f aca="false">36808214-36808214</f>
        <v>0</v>
      </c>
      <c r="K9" s="340" t="n">
        <f aca="false">IF(OR($D9=1,$E9=1),J9+IF(AND($D9=1,$O$1=1),0,I9),0)</f>
        <v>0</v>
      </c>
      <c r="L9" s="343" t="n">
        <v>0</v>
      </c>
    </row>
    <row r="10" customFormat="false" ht="13.5" hidden="false" customHeight="true" outlineLevel="0" collapsed="false">
      <c r="A10" s="215" t="n">
        <v>19</v>
      </c>
      <c r="B10" s="213" t="s">
        <v>13</v>
      </c>
      <c r="C10" s="213" t="s">
        <v>1137</v>
      </c>
      <c r="D10" s="215" t="n">
        <v>1</v>
      </c>
      <c r="E10" s="215" t="n">
        <v>0</v>
      </c>
      <c r="F10" s="338" t="n">
        <v>0</v>
      </c>
      <c r="G10" s="344" t="n">
        <f aca="false">Retention!$F$8</f>
        <v>24</v>
      </c>
      <c r="H10" s="1" t="s">
        <v>1138</v>
      </c>
      <c r="I10" s="215" t="n">
        <f aca="false">IF(OR($D10=1,$E10=1),SUM(INDEX(Model!$K$13:$DE$56,$A10-12,0))+SUM(INDEX(Model!$K$60:$DE$103,$A10-12,0)),0)</f>
        <v>597.490000000224</v>
      </c>
      <c r="J10" s="338" t="n">
        <f aca="false">11237427-11237427</f>
        <v>0</v>
      </c>
      <c r="K10" s="215" t="n">
        <f aca="false">IF(OR($D10=1,$E10=1),J10+IF(AND($D10=1,$O$1=1),0,I10),0)</f>
        <v>0</v>
      </c>
      <c r="L10" s="339" t="n">
        <v>0</v>
      </c>
    </row>
    <row r="11" customFormat="false" ht="13.5" hidden="false" customHeight="true" outlineLevel="0" collapsed="false">
      <c r="A11" s="340" t="n">
        <v>20</v>
      </c>
      <c r="B11" s="341" t="s">
        <v>14</v>
      </c>
      <c r="C11" s="341" t="s">
        <v>1137</v>
      </c>
      <c r="D11" s="340" t="n">
        <v>1</v>
      </c>
      <c r="E11" s="340" t="n">
        <v>0</v>
      </c>
      <c r="F11" s="342" t="n">
        <v>0</v>
      </c>
      <c r="G11" s="345" t="n">
        <f aca="false">Retention!$F$9</f>
        <v>23</v>
      </c>
      <c r="H11" s="1" t="s">
        <v>1138</v>
      </c>
      <c r="I11" s="340" t="n">
        <f aca="false">IF(OR($D11=1,$E11=1),SUM(INDEX(Model!$K$13:$DE$56,$A11-12,0))+SUM(INDEX(Model!$K$60:$DE$103,$A11-12,0)),0)</f>
        <v>3464.53000000119</v>
      </c>
      <c r="J11" s="342" t="n">
        <f aca="false">12399460-12399460</f>
        <v>0</v>
      </c>
      <c r="K11" s="340" t="n">
        <f aca="false">IF(OR($D11=1,$E11=1),J11+IF(AND($D11=1,$O$1=1),0,I11),0)</f>
        <v>0</v>
      </c>
      <c r="L11" s="343" t="n">
        <v>0</v>
      </c>
    </row>
    <row r="12" customFormat="false" ht="13.5" hidden="false" customHeight="true" outlineLevel="0" collapsed="false">
      <c r="A12" s="215" t="n">
        <v>21</v>
      </c>
      <c r="B12" s="213" t="s">
        <v>15</v>
      </c>
      <c r="C12" s="213" t="s">
        <v>1137</v>
      </c>
      <c r="D12" s="215" t="n">
        <v>1</v>
      </c>
      <c r="E12" s="215" t="n">
        <v>0</v>
      </c>
      <c r="F12" s="338" t="n">
        <v>0</v>
      </c>
      <c r="G12" s="344" t="n">
        <f aca="false">Retention!$F$10</f>
        <v>32</v>
      </c>
      <c r="H12" s="1" t="s">
        <v>1138</v>
      </c>
      <c r="I12" s="215" t="n">
        <f aca="false">IF(OR($D12=1,$E12=1),SUM(INDEX(Model!$K$13:$DE$56,$A12-12,0))+SUM(INDEX(Model!$K$60:$DE$103,$A12-12,0)),0)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1135</v>
      </c>
      <c r="D13" s="340" t="n">
        <v>0</v>
      </c>
      <c r="E13" s="340" t="n">
        <v>1</v>
      </c>
      <c r="F13" s="342" t="n">
        <v>0</v>
      </c>
      <c r="G13" s="345" t="n">
        <f aca="false">Retention!$F$11</f>
        <v>29</v>
      </c>
      <c r="H13" s="341" t="s">
        <v>1136</v>
      </c>
      <c r="I13" s="340" t="n">
        <f aca="false">IF(OR($D13=1,$E13=1),SUM(INDEX(Model!$K$13:$DE$56,$A13-12,0))+SUM(INDEX(Model!$K$60:$DE$103,$A13-12,0)),0)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1135</v>
      </c>
      <c r="D14" s="215" t="n">
        <v>0</v>
      </c>
      <c r="E14" s="215" t="n">
        <v>1</v>
      </c>
      <c r="F14" s="338" t="n">
        <v>0</v>
      </c>
      <c r="G14" s="344" t="n">
        <f aca="false">Retention!$F$12</f>
        <v>28</v>
      </c>
      <c r="H14" s="213" t="s">
        <v>1136</v>
      </c>
      <c r="I14" s="215" t="n">
        <f aca="false">IF(OR($D14=1,$E14=1),SUM(INDEX(Model!$K$13:$DE$56,$A14-12,0))+SUM(INDEX(Model!$K$60:$DE$103,$A14-12,0)),0)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1137</v>
      </c>
      <c r="D15" s="340" t="n">
        <v>1</v>
      </c>
      <c r="E15" s="340" t="n">
        <v>0</v>
      </c>
      <c r="F15" s="342" t="n">
        <v>0</v>
      </c>
      <c r="G15" s="345" t="n">
        <f aca="false">Retention!$F$13</f>
        <v>44</v>
      </c>
      <c r="H15" s="1" t="s">
        <v>1138</v>
      </c>
      <c r="I15" s="340" t="n">
        <f aca="false">IF(OR($D15=1,$E15=1),SUM(INDEX(Model!$K$13:$DE$56,$A15-12,0))+SUM(INDEX(Model!$K$60:$DE$103,$A15-12,0)),0)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1137</v>
      </c>
      <c r="D16" s="215" t="n">
        <v>1</v>
      </c>
      <c r="E16" s="215" t="n">
        <v>0</v>
      </c>
      <c r="F16" s="338" t="n">
        <v>0</v>
      </c>
      <c r="G16" s="344" t="n">
        <f aca="false">Retention!$F$14</f>
        <v>56</v>
      </c>
      <c r="H16" s="1" t="s">
        <v>1138</v>
      </c>
      <c r="I16" s="215" t="n">
        <f aca="false">IF(OR($D16=1,$E16=1),SUM(INDEX(Model!$K$13:$DE$56,$A16-12,0))+SUM(INDEX(Model!$K$60:$DE$103,$A16-12,0)),0)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1137</v>
      </c>
      <c r="D17" s="340" t="n">
        <v>1</v>
      </c>
      <c r="E17" s="340" t="n">
        <v>0</v>
      </c>
      <c r="F17" s="342" t="n">
        <v>0</v>
      </c>
      <c r="G17" s="345" t="n">
        <f aca="false">Retention!$F$15</f>
        <v>36</v>
      </c>
      <c r="H17" s="1" t="s">
        <v>1138</v>
      </c>
      <c r="I17" s="340" t="n">
        <f aca="false">IF(OR($D17=1,$E17=1),SUM(INDEX(Model!$K$13:$DE$56,$A17-12,0))+SUM(INDEX(Model!$K$60:$DE$103,$A17-12,0)),0)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1137</v>
      </c>
      <c r="D18" s="215" t="n">
        <v>1</v>
      </c>
      <c r="E18" s="215" t="n">
        <v>0</v>
      </c>
      <c r="F18" s="338" t="n">
        <v>0</v>
      </c>
      <c r="G18" s="344" t="n">
        <f aca="false">Retention!$F$16</f>
        <v>32</v>
      </c>
      <c r="H18" s="1" t="s">
        <v>1138</v>
      </c>
      <c r="I18" s="215" t="n">
        <f aca="false">IF(OR($D18=1,$E18=1),SUM(INDEX(Model!$K$13:$DE$56,$A18-12,0))+SUM(INDEX(Model!$K$60:$DE$103,$A18-12,0)),0)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1137</v>
      </c>
      <c r="D19" s="340" t="n">
        <v>1</v>
      </c>
      <c r="E19" s="340" t="n">
        <v>0</v>
      </c>
      <c r="F19" s="342" t="n">
        <v>0</v>
      </c>
      <c r="G19" s="345" t="n">
        <f aca="false">Retention!$F$17</f>
        <v>30</v>
      </c>
      <c r="H19" s="1" t="s">
        <v>1138</v>
      </c>
      <c r="I19" s="340" t="n">
        <f aca="false">IF(OR($D19=1,$E19=1),SUM(INDEX(Model!$K$13:$DE$56,$A19-12,0))+SUM(INDEX(Model!$K$60:$DE$103,$A19-12,0)),0)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1135</v>
      </c>
      <c r="D20" s="215" t="n">
        <v>0</v>
      </c>
      <c r="E20" s="215" t="n">
        <v>1</v>
      </c>
      <c r="F20" s="338" t="n">
        <v>0</v>
      </c>
      <c r="G20" s="344" t="n">
        <f aca="false">Retention!$F$18</f>
        <v>43</v>
      </c>
      <c r="H20" s="213" t="s">
        <v>1136</v>
      </c>
      <c r="I20" s="215" t="n">
        <f aca="false">IF(OR($D20=1,$E20=1),SUM(INDEX(Model!$K$13:$DE$56,$A20-12,0))+SUM(INDEX(Model!$K$60:$DE$103,$A20-12,0)),0)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1135</v>
      </c>
      <c r="D21" s="340" t="n">
        <v>0</v>
      </c>
      <c r="E21" s="340" t="n">
        <v>1</v>
      </c>
      <c r="F21" s="342" t="n">
        <v>0</v>
      </c>
      <c r="G21" s="345" t="n">
        <f aca="false">Retention!$F$19</f>
        <v>28</v>
      </c>
      <c r="H21" s="341" t="s">
        <v>1136</v>
      </c>
      <c r="I21" s="340" t="n">
        <f aca="false">IF(OR($D21=1,$E21=1),SUM(INDEX(Model!$K$13:$DE$56,$A21-12,0))+SUM(INDEX(Model!$K$60:$DE$103,$A21-12,0)),0)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1137</v>
      </c>
      <c r="D22" s="215" t="n">
        <v>1</v>
      </c>
      <c r="E22" s="215" t="n">
        <v>0</v>
      </c>
      <c r="F22" s="338" t="n">
        <v>0</v>
      </c>
      <c r="G22" s="344" t="n">
        <f aca="false">Retention!$F$20</f>
        <v>37</v>
      </c>
      <c r="H22" s="213" t="s">
        <v>1138</v>
      </c>
      <c r="I22" s="215" t="n">
        <f aca="false">IF(OR($D22=1,$E22=1),SUM(INDEX(Model!$K$13:$DE$56,$A22-12,0))+SUM(INDEX(Model!$K$60:$DE$103,$A22-12,0)),0)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1137</v>
      </c>
      <c r="D23" s="340" t="n">
        <v>1</v>
      </c>
      <c r="E23" s="340" t="n">
        <v>0</v>
      </c>
      <c r="F23" s="342" t="n">
        <v>0</v>
      </c>
      <c r="G23" s="345" t="n">
        <f aca="false">Retention!$F$21</f>
        <v>52</v>
      </c>
      <c r="H23" s="341" t="s">
        <v>1138</v>
      </c>
      <c r="I23" s="340" t="n">
        <f aca="false">IF(OR($D23=1,$E23=1),SUM(INDEX(Model!$K$13:$DE$56,$A23-12,0))+SUM(INDEX(Model!$K$60:$DE$103,$A23-12,0)),0)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1137</v>
      </c>
      <c r="D24" s="215" t="n">
        <v>1</v>
      </c>
      <c r="E24" s="215" t="n">
        <v>0</v>
      </c>
      <c r="F24" s="338" t="n">
        <v>0</v>
      </c>
      <c r="G24" s="344" t="n">
        <f aca="false">Retention!$F$22</f>
        <v>55</v>
      </c>
      <c r="H24" s="213" t="s">
        <v>1138</v>
      </c>
      <c r="I24" s="215" t="n">
        <f aca="false">IF(OR($D24=1,$E24=1),SUM(INDEX(Model!$K$13:$DE$56,$A24-12,0))+SUM(INDEX(Model!$K$60:$DE$103,$A24-12,0)),0)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1137</v>
      </c>
      <c r="D25" s="340" t="n">
        <v>1</v>
      </c>
      <c r="E25" s="340" t="n">
        <v>0</v>
      </c>
      <c r="F25" s="342" t="n">
        <v>0</v>
      </c>
      <c r="G25" s="345" t="n">
        <f aca="false">Retention!$F$23</f>
        <v>58</v>
      </c>
      <c r="H25" s="341" t="s">
        <v>1138</v>
      </c>
      <c r="I25" s="340" t="n">
        <f aca="false">IF(OR($D25=1,$E25=1),SUM(INDEX(Model!$K$13:$DE$56,$A25-12,0))+SUM(INDEX(Model!$K$60:$DE$103,$A25-12,0)),0)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1137</v>
      </c>
      <c r="D26" s="215" t="n">
        <v>1</v>
      </c>
      <c r="E26" s="215" t="n">
        <v>0</v>
      </c>
      <c r="F26" s="338" t="n">
        <v>0</v>
      </c>
      <c r="G26" s="344" t="n">
        <f aca="false">Retention!$F$24</f>
        <v>60</v>
      </c>
      <c r="H26" s="213" t="s">
        <v>1138</v>
      </c>
      <c r="I26" s="215" t="n">
        <f aca="false">IF(OR($D26=1,$E26=1),SUM(INDEX(Model!$K$13:$DE$56,$A26-12,0))+SUM(INDEX(Model!$K$60:$DE$103,$A26-12,0)),0)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1137</v>
      </c>
      <c r="D27" s="340" t="n">
        <v>1</v>
      </c>
      <c r="E27" s="340" t="n">
        <v>0</v>
      </c>
      <c r="F27" s="342" t="n">
        <v>0</v>
      </c>
      <c r="G27" s="345" t="n">
        <f aca="false">Retention!$F$25</f>
        <v>62</v>
      </c>
      <c r="H27" s="341" t="s">
        <v>1138</v>
      </c>
      <c r="I27" s="340" t="n">
        <f aca="false">IF(OR($D27=1,$E27=1),SUM(INDEX(Model!$K$13:$DE$56,$A27-12,0))+SUM(INDEX(Model!$K$60:$DE$103,$A27-12,0)),0)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1137</v>
      </c>
      <c r="D28" s="215" t="n">
        <v>1</v>
      </c>
      <c r="E28" s="215" t="n">
        <v>0</v>
      </c>
      <c r="F28" s="338" t="n">
        <v>0</v>
      </c>
      <c r="G28" s="344" t="n">
        <f aca="false">Retention!$F$26</f>
        <v>64</v>
      </c>
      <c r="H28" s="213" t="s">
        <v>1138</v>
      </c>
      <c r="I28" s="215" t="n">
        <f aca="false">IF(OR($D28=1,$E28=1),SUM(INDEX(Model!$K$13:$DE$56,$A28-12,0))+SUM(INDEX(Model!$K$60:$DE$103,$A28-12,0)),0)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1137</v>
      </c>
      <c r="D29" s="340" t="n">
        <v>1</v>
      </c>
      <c r="E29" s="340" t="n">
        <v>0</v>
      </c>
      <c r="F29" s="342" t="n">
        <v>0</v>
      </c>
      <c r="G29" s="345" t="n">
        <f aca="false">Retention!$F$27</f>
        <v>66</v>
      </c>
      <c r="H29" s="341" t="s">
        <v>1138</v>
      </c>
      <c r="I29" s="340" t="n">
        <f aca="false">IF(OR($D29=1,$E29=1),SUM(INDEX(Model!$K$13:$DE$56,$A29-12,0))+SUM(INDEX(Model!$K$60:$DE$103,$A29-12,0)),0)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1137</v>
      </c>
      <c r="D30" s="215" t="n">
        <v>1</v>
      </c>
      <c r="E30" s="215" t="n">
        <v>0</v>
      </c>
      <c r="F30" s="338" t="n">
        <v>0</v>
      </c>
      <c r="G30" s="344" t="n">
        <f aca="false">Retention!$F$28</f>
        <v>68</v>
      </c>
      <c r="H30" s="213" t="s">
        <v>1138</v>
      </c>
      <c r="I30" s="215" t="n">
        <f aca="false">IF(OR($D30=1,$E30=1),SUM(INDEX(Model!$K$13:$DE$56,$A30-12,0))+SUM(INDEX(Model!$K$60:$DE$103,$A30-12,0)),0)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1137</v>
      </c>
      <c r="D31" s="340" t="n">
        <v>1</v>
      </c>
      <c r="E31" s="340" t="n">
        <v>0</v>
      </c>
      <c r="F31" s="342" t="n">
        <v>0</v>
      </c>
      <c r="G31" s="345" t="n">
        <f aca="false">Retention!$F$29</f>
        <v>70</v>
      </c>
      <c r="H31" s="341" t="s">
        <v>1138</v>
      </c>
      <c r="I31" s="340" t="n">
        <f aca="false">IF(OR($D31=1,$E31=1),SUM(INDEX(Model!$K$13:$DE$56,$A31-12,0))+SUM(INDEX(Model!$K$60:$DE$103,$A31-12,0)),0)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1137</v>
      </c>
      <c r="D32" s="215" t="n">
        <v>1</v>
      </c>
      <c r="E32" s="215" t="n">
        <v>0</v>
      </c>
      <c r="F32" s="338" t="n">
        <v>0</v>
      </c>
      <c r="G32" s="344" t="n">
        <f aca="false">Retention!$F$30</f>
        <v>72</v>
      </c>
      <c r="H32" s="213" t="s">
        <v>1138</v>
      </c>
      <c r="I32" s="215" t="n">
        <f aca="false">IF(OR($D32=1,$E32=1),SUM(INDEX(Model!$K$13:$DE$56,$A32-12,0))+SUM(INDEX(Model!$K$60:$DE$103,$A32-12,0)),0)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1137</v>
      </c>
      <c r="D33" s="340" t="n">
        <v>1</v>
      </c>
      <c r="E33" s="340" t="n">
        <v>0</v>
      </c>
      <c r="F33" s="342" t="n">
        <v>0</v>
      </c>
      <c r="G33" s="345" t="n">
        <f aca="false">Retention!$F$31</f>
        <v>74</v>
      </c>
      <c r="H33" s="341" t="s">
        <v>1138</v>
      </c>
      <c r="I33" s="340" t="n">
        <f aca="false">IF(OR($D33=1,$E33=1),SUM(INDEX(Model!$K$13:$DE$56,$A33-12,0))+SUM(INDEX(Model!$K$60:$DE$103,$A33-12,0)),0)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1137</v>
      </c>
      <c r="D34" s="215" t="n">
        <v>1</v>
      </c>
      <c r="E34" s="215" t="n">
        <v>0</v>
      </c>
      <c r="F34" s="338" t="n">
        <v>0</v>
      </c>
      <c r="G34" s="344" t="n">
        <f aca="false">Retention!$F$32</f>
        <v>76</v>
      </c>
      <c r="H34" s="213" t="s">
        <v>1138</v>
      </c>
      <c r="I34" s="215" t="n">
        <f aca="false">IF(OR($D34=1,$E34=1),SUM(INDEX(Model!$K$13:$DE$56,$A34-12,0))+SUM(INDEX(Model!$K$60:$DE$103,$A34-12,0)),0)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1137</v>
      </c>
      <c r="D35" s="340" t="n">
        <v>1</v>
      </c>
      <c r="E35" s="340" t="n">
        <v>0</v>
      </c>
      <c r="F35" s="342" t="n">
        <v>0</v>
      </c>
      <c r="G35" s="345" t="n">
        <f aca="false">Retention!$F$33</f>
        <v>78</v>
      </c>
      <c r="H35" s="341" t="s">
        <v>1138</v>
      </c>
      <c r="I35" s="340" t="n">
        <f aca="false">IF(OR($D35=1,$E35=1),SUM(INDEX(Model!$K$13:$DE$56,$A35-12,0))+SUM(INDEX(Model!$K$60:$DE$103,$A35-12,0)),0)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1137</v>
      </c>
      <c r="D36" s="215" t="n">
        <v>1</v>
      </c>
      <c r="E36" s="215" t="n">
        <v>0</v>
      </c>
      <c r="F36" s="338" t="n">
        <v>0</v>
      </c>
      <c r="G36" s="344" t="n">
        <f aca="false">Retention!$F$34</f>
        <v>80</v>
      </c>
      <c r="H36" s="213" t="s">
        <v>1138</v>
      </c>
      <c r="I36" s="215" t="n">
        <f aca="false">IF(OR($D36=1,$E36=1),SUM(INDEX(Model!$K$13:$DE$56,$A36-12,0))+SUM(INDEX(Model!$K$60:$DE$103,$A36-12,0)),0)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1137</v>
      </c>
      <c r="D37" s="340" t="n">
        <v>1</v>
      </c>
      <c r="E37" s="340" t="n">
        <v>0</v>
      </c>
      <c r="F37" s="342" t="n">
        <v>0</v>
      </c>
      <c r="G37" s="345" t="n">
        <f aca="false">Retention!$F$35</f>
        <v>82</v>
      </c>
      <c r="H37" s="341" t="s">
        <v>1138</v>
      </c>
      <c r="I37" s="340" t="n">
        <f aca="false">IF(OR($D37=1,$E37=1),SUM(INDEX(Model!$K$13:$DE$56,$A37-12,0))+SUM(INDEX(Model!$K$60:$DE$103,$A37-12,0)),0)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1137</v>
      </c>
      <c r="D38" s="215" t="n">
        <v>1</v>
      </c>
      <c r="E38" s="215" t="n">
        <v>0</v>
      </c>
      <c r="F38" s="338" t="n">
        <v>0</v>
      </c>
      <c r="G38" s="344" t="n">
        <f aca="false">Retention!$F$36</f>
        <v>84</v>
      </c>
      <c r="H38" s="213" t="s">
        <v>1138</v>
      </c>
      <c r="I38" s="215" t="n">
        <f aca="false">IF(OR($D38=1,$E38=1),SUM(INDEX(Model!$K$13:$DE$56,$A38-12,0))+SUM(INDEX(Model!$K$60:$DE$103,$A38-12,0)),0)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1137</v>
      </c>
      <c r="D39" s="340" t="n">
        <v>1</v>
      </c>
      <c r="E39" s="340" t="n">
        <v>0</v>
      </c>
      <c r="F39" s="342" t="n">
        <v>0</v>
      </c>
      <c r="G39" s="345" t="n">
        <f aca="false">Retention!$F$37</f>
        <v>86</v>
      </c>
      <c r="H39" s="341" t="s">
        <v>1138</v>
      </c>
      <c r="I39" s="340" t="n">
        <f aca="false">IF(OR($D39=1,$E39=1),SUM(INDEX(Model!$K$13:$DE$56,$A39-12,0))+SUM(INDEX(Model!$K$60:$DE$103,$A39-12,0)),0)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1137</v>
      </c>
      <c r="D40" s="215" t="n">
        <v>1</v>
      </c>
      <c r="E40" s="215" t="n">
        <v>0</v>
      </c>
      <c r="F40" s="338" t="n">
        <v>0</v>
      </c>
      <c r="G40" s="344" t="n">
        <f aca="false">Retention!$F$38</f>
        <v>88</v>
      </c>
      <c r="H40" s="213" t="s">
        <v>1138</v>
      </c>
      <c r="I40" s="215" t="n">
        <f aca="false">IF(OR($D40=1,$E40=1),SUM(INDEX(Model!$K$13:$DE$56,$A40-12,0))+SUM(INDEX(Model!$K$60:$DE$103,$A40-12,0)),0)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1137</v>
      </c>
      <c r="D41" s="340" t="n">
        <v>1</v>
      </c>
      <c r="E41" s="340" t="n">
        <v>0</v>
      </c>
      <c r="F41" s="342" t="n">
        <v>0</v>
      </c>
      <c r="G41" s="345" t="n">
        <f aca="false">Retention!$F$39</f>
        <v>90</v>
      </c>
      <c r="H41" s="341" t="s">
        <v>1138</v>
      </c>
      <c r="I41" s="340" t="n">
        <f aca="false">IF(OR($D41=1,$E41=1),SUM(INDEX(Model!$K$13:$DE$56,$A41-12,0))+SUM(INDEX(Model!$K$60:$DE$103,$A41-12,0)),0)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1137</v>
      </c>
      <c r="D42" s="215" t="n">
        <v>1</v>
      </c>
      <c r="E42" s="215" t="n">
        <v>0</v>
      </c>
      <c r="F42" s="338" t="n">
        <v>0</v>
      </c>
      <c r="G42" s="344" t="n">
        <f aca="false">Retention!$F$40</f>
        <v>92</v>
      </c>
      <c r="H42" s="213" t="s">
        <v>1138</v>
      </c>
      <c r="I42" s="215" t="n">
        <f aca="false">IF(OR($D42=1,$E42=1),SUM(INDEX(Model!$K$13:$DE$56,$A42-12,0))+SUM(INDEX(Model!$K$60:$DE$103,$A42-12,0)),0)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1137</v>
      </c>
      <c r="D43" s="340" t="n">
        <v>1</v>
      </c>
      <c r="E43" s="340" t="n">
        <v>0</v>
      </c>
      <c r="F43" s="342" t="n">
        <v>0</v>
      </c>
      <c r="G43" s="345" t="n">
        <f aca="false">Retention!$F$41</f>
        <v>94</v>
      </c>
      <c r="H43" s="341" t="s">
        <v>1138</v>
      </c>
      <c r="I43" s="340" t="n">
        <f aca="false">IF(OR($D43=1,$E43=1),SUM(INDEX(Model!$K$13:$DE$56,$A43-12,0))+SUM(INDEX(Model!$K$60:$DE$103,$A43-12,0)),0)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1137</v>
      </c>
      <c r="D44" s="215" t="n">
        <v>1</v>
      </c>
      <c r="E44" s="215" t="n">
        <v>0</v>
      </c>
      <c r="F44" s="338" t="n">
        <v>0</v>
      </c>
      <c r="G44" s="344" t="n">
        <f aca="false">Retention!$F$42</f>
        <v>96</v>
      </c>
      <c r="H44" s="213" t="s">
        <v>1138</v>
      </c>
      <c r="I44" s="215" t="n">
        <f aca="false">IF(OR($D44=1,$E44=1),SUM(INDEX(Model!$K$13:$DE$56,$A44-12,0))+SUM(INDEX(Model!$K$60:$DE$103,$A44-12,0)),0)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1137</v>
      </c>
      <c r="D45" s="340" t="n">
        <v>1</v>
      </c>
      <c r="E45" s="340" t="n">
        <v>0</v>
      </c>
      <c r="F45" s="342" t="n">
        <v>0</v>
      </c>
      <c r="G45" s="345" t="n">
        <f aca="false">Retention!$F$43</f>
        <v>98</v>
      </c>
      <c r="H45" s="341" t="s">
        <v>1138</v>
      </c>
      <c r="I45" s="340" t="n">
        <f aca="false">IF(OR($D45=1,$E45=1),SUM(INDEX(Model!$K$13:$DE$56,$A45-12,0))+SUM(INDEX(Model!$K$60:$DE$103,$A45-12,0)),0)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1137</v>
      </c>
      <c r="D46" s="215" t="n">
        <v>1</v>
      </c>
      <c r="E46" s="215" t="n">
        <v>0</v>
      </c>
      <c r="F46" s="338" t="n">
        <v>0</v>
      </c>
      <c r="G46" s="344" t="n">
        <f aca="false">Retention!$F$44</f>
        <v>100</v>
      </c>
      <c r="H46" s="213" t="s">
        <v>1138</v>
      </c>
      <c r="I46" s="215" t="n">
        <f aca="false">IF(OR($D46=1,$E46=1),SUM(INDEX(Model!$K$13:$DE$56,$A46-12,0))+SUM(INDEX(Model!$K$60:$DE$103,$A46-12,0)),0)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1139</v>
      </c>
      <c r="D47" s="340" t="n">
        <v>0</v>
      </c>
      <c r="E47" s="340" t="n">
        <v>0</v>
      </c>
      <c r="F47" s="342" t="n">
        <v>0</v>
      </c>
      <c r="G47" s="340" t="n">
        <v>0</v>
      </c>
      <c r="I47" s="340" t="n">
        <f aca="false">IF(OR($D47=1,$E47=1),SUM(INDEX(Model!$K$13:$DE$56,$A47-12,0))+SUM(INDEX(Model!$K$60:$DE$103,$A47-12,0)),0)</f>
        <v>0</v>
      </c>
      <c r="J47" s="342" t="n">
        <v>0</v>
      </c>
      <c r="K47" s="340" t="n">
        <f aca="false">IF(OR($D47=1,$E47=1),J47+IF(AND($D47=1,$O$1=1),0,I47),0)</f>
        <v>0</v>
      </c>
      <c r="L47" s="343" t="n">
        <v>0</v>
      </c>
    </row>
    <row r="58" customFormat="false" ht="13.5" hidden="false" customHeight="true" outlineLevel="0" collapsed="false">
      <c r="A58" s="346"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6" t="s">
        <v>487</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0</v>
      </c>
      <c r="K104" s="346" t="n">
        <f aca="false">SUM(K60:K103)</f>
        <v>477.759999999835</v>
      </c>
      <c r="L104" s="346" t="n">
        <f aca="false">SUM(L60:L103)</f>
        <v>877.089999999618</v>
      </c>
      <c r="M104" s="346" t="n">
        <f aca="false">SUM(M60:M103)</f>
        <v>1257.46999999927</v>
      </c>
      <c r="N104" s="346" t="n">
        <f aca="false">SUM(N60:N103)</f>
        <v>1711.50999999978</v>
      </c>
      <c r="O104" s="346" t="n">
        <f aca="false">SUM(O60:O103)</f>
        <v>2154.5699999989</v>
      </c>
      <c r="P104" s="346" t="n">
        <f aca="false">SUM(P60:P103)</f>
        <v>2651.90999999922</v>
      </c>
      <c r="Q104" s="346" t="n">
        <f aca="false">SUM(Q60:Q103)</f>
        <v>3132.95999999903</v>
      </c>
      <c r="R104" s="346" t="n">
        <f aca="false">SUM(R60:R103)</f>
        <v>3657.06000000145</v>
      </c>
      <c r="S104" s="346" t="n">
        <f aca="false">SUM(S60:S103)</f>
        <v>4165.95000000019</v>
      </c>
      <c r="T104" s="346" t="n">
        <f aca="false">SUM(T60:T103)</f>
        <v>4813.35000000056</v>
      </c>
      <c r="U104" s="346" t="n">
        <f aca="false">SUM(U60:U103)</f>
        <v>5319.16000000015</v>
      </c>
      <c r="V104" s="346" t="n">
        <f aca="false">SUM(V60:V103)</f>
        <v>6229.06000000145</v>
      </c>
      <c r="W104" s="346" t="n">
        <f aca="false">SUM(W60:W103)</f>
        <v>6870.95000000298</v>
      </c>
      <c r="X104" s="346" t="n">
        <f aca="false">SUM(X60:X103)</f>
        <v>7910.41000000015</v>
      </c>
      <c r="Y104" s="346" t="n">
        <f aca="false">SUM(Y60:Y103)</f>
        <v>8560.58999999985</v>
      </c>
      <c r="Z104" s="346" t="n">
        <f aca="false">SUM(Z60:Z103)</f>
        <v>9455.80999999866</v>
      </c>
      <c r="AA104" s="346" t="n">
        <f aca="false">SUM(AA60:AA103)</f>
        <v>10169.8400000017</v>
      </c>
      <c r="AB104" s="346" t="n">
        <f aca="false">SUM(AB60:AB103)</f>
        <v>10612.8900000025</v>
      </c>
      <c r="AC104" s="346" t="n">
        <f aca="false">SUM(AC60:AC103)</f>
        <v>10886.9000000004</v>
      </c>
      <c r="AD104" s="346" t="n">
        <f aca="false">SUM(AD60:AD103)</f>
        <v>11211.3800000008</v>
      </c>
      <c r="AE104" s="346" t="n">
        <f aca="false">SUM(AE60:AE103)</f>
        <v>11515.9200000037</v>
      </c>
      <c r="AF104" s="346" t="n">
        <f aca="false">SUM(AF60:AF103)</f>
        <v>11892.5200000014</v>
      </c>
      <c r="AG104" s="346" t="n">
        <f aca="false">SUM(AG60:AG103)</f>
        <v>12546.5200000014</v>
      </c>
      <c r="AH104" s="346" t="n">
        <f aca="false">SUM(AH60:AH103)</f>
        <v>13153.4800000023</v>
      </c>
      <c r="AI104" s="346" t="n">
        <f aca="false">SUM(AI60:AI103)</f>
        <v>13746.8799999971</v>
      </c>
      <c r="AJ104" s="346" t="n">
        <f aca="false">SUM(AJ60:AJ103)</f>
        <v>14070.6300000008</v>
      </c>
      <c r="AK104" s="346" t="n">
        <f aca="false">SUM(AK60:AK103)</f>
        <v>14339.3800000008</v>
      </c>
      <c r="AL104" s="346" t="n">
        <f aca="false">SUM(AL60:AL103)</f>
        <v>14639.5999999996</v>
      </c>
      <c r="AM104" s="346" t="n">
        <f aca="false">SUM(AM60:AM103)</f>
        <v>14965.9500000011</v>
      </c>
      <c r="AN104" s="346" t="n">
        <f aca="false">SUM(AN60:AN103)</f>
        <v>15053.7600000035</v>
      </c>
      <c r="AO104" s="346" t="n">
        <f aca="false">SUM(AO60:AO103)</f>
        <v>15053.7600000035</v>
      </c>
      <c r="AP104" s="346" t="n">
        <f aca="false">SUM(AP60:AP103)</f>
        <v>15053.7600000035</v>
      </c>
      <c r="AQ104" s="346" t="n">
        <f aca="false">SUM(AQ60:AQ103)</f>
        <v>15053.7600000035</v>
      </c>
      <c r="AR104" s="346" t="n">
        <f aca="false">SUM(AR60:AR103)</f>
        <v>15053.7600000035</v>
      </c>
      <c r="AS104" s="346" t="n">
        <f aca="false">SUM(AS60:AS103)</f>
        <v>15053.7600000035</v>
      </c>
      <c r="AT104" s="346" t="n">
        <f aca="false">SUM(AT60:AT103)</f>
        <v>15053.7600000035</v>
      </c>
      <c r="AU104" s="346" t="n">
        <f aca="false">SUM(AU60:AU103)</f>
        <v>15053.7600000035</v>
      </c>
      <c r="AV104" s="346" t="n">
        <f aca="false">SUM(AV60:AV103)</f>
        <v>15053.7600000035</v>
      </c>
      <c r="AW104" s="346" t="n">
        <f aca="false">SUM(AW60:AW103)</f>
        <v>15053.7600000035</v>
      </c>
      <c r="AX104" s="346" t="n">
        <f aca="false">SUM(AX60:AX103)</f>
        <v>15053.7600000035</v>
      </c>
      <c r="AY104" s="346" t="n">
        <f aca="false">SUM(AY60:AY103)</f>
        <v>15053.7600000035</v>
      </c>
      <c r="AZ104" s="346" t="n">
        <f aca="false">SUM(AZ60:AZ103)</f>
        <v>15053.7600000035</v>
      </c>
      <c r="BA104" s="346" t="n">
        <f aca="false">SUM(BA60:BA103)</f>
        <v>15053.7600000035</v>
      </c>
      <c r="BB104" s="346" t="n">
        <f aca="false">SUM(BB60:BB103)</f>
        <v>15053.7600000035</v>
      </c>
      <c r="BC104" s="346" t="n">
        <f aca="false">SUM(BC60:BC103)</f>
        <v>15053.7600000035</v>
      </c>
      <c r="BD104" s="346" t="n">
        <f aca="false">SUM(BD60:BD103)</f>
        <v>15053.7600000035</v>
      </c>
      <c r="BE104" s="346" t="n">
        <f aca="false">SUM(BE60:BE103)</f>
        <v>15053.7600000035</v>
      </c>
      <c r="BF104" s="346" t="n">
        <f aca="false">SUM(BF60:BF103)</f>
        <v>15053.7600000035</v>
      </c>
      <c r="BG104" s="346" t="n">
        <f aca="false">SUM(BG60:BG103)</f>
        <v>15053.7600000035</v>
      </c>
      <c r="BH104" s="346" t="n">
        <f aca="false">SUM(BH60:BH103)</f>
        <v>15053.7600000035</v>
      </c>
      <c r="BI104" s="346" t="n">
        <f aca="false">SUM(BI60:BI103)</f>
        <v>15053.7600000035</v>
      </c>
      <c r="BJ104" s="346" t="n">
        <f aca="false">SUM(BJ60:BJ103)</f>
        <v>15053.7600000035</v>
      </c>
      <c r="BK104" s="346" t="n">
        <f aca="false">SUM(BK60:BK103)</f>
        <v>15053.7600000035</v>
      </c>
      <c r="BL104" s="346" t="n">
        <f aca="false">SUM(BL60:BL103)</f>
        <v>15053.7600000035</v>
      </c>
      <c r="BM104" s="346" t="n">
        <f aca="false">SUM(BM60:BM103)</f>
        <v>15053.7600000035</v>
      </c>
      <c r="BN104" s="346" t="n">
        <f aca="false">SUM(BN60:BN103)</f>
        <v>15053.7600000035</v>
      </c>
      <c r="BO104" s="346" t="n">
        <f aca="false">SUM(BO60:BO103)</f>
        <v>15053.7600000035</v>
      </c>
      <c r="BP104" s="346" t="n">
        <f aca="false">SUM(BP60:BP103)</f>
        <v>15053.7600000035</v>
      </c>
      <c r="BQ104" s="346" t="n">
        <f aca="false">SUM(BQ60:BQ103)</f>
        <v>15053.7600000035</v>
      </c>
      <c r="BR104" s="346" t="n">
        <f aca="false">SUM(BR60:BR103)</f>
        <v>15053.7600000035</v>
      </c>
      <c r="BS104" s="346" t="n">
        <f aca="false">SUM(BS60:BS103)</f>
        <v>15053.7600000035</v>
      </c>
      <c r="BT104" s="346" t="n">
        <f aca="false">SUM(BT60:BT103)</f>
        <v>15053.7600000035</v>
      </c>
      <c r="BU104" s="346" t="n">
        <f aca="false">SUM(BU60:BU103)</f>
        <v>15053.7600000035</v>
      </c>
      <c r="BV104" s="346" t="n">
        <f aca="false">SUM(BV60:BV103)</f>
        <v>15053.7600000035</v>
      </c>
      <c r="BW104" s="346" t="n">
        <f aca="false">SUM(BW60:BW103)</f>
        <v>15053.7600000035</v>
      </c>
      <c r="BX104" s="346" t="n">
        <f aca="false">SUM(BX60:BX103)</f>
        <v>15053.7600000035</v>
      </c>
      <c r="BY104" s="346" t="n">
        <f aca="false">SUM(BY60:BY103)</f>
        <v>15053.7600000035</v>
      </c>
      <c r="BZ104" s="346" t="n">
        <f aca="false">SUM(BZ60:BZ103)</f>
        <v>15053.7600000035</v>
      </c>
      <c r="CA104" s="346" t="n">
        <f aca="false">SUM(CA60:CA103)</f>
        <v>15053.7600000035</v>
      </c>
      <c r="CB104" s="346" t="n">
        <f aca="false">SUM(CB60:CB103)</f>
        <v>15053.7600000035</v>
      </c>
      <c r="CC104" s="346" t="n">
        <f aca="false">SUM(CC60:CC103)</f>
        <v>15053.7600000035</v>
      </c>
      <c r="CD104" s="346" t="n">
        <f aca="false">SUM(CD60:CD103)</f>
        <v>15053.7600000035</v>
      </c>
      <c r="CE104" s="346" t="n">
        <f aca="false">SUM(CE60:CE103)</f>
        <v>15053.7600000035</v>
      </c>
      <c r="CF104" s="346" t="n">
        <f aca="false">SUM(CF60:CF103)</f>
        <v>15053.7600000035</v>
      </c>
      <c r="CG104" s="346" t="n">
        <f aca="false">SUM(CG60:CG103)</f>
        <v>15053.7600000035</v>
      </c>
      <c r="CH104" s="346" t="n">
        <f aca="false">SUM(CH60:CH103)</f>
        <v>15053.7600000035</v>
      </c>
      <c r="CI104" s="346" t="n">
        <f aca="false">SUM(CI60:CI103)</f>
        <v>15053.7600000035</v>
      </c>
      <c r="CJ104" s="346" t="n">
        <f aca="false">SUM(CJ60:CJ103)</f>
        <v>15053.7600000035</v>
      </c>
      <c r="CK104" s="346" t="n">
        <f aca="false">SUM(CK60:CK103)</f>
        <v>15053.7600000035</v>
      </c>
      <c r="CL104" s="346" t="n">
        <f aca="false">SUM(CL60:CL103)</f>
        <v>15053.7600000035</v>
      </c>
      <c r="CM104" s="346" t="n">
        <f aca="false">SUM(CM60:CM103)</f>
        <v>15053.7600000035</v>
      </c>
      <c r="CN104" s="346" t="n">
        <f aca="false">SUM(CN60:CN103)</f>
        <v>15053.7600000035</v>
      </c>
      <c r="CO104" s="346" t="n">
        <f aca="false">SUM(CO60:CO103)</f>
        <v>15053.7600000035</v>
      </c>
      <c r="CP104" s="346" t="n">
        <f aca="false">SUM(CP60:CP103)</f>
        <v>15053.7600000035</v>
      </c>
      <c r="CQ104" s="346" t="n">
        <f aca="false">SUM(CQ60:CQ103)</f>
        <v>15053.7600000035</v>
      </c>
      <c r="CR104" s="346" t="n">
        <f aca="false">SUM(CR60:CR103)</f>
        <v>15053.7600000035</v>
      </c>
      <c r="CS104" s="346" t="n">
        <f aca="false">SUM(CS60:CS103)</f>
        <v>15053.7600000035</v>
      </c>
      <c r="CT104" s="346" t="n">
        <f aca="false">SUM(CT60:CT103)</f>
        <v>15053.7600000035</v>
      </c>
      <c r="CU104" s="346" t="n">
        <f aca="false">SUM(CU60:CU103)</f>
        <v>15053.7600000035</v>
      </c>
      <c r="CV104" s="346" t="n">
        <f aca="false">SUM(CV60:CV103)</f>
        <v>15053.7600000035</v>
      </c>
      <c r="CW104" s="346" t="n">
        <f aca="false">SUM(CW60:CW103)</f>
        <v>15053.7600000035</v>
      </c>
      <c r="CX104" s="346" t="n">
        <f aca="false">SUM(CX60:CX103)</f>
        <v>15053.7600000035</v>
      </c>
      <c r="CY104" s="346" t="n">
        <f aca="false">SUM(CY60:CY103)</f>
        <v>15053.7600000035</v>
      </c>
      <c r="CZ104" s="346" t="n">
        <f aca="false">SUM(CZ60:CZ103)</f>
        <v>15053.7600000035</v>
      </c>
      <c r="DA104" s="346" t="n">
        <f aca="false">SUM(DA60:DA103)</f>
        <v>15053.7600000035</v>
      </c>
      <c r="DB104" s="346" t="n">
        <f aca="false">SUM(DB60:DB103)</f>
        <v>15053.7600000035</v>
      </c>
      <c r="DC104" s="346" t="n">
        <f aca="false">SUM(DC60:DC103)</f>
        <v>15053.7600000035</v>
      </c>
      <c r="DD104" s="346" t="n">
        <f aca="false">SUM(DD60:DD103)</f>
        <v>15053.7600000035</v>
      </c>
      <c r="DE104" s="346"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1142</v>
      </c>
    </row>
    <row r="2" customFormat="false" ht="13.5" hidden="false" customHeight="true" outlineLevel="0" collapsed="false">
      <c r="A2" s="205" t="s">
        <v>1143</v>
      </c>
    </row>
    <row r="4" customFormat="false" ht="13.5" hidden="false" customHeight="true" outlineLevel="0" collapsed="false">
      <c r="A4" s="209" t="s">
        <v>1144</v>
      </c>
      <c r="B4" s="210"/>
      <c r="C4" s="210"/>
      <c r="D4" s="210"/>
      <c r="E4" s="210"/>
      <c r="F4" s="210"/>
    </row>
    <row r="5" customFormat="false" ht="13.5" hidden="false" customHeight="true" outlineLevel="0" collapsed="false">
      <c r="A5" s="109" t="s">
        <v>1145</v>
      </c>
      <c r="B5" s="347" t="n">
        <v>0.875</v>
      </c>
    </row>
    <row r="6" customFormat="false" ht="13.5" hidden="false" customHeight="true" outlineLevel="0" collapsed="false">
      <c r="A6" s="109" t="s">
        <v>1146</v>
      </c>
      <c r="B6" s="347" t="n">
        <v>0.5</v>
      </c>
    </row>
    <row r="7" customFormat="false" ht="13.5" hidden="false" customHeight="true" outlineLevel="0" collapsed="false">
      <c r="A7" s="109" t="s">
        <v>1147</v>
      </c>
      <c r="B7" s="347" t="n">
        <v>0.25</v>
      </c>
    </row>
    <row r="8" customFormat="false" ht="13.5" hidden="false" customHeight="true" outlineLevel="0" collapsed="false">
      <c r="A8" s="109" t="s">
        <v>1148</v>
      </c>
      <c r="B8" s="347" t="n">
        <v>0.165</v>
      </c>
    </row>
    <row r="9" customFormat="false" ht="13.5" hidden="false" customHeight="true" outlineLevel="0" collapsed="false">
      <c r="A9" s="109" t="s">
        <v>1149</v>
      </c>
      <c r="B9" s="347" t="n">
        <v>0.5</v>
      </c>
    </row>
    <row r="10" customFormat="false" ht="13.5" hidden="false" customHeight="true" outlineLevel="0" collapsed="false">
      <c r="A10" s="109" t="s">
        <v>1150</v>
      </c>
      <c r="B10" s="347" t="n">
        <v>0.2</v>
      </c>
    </row>
    <row r="11" customFormat="false" ht="13.5" hidden="false" customHeight="true" outlineLevel="0" collapsed="false">
      <c r="A11" s="109" t="s">
        <v>1151</v>
      </c>
      <c r="B11" s="347" t="n">
        <v>0.5</v>
      </c>
    </row>
    <row r="12" customFormat="false" ht="13.5" hidden="false" customHeight="true" outlineLevel="0" collapsed="false">
      <c r="A12" s="109" t="s">
        <v>1152</v>
      </c>
      <c r="B12" s="348" t="n">
        <v>25000000</v>
      </c>
    </row>
    <row r="13" customFormat="false" ht="13.5" hidden="false" customHeight="true" outlineLevel="0" collapsed="false">
      <c r="A13" s="109" t="s">
        <v>1153</v>
      </c>
      <c r="B13" s="348" t="n">
        <v>10000000</v>
      </c>
    </row>
    <row r="14" customFormat="false" ht="13.5" hidden="false" customHeight="true" outlineLevel="0" collapsed="false">
      <c r="A14" s="109" t="s">
        <v>1154</v>
      </c>
      <c r="B14" s="347" t="n">
        <v>0</v>
      </c>
      <c r="C14" s="208" t="s">
        <v>1155</v>
      </c>
    </row>
    <row r="15" customFormat="false" ht="13.5" hidden="false" customHeight="true" outlineLevel="0" collapsed="false">
      <c r="A15" s="109" t="s">
        <v>1156</v>
      </c>
      <c r="B15" s="347" t="n">
        <v>0</v>
      </c>
    </row>
    <row r="16" customFormat="false" ht="13.5" hidden="false" customHeight="true" outlineLevel="0" collapsed="false">
      <c r="A16" s="109" t="s">
        <v>1157</v>
      </c>
      <c r="B16" s="347" t="n">
        <v>0</v>
      </c>
    </row>
    <row r="17" customFormat="false" ht="13.5" hidden="false" customHeight="true" outlineLevel="0" collapsed="false">
      <c r="A17" s="109" t="s">
        <v>1158</v>
      </c>
      <c r="B17" s="347" t="n">
        <v>1</v>
      </c>
    </row>
    <row r="18" customFormat="false" ht="13.5" hidden="false" customHeight="true" outlineLevel="0" collapsed="false">
      <c r="A18" s="109" t="s">
        <v>1159</v>
      </c>
      <c r="B18" s="347" t="n">
        <v>0.25</v>
      </c>
    </row>
    <row r="19" customFormat="false" ht="13.5" hidden="false" customHeight="true" outlineLevel="0" collapsed="false">
      <c r="A19" s="109" t="s">
        <v>1160</v>
      </c>
      <c r="B19" s="347" t="n">
        <v>6</v>
      </c>
      <c r="C19" s="208" t="s">
        <v>1161</v>
      </c>
    </row>
    <row r="20" customFormat="false" ht="13.5" hidden="false" customHeight="true" outlineLevel="0" collapsed="false">
      <c r="A20" s="109" t="s">
        <v>1162</v>
      </c>
      <c r="B20" s="347" t="n">
        <v>4</v>
      </c>
    </row>
    <row r="21" customFormat="false" ht="13.5" hidden="false" customHeight="true" outlineLevel="0" collapsed="false">
      <c r="A21" s="109" t="s">
        <v>1163</v>
      </c>
      <c r="B21" s="349" t="n">
        <v>0.075</v>
      </c>
    </row>
    <row r="22" customFormat="false" ht="13.5" hidden="false" customHeight="true" outlineLevel="0" collapsed="false">
      <c r="A22" s="109" t="s">
        <v>1164</v>
      </c>
      <c r="B22" s="347" t="n">
        <v>11</v>
      </c>
    </row>
    <row r="23" customFormat="false" ht="13.5" hidden="false" customHeight="true" outlineLevel="0" collapsed="false">
      <c r="A23" s="109" t="s">
        <v>1165</v>
      </c>
      <c r="B23" s="347" t="n">
        <v>13</v>
      </c>
    </row>
    <row r="25" customFormat="false" ht="13.5" hidden="false" customHeight="true" outlineLevel="0" collapsed="false">
      <c r="A25" s="209" t="s">
        <v>1166</v>
      </c>
      <c r="B25" s="210"/>
      <c r="C25" s="210"/>
      <c r="D25" s="210"/>
      <c r="E25" s="210"/>
      <c r="F25" s="210"/>
    </row>
    <row r="26" customFormat="false" ht="13.5" hidden="false" customHeight="true" outlineLevel="0" collapsed="false">
      <c r="A26" s="109" t="s">
        <v>720</v>
      </c>
      <c r="B26" s="348" t="n">
        <v>160000</v>
      </c>
    </row>
    <row r="27" customFormat="false" ht="13.5" hidden="false" customHeight="true" outlineLevel="0" collapsed="false">
      <c r="A27" s="109" t="s">
        <v>1167</v>
      </c>
      <c r="B27" s="348" t="n">
        <v>125000</v>
      </c>
    </row>
    <row r="28" customFormat="false" ht="13.5" hidden="false" customHeight="true" outlineLevel="0" collapsed="false">
      <c r="A28" s="109" t="s">
        <v>716</v>
      </c>
      <c r="B28" s="348" t="n">
        <v>130000</v>
      </c>
    </row>
    <row r="29" customFormat="false" ht="13.5" hidden="false" customHeight="true" outlineLevel="0" collapsed="false">
      <c r="A29" s="109" t="s">
        <v>660</v>
      </c>
      <c r="B29" s="348" t="n">
        <v>180000</v>
      </c>
    </row>
    <row r="30" customFormat="false" ht="13.5" hidden="false" customHeight="true" outlineLevel="0" collapsed="false">
      <c r="A30" s="109" t="s">
        <v>1168</v>
      </c>
      <c r="B30" s="348" t="n">
        <v>80000</v>
      </c>
    </row>
    <row r="32" customFormat="false" ht="13.5" hidden="false" customHeight="true" outlineLevel="0" collapsed="false">
      <c r="A32" s="209" t="s">
        <v>1169</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1170</v>
      </c>
      <c r="B36" s="210"/>
      <c r="C36" s="210"/>
      <c r="D36" s="210"/>
      <c r="E36" s="210"/>
      <c r="F36" s="210"/>
    </row>
    <row r="37" customFormat="false" ht="13.5" hidden="false" customHeight="true" outlineLevel="0" collapsed="false">
      <c r="A37" s="109" t="s">
        <v>1171</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11</v>
      </c>
      <c r="R37" s="351" t="n">
        <f aca="false">SUMPRODUCT((Projects!$G$2:$G$45="Yes")*(14&gt;=Projects!$C$2:$C$45)*(14&lt;=Projects!$W$2:$W$45))</f>
        <v>11</v>
      </c>
      <c r="S37" s="351" t="n">
        <f aca="false">SUMPRODUCT((Projects!$G$2:$G$45="Yes")*(15&gt;=Projects!$C$2:$C$45)*(15&lt;=Projects!$W$2:$W$45))</f>
        <v>12</v>
      </c>
      <c r="T37" s="351" t="n">
        <f aca="false">SUMPRODUCT((Projects!$G$2:$G$45="Yes")*(16&gt;=Projects!$C$2:$C$45)*(16&lt;=Projects!$W$2:$W$45))</f>
        <v>11</v>
      </c>
      <c r="U37" s="351" t="n">
        <f aca="false">SUMPRODUCT((Projects!$G$2:$G$45="Yes")*(17&gt;=Projects!$C$2:$C$45)*(17&lt;=Projects!$W$2:$W$45))</f>
        <v>11</v>
      </c>
      <c r="V37" s="351" t="n">
        <f aca="false">SUMPRODUCT((Projects!$G$2:$G$45="Yes")*(18&gt;=Projects!$C$2:$C$45)*(18&lt;=Projects!$W$2:$W$45))</f>
        <v>10</v>
      </c>
      <c r="W37" s="351" t="n">
        <f aca="false">SUMPRODUCT((Projects!$G$2:$G$45="Yes")*(19&gt;=Projects!$C$2:$C$45)*(19&lt;=Projects!$W$2:$W$45))</f>
        <v>9</v>
      </c>
      <c r="X37" s="351" t="n">
        <f aca="false">SUMPRODUCT((Projects!$G$2:$G$45="Yes")*(20&gt;=Projects!$C$2:$C$45)*(20&lt;=Projects!$W$2:$W$45))</f>
        <v>8</v>
      </c>
      <c r="Y37" s="351" t="n">
        <f aca="false">SUMPRODUCT((Projects!$G$2:$G$45="Yes")*(21&gt;=Projects!$C$2:$C$45)*(21&lt;=Projects!$W$2:$W$45))</f>
        <v>8</v>
      </c>
      <c r="Z37" s="351" t="n">
        <f aca="false">SUMPRODUCT((Projects!$G$2:$G$45="Yes")*(22&gt;=Projects!$C$2:$C$45)*(22&lt;=Projects!$W$2:$W$45))</f>
        <v>8</v>
      </c>
      <c r="AA37" s="351" t="n">
        <f aca="false">SUMPRODUCT((Projects!$G$2:$G$45="Yes")*(23&gt;=Projects!$C$2:$C$45)*(23&lt;=Projects!$W$2:$W$45))</f>
        <v>8</v>
      </c>
      <c r="AB37" s="351" t="n">
        <f aca="false">SUMPRODUCT((Projects!$G$2:$G$45="Yes")*(24&gt;=Projects!$C$2:$C$45)*(24&lt;=Projects!$W$2:$W$45))</f>
        <v>7</v>
      </c>
      <c r="AC37" s="351" t="n">
        <f aca="false">SUMPRODUCT((Projects!$G$2:$G$45="Yes")*(25&gt;=Projects!$C$2:$C$45)*(25&lt;=Projects!$W$2:$W$45))</f>
        <v>6</v>
      </c>
      <c r="AD37" s="351" t="n">
        <f aca="false">SUMPRODUCT((Projects!$G$2:$G$45="Yes")*(26&gt;=Projects!$C$2:$C$45)*(26&lt;=Projects!$W$2:$W$45))</f>
        <v>6</v>
      </c>
      <c r="AE37" s="351" t="n">
        <f aca="false">SUMPRODUCT((Projects!$G$2:$G$45="Yes")*(27&gt;=Projects!$C$2:$C$45)*(27&lt;=Projects!$W$2:$W$45))</f>
        <v>6</v>
      </c>
      <c r="AF37" s="351" t="n">
        <f aca="false">SUMPRODUCT((Projects!$G$2:$G$45="Yes")*(28&gt;=Projects!$C$2:$C$45)*(28&lt;=Projects!$W$2:$W$45))</f>
        <v>6</v>
      </c>
      <c r="AG37" s="351" t="n">
        <f aca="false">SUMPRODUCT((Projects!$G$2:$G$45="Yes")*(29&gt;=Projects!$C$2:$C$45)*(29&lt;=Projects!$W$2:$W$45))</f>
        <v>4</v>
      </c>
      <c r="AH37" s="351" t="n">
        <f aca="false">SUMPRODUCT((Projects!$G$2:$G$45="Yes")*(30&gt;=Projects!$C$2:$C$45)*(30&lt;=Projects!$W$2:$W$45))</f>
        <v>3</v>
      </c>
      <c r="AI37" s="351" t="n">
        <f aca="false">SUMPRODUCT((Projects!$G$2:$G$45="Yes")*(31&gt;=Projects!$C$2:$C$45)*(31&lt;=Projects!$W$2:$W$45))</f>
        <v>3</v>
      </c>
      <c r="AJ37" s="351" t="n">
        <f aca="false">SUMPRODUCT((Projects!$G$2:$G$45="Yes")*(32&gt;=Projects!$C$2:$C$45)*(32&lt;=Projects!$W$2:$W$45))</f>
        <v>3</v>
      </c>
      <c r="AK37" s="351" t="n">
        <f aca="false">SUMPRODUCT((Projects!$G$2:$G$45="Yes")*(33&gt;=Projects!$C$2:$C$45)*(33&lt;=Projects!$W$2:$W$45))</f>
        <v>2</v>
      </c>
      <c r="AL37" s="351" t="n">
        <f aca="false">SUMPRODUCT((Projects!$G$2:$G$45="Yes")*(34&gt;=Projects!$C$2:$C$45)*(34&lt;=Projects!$W$2:$W$45))</f>
        <v>2</v>
      </c>
      <c r="AM37" s="351" t="n">
        <f aca="false">SUMPRODUCT((Projects!$G$2:$G$45="Yes")*(35&gt;=Projects!$C$2:$C$45)*(35&lt;=Projects!$W$2:$W$45))</f>
        <v>2</v>
      </c>
      <c r="AN37" s="351" t="n">
        <f aca="false">SUMPRODUCT((Projects!$G$2:$G$45="Yes")*(36&gt;=Projects!$C$2:$C$45)*(36&lt;=Projects!$W$2:$W$45))</f>
        <v>2</v>
      </c>
      <c r="AO37" s="351" t="n">
        <f aca="false">SUMPRODUCT((Projects!$G$2:$G$45="Yes")*(37&gt;=Projects!$C$2:$C$45)*(37&lt;=Projects!$W$2:$W$45))</f>
        <v>1</v>
      </c>
      <c r="AP37" s="351" t="n">
        <f aca="false">SUMPRODUCT((Projects!$G$2:$G$45="Yes")*(38&gt;=Projects!$C$2:$C$45)*(38&lt;=Projects!$W$2:$W$45))</f>
        <v>1</v>
      </c>
      <c r="AQ37" s="351" t="n">
        <f aca="false">SUMPRODUCT((Projects!$G$2:$G$45="Yes")*(39&gt;=Projects!$C$2:$C$45)*(39&lt;=Projects!$W$2:$W$45))</f>
        <v>1</v>
      </c>
      <c r="AR37" s="351" t="n">
        <f aca="false">SUMPRODUCT((Projects!$G$2:$G$45="Yes")*(40&gt;=Projects!$C$2:$C$45)*(40&lt;=Projects!$W$2:$W$45))</f>
        <v>1</v>
      </c>
      <c r="AS37" s="351" t="n">
        <f aca="false">SUMPRODUCT((Projects!$G$2:$G$45="Yes")*(41&gt;=Projects!$C$2:$C$45)*(41&lt;=Projects!$W$2:$W$45))</f>
        <v>1</v>
      </c>
      <c r="AT37" s="351" t="n">
        <f aca="false">SUMPRODUCT((Projects!$G$2:$G$45="Yes")*(42&gt;=Projects!$C$2:$C$45)*(42&lt;=Projects!$W$2:$W$45))</f>
        <v>1</v>
      </c>
      <c r="AU37" s="351" t="n">
        <f aca="false">SUMPRODUCT((Projects!$G$2:$G$45="Yes")*(43&gt;=Projects!$C$2:$C$45)*(43&lt;=Projects!$W$2:$W$45))</f>
        <v>1</v>
      </c>
      <c r="AV37" s="351" t="n">
        <f aca="false">SUMPRODUCT((Projects!$G$2:$G$45="Yes")*(44&gt;=Projects!$C$2:$C$45)*(44&lt;=Projects!$W$2:$W$45))</f>
        <v>1</v>
      </c>
      <c r="AW37" s="351" t="n">
        <f aca="false">SUMPRODUCT((Projects!$G$2:$G$45="Yes")*(45&gt;=Projects!$C$2:$C$45)*(45&lt;=Projects!$W$2:$W$45))</f>
        <v>0</v>
      </c>
      <c r="AX37" s="351" t="n">
        <f aca="false">SUMPRODUCT((Projects!$G$2:$G$45="Yes")*(46&gt;=Projects!$C$2:$C$45)*(46&lt;=Projects!$W$2:$W$45))</f>
        <v>0</v>
      </c>
      <c r="AY37" s="351" t="n">
        <f aca="false">SUMPRODUCT((Projects!$G$2:$G$45="Yes")*(47&gt;=Projects!$C$2:$C$45)*(47&lt;=Projects!$W$2:$W$45))</f>
        <v>0</v>
      </c>
      <c r="AZ37" s="351" t="n">
        <f aca="false">SUMPRODUCT((Projects!$G$2:$G$45="Yes")*(48&gt;=Projects!$C$2:$C$45)*(48&lt;=Projects!$W$2:$W$45))</f>
        <v>0</v>
      </c>
      <c r="BA37" s="351" t="n">
        <f aca="false">SUMPRODUCT((Projects!$G$2:$G$45="Yes")*(49&gt;=Projects!$C$2:$C$45)*(49&lt;=Projects!$W$2:$W$45))</f>
        <v>0</v>
      </c>
      <c r="BB37" s="351" t="n">
        <f aca="false">SUMPRODUCT((Projects!$G$2:$G$45="Yes")*(50&gt;=Projects!$C$2:$C$45)*(50&lt;=Projects!$W$2:$W$45))</f>
        <v>0</v>
      </c>
      <c r="BC37" s="351" t="n">
        <f aca="false">SUMPRODUCT((Projects!$G$2:$G$45="Yes")*(51&gt;=Projects!$C$2:$C$45)*(51&lt;=Projects!$W$2:$W$45))</f>
        <v>0</v>
      </c>
      <c r="BD37" s="351" t="n">
        <f aca="false">SUMPRODUCT((Projects!$G$2:$G$45="Yes")*(52&gt;=Projects!$C$2:$C$45)*(52&lt;=Projects!$W$2:$W$45))</f>
        <v>0</v>
      </c>
      <c r="BE37" s="351" t="n">
        <f aca="false">SUMPRODUCT((Projects!$G$2:$G$45="Yes")*(53&gt;=Projects!$C$2:$C$45)*(53&lt;=Projects!$W$2:$W$45))</f>
        <v>0</v>
      </c>
      <c r="BF37" s="351" t="n">
        <f aca="false">SUMPRODUCT((Projects!$G$2:$G$45="Yes")*(54&gt;=Projects!$C$2:$C$45)*(54&lt;=Projects!$W$2:$W$45))</f>
        <v>0</v>
      </c>
      <c r="BG37" s="351" t="n">
        <f aca="false">SUMPRODUCT((Projects!$G$2:$G$45="Yes")*(55&gt;=Projects!$C$2:$C$45)*(55&lt;=Projects!$W$2:$W$45))</f>
        <v>0</v>
      </c>
      <c r="BH37" s="351" t="n">
        <f aca="false">SUMPRODUCT((Projects!$G$2:$G$45="Yes")*(56&gt;=Projects!$C$2:$C$45)*(56&lt;=Projects!$W$2:$W$45))</f>
        <v>0</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1172</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9.625</v>
      </c>
      <c r="R38" s="351" t="n">
        <f aca="false">SUMPRODUCT((Projects!$G$2:$G$45="Yes")*(14&gt;=Projects!$C$2:$C$45-$B$14)*(14&lt;=Projects!$W$2:$W$45+$B$17))*$B$5</f>
        <v>9.625</v>
      </c>
      <c r="S38" s="351" t="n">
        <f aca="false">SUMPRODUCT((Projects!$G$2:$G$45="Yes")*(15&gt;=Projects!$C$2:$C$45-$B$14)*(15&lt;=Projects!$W$2:$W$45+$B$17))*$B$5</f>
        <v>10.5</v>
      </c>
      <c r="T38" s="351" t="n">
        <f aca="false">SUMPRODUCT((Projects!$G$2:$G$45="Yes")*(16&gt;=Projects!$C$2:$C$45-$B$14)*(16&lt;=Projects!$W$2:$W$45+$B$17))*$B$5</f>
        <v>10.5</v>
      </c>
      <c r="U38" s="351" t="n">
        <f aca="false">SUMPRODUCT((Projects!$G$2:$G$45="Yes")*(17&gt;=Projects!$C$2:$C$45-$B$14)*(17&lt;=Projects!$W$2:$W$45+$B$17))*$B$5</f>
        <v>9.625</v>
      </c>
      <c r="V38" s="351" t="n">
        <f aca="false">SUMPRODUCT((Projects!$G$2:$G$45="Yes")*(18&gt;=Projects!$C$2:$C$45-$B$14)*(18&lt;=Projects!$W$2:$W$45+$B$17))*$B$5</f>
        <v>9.625</v>
      </c>
      <c r="W38" s="351" t="n">
        <f aca="false">SUMPRODUCT((Projects!$G$2:$G$45="Yes")*(19&gt;=Projects!$C$2:$C$45-$B$14)*(19&lt;=Projects!$W$2:$W$45+$B$17))*$B$5</f>
        <v>8.75</v>
      </c>
      <c r="X38" s="351" t="n">
        <f aca="false">SUMPRODUCT((Projects!$G$2:$G$45="Yes")*(20&gt;=Projects!$C$2:$C$45-$B$14)*(20&lt;=Projects!$W$2:$W$45+$B$17))*$B$5</f>
        <v>7.875</v>
      </c>
      <c r="Y38" s="351" t="n">
        <f aca="false">SUMPRODUCT((Projects!$G$2:$G$45="Yes")*(21&gt;=Projects!$C$2:$C$45-$B$14)*(21&lt;=Projects!$W$2:$W$45+$B$17))*$B$5</f>
        <v>7</v>
      </c>
      <c r="Z38" s="351" t="n">
        <f aca="false">SUMPRODUCT((Projects!$G$2:$G$45="Yes")*(22&gt;=Projects!$C$2:$C$45-$B$14)*(22&lt;=Projects!$W$2:$W$45+$B$17))*$B$5</f>
        <v>7</v>
      </c>
      <c r="AA38" s="351" t="n">
        <f aca="false">SUMPRODUCT((Projects!$G$2:$G$45="Yes")*(23&gt;=Projects!$C$2:$C$45-$B$14)*(23&lt;=Projects!$W$2:$W$45+$B$17))*$B$5</f>
        <v>7</v>
      </c>
      <c r="AB38" s="351" t="n">
        <f aca="false">SUMPRODUCT((Projects!$G$2:$G$45="Yes")*(24&gt;=Projects!$C$2:$C$45-$B$14)*(24&lt;=Projects!$W$2:$W$45+$B$17))*$B$5</f>
        <v>7</v>
      </c>
      <c r="AC38" s="351" t="n">
        <f aca="false">SUMPRODUCT((Projects!$G$2:$G$45="Yes")*(25&gt;=Projects!$C$2:$C$45-$B$14)*(25&lt;=Projects!$W$2:$W$45+$B$17))*$B$5</f>
        <v>6.125</v>
      </c>
      <c r="AD38" s="351" t="n">
        <f aca="false">SUMPRODUCT((Projects!$G$2:$G$45="Yes")*(26&gt;=Projects!$C$2:$C$45-$B$14)*(26&lt;=Projects!$W$2:$W$45+$B$17))*$B$5</f>
        <v>5.25</v>
      </c>
      <c r="AE38" s="351" t="n">
        <f aca="false">SUMPRODUCT((Projects!$G$2:$G$45="Yes")*(27&gt;=Projects!$C$2:$C$45-$B$14)*(27&lt;=Projects!$W$2:$W$45+$B$17))*$B$5</f>
        <v>5.25</v>
      </c>
      <c r="AF38" s="351" t="n">
        <f aca="false">SUMPRODUCT((Projects!$G$2:$G$45="Yes")*(28&gt;=Projects!$C$2:$C$45-$B$14)*(28&lt;=Projects!$W$2:$W$45+$B$17))*$B$5</f>
        <v>5.25</v>
      </c>
      <c r="AG38" s="351" t="n">
        <f aca="false">SUMPRODUCT((Projects!$G$2:$G$45="Yes")*(29&gt;=Projects!$C$2:$C$45-$B$14)*(29&lt;=Projects!$W$2:$W$45+$B$17))*$B$5</f>
        <v>5.25</v>
      </c>
      <c r="AH38" s="351" t="n">
        <f aca="false">SUMPRODUCT((Projects!$G$2:$G$45="Yes")*(30&gt;=Projects!$C$2:$C$45-$B$14)*(30&lt;=Projects!$W$2:$W$45+$B$17))*$B$5</f>
        <v>3.5</v>
      </c>
      <c r="AI38" s="351" t="n">
        <f aca="false">SUMPRODUCT((Projects!$G$2:$G$45="Yes")*(31&gt;=Projects!$C$2:$C$45-$B$14)*(31&lt;=Projects!$W$2:$W$45+$B$17))*$B$5</f>
        <v>2.625</v>
      </c>
      <c r="AJ38" s="351" t="n">
        <f aca="false">SUMPRODUCT((Projects!$G$2:$G$45="Yes")*(32&gt;=Projects!$C$2:$C$45-$B$14)*(32&lt;=Projects!$W$2:$W$45+$B$17))*$B$5</f>
        <v>2.625</v>
      </c>
      <c r="AK38" s="351" t="n">
        <f aca="false">SUMPRODUCT((Projects!$G$2:$G$45="Yes")*(33&gt;=Projects!$C$2:$C$45-$B$14)*(33&lt;=Projects!$W$2:$W$45+$B$17))*$B$5</f>
        <v>2.625</v>
      </c>
      <c r="AL38" s="351" t="n">
        <f aca="false">SUMPRODUCT((Projects!$G$2:$G$45="Yes")*(34&gt;=Projects!$C$2:$C$45-$B$14)*(34&lt;=Projects!$W$2:$W$45+$B$17))*$B$5</f>
        <v>1.75</v>
      </c>
      <c r="AM38" s="351" t="n">
        <f aca="false">SUMPRODUCT((Projects!$G$2:$G$45="Yes")*(35&gt;=Projects!$C$2:$C$45-$B$14)*(35&lt;=Projects!$W$2:$W$45+$B$17))*$B$5</f>
        <v>1.75</v>
      </c>
      <c r="AN38" s="351" t="n">
        <f aca="false">SUMPRODUCT((Projects!$G$2:$G$45="Yes")*(36&gt;=Projects!$C$2:$C$45-$B$14)*(36&lt;=Projects!$W$2:$W$45+$B$17))*$B$5</f>
        <v>1.75</v>
      </c>
      <c r="AO38" s="351" t="n">
        <f aca="false">SUMPRODUCT((Projects!$G$2:$G$45="Yes")*(37&gt;=Projects!$C$2:$C$45-$B$14)*(37&lt;=Projects!$W$2:$W$45+$B$17))*$B$5</f>
        <v>1.75</v>
      </c>
      <c r="AP38" s="351" t="n">
        <f aca="false">SUMPRODUCT((Projects!$G$2:$G$45="Yes")*(38&gt;=Projects!$C$2:$C$45-$B$14)*(38&lt;=Projects!$W$2:$W$45+$B$17))*$B$5</f>
        <v>0.875</v>
      </c>
      <c r="AQ38" s="351" t="n">
        <f aca="false">SUMPRODUCT((Projects!$G$2:$G$45="Yes")*(39&gt;=Projects!$C$2:$C$45-$B$14)*(39&lt;=Projects!$W$2:$W$45+$B$17))*$B$5</f>
        <v>0.875</v>
      </c>
      <c r="AR38" s="351" t="n">
        <f aca="false">SUMPRODUCT((Projects!$G$2:$G$45="Yes")*(40&gt;=Projects!$C$2:$C$45-$B$14)*(40&lt;=Projects!$W$2:$W$45+$B$17))*$B$5</f>
        <v>0.875</v>
      </c>
      <c r="AS38" s="351" t="n">
        <f aca="false">SUMPRODUCT((Projects!$G$2:$G$45="Yes")*(41&gt;=Projects!$C$2:$C$45-$B$14)*(41&lt;=Projects!$W$2:$W$45+$B$17))*$B$5</f>
        <v>0.875</v>
      </c>
      <c r="AT38" s="351" t="n">
        <f aca="false">SUMPRODUCT((Projects!$G$2:$G$45="Yes")*(42&gt;=Projects!$C$2:$C$45-$B$14)*(42&lt;=Projects!$W$2:$W$45+$B$17))*$B$5</f>
        <v>0.875</v>
      </c>
      <c r="AU38" s="351" t="n">
        <f aca="false">SUMPRODUCT((Projects!$G$2:$G$45="Yes")*(43&gt;=Projects!$C$2:$C$45-$B$14)*(43&lt;=Projects!$W$2:$W$45+$B$17))*$B$5</f>
        <v>0.875</v>
      </c>
      <c r="AV38" s="351" t="n">
        <f aca="false">SUMPRODUCT((Projects!$G$2:$G$45="Yes")*(44&gt;=Projects!$C$2:$C$45-$B$14)*(44&lt;=Projects!$W$2:$W$45+$B$17))*$B$5</f>
        <v>0.875</v>
      </c>
      <c r="AW38" s="351" t="n">
        <f aca="false">SUMPRODUCT((Projects!$G$2:$G$45="Yes")*(45&gt;=Projects!$C$2:$C$45-$B$14)*(45&lt;=Projects!$W$2:$W$45+$B$17))*$B$5</f>
        <v>0.875</v>
      </c>
      <c r="AX38" s="351" t="n">
        <f aca="false">SUMPRODUCT((Projects!$G$2:$G$45="Yes")*(46&gt;=Projects!$C$2:$C$45-$B$14)*(46&lt;=Projects!$W$2:$W$45+$B$17))*$B$5</f>
        <v>0</v>
      </c>
      <c r="AY38" s="351" t="n">
        <f aca="false">SUMPRODUCT((Projects!$G$2:$G$45="Yes")*(47&gt;=Projects!$C$2:$C$45-$B$14)*(47&lt;=Projects!$W$2:$W$45+$B$17))*$B$5</f>
        <v>0</v>
      </c>
      <c r="AZ38" s="351" t="n">
        <f aca="false">SUMPRODUCT((Projects!$G$2:$G$45="Yes")*(48&gt;=Projects!$C$2:$C$45-$B$14)*(48&lt;=Projects!$W$2:$W$45+$B$17))*$B$5</f>
        <v>0</v>
      </c>
      <c r="BA38" s="351" t="n">
        <f aca="false">SUMPRODUCT((Projects!$G$2:$G$45="Yes")*(49&gt;=Projects!$C$2:$C$45-$B$14)*(49&lt;=Projects!$W$2:$W$45+$B$17))*$B$5</f>
        <v>0</v>
      </c>
      <c r="BB38" s="351" t="n">
        <f aca="false">SUMPRODUCT((Projects!$G$2:$G$45="Yes")*(50&gt;=Projects!$C$2:$C$45-$B$14)*(50&lt;=Projects!$W$2:$W$45+$B$17))*$B$5</f>
        <v>0</v>
      </c>
      <c r="BC38" s="351" t="n">
        <f aca="false">SUMPRODUCT((Projects!$G$2:$G$45="Yes")*(51&gt;=Projects!$C$2:$C$45-$B$14)*(51&lt;=Projects!$W$2:$W$45+$B$17))*$B$5</f>
        <v>0</v>
      </c>
      <c r="BD38" s="351" t="n">
        <f aca="false">SUMPRODUCT((Projects!$G$2:$G$45="Yes")*(52&gt;=Projects!$C$2:$C$45-$B$14)*(52&lt;=Projects!$W$2:$W$45+$B$17))*$B$5</f>
        <v>0</v>
      </c>
      <c r="BE38" s="351" t="n">
        <f aca="false">SUMPRODUCT((Projects!$G$2:$G$45="Yes")*(53&gt;=Projects!$C$2:$C$45-$B$14)*(53&lt;=Projects!$W$2:$W$45+$B$17))*$B$5</f>
        <v>0</v>
      </c>
      <c r="BF38" s="351" t="n">
        <f aca="false">SUMPRODUCT((Projects!$G$2:$G$45="Yes")*(54&gt;=Projects!$C$2:$C$45-$B$14)*(54&lt;=Projects!$W$2:$W$45+$B$17))*$B$5</f>
        <v>0</v>
      </c>
      <c r="BG38" s="351" t="n">
        <f aca="false">SUMPRODUCT((Projects!$G$2:$G$45="Yes")*(55&gt;=Projects!$C$2:$C$45-$B$14)*(55&lt;=Projects!$W$2:$W$45+$B$17))*$B$5</f>
        <v>0</v>
      </c>
      <c r="BH38" s="351" t="n">
        <f aca="false">SUMPRODUCT((Projects!$G$2:$G$45="Yes")*(56&gt;=Projects!$C$2:$C$45-$B$14)*(56&lt;=Projects!$W$2:$W$45+$B$17))*$B$5</f>
        <v>0</v>
      </c>
      <c r="BI38" s="351" t="n">
        <f aca="false">SUMPRODUCT((Projects!$G$2:$G$45="Yes")*(57&gt;=Projects!$C$2:$C$45-$B$14)*(57&lt;=Projects!$W$2:$W$45+$B$17))*$B$5</f>
        <v>0</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1173</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2.6625</v>
      </c>
      <c r="R39" s="351" t="n">
        <f aca="false">SUMPRODUCT((Projects!$G$2:$G$45="Yes")*(14&gt;=Projects!$C$2:$C$45-$B$15)*((14&lt;=Projects!$W$2:$W$45-$B$106)*1+(14&gt;Projects!$W$2:$W$45-$B$106)*(14&lt;=Projects!$W$2:$W$45+$B$17)*$B$107)*((Projects!$B$2:$B$45&gt;=$B$12)*$B$6+(Projects!$B$2:$B$45&lt;$B$12)*(Projects!$B$2:$B$45&gt;=$B$13)*$B$7+(Projects!$B$2:$B$45&lt;$B$13)*$B$8))</f>
        <v>2.6625</v>
      </c>
      <c r="S39" s="351" t="n">
        <f aca="false">SUMPRODUCT((Projects!$G$2:$G$45="Yes")*(15&gt;=Projects!$C$2:$C$45-$B$15)*((15&lt;=Projects!$W$2:$W$45-$B$106)*1+(15&gt;Projects!$W$2:$W$45-$B$106)*(15&lt;=Projects!$W$2:$W$45+$B$17)*$B$107)*((Projects!$B$2:$B$45&gt;=$B$12)*$B$6+(Projects!$B$2:$B$45&lt;$B$12)*(Projects!$B$2:$B$45&gt;=$B$13)*$B$7+(Projects!$B$2:$B$45&lt;$B$13)*$B$8))</f>
        <v>3.0375</v>
      </c>
      <c r="T39" s="351" t="n">
        <f aca="false">SUMPRODUCT((Projects!$G$2:$G$45="Yes")*(16&gt;=Projects!$C$2:$C$45-$B$15)*((16&lt;=Projects!$W$2:$W$45-$B$106)*1+(16&gt;Projects!$W$2:$W$45-$B$106)*(16&lt;=Projects!$W$2:$W$45+$B$17)*$B$107)*((Projects!$B$2:$B$45&gt;=$B$12)*$B$6+(Projects!$B$2:$B$45&lt;$B$12)*(Projects!$B$2:$B$45&gt;=$B$13)*$B$7+(Projects!$B$2:$B$45&lt;$B$13)*$B$8))</f>
        <v>2.9125</v>
      </c>
      <c r="U39" s="351" t="n">
        <f aca="false">SUMPRODUCT((Projects!$G$2:$G$45="Yes")*(17&gt;=Projects!$C$2:$C$45-$B$15)*((17&lt;=Projects!$W$2:$W$45-$B$106)*1+(17&gt;Projects!$W$2:$W$45-$B$106)*(17&lt;=Projects!$W$2:$W$45+$B$17)*$B$107)*((Projects!$B$2:$B$45&gt;=$B$12)*$B$6+(Projects!$B$2:$B$45&lt;$B$12)*(Projects!$B$2:$B$45&gt;=$B$13)*$B$7+(Projects!$B$2:$B$45&lt;$B$13)*$B$8))</f>
        <v>2.705</v>
      </c>
      <c r="V39" s="351" t="n">
        <f aca="false">SUMPRODUCT((Projects!$G$2:$G$45="Yes")*(18&gt;=Projects!$C$2:$C$45-$B$15)*((18&lt;=Projects!$W$2:$W$45-$B$106)*1+(18&gt;Projects!$W$2:$W$45-$B$106)*(18&lt;=Projects!$W$2:$W$45+$B$17)*$B$107)*((Projects!$B$2:$B$45&gt;=$B$12)*$B$6+(Projects!$B$2:$B$45&lt;$B$12)*(Projects!$B$2:$B$45&gt;=$B$13)*$B$7+(Projects!$B$2:$B$45&lt;$B$13)*$B$8))</f>
        <v>2.705</v>
      </c>
      <c r="W39" s="351" t="n">
        <f aca="false">SUMPRODUCT((Projects!$G$2:$G$45="Yes")*(19&gt;=Projects!$C$2:$C$45-$B$15)*((19&lt;=Projects!$W$2:$W$45-$B$106)*1+(19&gt;Projects!$W$2:$W$45-$B$106)*(19&lt;=Projects!$W$2:$W$45+$B$17)*$B$107)*((Projects!$B$2:$B$45&gt;=$B$12)*$B$6+(Projects!$B$2:$B$45&lt;$B$12)*(Projects!$B$2:$B$45&gt;=$B$13)*$B$7+(Projects!$B$2:$B$45&lt;$B$13)*$B$8))</f>
        <v>2.58</v>
      </c>
      <c r="X39" s="351" t="n">
        <f aca="false">SUMPRODUCT((Projects!$G$2:$G$45="Yes")*(20&gt;=Projects!$C$2:$C$45-$B$15)*((20&lt;=Projects!$W$2:$W$45-$B$106)*1+(20&gt;Projects!$W$2:$W$45-$B$106)*(20&lt;=Projects!$W$2:$W$45+$B$17)*$B$107)*((Projects!$B$2:$B$45&gt;=$B$12)*$B$6+(Projects!$B$2:$B$45&lt;$B$12)*(Projects!$B$2:$B$45&gt;=$B$13)*$B$7+(Projects!$B$2:$B$45&lt;$B$13)*$B$8))</f>
        <v>2.455</v>
      </c>
      <c r="Y39" s="351" t="n">
        <f aca="false">SUMPRODUCT((Projects!$G$2:$G$45="Yes")*(21&gt;=Projects!$C$2:$C$45-$B$15)*((21&lt;=Projects!$W$2:$W$45-$B$106)*1+(21&gt;Projects!$W$2:$W$45-$B$106)*(21&lt;=Projects!$W$2:$W$45+$B$17)*$B$107)*((Projects!$B$2:$B$45&gt;=$B$12)*$B$6+(Projects!$B$2:$B$45&lt;$B$12)*(Projects!$B$2:$B$45&gt;=$B$13)*$B$7+(Projects!$B$2:$B$45&lt;$B$13)*$B$8))</f>
        <v>2.205</v>
      </c>
      <c r="Z39" s="351" t="n">
        <f aca="false">SUMPRODUCT((Projects!$G$2:$G$45="Yes")*(22&gt;=Projects!$C$2:$C$45-$B$15)*((22&lt;=Projects!$W$2:$W$45-$B$106)*1+(22&gt;Projects!$W$2:$W$45-$B$106)*(22&lt;=Projects!$W$2:$W$45+$B$17)*$B$107)*((Projects!$B$2:$B$45&gt;=$B$12)*$B$6+(Projects!$B$2:$B$45&lt;$B$12)*(Projects!$B$2:$B$45&gt;=$B$13)*$B$7+(Projects!$B$2:$B$45&lt;$B$13)*$B$8))</f>
        <v>2.08</v>
      </c>
      <c r="AA39" s="351" t="n">
        <f aca="false">SUMPRODUCT((Projects!$G$2:$G$45="Yes")*(23&gt;=Projects!$C$2:$C$45-$B$15)*((23&lt;=Projects!$W$2:$W$45-$B$106)*1+(23&gt;Projects!$W$2:$W$45-$B$106)*(23&lt;=Projects!$W$2:$W$45+$B$17)*$B$107)*((Projects!$B$2:$B$45&gt;=$B$12)*$B$6+(Projects!$B$2:$B$45&lt;$B$12)*(Projects!$B$2:$B$45&gt;=$B$13)*$B$7+(Projects!$B$2:$B$45&lt;$B$13)*$B$8))</f>
        <v>2.08</v>
      </c>
      <c r="AB39" s="351" t="n">
        <f aca="false">SUMPRODUCT((Projects!$G$2:$G$45="Yes")*(24&gt;=Projects!$C$2:$C$45-$B$15)*((24&lt;=Projects!$W$2:$W$45-$B$106)*1+(24&gt;Projects!$W$2:$W$45-$B$106)*(24&lt;=Projects!$W$2:$W$45+$B$17)*$B$107)*((Projects!$B$2:$B$45&gt;=$B$12)*$B$6+(Projects!$B$2:$B$45&lt;$B$12)*(Projects!$B$2:$B$45&gt;=$B$13)*$B$7+(Projects!$B$2:$B$45&lt;$B$13)*$B$8))</f>
        <v>2.08</v>
      </c>
      <c r="AC39" s="351" t="n">
        <f aca="false">SUMPRODUCT((Projects!$G$2:$G$45="Yes")*(25&gt;=Projects!$C$2:$C$45-$B$15)*((25&lt;=Projects!$W$2:$W$45-$B$106)*1+(25&gt;Projects!$W$2:$W$45-$B$106)*(25&lt;=Projects!$W$2:$W$45+$B$17)*$B$107)*((Projects!$B$2:$B$45&gt;=$B$12)*$B$6+(Projects!$B$2:$B$45&lt;$B$12)*(Projects!$B$2:$B$45&gt;=$B$13)*$B$7+(Projects!$B$2:$B$45&lt;$B$13)*$B$8))</f>
        <v>1.955</v>
      </c>
      <c r="AD39" s="351" t="n">
        <f aca="false">SUMPRODUCT((Projects!$G$2:$G$45="Yes")*(26&gt;=Projects!$C$2:$C$45-$B$15)*((26&lt;=Projects!$W$2:$W$45-$B$106)*1+(26&gt;Projects!$W$2:$W$45-$B$106)*(26&lt;=Projects!$W$2:$W$45+$B$17)*$B$107)*((Projects!$B$2:$B$45&gt;=$B$12)*$B$6+(Projects!$B$2:$B$45&lt;$B$12)*(Projects!$B$2:$B$45&gt;=$B$13)*$B$7+(Projects!$B$2:$B$45&lt;$B$13)*$B$8))</f>
        <v>1.6225</v>
      </c>
      <c r="AE39" s="351" t="n">
        <f aca="false">SUMPRODUCT((Projects!$G$2:$G$45="Yes")*(27&gt;=Projects!$C$2:$C$45-$B$15)*((27&lt;=Projects!$W$2:$W$45-$B$106)*1+(27&gt;Projects!$W$2:$W$45-$B$106)*(27&lt;=Projects!$W$2:$W$45+$B$17)*$B$107)*((Projects!$B$2:$B$45&gt;=$B$12)*$B$6+(Projects!$B$2:$B$45&lt;$B$12)*(Projects!$B$2:$B$45&gt;=$B$13)*$B$7+(Projects!$B$2:$B$45&lt;$B$13)*$B$8))</f>
        <v>1.54</v>
      </c>
      <c r="AF39" s="351" t="n">
        <f aca="false">SUMPRODUCT((Projects!$G$2:$G$45="Yes")*(28&gt;=Projects!$C$2:$C$45-$B$15)*((28&lt;=Projects!$W$2:$W$45-$B$106)*1+(28&gt;Projects!$W$2:$W$45-$B$106)*(28&lt;=Projects!$W$2:$W$45+$B$17)*$B$107)*((Projects!$B$2:$B$45&gt;=$B$12)*$B$6+(Projects!$B$2:$B$45&lt;$B$12)*(Projects!$B$2:$B$45&gt;=$B$13)*$B$7+(Projects!$B$2:$B$45&lt;$B$13)*$B$8))</f>
        <v>1.54</v>
      </c>
      <c r="AG39" s="351" t="n">
        <f aca="false">SUMPRODUCT((Projects!$G$2:$G$45="Yes")*(29&gt;=Projects!$C$2:$C$45-$B$15)*((29&lt;=Projects!$W$2:$W$45-$B$106)*1+(29&gt;Projects!$W$2:$W$45-$B$106)*(29&lt;=Projects!$W$2:$W$45+$B$17)*$B$107)*((Projects!$B$2:$B$45&gt;=$B$12)*$B$6+(Projects!$B$2:$B$45&lt;$B$12)*(Projects!$B$2:$B$45&gt;=$B$13)*$B$7+(Projects!$B$2:$B$45&lt;$B$13)*$B$8))</f>
        <v>1.54</v>
      </c>
      <c r="AH39" s="351" t="n">
        <f aca="false">SUMPRODUCT((Projects!$G$2:$G$45="Yes")*(30&gt;=Projects!$C$2:$C$45-$B$15)*((30&lt;=Projects!$W$2:$W$45-$B$106)*1+(30&gt;Projects!$W$2:$W$45-$B$106)*(30&lt;=Projects!$W$2:$W$45+$B$17)*$B$107)*((Projects!$B$2:$B$45&gt;=$B$12)*$B$6+(Projects!$B$2:$B$45&lt;$B$12)*(Projects!$B$2:$B$45&gt;=$B$13)*$B$7+(Projects!$B$2:$B$45&lt;$B$13)*$B$8))</f>
        <v>1.2075</v>
      </c>
      <c r="AI39" s="351" t="n">
        <f aca="false">SUMPRODUCT((Projects!$G$2:$G$45="Yes")*(31&gt;=Projects!$C$2:$C$45-$B$15)*((31&lt;=Projects!$W$2:$W$45-$B$106)*1+(31&gt;Projects!$W$2:$W$45-$B$106)*(31&lt;=Projects!$W$2:$W$45+$B$17)*$B$107)*((Projects!$B$2:$B$45&gt;=$B$12)*$B$6+(Projects!$B$2:$B$45&lt;$B$12)*(Projects!$B$2:$B$45&gt;=$B$13)*$B$7+(Projects!$B$2:$B$45&lt;$B$13)*$B$8))</f>
        <v>1.125</v>
      </c>
      <c r="AJ39" s="351" t="n">
        <f aca="false">SUMPRODUCT((Projects!$G$2:$G$45="Yes")*(32&gt;=Projects!$C$2:$C$45-$B$15)*((32&lt;=Projects!$W$2:$W$45-$B$106)*1+(32&gt;Projects!$W$2:$W$45-$B$106)*(32&lt;=Projects!$W$2:$W$45+$B$17)*$B$107)*((Projects!$B$2:$B$45&gt;=$B$12)*$B$6+(Projects!$B$2:$B$45&lt;$B$12)*(Projects!$B$2:$B$45&gt;=$B$13)*$B$7+(Projects!$B$2:$B$45&lt;$B$13)*$B$8))</f>
        <v>1.125</v>
      </c>
      <c r="AK39" s="351" t="n">
        <f aca="false">SUMPRODUCT((Projects!$G$2:$G$45="Yes")*(33&gt;=Projects!$C$2:$C$45-$B$15)*((33&lt;=Projects!$W$2:$W$45-$B$106)*1+(33&gt;Projects!$W$2:$W$45-$B$106)*(33&lt;=Projects!$W$2:$W$45+$B$17)*$B$107)*((Projects!$B$2:$B$45&gt;=$B$12)*$B$6+(Projects!$B$2:$B$45&lt;$B$12)*(Projects!$B$2:$B$45&gt;=$B$13)*$B$7+(Projects!$B$2:$B$45&lt;$B$13)*$B$8))</f>
        <v>1.125</v>
      </c>
      <c r="AL39" s="351" t="n">
        <f aca="false">SUMPRODUCT((Projects!$G$2:$G$45="Yes")*(34&gt;=Projects!$C$2:$C$45-$B$15)*((34&lt;=Projects!$W$2:$W$45-$B$106)*1+(34&gt;Projects!$W$2:$W$45-$B$106)*(34&lt;=Projects!$W$2:$W$45+$B$17)*$B$107)*((Projects!$B$2:$B$45&gt;=$B$12)*$B$6+(Projects!$B$2:$B$45&lt;$B$12)*(Projects!$B$2:$B$45&gt;=$B$13)*$B$7+(Projects!$B$2:$B$45&lt;$B$13)*$B$8))</f>
        <v>0.75</v>
      </c>
      <c r="AM39" s="351" t="n">
        <f aca="false">SUMPRODUCT((Projects!$G$2:$G$45="Yes")*(35&gt;=Projects!$C$2:$C$45-$B$15)*((35&lt;=Projects!$W$2:$W$45-$B$106)*1+(35&gt;Projects!$W$2:$W$45-$B$106)*(35&lt;=Projects!$W$2:$W$45+$B$17)*$B$107)*((Projects!$B$2:$B$45&gt;=$B$12)*$B$6+(Projects!$B$2:$B$45&lt;$B$12)*(Projects!$B$2:$B$45&gt;=$B$13)*$B$7+(Projects!$B$2:$B$45&lt;$B$13)*$B$8))</f>
        <v>0.75</v>
      </c>
      <c r="AN39" s="351" t="n">
        <f aca="false">SUMPRODUCT((Projects!$G$2:$G$45="Yes")*(36&gt;=Projects!$C$2:$C$45-$B$15)*((36&lt;=Projects!$W$2:$W$45-$B$106)*1+(36&gt;Projects!$W$2:$W$45-$B$106)*(36&lt;=Projects!$W$2:$W$45+$B$17)*$B$107)*((Projects!$B$2:$B$45&gt;=$B$12)*$B$6+(Projects!$B$2:$B$45&lt;$B$12)*(Projects!$B$2:$B$45&gt;=$B$13)*$B$7+(Projects!$B$2:$B$45&lt;$B$13)*$B$8))</f>
        <v>0.75</v>
      </c>
      <c r="AO39" s="351" t="n">
        <f aca="false">SUMPRODUCT((Projects!$G$2:$G$45="Yes")*(37&gt;=Projects!$C$2:$C$45-$B$15)*((37&lt;=Projects!$W$2:$W$45-$B$106)*1+(37&gt;Projects!$W$2:$W$45-$B$106)*(37&lt;=Projects!$W$2:$W$45+$B$17)*$B$107)*((Projects!$B$2:$B$45&gt;=$B$12)*$B$6+(Projects!$B$2:$B$45&lt;$B$12)*(Projects!$B$2:$B$45&gt;=$B$13)*$B$7+(Projects!$B$2:$B$45&lt;$B$13)*$B$8))</f>
        <v>0.75</v>
      </c>
      <c r="AP39" s="351" t="n">
        <f aca="false">SUMPRODUCT((Projects!$G$2:$G$45="Yes")*(38&gt;=Projects!$C$2:$C$45-$B$15)*((38&lt;=Projects!$W$2:$W$45-$B$106)*1+(38&gt;Projects!$W$2:$W$45-$B$106)*(38&lt;=Projects!$W$2:$W$45+$B$17)*$B$107)*((Projects!$B$2:$B$45&gt;=$B$12)*$B$6+(Projects!$B$2:$B$45&lt;$B$12)*(Projects!$B$2:$B$45&gt;=$B$13)*$B$7+(Projects!$B$2:$B$45&lt;$B$13)*$B$8))</f>
        <v>0.5</v>
      </c>
      <c r="AQ39" s="351" t="n">
        <f aca="false">SUMPRODUCT((Projects!$G$2:$G$45="Yes")*(39&gt;=Projects!$C$2:$C$45-$B$15)*((39&lt;=Projects!$W$2:$W$45-$B$106)*1+(39&gt;Projects!$W$2:$W$45-$B$106)*(39&lt;=Projects!$W$2:$W$45+$B$17)*$B$107)*((Projects!$B$2:$B$45&gt;=$B$12)*$B$6+(Projects!$B$2:$B$45&lt;$B$12)*(Projects!$B$2:$B$45&gt;=$B$13)*$B$7+(Projects!$B$2:$B$45&lt;$B$13)*$B$8))</f>
        <v>0.5</v>
      </c>
      <c r="AR39" s="351" t="n">
        <f aca="false">SUMPRODUCT((Projects!$G$2:$G$45="Yes")*(40&gt;=Projects!$C$2:$C$45-$B$15)*((40&lt;=Projects!$W$2:$W$45-$B$106)*1+(40&gt;Projects!$W$2:$W$45-$B$106)*(40&lt;=Projects!$W$2:$W$45+$B$17)*$B$107)*((Projects!$B$2:$B$45&gt;=$B$12)*$B$6+(Projects!$B$2:$B$45&lt;$B$12)*(Projects!$B$2:$B$45&gt;=$B$13)*$B$7+(Projects!$B$2:$B$45&lt;$B$13)*$B$8))</f>
        <v>0.5</v>
      </c>
      <c r="AS39" s="351" t="n">
        <f aca="false">SUMPRODUCT((Projects!$G$2:$G$45="Yes")*(41&gt;=Projects!$C$2:$C$45-$B$15)*((41&lt;=Projects!$W$2:$W$45-$B$106)*1+(41&gt;Projects!$W$2:$W$45-$B$106)*(41&lt;=Projects!$W$2:$W$45+$B$17)*$B$107)*((Projects!$B$2:$B$45&gt;=$B$12)*$B$6+(Projects!$B$2:$B$45&lt;$B$12)*(Projects!$B$2:$B$45&gt;=$B$13)*$B$7+(Projects!$B$2:$B$45&lt;$B$13)*$B$8))</f>
        <v>0.5</v>
      </c>
      <c r="AT39" s="351" t="n">
        <f aca="false">SUMPRODUCT((Projects!$G$2:$G$45="Yes")*(42&gt;=Projects!$C$2:$C$45-$B$15)*((42&lt;=Projects!$W$2:$W$45-$B$106)*1+(42&gt;Projects!$W$2:$W$45-$B$106)*(42&lt;=Projects!$W$2:$W$45+$B$17)*$B$107)*((Projects!$B$2:$B$45&gt;=$B$12)*$B$6+(Projects!$B$2:$B$45&lt;$B$12)*(Projects!$B$2:$B$45&gt;=$B$13)*$B$7+(Projects!$B$2:$B$45&lt;$B$13)*$B$8))</f>
        <v>0.25</v>
      </c>
      <c r="AU39" s="351" t="n">
        <f aca="false">SUMPRODUCT((Projects!$G$2:$G$45="Yes")*(43&gt;=Projects!$C$2:$C$45-$B$15)*((43&lt;=Projects!$W$2:$W$45-$B$106)*1+(43&gt;Projects!$W$2:$W$45-$B$106)*(43&lt;=Projects!$W$2:$W$45+$B$17)*$B$107)*((Projects!$B$2:$B$45&gt;=$B$12)*$B$6+(Projects!$B$2:$B$45&lt;$B$12)*(Projects!$B$2:$B$45&gt;=$B$13)*$B$7+(Projects!$B$2:$B$45&lt;$B$13)*$B$8))</f>
        <v>0.25</v>
      </c>
      <c r="AV39" s="351" t="n">
        <f aca="false">SUMPRODUCT((Projects!$G$2:$G$45="Yes")*(44&gt;=Projects!$C$2:$C$45-$B$15)*((44&lt;=Projects!$W$2:$W$45-$B$106)*1+(44&gt;Projects!$W$2:$W$45-$B$106)*(44&lt;=Projects!$W$2:$W$45+$B$17)*$B$107)*((Projects!$B$2:$B$45&gt;=$B$12)*$B$6+(Projects!$B$2:$B$45&lt;$B$12)*(Projects!$B$2:$B$45&gt;=$B$13)*$B$7+(Projects!$B$2:$B$45&lt;$B$13)*$B$8))</f>
        <v>0.25</v>
      </c>
      <c r="AW39" s="351" t="n">
        <f aca="false">SUMPRODUCT((Projects!$G$2:$G$45="Yes")*(45&gt;=Projects!$C$2:$C$45-$B$15)*((45&lt;=Projects!$W$2:$W$45-$B$106)*1+(45&gt;Projects!$W$2:$W$45-$B$106)*(45&lt;=Projects!$W$2:$W$45+$B$17)*$B$107)*((Projects!$B$2:$B$45&gt;=$B$12)*$B$6+(Projects!$B$2:$B$45&lt;$B$12)*(Projects!$B$2:$B$45&gt;=$B$13)*$B$7+(Projects!$B$2:$B$45&lt;$B$13)*$B$8))</f>
        <v>0.25</v>
      </c>
      <c r="AX39" s="351" t="n">
        <f aca="false">SUMPRODUCT((Projects!$G$2:$G$45="Yes")*(46&gt;=Projects!$C$2:$C$45-$B$15)*((46&lt;=Projects!$W$2:$W$45-$B$106)*1+(46&gt;Projects!$W$2:$W$45-$B$106)*(46&lt;=Projects!$W$2:$W$45+$B$17)*$B$107)*((Projects!$B$2:$B$45&gt;=$B$12)*$B$6+(Projects!$B$2:$B$45&lt;$B$12)*(Projects!$B$2:$B$45&gt;=$B$13)*$B$7+(Projects!$B$2:$B$45&lt;$B$13)*$B$8))</f>
        <v>0</v>
      </c>
      <c r="AY39" s="351" t="n">
        <f aca="false">SUMPRODUCT((Projects!$G$2:$G$45="Yes")*(47&gt;=Projects!$C$2:$C$45-$B$15)*((47&lt;=Projects!$W$2:$W$45-$B$106)*1+(47&gt;Projects!$W$2:$W$45-$B$106)*(47&lt;=Projects!$W$2:$W$45+$B$17)*$B$107)*((Projects!$B$2:$B$45&gt;=$B$12)*$B$6+(Projects!$B$2:$B$45&lt;$B$12)*(Projects!$B$2:$B$45&gt;=$B$13)*$B$7+(Projects!$B$2:$B$45&lt;$B$13)*$B$8))</f>
        <v>0</v>
      </c>
      <c r="AZ39" s="351" t="n">
        <f aca="false">SUMPRODUCT((Projects!$G$2:$G$45="Yes")*(48&gt;=Projects!$C$2:$C$45-$B$15)*((48&lt;=Projects!$W$2:$W$45-$B$106)*1+(48&gt;Projects!$W$2:$W$45-$B$106)*(48&lt;=Projects!$W$2:$W$45+$B$17)*$B$107)*((Projects!$B$2:$B$45&gt;=$B$12)*$B$6+(Projects!$B$2:$B$45&lt;$B$12)*(Projects!$B$2:$B$45&gt;=$B$13)*$B$7+(Projects!$B$2:$B$45&lt;$B$13)*$B$8))</f>
        <v>0</v>
      </c>
      <c r="BA39" s="351" t="n">
        <f aca="false">SUMPRODUCT((Projects!$G$2:$G$45="Yes")*(49&gt;=Projects!$C$2:$C$45-$B$15)*((49&lt;=Projects!$W$2:$W$45-$B$106)*1+(49&gt;Projects!$W$2:$W$45-$B$106)*(49&lt;=Projects!$W$2:$W$45+$B$17)*$B$107)*((Projects!$B$2:$B$45&gt;=$B$12)*$B$6+(Projects!$B$2:$B$45&lt;$B$12)*(Projects!$B$2:$B$45&gt;=$B$13)*$B$7+(Projects!$B$2:$B$45&lt;$B$13)*$B$8))</f>
        <v>0</v>
      </c>
      <c r="BB39" s="351" t="n">
        <f aca="false">SUMPRODUCT((Projects!$G$2:$G$45="Yes")*(50&gt;=Projects!$C$2:$C$45-$B$15)*((50&lt;=Projects!$W$2:$W$45-$B$106)*1+(50&gt;Projects!$W$2:$W$45-$B$106)*(50&lt;=Projects!$W$2:$W$45+$B$17)*$B$107)*((Projects!$B$2:$B$45&gt;=$B$12)*$B$6+(Projects!$B$2:$B$45&lt;$B$12)*(Projects!$B$2:$B$45&gt;=$B$13)*$B$7+(Projects!$B$2:$B$45&lt;$B$13)*$B$8))</f>
        <v>0</v>
      </c>
      <c r="BC39" s="351" t="n">
        <f aca="false">SUMPRODUCT((Projects!$G$2:$G$45="Yes")*(51&gt;=Projects!$C$2:$C$45-$B$15)*((51&lt;=Projects!$W$2:$W$45-$B$106)*1+(51&gt;Projects!$W$2:$W$45-$B$106)*(51&lt;=Projects!$W$2:$W$45+$B$17)*$B$107)*((Projects!$B$2:$B$45&gt;=$B$12)*$B$6+(Projects!$B$2:$B$45&lt;$B$12)*(Projects!$B$2:$B$45&gt;=$B$13)*$B$7+(Projects!$B$2:$B$45&lt;$B$13)*$B$8))</f>
        <v>0</v>
      </c>
      <c r="BD39" s="351" t="n">
        <f aca="false">SUMPRODUCT((Projects!$G$2:$G$45="Yes")*(52&gt;=Projects!$C$2:$C$45-$B$15)*((52&lt;=Projects!$W$2:$W$45-$B$106)*1+(52&gt;Projects!$W$2:$W$45-$B$106)*(52&lt;=Projects!$W$2:$W$45+$B$17)*$B$107)*((Projects!$B$2:$B$45&gt;=$B$12)*$B$6+(Projects!$B$2:$B$45&lt;$B$12)*(Projects!$B$2:$B$45&gt;=$B$13)*$B$7+(Projects!$B$2:$B$45&lt;$B$13)*$B$8))</f>
        <v>0</v>
      </c>
      <c r="BE39" s="351" t="n">
        <f aca="false">SUMPRODUCT((Projects!$G$2:$G$45="Yes")*(53&gt;=Projects!$C$2:$C$45-$B$15)*((53&lt;=Projects!$W$2:$W$45-$B$106)*1+(53&gt;Projects!$W$2:$W$45-$B$106)*(53&lt;=Projects!$W$2:$W$45+$B$17)*$B$107)*((Projects!$B$2:$B$45&gt;=$B$12)*$B$6+(Projects!$B$2:$B$45&lt;$B$12)*(Projects!$B$2:$B$45&gt;=$B$13)*$B$7+(Projects!$B$2:$B$45&lt;$B$13)*$B$8))</f>
        <v>0</v>
      </c>
      <c r="BF39" s="351" t="n">
        <f aca="false">SUMPRODUCT((Projects!$G$2:$G$45="Yes")*(54&gt;=Projects!$C$2:$C$45-$B$15)*((54&lt;=Projects!$W$2:$W$45-$B$106)*1+(54&gt;Projects!$W$2:$W$45-$B$106)*(54&lt;=Projects!$W$2:$W$45+$B$17)*$B$107)*((Projects!$B$2:$B$45&gt;=$B$12)*$B$6+(Projects!$B$2:$B$45&lt;$B$12)*(Projects!$B$2:$B$45&gt;=$B$13)*$B$7+(Projects!$B$2:$B$45&lt;$B$13)*$B$8))</f>
        <v>0</v>
      </c>
      <c r="BG39" s="351" t="n">
        <f aca="false">SUMPRODUCT((Projects!$G$2:$G$45="Yes")*(55&gt;=Projects!$C$2:$C$45-$B$15)*((55&lt;=Projects!$W$2:$W$45-$B$106)*1+(55&gt;Projects!$W$2:$W$45-$B$106)*(55&lt;=Projects!$W$2:$W$45+$B$17)*$B$107)*((Projects!$B$2:$B$45&gt;=$B$12)*$B$6+(Projects!$B$2:$B$45&lt;$B$12)*(Projects!$B$2:$B$45&gt;=$B$13)*$B$7+(Projects!$B$2:$B$45&lt;$B$13)*$B$8))</f>
        <v>0</v>
      </c>
      <c r="BH39" s="351" t="n">
        <f aca="false">SUMPRODUCT((Projects!$G$2:$G$45="Yes")*(56&gt;=Projects!$C$2:$C$45-$B$15)*((56&lt;=Projects!$W$2:$W$45-$B$106)*1+(56&gt;Projects!$W$2:$W$45-$B$106)*(56&lt;=Projects!$W$2:$W$45+$B$17)*$B$107)*((Projects!$B$2:$B$45&gt;=$B$12)*$B$6+(Projects!$B$2:$B$45&lt;$B$12)*(Projects!$B$2:$B$45&gt;=$B$13)*$B$7+(Projects!$B$2:$B$45&lt;$B$13)*$B$8))</f>
        <v>0</v>
      </c>
      <c r="BI39" s="351" t="n">
        <f aca="false">SUMPRODUCT((Projects!$G$2:$G$45="Yes")*(57&gt;=Projects!$C$2:$C$45-$B$15)*((57&lt;=Projects!$W$2:$W$45-$B$106)*1+(57&gt;Projects!$W$2:$W$45-$B$106)*(57&lt;=Projects!$W$2:$W$45+$B$17)*$B$107)*((Projects!$B$2:$B$45&gt;=$B$12)*$B$6+(Projects!$B$2:$B$45&lt;$B$12)*(Projects!$B$2:$B$45&gt;=$B$13)*$B$7+(Projects!$B$2:$B$45&lt;$B$13)*$B$8))</f>
        <v>0</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1174</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3.15</v>
      </c>
      <c r="R40" s="351" t="n">
        <f aca="false">SUMPRODUCT((Projects!$G$2:$G$45="Yes")*(14&gt;=Projects!$C$2:$C$45-$B$16)*((14&lt;=Projects!$W$2:$W$45-$B$106)*1+(14&gt;Projects!$W$2:$W$45-$B$106)*(14&lt;=Projects!$W$2:$W$45+$B$17)*$B$107)*((Projects!$B$2:$B$45&gt;=$B$12)*$B$9+(Projects!$B$2:$B$45&lt;$B$12)*(Projects!$B$2:$B$45&gt;=$B$13)*$B$10+(Projects!$B$2:$B$45&lt;$B$13)*$B$11))</f>
        <v>3.15</v>
      </c>
      <c r="S40" s="351" t="n">
        <f aca="false">SUMPRODUCT((Projects!$G$2:$G$45="Yes")*(15&gt;=Projects!$C$2:$C$45-$B$16)*((15&lt;=Projects!$W$2:$W$45-$B$106)*1+(15&gt;Projects!$W$2:$W$45-$B$106)*(15&lt;=Projects!$W$2:$W$45+$B$17)*$B$107)*((Projects!$B$2:$B$45&gt;=$B$12)*$B$9+(Projects!$B$2:$B$45&lt;$B$12)*(Projects!$B$2:$B$45&gt;=$B$13)*$B$10+(Projects!$B$2:$B$45&lt;$B$13)*$B$11))</f>
        <v>3.55</v>
      </c>
      <c r="T40" s="351" t="n">
        <f aca="false">SUMPRODUCT((Projects!$G$2:$G$45="Yes")*(16&gt;=Projects!$C$2:$C$45-$B$16)*((16&lt;=Projects!$W$2:$W$45-$B$106)*1+(16&gt;Projects!$W$2:$W$45-$B$106)*(16&lt;=Projects!$W$2:$W$45+$B$17)*$B$107)*((Projects!$B$2:$B$45&gt;=$B$12)*$B$9+(Projects!$B$2:$B$45&lt;$B$12)*(Projects!$B$2:$B$45&gt;=$B$13)*$B$10+(Projects!$B$2:$B$45&lt;$B$13)*$B$11))</f>
        <v>3.45</v>
      </c>
      <c r="U40" s="351" t="n">
        <f aca="false">SUMPRODUCT((Projects!$G$2:$G$45="Yes")*(17&gt;=Projects!$C$2:$C$45-$B$16)*((17&lt;=Projects!$W$2:$W$45-$B$106)*1+(17&gt;Projects!$W$2:$W$45-$B$106)*(17&lt;=Projects!$W$2:$W$45+$B$17)*$B$107)*((Projects!$B$2:$B$45&gt;=$B$12)*$B$9+(Projects!$B$2:$B$45&lt;$B$12)*(Projects!$B$2:$B$45&gt;=$B$13)*$B$10+(Projects!$B$2:$B$45&lt;$B$13)*$B$11))</f>
        <v>3.1</v>
      </c>
      <c r="V40" s="351" t="n">
        <f aca="false">SUMPRODUCT((Projects!$G$2:$G$45="Yes")*(18&gt;=Projects!$C$2:$C$45-$B$16)*((18&lt;=Projects!$W$2:$W$45-$B$106)*1+(18&gt;Projects!$W$2:$W$45-$B$106)*(18&lt;=Projects!$W$2:$W$45+$B$17)*$B$107)*((Projects!$B$2:$B$45&gt;=$B$12)*$B$9+(Projects!$B$2:$B$45&lt;$B$12)*(Projects!$B$2:$B$45&gt;=$B$13)*$B$10+(Projects!$B$2:$B$45&lt;$B$13)*$B$11))</f>
        <v>3.1</v>
      </c>
      <c r="W40" s="351" t="n">
        <f aca="false">SUMPRODUCT((Projects!$G$2:$G$45="Yes")*(19&gt;=Projects!$C$2:$C$45-$B$16)*((19&lt;=Projects!$W$2:$W$45-$B$106)*1+(19&gt;Projects!$W$2:$W$45-$B$106)*(19&lt;=Projects!$W$2:$W$45+$B$17)*$B$107)*((Projects!$B$2:$B$45&gt;=$B$12)*$B$9+(Projects!$B$2:$B$45&lt;$B$12)*(Projects!$B$2:$B$45&gt;=$B$13)*$B$10+(Projects!$B$2:$B$45&lt;$B$13)*$B$11))</f>
        <v>3</v>
      </c>
      <c r="X40" s="351" t="n">
        <f aca="false">SUMPRODUCT((Projects!$G$2:$G$45="Yes")*(20&gt;=Projects!$C$2:$C$45-$B$16)*((20&lt;=Projects!$W$2:$W$45-$B$106)*1+(20&gt;Projects!$W$2:$W$45-$B$106)*(20&lt;=Projects!$W$2:$W$45+$B$17)*$B$107)*((Projects!$B$2:$B$45&gt;=$B$12)*$B$9+(Projects!$B$2:$B$45&lt;$B$12)*(Projects!$B$2:$B$45&gt;=$B$13)*$B$10+(Projects!$B$2:$B$45&lt;$B$13)*$B$11))</f>
        <v>2.9</v>
      </c>
      <c r="Y40" s="351" t="n">
        <f aca="false">SUMPRODUCT((Projects!$G$2:$G$45="Yes")*(21&gt;=Projects!$C$2:$C$45-$B$16)*((21&lt;=Projects!$W$2:$W$45-$B$106)*1+(21&gt;Projects!$W$2:$W$45-$B$106)*(21&lt;=Projects!$W$2:$W$45+$B$17)*$B$107)*((Projects!$B$2:$B$45&gt;=$B$12)*$B$9+(Projects!$B$2:$B$45&lt;$B$12)*(Projects!$B$2:$B$45&gt;=$B$13)*$B$10+(Projects!$B$2:$B$45&lt;$B$13)*$B$11))</f>
        <v>2.7</v>
      </c>
      <c r="Z40" s="351" t="n">
        <f aca="false">SUMPRODUCT((Projects!$G$2:$G$45="Yes")*(22&gt;=Projects!$C$2:$C$45-$B$16)*((22&lt;=Projects!$W$2:$W$45-$B$106)*1+(22&gt;Projects!$W$2:$W$45-$B$106)*(22&lt;=Projects!$W$2:$W$45+$B$17)*$B$107)*((Projects!$B$2:$B$45&gt;=$B$12)*$B$9+(Projects!$B$2:$B$45&lt;$B$12)*(Projects!$B$2:$B$45&gt;=$B$13)*$B$10+(Projects!$B$2:$B$45&lt;$B$13)*$B$11))</f>
        <v>2.6</v>
      </c>
      <c r="AA40" s="351" t="n">
        <f aca="false">SUMPRODUCT((Projects!$G$2:$G$45="Yes")*(23&gt;=Projects!$C$2:$C$45-$B$16)*((23&lt;=Projects!$W$2:$W$45-$B$106)*1+(23&gt;Projects!$W$2:$W$45-$B$106)*(23&lt;=Projects!$W$2:$W$45+$B$17)*$B$107)*((Projects!$B$2:$B$45&gt;=$B$12)*$B$9+(Projects!$B$2:$B$45&lt;$B$12)*(Projects!$B$2:$B$45&gt;=$B$13)*$B$10+(Projects!$B$2:$B$45&lt;$B$13)*$B$11))</f>
        <v>2.6</v>
      </c>
      <c r="AB40" s="351" t="n">
        <f aca="false">SUMPRODUCT((Projects!$G$2:$G$45="Yes")*(24&gt;=Projects!$C$2:$C$45-$B$16)*((24&lt;=Projects!$W$2:$W$45-$B$106)*1+(24&gt;Projects!$W$2:$W$45-$B$106)*(24&lt;=Projects!$W$2:$W$45+$B$17)*$B$107)*((Projects!$B$2:$B$45&gt;=$B$12)*$B$9+(Projects!$B$2:$B$45&lt;$B$12)*(Projects!$B$2:$B$45&gt;=$B$13)*$B$10+(Projects!$B$2:$B$45&lt;$B$13)*$B$11))</f>
        <v>2.6</v>
      </c>
      <c r="AC40" s="351" t="n">
        <f aca="false">SUMPRODUCT((Projects!$G$2:$G$45="Yes")*(25&gt;=Projects!$C$2:$C$45-$B$16)*((25&lt;=Projects!$W$2:$W$45-$B$106)*1+(25&gt;Projects!$W$2:$W$45-$B$106)*(25&lt;=Projects!$W$2:$W$45+$B$17)*$B$107)*((Projects!$B$2:$B$45&gt;=$B$12)*$B$9+(Projects!$B$2:$B$45&lt;$B$12)*(Projects!$B$2:$B$45&gt;=$B$13)*$B$10+(Projects!$B$2:$B$45&lt;$B$13)*$B$11))</f>
        <v>2.5</v>
      </c>
      <c r="AD40" s="351" t="n">
        <f aca="false">SUMPRODUCT((Projects!$G$2:$G$45="Yes")*(26&gt;=Projects!$C$2:$C$45-$B$16)*((26&lt;=Projects!$W$2:$W$45-$B$106)*1+(26&gt;Projects!$W$2:$W$45-$B$106)*(26&lt;=Projects!$W$2:$W$45+$B$17)*$B$107)*((Projects!$B$2:$B$45&gt;=$B$12)*$B$9+(Projects!$B$2:$B$45&lt;$B$12)*(Projects!$B$2:$B$45&gt;=$B$13)*$B$10+(Projects!$B$2:$B$45&lt;$B$13)*$B$11))</f>
        <v>2.05</v>
      </c>
      <c r="AE40" s="351" t="n">
        <f aca="false">SUMPRODUCT((Projects!$G$2:$G$45="Yes")*(27&gt;=Projects!$C$2:$C$45-$B$16)*((27&lt;=Projects!$W$2:$W$45-$B$106)*1+(27&gt;Projects!$W$2:$W$45-$B$106)*(27&lt;=Projects!$W$2:$W$45+$B$17)*$B$107)*((Projects!$B$2:$B$45&gt;=$B$12)*$B$9+(Projects!$B$2:$B$45&lt;$B$12)*(Projects!$B$2:$B$45&gt;=$B$13)*$B$10+(Projects!$B$2:$B$45&lt;$B$13)*$B$11))</f>
        <v>1.8</v>
      </c>
      <c r="AF40" s="351" t="n">
        <f aca="false">SUMPRODUCT((Projects!$G$2:$G$45="Yes")*(28&gt;=Projects!$C$2:$C$45-$B$16)*((28&lt;=Projects!$W$2:$W$45-$B$106)*1+(28&gt;Projects!$W$2:$W$45-$B$106)*(28&lt;=Projects!$W$2:$W$45+$B$17)*$B$107)*((Projects!$B$2:$B$45&gt;=$B$12)*$B$9+(Projects!$B$2:$B$45&lt;$B$12)*(Projects!$B$2:$B$45&gt;=$B$13)*$B$10+(Projects!$B$2:$B$45&lt;$B$13)*$B$11))</f>
        <v>1.8</v>
      </c>
      <c r="AG40" s="351" t="n">
        <f aca="false">SUMPRODUCT((Projects!$G$2:$G$45="Yes")*(29&gt;=Projects!$C$2:$C$45-$B$16)*((29&lt;=Projects!$W$2:$W$45-$B$106)*1+(29&gt;Projects!$W$2:$W$45-$B$106)*(29&lt;=Projects!$W$2:$W$45+$B$17)*$B$107)*((Projects!$B$2:$B$45&gt;=$B$12)*$B$9+(Projects!$B$2:$B$45&lt;$B$12)*(Projects!$B$2:$B$45&gt;=$B$13)*$B$10+(Projects!$B$2:$B$45&lt;$B$13)*$B$11))</f>
        <v>1.8</v>
      </c>
      <c r="AH40" s="351" t="n">
        <f aca="false">SUMPRODUCT((Projects!$G$2:$G$45="Yes")*(30&gt;=Projects!$C$2:$C$45-$B$16)*((30&lt;=Projects!$W$2:$W$45-$B$106)*1+(30&gt;Projects!$W$2:$W$45-$B$106)*(30&lt;=Projects!$W$2:$W$45+$B$17)*$B$107)*((Projects!$B$2:$B$45&gt;=$B$12)*$B$9+(Projects!$B$2:$B$45&lt;$B$12)*(Projects!$B$2:$B$45&gt;=$B$13)*$B$10+(Projects!$B$2:$B$45&lt;$B$13)*$B$11))</f>
        <v>1.35</v>
      </c>
      <c r="AI40" s="351" t="n">
        <f aca="false">SUMPRODUCT((Projects!$G$2:$G$45="Yes")*(31&gt;=Projects!$C$2:$C$45-$B$16)*((31&lt;=Projects!$W$2:$W$45-$B$106)*1+(31&gt;Projects!$W$2:$W$45-$B$106)*(31&lt;=Projects!$W$2:$W$45+$B$17)*$B$107)*((Projects!$B$2:$B$45&gt;=$B$12)*$B$9+(Projects!$B$2:$B$45&lt;$B$12)*(Projects!$B$2:$B$45&gt;=$B$13)*$B$10+(Projects!$B$2:$B$45&lt;$B$13)*$B$11))</f>
        <v>1.1</v>
      </c>
      <c r="AJ40" s="351" t="n">
        <f aca="false">SUMPRODUCT((Projects!$G$2:$G$45="Yes")*(32&gt;=Projects!$C$2:$C$45-$B$16)*((32&lt;=Projects!$W$2:$W$45-$B$106)*1+(32&gt;Projects!$W$2:$W$45-$B$106)*(32&lt;=Projects!$W$2:$W$45+$B$17)*$B$107)*((Projects!$B$2:$B$45&gt;=$B$12)*$B$9+(Projects!$B$2:$B$45&lt;$B$12)*(Projects!$B$2:$B$45&gt;=$B$13)*$B$10+(Projects!$B$2:$B$45&lt;$B$13)*$B$11))</f>
        <v>1.1</v>
      </c>
      <c r="AK40" s="351" t="n">
        <f aca="false">SUMPRODUCT((Projects!$G$2:$G$45="Yes")*(33&gt;=Projects!$C$2:$C$45-$B$16)*((33&lt;=Projects!$W$2:$W$45-$B$106)*1+(33&gt;Projects!$W$2:$W$45-$B$106)*(33&lt;=Projects!$W$2:$W$45+$B$17)*$B$107)*((Projects!$B$2:$B$45&gt;=$B$12)*$B$9+(Projects!$B$2:$B$45&lt;$B$12)*(Projects!$B$2:$B$45&gt;=$B$13)*$B$10+(Projects!$B$2:$B$45&lt;$B$13)*$B$11))</f>
        <v>1.1</v>
      </c>
      <c r="AL40" s="351" t="n">
        <f aca="false">SUMPRODUCT((Projects!$G$2:$G$45="Yes")*(34&gt;=Projects!$C$2:$C$45-$B$16)*((34&lt;=Projects!$W$2:$W$45-$B$106)*1+(34&gt;Projects!$W$2:$W$45-$B$106)*(34&lt;=Projects!$W$2:$W$45+$B$17)*$B$107)*((Projects!$B$2:$B$45&gt;=$B$12)*$B$9+(Projects!$B$2:$B$45&lt;$B$12)*(Projects!$B$2:$B$45&gt;=$B$13)*$B$10+(Projects!$B$2:$B$45&lt;$B$13)*$B$11))</f>
        <v>0.75</v>
      </c>
      <c r="AM40" s="351" t="n">
        <f aca="false">SUMPRODUCT((Projects!$G$2:$G$45="Yes")*(35&gt;=Projects!$C$2:$C$45-$B$16)*((35&lt;=Projects!$W$2:$W$45-$B$106)*1+(35&gt;Projects!$W$2:$W$45-$B$106)*(35&lt;=Projects!$W$2:$W$45+$B$17)*$B$107)*((Projects!$B$2:$B$45&gt;=$B$12)*$B$9+(Projects!$B$2:$B$45&lt;$B$12)*(Projects!$B$2:$B$45&gt;=$B$13)*$B$10+(Projects!$B$2:$B$45&lt;$B$13)*$B$11))</f>
        <v>0.75</v>
      </c>
      <c r="AN40" s="351" t="n">
        <f aca="false">SUMPRODUCT((Projects!$G$2:$G$45="Yes")*(36&gt;=Projects!$C$2:$C$45-$B$16)*((36&lt;=Projects!$W$2:$W$45-$B$106)*1+(36&gt;Projects!$W$2:$W$45-$B$106)*(36&lt;=Projects!$W$2:$W$45+$B$17)*$B$107)*((Projects!$B$2:$B$45&gt;=$B$12)*$B$9+(Projects!$B$2:$B$45&lt;$B$12)*(Projects!$B$2:$B$45&gt;=$B$13)*$B$10+(Projects!$B$2:$B$45&lt;$B$13)*$B$11))</f>
        <v>0.75</v>
      </c>
      <c r="AO40" s="351" t="n">
        <f aca="false">SUMPRODUCT((Projects!$G$2:$G$45="Yes")*(37&gt;=Projects!$C$2:$C$45-$B$16)*((37&lt;=Projects!$W$2:$W$45-$B$106)*1+(37&gt;Projects!$W$2:$W$45-$B$106)*(37&lt;=Projects!$W$2:$W$45+$B$17)*$B$107)*((Projects!$B$2:$B$45&gt;=$B$12)*$B$9+(Projects!$B$2:$B$45&lt;$B$12)*(Projects!$B$2:$B$45&gt;=$B$13)*$B$10+(Projects!$B$2:$B$45&lt;$B$13)*$B$11))</f>
        <v>0.75</v>
      </c>
      <c r="AP40" s="351" t="n">
        <f aca="false">SUMPRODUCT((Projects!$G$2:$G$45="Yes")*(38&gt;=Projects!$C$2:$C$45-$B$16)*((38&lt;=Projects!$W$2:$W$45-$B$106)*1+(38&gt;Projects!$W$2:$W$45-$B$106)*(38&lt;=Projects!$W$2:$W$45+$B$17)*$B$107)*((Projects!$B$2:$B$45&gt;=$B$12)*$B$9+(Projects!$B$2:$B$45&lt;$B$12)*(Projects!$B$2:$B$45&gt;=$B$13)*$B$10+(Projects!$B$2:$B$45&lt;$B$13)*$B$11))</f>
        <v>0.5</v>
      </c>
      <c r="AQ40" s="351" t="n">
        <f aca="false">SUMPRODUCT((Projects!$G$2:$G$45="Yes")*(39&gt;=Projects!$C$2:$C$45-$B$16)*((39&lt;=Projects!$W$2:$W$45-$B$106)*1+(39&gt;Projects!$W$2:$W$45-$B$106)*(39&lt;=Projects!$W$2:$W$45+$B$17)*$B$107)*((Projects!$B$2:$B$45&gt;=$B$12)*$B$9+(Projects!$B$2:$B$45&lt;$B$12)*(Projects!$B$2:$B$45&gt;=$B$13)*$B$10+(Projects!$B$2:$B$45&lt;$B$13)*$B$11))</f>
        <v>0.5</v>
      </c>
      <c r="AR40" s="351" t="n">
        <f aca="false">SUMPRODUCT((Projects!$G$2:$G$45="Yes")*(40&gt;=Projects!$C$2:$C$45-$B$16)*((40&lt;=Projects!$W$2:$W$45-$B$106)*1+(40&gt;Projects!$W$2:$W$45-$B$106)*(40&lt;=Projects!$W$2:$W$45+$B$17)*$B$107)*((Projects!$B$2:$B$45&gt;=$B$12)*$B$9+(Projects!$B$2:$B$45&lt;$B$12)*(Projects!$B$2:$B$45&gt;=$B$13)*$B$10+(Projects!$B$2:$B$45&lt;$B$13)*$B$11))</f>
        <v>0.5</v>
      </c>
      <c r="AS40" s="351" t="n">
        <f aca="false">SUMPRODUCT((Projects!$G$2:$G$45="Yes")*(41&gt;=Projects!$C$2:$C$45-$B$16)*((41&lt;=Projects!$W$2:$W$45-$B$106)*1+(41&gt;Projects!$W$2:$W$45-$B$106)*(41&lt;=Projects!$W$2:$W$45+$B$17)*$B$107)*((Projects!$B$2:$B$45&gt;=$B$12)*$B$9+(Projects!$B$2:$B$45&lt;$B$12)*(Projects!$B$2:$B$45&gt;=$B$13)*$B$10+(Projects!$B$2:$B$45&lt;$B$13)*$B$11))</f>
        <v>0.5</v>
      </c>
      <c r="AT40" s="351" t="n">
        <f aca="false">SUMPRODUCT((Projects!$G$2:$G$45="Yes")*(42&gt;=Projects!$C$2:$C$45-$B$16)*((42&lt;=Projects!$W$2:$W$45-$B$106)*1+(42&gt;Projects!$W$2:$W$45-$B$106)*(42&lt;=Projects!$W$2:$W$45+$B$17)*$B$107)*((Projects!$B$2:$B$45&gt;=$B$12)*$B$9+(Projects!$B$2:$B$45&lt;$B$12)*(Projects!$B$2:$B$45&gt;=$B$13)*$B$10+(Projects!$B$2:$B$45&lt;$B$13)*$B$11))</f>
        <v>0.25</v>
      </c>
      <c r="AU40" s="351" t="n">
        <f aca="false">SUMPRODUCT((Projects!$G$2:$G$45="Yes")*(43&gt;=Projects!$C$2:$C$45-$B$16)*((43&lt;=Projects!$W$2:$W$45-$B$106)*1+(43&gt;Projects!$W$2:$W$45-$B$106)*(43&lt;=Projects!$W$2:$W$45+$B$17)*$B$107)*((Projects!$B$2:$B$45&gt;=$B$12)*$B$9+(Projects!$B$2:$B$45&lt;$B$12)*(Projects!$B$2:$B$45&gt;=$B$13)*$B$10+(Projects!$B$2:$B$45&lt;$B$13)*$B$11))</f>
        <v>0.25</v>
      </c>
      <c r="AV40" s="351" t="n">
        <f aca="false">SUMPRODUCT((Projects!$G$2:$G$45="Yes")*(44&gt;=Projects!$C$2:$C$45-$B$16)*((44&lt;=Projects!$W$2:$W$45-$B$106)*1+(44&gt;Projects!$W$2:$W$45-$B$106)*(44&lt;=Projects!$W$2:$W$45+$B$17)*$B$107)*((Projects!$B$2:$B$45&gt;=$B$12)*$B$9+(Projects!$B$2:$B$45&lt;$B$12)*(Projects!$B$2:$B$45&gt;=$B$13)*$B$10+(Projects!$B$2:$B$45&lt;$B$13)*$B$11))</f>
        <v>0.25</v>
      </c>
      <c r="AW40" s="351" t="n">
        <f aca="false">SUMPRODUCT((Projects!$G$2:$G$45="Yes")*(45&gt;=Projects!$C$2:$C$45-$B$16)*((45&lt;=Projects!$W$2:$W$45-$B$106)*1+(45&gt;Projects!$W$2:$W$45-$B$106)*(45&lt;=Projects!$W$2:$W$45+$B$17)*$B$107)*((Projects!$B$2:$B$45&gt;=$B$12)*$B$9+(Projects!$B$2:$B$45&lt;$B$12)*(Projects!$B$2:$B$45&gt;=$B$13)*$B$10+(Projects!$B$2:$B$45&lt;$B$13)*$B$11))</f>
        <v>0.25</v>
      </c>
      <c r="AX40" s="351" t="n">
        <f aca="false">SUMPRODUCT((Projects!$G$2:$G$45="Yes")*(46&gt;=Projects!$C$2:$C$45-$B$16)*((46&lt;=Projects!$W$2:$W$45-$B$106)*1+(46&gt;Projects!$W$2:$W$45-$B$106)*(46&lt;=Projects!$W$2:$W$45+$B$17)*$B$107)*((Projects!$B$2:$B$45&gt;=$B$12)*$B$9+(Projects!$B$2:$B$45&lt;$B$12)*(Projects!$B$2:$B$45&gt;=$B$13)*$B$10+(Projects!$B$2:$B$45&lt;$B$13)*$B$11))</f>
        <v>0</v>
      </c>
      <c r="AY40" s="351" t="n">
        <f aca="false">SUMPRODUCT((Projects!$G$2:$G$45="Yes")*(47&gt;=Projects!$C$2:$C$45-$B$16)*((47&lt;=Projects!$W$2:$W$45-$B$106)*1+(47&gt;Projects!$W$2:$W$45-$B$106)*(47&lt;=Projects!$W$2:$W$45+$B$17)*$B$107)*((Projects!$B$2:$B$45&gt;=$B$12)*$B$9+(Projects!$B$2:$B$45&lt;$B$12)*(Projects!$B$2:$B$45&gt;=$B$13)*$B$10+(Projects!$B$2:$B$45&lt;$B$13)*$B$11))</f>
        <v>0</v>
      </c>
      <c r="AZ40" s="351" t="n">
        <f aca="false">SUMPRODUCT((Projects!$G$2:$G$45="Yes")*(48&gt;=Projects!$C$2:$C$45-$B$16)*((48&lt;=Projects!$W$2:$W$45-$B$106)*1+(48&gt;Projects!$W$2:$W$45-$B$106)*(48&lt;=Projects!$W$2:$W$45+$B$17)*$B$107)*((Projects!$B$2:$B$45&gt;=$B$12)*$B$9+(Projects!$B$2:$B$45&lt;$B$12)*(Projects!$B$2:$B$45&gt;=$B$13)*$B$10+(Projects!$B$2:$B$45&lt;$B$13)*$B$11))</f>
        <v>0</v>
      </c>
      <c r="BA40" s="351" t="n">
        <f aca="false">SUMPRODUCT((Projects!$G$2:$G$45="Yes")*(49&gt;=Projects!$C$2:$C$45-$B$16)*((49&lt;=Projects!$W$2:$W$45-$B$106)*1+(49&gt;Projects!$W$2:$W$45-$B$106)*(49&lt;=Projects!$W$2:$W$45+$B$17)*$B$107)*((Projects!$B$2:$B$45&gt;=$B$12)*$B$9+(Projects!$B$2:$B$45&lt;$B$12)*(Projects!$B$2:$B$45&gt;=$B$13)*$B$10+(Projects!$B$2:$B$45&lt;$B$13)*$B$11))</f>
        <v>0</v>
      </c>
      <c r="BB40" s="351" t="n">
        <f aca="false">SUMPRODUCT((Projects!$G$2:$G$45="Yes")*(50&gt;=Projects!$C$2:$C$45-$B$16)*((50&lt;=Projects!$W$2:$W$45-$B$106)*1+(50&gt;Projects!$W$2:$W$45-$B$106)*(50&lt;=Projects!$W$2:$W$45+$B$17)*$B$107)*((Projects!$B$2:$B$45&gt;=$B$12)*$B$9+(Projects!$B$2:$B$45&lt;$B$12)*(Projects!$B$2:$B$45&gt;=$B$13)*$B$10+(Projects!$B$2:$B$45&lt;$B$13)*$B$11))</f>
        <v>0</v>
      </c>
      <c r="BC40" s="351" t="n">
        <f aca="false">SUMPRODUCT((Projects!$G$2:$G$45="Yes")*(51&gt;=Projects!$C$2:$C$45-$B$16)*((51&lt;=Projects!$W$2:$W$45-$B$106)*1+(51&gt;Projects!$W$2:$W$45-$B$106)*(51&lt;=Projects!$W$2:$W$45+$B$17)*$B$107)*((Projects!$B$2:$B$45&gt;=$B$12)*$B$9+(Projects!$B$2:$B$45&lt;$B$12)*(Projects!$B$2:$B$45&gt;=$B$13)*$B$10+(Projects!$B$2:$B$45&lt;$B$13)*$B$11))</f>
        <v>0</v>
      </c>
      <c r="BD40" s="351" t="n">
        <f aca="false">SUMPRODUCT((Projects!$G$2:$G$45="Yes")*(52&gt;=Projects!$C$2:$C$45-$B$16)*((52&lt;=Projects!$W$2:$W$45-$B$106)*1+(52&gt;Projects!$W$2:$W$45-$B$106)*(52&lt;=Projects!$W$2:$W$45+$B$17)*$B$107)*((Projects!$B$2:$B$45&gt;=$B$12)*$B$9+(Projects!$B$2:$B$45&lt;$B$12)*(Projects!$B$2:$B$45&gt;=$B$13)*$B$10+(Projects!$B$2:$B$45&lt;$B$13)*$B$11))</f>
        <v>0</v>
      </c>
      <c r="BE40" s="351" t="n">
        <f aca="false">SUMPRODUCT((Projects!$G$2:$G$45="Yes")*(53&gt;=Projects!$C$2:$C$45-$B$16)*((53&lt;=Projects!$W$2:$W$45-$B$106)*1+(53&gt;Projects!$W$2:$W$45-$B$106)*(53&lt;=Projects!$W$2:$W$45+$B$17)*$B$107)*((Projects!$B$2:$B$45&gt;=$B$12)*$B$9+(Projects!$B$2:$B$45&lt;$B$12)*(Projects!$B$2:$B$45&gt;=$B$13)*$B$10+(Projects!$B$2:$B$45&lt;$B$13)*$B$11))</f>
        <v>0</v>
      </c>
      <c r="BF40" s="351" t="n">
        <f aca="false">SUMPRODUCT((Projects!$G$2:$G$45="Yes")*(54&gt;=Projects!$C$2:$C$45-$B$16)*((54&lt;=Projects!$W$2:$W$45-$B$106)*1+(54&gt;Projects!$W$2:$W$45-$B$106)*(54&lt;=Projects!$W$2:$W$45+$B$17)*$B$107)*((Projects!$B$2:$B$45&gt;=$B$12)*$B$9+(Projects!$B$2:$B$45&lt;$B$12)*(Projects!$B$2:$B$45&gt;=$B$13)*$B$10+(Projects!$B$2:$B$45&lt;$B$13)*$B$11))</f>
        <v>0</v>
      </c>
      <c r="BG40" s="351" t="n">
        <f aca="false">SUMPRODUCT((Projects!$G$2:$G$45="Yes")*(55&gt;=Projects!$C$2:$C$45-$B$16)*((55&lt;=Projects!$W$2:$W$45-$B$106)*1+(55&gt;Projects!$W$2:$W$45-$B$106)*(55&lt;=Projects!$W$2:$W$45+$B$17)*$B$107)*((Projects!$B$2:$B$45&gt;=$B$12)*$B$9+(Projects!$B$2:$B$45&lt;$B$12)*(Projects!$B$2:$B$45&gt;=$B$13)*$B$10+(Projects!$B$2:$B$45&lt;$B$13)*$B$11))</f>
        <v>0</v>
      </c>
      <c r="BH40" s="351" t="n">
        <f aca="false">SUMPRODUCT((Projects!$G$2:$G$45="Yes")*(56&gt;=Projects!$C$2:$C$45-$B$16)*((56&lt;=Projects!$W$2:$W$45-$B$106)*1+(56&gt;Projects!$W$2:$W$45-$B$106)*(56&lt;=Projects!$W$2:$W$45+$B$17)*$B$107)*((Projects!$B$2:$B$45&gt;=$B$12)*$B$9+(Projects!$B$2:$B$45&lt;$B$12)*(Projects!$B$2:$B$45&gt;=$B$13)*$B$10+(Projects!$B$2:$B$45&lt;$B$13)*$B$11))</f>
        <v>0</v>
      </c>
      <c r="BI40" s="351" t="n">
        <f aca="false">SUMPRODUCT((Projects!$G$2:$G$45="Yes")*(57&gt;=Projects!$C$2:$C$45-$B$16)*((57&lt;=Projects!$W$2:$W$45-$B$106)*1+(57&gt;Projects!$W$2:$W$45-$B$106)*(57&lt;=Projects!$W$2:$W$45+$B$17)*$B$107)*((Projects!$B$2:$B$45&gt;=$B$12)*$B$9+(Projects!$B$2:$B$45&lt;$B$12)*(Projects!$B$2:$B$45&gt;=$B$13)*$B$10+(Projects!$B$2:$B$45&lt;$B$13)*$B$11))</f>
        <v>0</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1175</v>
      </c>
      <c r="B42" s="210"/>
      <c r="C42" s="210"/>
      <c r="D42" s="210"/>
      <c r="E42" s="210"/>
      <c r="F42" s="210"/>
    </row>
    <row r="43" customFormat="false" ht="13.5" hidden="false" customHeight="true" outlineLevel="0" collapsed="false">
      <c r="A43" s="109" t="s">
        <v>1176</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1177</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1178</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1179</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1180</v>
      </c>
      <c r="B48" s="210"/>
      <c r="C48" s="210"/>
      <c r="D48" s="210"/>
      <c r="E48" s="210"/>
      <c r="F48" s="210"/>
    </row>
    <row r="49" customFormat="false" ht="13.5" hidden="false" customHeight="true" outlineLevel="0" collapsed="false">
      <c r="A49" s="109" t="s">
        <v>1181</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0</v>
      </c>
      <c r="AE49" s="352" t="n">
        <f aca="false">IF(27&lt;5,0,IF(MAX(Z38:AE38)&gt;AE43+0+$B$18,1,0))</f>
        <v>0</v>
      </c>
      <c r="AF49" s="352" t="n">
        <f aca="false">IF(28&lt;5,0,IF(MAX(AA38:AF38)&gt;AF43+0+$B$18,1,0))</f>
        <v>0</v>
      </c>
      <c r="AG49" s="352" t="n">
        <f aca="false">IF(29&lt;5,0,IF(MAX(AB38:AG38)&gt;AG43+0+$B$18,1,0))</f>
        <v>0</v>
      </c>
      <c r="AH49" s="352" t="n">
        <f aca="false">IF(30&lt;5,0,IF(MAX(AC38:AH38)&gt;AH43+0+$B$18,1,0))</f>
        <v>0</v>
      </c>
      <c r="AI49" s="352" t="n">
        <f aca="false">IF(31&lt;5,0,IF(MAX(AD38:AI38)&gt;AI43+0+$B$18,1,0))</f>
        <v>0</v>
      </c>
      <c r="AJ49" s="352" t="n">
        <f aca="false">IF(32&lt;5,0,IF(MAX(AE38:AJ38)&gt;AJ43+0+$B$18,1,0))</f>
        <v>0</v>
      </c>
      <c r="AK49" s="352" t="n">
        <f aca="false">IF(33&lt;5,0,IF(MAX(AF38:AK38)&gt;AK43+0+$B$18,1,0))</f>
        <v>0</v>
      </c>
      <c r="AL49" s="352" t="n">
        <f aca="false">IF(34&lt;5,0,IF(MAX(AG38:AL38)&gt;AL43+0+$B$18,1,0))</f>
        <v>0</v>
      </c>
      <c r="AM49" s="352" t="n">
        <f aca="false">IF(35&lt;5,0,IF(MAX(AH38:AM38)&gt;AM43+0+$B$18,1,0))</f>
        <v>0</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1182</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0</v>
      </c>
      <c r="AD50" s="352" t="n">
        <f aca="false">IF(26&lt;5,0,IF(MAX(Y38:AD38)&gt;AD43+1+$B$18,1,0))</f>
        <v>0</v>
      </c>
      <c r="AE50" s="352" t="n">
        <f aca="false">IF(27&lt;5,0,IF(MAX(Z38:AE38)&gt;AE43+1+$B$18,1,0))</f>
        <v>0</v>
      </c>
      <c r="AF50" s="352" t="n">
        <f aca="false">IF(28&lt;5,0,IF(MAX(AA38:AF38)&gt;AF43+1+$B$18,1,0))</f>
        <v>0</v>
      </c>
      <c r="AG50" s="352" t="n">
        <f aca="false">IF(29&lt;5,0,IF(MAX(AB38:AG38)&gt;AG43+1+$B$18,1,0))</f>
        <v>0</v>
      </c>
      <c r="AH50" s="352" t="n">
        <f aca="false">IF(30&lt;5,0,IF(MAX(AC38:AH38)&gt;AH43+1+$B$18,1,0))</f>
        <v>0</v>
      </c>
      <c r="AI50" s="352" t="n">
        <f aca="false">IF(31&lt;5,0,IF(MAX(AD38:AI38)&gt;AI43+1+$B$18,1,0))</f>
        <v>0</v>
      </c>
      <c r="AJ50" s="352" t="n">
        <f aca="false">IF(32&lt;5,0,IF(MAX(AE38:AJ38)&gt;AJ43+1+$B$18,1,0))</f>
        <v>0</v>
      </c>
      <c r="AK50" s="352" t="n">
        <f aca="false">IF(33&lt;5,0,IF(MAX(AF38:AK38)&gt;AK43+1+$B$18,1,0))</f>
        <v>0</v>
      </c>
      <c r="AL50" s="352" t="n">
        <f aca="false">IF(34&lt;5,0,IF(MAX(AG38:AL38)&gt;AL43+1+$B$18,1,0))</f>
        <v>0</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1183</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0</v>
      </c>
      <c r="AC51" s="352" t="n">
        <f aca="false">IF(25&lt;5,0,IF(MAX(X38:AC38)&gt;AC43+2+$B$18,1,0))</f>
        <v>0</v>
      </c>
      <c r="AD51" s="352" t="n">
        <f aca="false">IF(26&lt;5,0,IF(MAX(Y38:AD38)&gt;AD43+2+$B$18,1,0))</f>
        <v>0</v>
      </c>
      <c r="AE51" s="352" t="n">
        <f aca="false">IF(27&lt;5,0,IF(MAX(Z38:AE38)&gt;AE43+2+$B$18,1,0))</f>
        <v>0</v>
      </c>
      <c r="AF51" s="352" t="n">
        <f aca="false">IF(28&lt;5,0,IF(MAX(AA38:AF38)&gt;AF43+2+$B$18,1,0))</f>
        <v>0</v>
      </c>
      <c r="AG51" s="352" t="n">
        <f aca="false">IF(29&lt;5,0,IF(MAX(AB38:AG38)&gt;AG43+2+$B$18,1,0))</f>
        <v>0</v>
      </c>
      <c r="AH51" s="352" t="n">
        <f aca="false">IF(30&lt;5,0,IF(MAX(AC38:AH38)&gt;AH43+2+$B$18,1,0))</f>
        <v>0</v>
      </c>
      <c r="AI51" s="352" t="n">
        <f aca="false">IF(31&lt;5,0,IF(MAX(AD38:AI38)&gt;AI43+2+$B$18,1,0))</f>
        <v>0</v>
      </c>
      <c r="AJ51" s="352" t="n">
        <f aca="false">IF(32&lt;5,0,IF(MAX(AE38:AJ38)&gt;AJ43+2+$B$18,1,0))</f>
        <v>0</v>
      </c>
      <c r="AK51" s="352" t="n">
        <f aca="false">IF(33&lt;5,0,IF(MAX(AF38:AK38)&gt;AK43+2+$B$18,1,0))</f>
        <v>0</v>
      </c>
      <c r="AL51" s="352" t="n">
        <f aca="false">IF(34&lt;5,0,IF(MAX(AG38:AL38)&gt;AL43+2+$B$18,1,0))</f>
        <v>0</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1184</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0</v>
      </c>
      <c r="R52" s="352" t="n">
        <f aca="false">IF(14&lt;5,0,IF(MAX(M38:R38)&gt;R43+3+$B$18,1,0))</f>
        <v>0</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0</v>
      </c>
      <c r="AA52" s="352" t="n">
        <f aca="false">IF(23&lt;5,0,IF(MAX(V38:AA38)&gt;AA43+3+$B$18,1,0))</f>
        <v>0</v>
      </c>
      <c r="AB52" s="352" t="n">
        <f aca="false">IF(24&lt;5,0,IF(MAX(W38:AB38)&gt;AB43+3+$B$18,1,0))</f>
        <v>0</v>
      </c>
      <c r="AC52" s="352" t="n">
        <f aca="false">IF(25&lt;5,0,IF(MAX(X38:AC38)&gt;AC43+3+$B$18,1,0))</f>
        <v>0</v>
      </c>
      <c r="AD52" s="352" t="n">
        <f aca="false">IF(26&lt;5,0,IF(MAX(Y38:AD38)&gt;AD43+3+$B$18,1,0))</f>
        <v>0</v>
      </c>
      <c r="AE52" s="352" t="n">
        <f aca="false">IF(27&lt;5,0,IF(MAX(Z38:AE38)&gt;AE43+3+$B$18,1,0))</f>
        <v>0</v>
      </c>
      <c r="AF52" s="352" t="n">
        <f aca="false">IF(28&lt;5,0,IF(MAX(AA38:AF38)&gt;AF43+3+$B$18,1,0))</f>
        <v>0</v>
      </c>
      <c r="AG52" s="352" t="n">
        <f aca="false">IF(29&lt;5,0,IF(MAX(AB38:AG38)&gt;AG43+3+$B$18,1,0))</f>
        <v>0</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1185</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0</v>
      </c>
      <c r="S53" s="352" t="n">
        <f aca="false">IF(15&lt;5,0,IF(MAX(N38:S38)&gt;S43+4+$B$18,1,0))</f>
        <v>0</v>
      </c>
      <c r="T53" s="352" t="n">
        <f aca="false">IF(16&lt;5,0,IF(MAX(O38:T38)&gt;T43+4+$B$18,1,0))</f>
        <v>0</v>
      </c>
      <c r="U53" s="352" t="n">
        <f aca="false">IF(17&lt;5,0,IF(MAX(P38:U38)&gt;U43+4+$B$18,1,0))</f>
        <v>0</v>
      </c>
      <c r="V53" s="352" t="n">
        <f aca="false">IF(18&lt;5,0,IF(MAX(Q38:V38)&gt;V43+4+$B$18,1,0))</f>
        <v>0</v>
      </c>
      <c r="W53" s="352" t="n">
        <f aca="false">IF(19&lt;5,0,IF(MAX(R38:W38)&gt;W43+4+$B$18,1,0))</f>
        <v>0</v>
      </c>
      <c r="X53" s="352" t="n">
        <f aca="false">IF(20&lt;5,0,IF(MAX(S38:X38)&gt;X43+4+$B$18,1,0))</f>
        <v>0</v>
      </c>
      <c r="Y53" s="352" t="n">
        <f aca="false">IF(21&lt;5,0,IF(MAX(T38:Y38)&gt;Y43+4+$B$18,1,0))</f>
        <v>0</v>
      </c>
      <c r="Z53" s="352" t="n">
        <f aca="false">IF(22&lt;5,0,IF(MAX(U38:Z38)&gt;Z43+4+$B$18,1,0))</f>
        <v>0</v>
      </c>
      <c r="AA53" s="352" t="n">
        <f aca="false">IF(23&lt;5,0,IF(MAX(V38:AA38)&gt;AA43+4+$B$18,1,0))</f>
        <v>0</v>
      </c>
      <c r="AB53" s="352" t="n">
        <f aca="false">IF(24&lt;5,0,IF(MAX(W38:AB38)&gt;AB43+4+$B$18,1,0))</f>
        <v>0</v>
      </c>
      <c r="AC53" s="352" t="n">
        <f aca="false">IF(25&lt;5,0,IF(MAX(X38:AC38)&gt;AC43+4+$B$18,1,0))</f>
        <v>0</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1186</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1187</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1188</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1189</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1190</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1191</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0</v>
      </c>
      <c r="AE61" s="352" t="n">
        <f aca="false">IF(27&lt;5,0,IF(MAX(Z39:AE39)&gt;AE44+0+$B$18,1,0))</f>
        <v>0</v>
      </c>
      <c r="AF61" s="352" t="n">
        <f aca="false">IF(28&lt;5,0,IF(MAX(AA39:AF39)&gt;AF44+0+$B$18,1,0))</f>
        <v>0</v>
      </c>
      <c r="AG61" s="352" t="n">
        <f aca="false">IF(29&lt;5,0,IF(MAX(AB39:AG39)&gt;AG44+0+$B$18,1,0))</f>
        <v>0</v>
      </c>
      <c r="AH61" s="352" t="n">
        <f aca="false">IF(30&lt;5,0,IF(MAX(AC39:AH39)&gt;AH44+0+$B$18,1,0))</f>
        <v>0</v>
      </c>
      <c r="AI61" s="352" t="n">
        <f aca="false">IF(31&lt;5,0,IF(MAX(AD39:AI39)&gt;AI44+0+$B$18,1,0))</f>
        <v>0</v>
      </c>
      <c r="AJ61" s="352" t="n">
        <f aca="false">IF(32&lt;5,0,IF(MAX(AE39:AJ39)&gt;AJ44+0+$B$18,1,0))</f>
        <v>0</v>
      </c>
      <c r="AK61" s="352" t="n">
        <f aca="false">IF(33&lt;5,0,IF(MAX(AF39:AK39)&gt;AK44+0+$B$18,1,0))</f>
        <v>0</v>
      </c>
      <c r="AL61" s="352" t="n">
        <f aca="false">IF(34&lt;5,0,IF(MAX(AG39:AL39)&gt;AL44+0+$B$18,1,0))</f>
        <v>0</v>
      </c>
      <c r="AM61" s="352" t="n">
        <f aca="false">IF(35&lt;5,0,IF(MAX(AH39:AM39)&gt;AM44+0+$B$18,1,0))</f>
        <v>0</v>
      </c>
      <c r="AN61" s="352" t="n">
        <f aca="false">IF(36&lt;5,0,IF(MAX(AI39:AN39)&gt;AN44+0+$B$18,1,0))</f>
        <v>0</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1192</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0</v>
      </c>
      <c r="T62" s="352" t="n">
        <f aca="false">IF(16&lt;5,0,IF(MAX(O39:T39)&gt;T44+1+$B$18,1,0))</f>
        <v>0</v>
      </c>
      <c r="U62" s="352" t="n">
        <f aca="false">IF(17&lt;5,0,IF(MAX(P39:U39)&gt;U44+1+$B$18,1,0))</f>
        <v>0</v>
      </c>
      <c r="V62" s="352" t="n">
        <f aca="false">IF(18&lt;5,0,IF(MAX(Q39:V39)&gt;V44+1+$B$18,1,0))</f>
        <v>0</v>
      </c>
      <c r="W62" s="352" t="n">
        <f aca="false">IF(19&lt;5,0,IF(MAX(R39:W39)&gt;W44+1+$B$18,1,0))</f>
        <v>0</v>
      </c>
      <c r="X62" s="352" t="n">
        <f aca="false">IF(20&lt;5,0,IF(MAX(S39:X39)&gt;X44+1+$B$18,1,0))</f>
        <v>0</v>
      </c>
      <c r="Y62" s="352" t="n">
        <f aca="false">IF(21&lt;5,0,IF(MAX(T39:Y39)&gt;Y44+1+$B$18,1,0))</f>
        <v>0</v>
      </c>
      <c r="Z62" s="352" t="n">
        <f aca="false">IF(22&lt;5,0,IF(MAX(U39:Z39)&gt;Z44+1+$B$18,1,0))</f>
        <v>0</v>
      </c>
      <c r="AA62" s="352" t="n">
        <f aca="false">IF(23&lt;5,0,IF(MAX(V39:AA39)&gt;AA44+1+$B$18,1,0))</f>
        <v>0</v>
      </c>
      <c r="AB62" s="352" t="n">
        <f aca="false">IF(24&lt;5,0,IF(MAX(W39:AB39)&gt;AB44+1+$B$18,1,0))</f>
        <v>0</v>
      </c>
      <c r="AC62" s="352" t="n">
        <f aca="false">IF(25&lt;5,0,IF(MAX(X39:AC39)&gt;AC44+1+$B$18,1,0))</f>
        <v>0</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1193</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1194</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1195</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1196</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1197</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1198</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1199</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0</v>
      </c>
      <c r="AA71" s="352" t="n">
        <f aca="false">IF(23&lt;5,0,IF(MAX(V40:AA40)&gt;AA45+0+$B$18,1,0))</f>
        <v>0</v>
      </c>
      <c r="AB71" s="352" t="n">
        <f aca="false">IF(24&lt;5,0,IF(MAX(W40:AB40)&gt;AB45+0+$B$18,1,0))</f>
        <v>0</v>
      </c>
      <c r="AC71" s="352" t="n">
        <f aca="false">IF(25&lt;5,0,IF(MAX(X40:AC40)&gt;AC45+0+$B$18,1,0))</f>
        <v>0</v>
      </c>
      <c r="AD71" s="352" t="n">
        <f aca="false">IF(26&lt;5,0,IF(MAX(Y40:AD40)&gt;AD45+0+$B$18,1,0))</f>
        <v>0</v>
      </c>
      <c r="AE71" s="352" t="n">
        <f aca="false">IF(27&lt;5,0,IF(MAX(Z40:AE40)&gt;AE45+0+$B$18,1,0))</f>
        <v>0</v>
      </c>
      <c r="AF71" s="352" t="n">
        <f aca="false">IF(28&lt;5,0,IF(MAX(AA40:AF40)&gt;AF45+0+$B$18,1,0))</f>
        <v>0</v>
      </c>
      <c r="AG71" s="352" t="n">
        <f aca="false">IF(29&lt;5,0,IF(MAX(AB40:AG40)&gt;AG45+0+$B$18,1,0))</f>
        <v>0</v>
      </c>
      <c r="AH71" s="352" t="n">
        <f aca="false">IF(30&lt;5,0,IF(MAX(AC40:AH40)&gt;AH45+0+$B$18,1,0))</f>
        <v>0</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1200</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1201</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1202</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1203</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0</v>
      </c>
      <c r="AB77" s="352" t="n">
        <f aca="false">IF(24&lt;5,0,IF(MAX(W37:AB37)&gt;=$B$22,1,0))</f>
        <v>0</v>
      </c>
      <c r="AC77" s="352" t="n">
        <f aca="false">IF(25&lt;5,0,IF(MAX(X37:AC37)&gt;=$B$22,1,0))</f>
        <v>0</v>
      </c>
      <c r="AD77" s="352" t="n">
        <f aca="false">IF(26&lt;5,0,IF(MAX(Y37:AD37)&gt;=$B$22,1,0))</f>
        <v>0</v>
      </c>
      <c r="AE77" s="352" t="n">
        <f aca="false">IF(27&lt;5,0,IF(MAX(Z37:AE37)&gt;=$B$22,1,0))</f>
        <v>0</v>
      </c>
      <c r="AF77" s="352" t="n">
        <f aca="false">IF(28&lt;5,0,IF(MAX(AA37:AF37)&gt;=$B$22,1,0))</f>
        <v>0</v>
      </c>
      <c r="AG77" s="352" t="n">
        <f aca="false">IF(29&lt;5,0,IF(MAX(AB37:AG37)&gt;=$B$22,1,0))</f>
        <v>0</v>
      </c>
      <c r="AH77" s="352" t="n">
        <f aca="false">IF(30&lt;5,0,IF(MAX(AC37:AH37)&gt;=$B$22,1,0))</f>
        <v>0</v>
      </c>
      <c r="AI77" s="352" t="n">
        <f aca="false">IF(31&lt;5,0,IF(MAX(AD37:AI37)&gt;=$B$22,1,0))</f>
        <v>0</v>
      </c>
      <c r="AJ77" s="352" t="n">
        <f aca="false">IF(32&lt;5,0,IF(MAX(AE37:AJ37)&gt;=$B$22,1,0))</f>
        <v>0</v>
      </c>
      <c r="AK77" s="352" t="n">
        <f aca="false">IF(33&lt;5,0,IF(MAX(AF37:AK37)&gt;=$B$22,1,0))</f>
        <v>0</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1204</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0</v>
      </c>
      <c r="S78" s="352" t="n">
        <f aca="false">IF(15&lt;5,0,IF(MAX(N37:S37)&gt;=$B$23,1,0))</f>
        <v>0</v>
      </c>
      <c r="T78" s="352" t="n">
        <f aca="false">IF(16&lt;5,0,IF(MAX(O37:T37)&gt;=$B$23,1,0))</f>
        <v>0</v>
      </c>
      <c r="U78" s="352" t="n">
        <f aca="false">IF(17&lt;5,0,IF(MAX(P37:U37)&gt;=$B$23,1,0))</f>
        <v>0</v>
      </c>
      <c r="V78" s="352" t="n">
        <f aca="false">IF(18&lt;5,0,IF(MAX(Q37:V37)&gt;=$B$23,1,0))</f>
        <v>0</v>
      </c>
      <c r="W78" s="352" t="n">
        <f aca="false">IF(19&lt;5,0,IF(MAX(R37:W37)&gt;=$B$23,1,0))</f>
        <v>0</v>
      </c>
      <c r="X78" s="352" t="n">
        <f aca="false">IF(20&lt;5,0,IF(MAX(S37:X37)&gt;=$B$23,1,0))</f>
        <v>0</v>
      </c>
      <c r="Y78" s="352" t="n">
        <f aca="false">IF(21&lt;5,0,IF(MAX(T37:Y37)&gt;=$B$23,1,0))</f>
        <v>0</v>
      </c>
      <c r="Z78" s="352" t="n">
        <f aca="false">IF(22&lt;5,0,IF(MAX(U37:Z37)&gt;=$B$23,1,0))</f>
        <v>0</v>
      </c>
      <c r="AA78" s="352" t="n">
        <f aca="false">IF(23&lt;5,0,IF(MAX(V37:AA37)&gt;=$B$23,1,0))</f>
        <v>0</v>
      </c>
      <c r="AB78" s="352" t="n">
        <f aca="false">IF(24&lt;5,0,IF(MAX(W37:AB37)&gt;=$B$23,1,0))</f>
        <v>0</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1205</v>
      </c>
      <c r="B80" s="210"/>
      <c r="C80" s="210"/>
      <c r="D80" s="210"/>
      <c r="E80" s="210"/>
      <c r="F80" s="210"/>
    </row>
    <row r="81" customFormat="false" ht="13.5" hidden="false" customHeight="true" outlineLevel="0" collapsed="false">
      <c r="A81" s="109" t="s">
        <v>1206</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93333.3333333333</v>
      </c>
      <c r="R81" s="353" t="n">
        <f aca="false">(SUMPRODUCT($B$49:$B$58,R49:R58)+SUMPRODUCT($B$61:$B$68,R61:R68)+SUMPRODUCT($B$71:$B$74,R71:R74)+SUMPRODUCT($B$77:$B$78,R77:R78)+SUMPRODUCT($B$99:$B$104,R99:R104))/12</f>
        <v>93333.3333333333</v>
      </c>
      <c r="S81" s="353" t="n">
        <f aca="false">(SUMPRODUCT($B$49:$B$58,S49:S58)+SUMPRODUCT($B$61:$B$68,S61:S68)+SUMPRODUCT($B$71:$B$74,S71:S74)+SUMPRODUCT($B$77:$B$78,S77:S78)+SUMPRODUCT($B$99:$B$104,S99:S104))/12</f>
        <v>117083.333333333</v>
      </c>
      <c r="T81" s="353" t="n">
        <f aca="false">(SUMPRODUCT($B$49:$B$58,T49:T58)+SUMPRODUCT($B$61:$B$68,T61:T68)+SUMPRODUCT($B$71:$B$74,T71:T74)+SUMPRODUCT($B$77:$B$78,T77:T78)+SUMPRODUCT($B$99:$B$104,T99:T104))/12</f>
        <v>117083.333333333</v>
      </c>
      <c r="U81" s="353" t="n">
        <f aca="false">(SUMPRODUCT($B$49:$B$58,U49:U58)+SUMPRODUCT($B$61:$B$68,U61:U68)+SUMPRODUCT($B$71:$B$74,U71:U74)+SUMPRODUCT($B$77:$B$78,U77:U78)+SUMPRODUCT($B$99:$B$104,U99:U104))/12</f>
        <v>117083.333333333</v>
      </c>
      <c r="V81" s="353" t="n">
        <f aca="false">(SUMPRODUCT($B$49:$B$58,V49:V58)+SUMPRODUCT($B$61:$B$68,V61:V68)+SUMPRODUCT($B$71:$B$74,V71:V74)+SUMPRODUCT($B$77:$B$78,V77:V78)+SUMPRODUCT($B$99:$B$104,V99:V104))/12</f>
        <v>117083.333333333</v>
      </c>
      <c r="W81" s="353" t="n">
        <f aca="false">(SUMPRODUCT($B$49:$B$58,W49:W58)+SUMPRODUCT($B$61:$B$68,W61:W68)+SUMPRODUCT($B$71:$B$74,W71:W74)+SUMPRODUCT($B$77:$B$78,W77:W78)+SUMPRODUCT($B$99:$B$104,W99:W104))/12</f>
        <v>117083.333333333</v>
      </c>
      <c r="X81" s="353" t="n">
        <f aca="false">(SUMPRODUCT($B$49:$B$58,X49:X58)+SUMPRODUCT($B$61:$B$68,X61:X68)+SUMPRODUCT($B$71:$B$74,X71:X74)+SUMPRODUCT($B$77:$B$78,X77:X78)+SUMPRODUCT($B$99:$B$104,X99:X104))/12</f>
        <v>117083.333333333</v>
      </c>
      <c r="Y81" s="353" t="n">
        <f aca="false">(SUMPRODUCT($B$49:$B$58,Y49:Y58)+SUMPRODUCT($B$61:$B$68,Y61:Y68)+SUMPRODUCT($B$71:$B$74,Y71:Y74)+SUMPRODUCT($B$77:$B$78,Y77:Y78)+SUMPRODUCT($B$99:$B$104,Y99:Y104))/12</f>
        <v>117083.333333333</v>
      </c>
      <c r="Z81" s="353" t="n">
        <f aca="false">(SUMPRODUCT($B$49:$B$58,Z49:Z58)+SUMPRODUCT($B$61:$B$68,Z61:Z68)+SUMPRODUCT($B$71:$B$74,Z71:Z74)+SUMPRODUCT($B$77:$B$78,Z77:Z78)+SUMPRODUCT($B$99:$B$104,Z99:Z104))/12</f>
        <v>78333.3333333333</v>
      </c>
      <c r="AA81" s="353" t="n">
        <f aca="false">(SUMPRODUCT($B$49:$B$58,AA49:AA58)+SUMPRODUCT($B$61:$B$68,AA61:AA68)+SUMPRODUCT($B$71:$B$74,AA71:AA74)+SUMPRODUCT($B$77:$B$78,AA77:AA78)+SUMPRODUCT($B$99:$B$104,AA99:AA104))/12</f>
        <v>71666.6666666667</v>
      </c>
      <c r="AB81" s="353" t="n">
        <f aca="false">(SUMPRODUCT($B$49:$B$58,AB49:AB58)+SUMPRODUCT($B$61:$B$68,AB61:AB68)+SUMPRODUCT($B$71:$B$74,AB71:AB74)+SUMPRODUCT($B$77:$B$78,AB77:AB78)+SUMPRODUCT($B$99:$B$104,AB99:AB104))/12</f>
        <v>58333.3333333333</v>
      </c>
      <c r="AC81" s="353" t="n">
        <f aca="false">(SUMPRODUCT($B$49:$B$58,AC49:AC58)+SUMPRODUCT($B$61:$B$68,AC61:AC68)+SUMPRODUCT($B$71:$B$74,AC71:AC74)+SUMPRODUCT($B$77:$B$78,AC77:AC78)+SUMPRODUCT($B$99:$B$104,AC99:AC104))/12</f>
        <v>34583.3333333333</v>
      </c>
      <c r="AD81" s="353" t="n">
        <f aca="false">(SUMPRODUCT($B$49:$B$58,AD49:AD58)+SUMPRODUCT($B$61:$B$68,AD61:AD68)+SUMPRODUCT($B$71:$B$74,AD71:AD74)+SUMPRODUCT($B$77:$B$78,AD77:AD78)+SUMPRODUCT($B$99:$B$104,AD99:AD104))/12</f>
        <v>10416.6666666667</v>
      </c>
      <c r="AE81" s="353" t="n">
        <f aca="false">(SUMPRODUCT($B$49:$B$58,AE49:AE58)+SUMPRODUCT($B$61:$B$68,AE61:AE68)+SUMPRODUCT($B$71:$B$74,AE71:AE74)+SUMPRODUCT($B$77:$B$78,AE77:AE78)+SUMPRODUCT($B$99:$B$104,AE99:AE104))/12</f>
        <v>10416.6666666667</v>
      </c>
      <c r="AF81" s="353" t="n">
        <f aca="false">(SUMPRODUCT($B$49:$B$58,AF49:AF58)+SUMPRODUCT($B$61:$B$68,AF61:AF68)+SUMPRODUCT($B$71:$B$74,AF71:AF74)+SUMPRODUCT($B$77:$B$78,AF77:AF78)+SUMPRODUCT($B$99:$B$104,AF99:AF104))/12</f>
        <v>10416.6666666667</v>
      </c>
      <c r="AG81" s="353" t="n">
        <f aca="false">(SUMPRODUCT($B$49:$B$58,AG49:AG58)+SUMPRODUCT($B$61:$B$68,AG61:AG68)+SUMPRODUCT($B$71:$B$74,AG71:AG74)+SUMPRODUCT($B$77:$B$78,AG77:AG78)+SUMPRODUCT($B$99:$B$104,AG99:AG104))/12</f>
        <v>10416.6666666667</v>
      </c>
      <c r="AH81" s="353" t="n">
        <f aca="false">(SUMPRODUCT($B$49:$B$58,AH49:AH58)+SUMPRODUCT($B$61:$B$68,AH61:AH68)+SUMPRODUCT($B$71:$B$74,AH71:AH74)+SUMPRODUCT($B$77:$B$78,AH77:AH78)+SUMPRODUCT($B$99:$B$104,AH99:AH104))/12</f>
        <v>0</v>
      </c>
      <c r="AI81" s="353" t="n">
        <f aca="false">(SUMPRODUCT($B$49:$B$58,AI49:AI58)+SUMPRODUCT($B$61:$B$68,AI61:AI68)+SUMPRODUCT($B$71:$B$74,AI71:AI74)+SUMPRODUCT($B$77:$B$78,AI77:AI78)+SUMPRODUCT($B$99:$B$104,AI99:AI104))/12</f>
        <v>0</v>
      </c>
      <c r="AJ81" s="353" t="n">
        <f aca="false">(SUMPRODUCT($B$49:$B$58,AJ49:AJ58)+SUMPRODUCT($B$61:$B$68,AJ61:AJ68)+SUMPRODUCT($B$71:$B$74,AJ71:AJ74)+SUMPRODUCT($B$77:$B$78,AJ77:AJ78)+SUMPRODUCT($B$99:$B$104,AJ99:AJ104))/12</f>
        <v>0</v>
      </c>
      <c r="AK81" s="353" t="n">
        <f aca="false">(SUMPRODUCT($B$49:$B$58,AK49:AK58)+SUMPRODUCT($B$61:$B$68,AK61:AK68)+SUMPRODUCT($B$71:$B$74,AK71:AK74)+SUMPRODUCT($B$77:$B$78,AK77:AK78)+SUMPRODUCT($B$99:$B$104,AK99:AK104))/12</f>
        <v>0</v>
      </c>
      <c r="AL81" s="353" t="n">
        <f aca="false">(SUMPRODUCT($B$49:$B$58,AL49:AL58)+SUMPRODUCT($B$61:$B$68,AL61:AL68)+SUMPRODUCT($B$71:$B$74,AL71:AL74)+SUMPRODUCT($B$77:$B$78,AL77:AL78)+SUMPRODUCT($B$99:$B$104,AL99:AL104))/12</f>
        <v>0</v>
      </c>
      <c r="AM81" s="353" t="n">
        <f aca="false">(SUMPRODUCT($B$49:$B$58,AM49:AM58)+SUMPRODUCT($B$61:$B$68,AM61:AM68)+SUMPRODUCT($B$71:$B$74,AM71:AM74)+SUMPRODUCT($B$77:$B$78,AM77:AM78)+SUMPRODUCT($B$99:$B$104,AM99:AM104))/12</f>
        <v>0</v>
      </c>
      <c r="AN81" s="353" t="n">
        <f aca="false">(SUMPRODUCT($B$49:$B$58,AN49:AN58)+SUMPRODUCT($B$61:$B$68,AN61:AN68)+SUMPRODUCT($B$71:$B$74,AN71:AN74)+SUMPRODUCT($B$77:$B$78,AN77:AN78)+SUMPRODUCT($B$99:$B$104,AN99:AN104))/12</f>
        <v>0</v>
      </c>
      <c r="AO81" s="353" t="n">
        <f aca="false">(SUMPRODUCT($B$49:$B$58,AO49:AO58)+SUMPRODUCT($B$61:$B$68,AO61:AO68)+SUMPRODUCT($B$71:$B$74,AO71:AO74)+SUMPRODUCT($B$77:$B$78,AO77:AO78)+SUMPRODUCT($B$99:$B$104,AO99:AO104))/12</f>
        <v>0</v>
      </c>
      <c r="AP81" s="353" t="n">
        <f aca="false">(SUMPRODUCT($B$49:$B$58,AP49:AP58)+SUMPRODUCT($B$61:$B$68,AP61:AP68)+SUMPRODUCT($B$71:$B$74,AP71:AP74)+SUMPRODUCT($B$77:$B$78,AP77:AP78)+SUMPRODUCT($B$99:$B$104,AP99:AP104))/12</f>
        <v>0</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1207</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0</v>
      </c>
      <c r="R82" s="353" t="n">
        <f aca="false">(SUMPRODUCT($B$49:$B$58,(R49:R58&gt;Q49:Q58)*1)+SUMPRODUCT($B$61:$B$68,(R61:R68&gt;Q61:Q68)*1)+SUMPRODUCT($B$71:$B$74,(R71:R74&gt;Q71:Q74)*1)+SUMPRODUCT($B$77:$B$78,(R77:R78&gt;Q77:Q78)*1)+SUMPRODUCT($B$99:$B$104,(R99:R104&gt;Q99:Q104)*1))*$B$21</f>
        <v>0</v>
      </c>
      <c r="S82" s="353" t="n">
        <f aca="false">(SUMPRODUCT($B$49:$B$58,(S49:S58&gt;R49:R58)*1)+SUMPRODUCT($B$61:$B$68,(S61:S68&gt;R61:R68)*1)+SUMPRODUCT($B$71:$B$74,(S71:S74&gt;R71:R74)*1)+SUMPRODUCT($B$77:$B$78,(S77:S78&gt;R77:R78)*1)+SUMPRODUCT($B$99:$B$104,(S99:S104&gt;R99:R104)*1))*$B$21</f>
        <v>21375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1208</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35769.2307692308</v>
      </c>
      <c r="AA83" s="353" t="n">
        <f aca="false">(SUMPRODUCT($B$49:$B$58,(Z49:Z58&gt;AA49:AA58)*1)+SUMPRODUCT($B$61:$B$68,(Z61:Z68&gt;AA61:AA68)*1)+SUMPRODUCT($B$71:$B$74,(Z71:Z74&gt;AA71:AA74)*1)+SUMPRODUCT($B$77:$B$78,(Z77:Z78&gt;AA77:AA78)*1)+SUMPRODUCT($B$99:$B$104,(Z99:Z104&gt;AA99:AA104)*1))*$B$20/52</f>
        <v>6153.84615384615</v>
      </c>
      <c r="AB83" s="353" t="n">
        <f aca="false">(SUMPRODUCT($B$49:$B$58,(AA49:AA58&gt;AB49:AB58)*1)+SUMPRODUCT($B$61:$B$68,(AA61:AA68&gt;AB61:AB68)*1)+SUMPRODUCT($B$71:$B$74,(AA71:AA74&gt;AB71:AB74)*1)+SUMPRODUCT($B$77:$B$78,(AA77:AA78&gt;AB77:AB78)*1)+SUMPRODUCT($B$99:$B$104,(AA99:AA104&gt;AB99:AB104)*1))*$B$20/52</f>
        <v>12307.6923076923</v>
      </c>
      <c r="AC83" s="353" t="n">
        <f aca="false">(SUMPRODUCT($B$49:$B$58,(AB49:AB58&gt;AC49:AC58)*1)+SUMPRODUCT($B$61:$B$68,(AB61:AB68&gt;AC61:AC68)*1)+SUMPRODUCT($B$71:$B$74,(AB71:AB74&gt;AC71:AC74)*1)+SUMPRODUCT($B$77:$B$78,(AB77:AB78&gt;AC77:AC78)*1)+SUMPRODUCT($B$99:$B$104,(AB99:AB104&gt;AC99:AC104)*1))*$B$20/52</f>
        <v>21923.0769230769</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9615.38461538462</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1209</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0</v>
      </c>
      <c r="R84" s="353" t="n">
        <f aca="false">R82+R83</f>
        <v>0</v>
      </c>
      <c r="S84" s="353" t="n">
        <f aca="false">S82+S83</f>
        <v>21375</v>
      </c>
      <c r="T84" s="353" t="n">
        <f aca="false">T82+T83</f>
        <v>0</v>
      </c>
      <c r="U84" s="353" t="n">
        <f aca="false">U82+U83</f>
        <v>0</v>
      </c>
      <c r="V84" s="353" t="n">
        <f aca="false">V82+V83</f>
        <v>0</v>
      </c>
      <c r="W84" s="353" t="n">
        <f aca="false">W82+W83</f>
        <v>0</v>
      </c>
      <c r="X84" s="353" t="n">
        <f aca="false">X82+X83</f>
        <v>0</v>
      </c>
      <c r="Y84" s="353" t="n">
        <f aca="false">Y82+Y83</f>
        <v>0</v>
      </c>
      <c r="Z84" s="353" t="n">
        <f aca="false">Z82+Z83</f>
        <v>35769.2307692308</v>
      </c>
      <c r="AA84" s="353" t="n">
        <f aca="false">AA82+AA83</f>
        <v>6153.84615384615</v>
      </c>
      <c r="AB84" s="353" t="n">
        <f aca="false">AB82+AB83</f>
        <v>12307.6923076923</v>
      </c>
      <c r="AC84" s="353" t="n">
        <f aca="false">AC82+AC83</f>
        <v>21923.0769230769</v>
      </c>
      <c r="AD84" s="353" t="n">
        <f aca="false">AD82+AD83</f>
        <v>22307.6923076923</v>
      </c>
      <c r="AE84" s="353" t="n">
        <f aca="false">AE82+AE83</f>
        <v>0</v>
      </c>
      <c r="AF84" s="353" t="n">
        <f aca="false">AF82+AF83</f>
        <v>0</v>
      </c>
      <c r="AG84" s="353" t="n">
        <f aca="false">AG82+AG83</f>
        <v>0</v>
      </c>
      <c r="AH84" s="353" t="n">
        <f aca="false">AH82+AH83</f>
        <v>9615.38461538462</v>
      </c>
      <c r="AI84" s="353" t="n">
        <f aca="false">AI82+AI83</f>
        <v>0</v>
      </c>
      <c r="AJ84" s="353" t="n">
        <f aca="false">AJ82+AJ83</f>
        <v>0</v>
      </c>
      <c r="AK84" s="353" t="n">
        <f aca="false">AK82+AK83</f>
        <v>0</v>
      </c>
      <c r="AL84" s="353" t="n">
        <f aca="false">AL82+AL83</f>
        <v>0</v>
      </c>
      <c r="AM84" s="353" t="n">
        <f aca="false">AM82+AM83</f>
        <v>0</v>
      </c>
      <c r="AN84" s="353" t="n">
        <f aca="false">AN82+AN83</f>
        <v>0</v>
      </c>
      <c r="AO84" s="353" t="n">
        <f aca="false">AO82+AO83</f>
        <v>0</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1210</v>
      </c>
      <c r="B86" s="210"/>
      <c r="C86" s="210"/>
      <c r="D86" s="210"/>
      <c r="E86" s="210"/>
      <c r="F86" s="210"/>
    </row>
    <row r="87" customFormat="false" ht="13.5" hidden="false" customHeight="true" outlineLevel="0" collapsed="false">
      <c r="A87" s="109" t="s">
        <v>1211</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10</v>
      </c>
      <c r="R87" s="351" t="n">
        <f aca="false">R43+SUM(R49:R58)</f>
        <v>10</v>
      </c>
      <c r="S87" s="351" t="n">
        <f aca="false">S43+SUM(S49:S58)</f>
        <v>11</v>
      </c>
      <c r="T87" s="351" t="n">
        <f aca="false">T43+SUM(T49:T58)</f>
        <v>11</v>
      </c>
      <c r="U87" s="351" t="n">
        <f aca="false">U43+SUM(U49:U58)</f>
        <v>11</v>
      </c>
      <c r="V87" s="351" t="n">
        <f aca="false">V43+SUM(V49:V58)</f>
        <v>11</v>
      </c>
      <c r="W87" s="351" t="n">
        <f aca="false">W43+SUM(W49:W58)</f>
        <v>11</v>
      </c>
      <c r="X87" s="351" t="n">
        <f aca="false">X43+SUM(X49:X58)</f>
        <v>11</v>
      </c>
      <c r="Y87" s="351" t="n">
        <f aca="false">Y43+SUM(Y49:Y58)</f>
        <v>11</v>
      </c>
      <c r="Z87" s="351" t="n">
        <f aca="false">Z43+SUM(Z49:Z58)</f>
        <v>10</v>
      </c>
      <c r="AA87" s="351" t="n">
        <f aca="false">AA43+SUM(AA49:AA58)</f>
        <v>10</v>
      </c>
      <c r="AB87" s="351" t="n">
        <f aca="false">AB43+SUM(AB49:AB58)</f>
        <v>9</v>
      </c>
      <c r="AC87" s="351" t="n">
        <f aca="false">AC43+SUM(AC49:AC58)</f>
        <v>8</v>
      </c>
      <c r="AD87" s="351" t="n">
        <f aca="false">AD43+SUM(AD49:AD58)</f>
        <v>7</v>
      </c>
      <c r="AE87" s="351" t="n">
        <f aca="false">AE43+SUM(AE49:AE58)</f>
        <v>7</v>
      </c>
      <c r="AF87" s="351" t="n">
        <f aca="false">AF43+SUM(AF49:AF58)</f>
        <v>7</v>
      </c>
      <c r="AG87" s="351" t="n">
        <f aca="false">AG43+SUM(AG49:AG58)</f>
        <v>7</v>
      </c>
      <c r="AH87" s="351" t="n">
        <f aca="false">AH43+SUM(AH49:AH58)</f>
        <v>7</v>
      </c>
      <c r="AI87" s="351" t="n">
        <f aca="false">AI43+SUM(AI49:AI58)</f>
        <v>7</v>
      </c>
      <c r="AJ87" s="351" t="n">
        <f aca="false">AJ43+SUM(AJ49:AJ58)</f>
        <v>7</v>
      </c>
      <c r="AK87" s="351" t="n">
        <f aca="false">AK43+SUM(AK49:AK58)</f>
        <v>7</v>
      </c>
      <c r="AL87" s="351" t="n">
        <f aca="false">AL43+SUM(AL49:AL58)</f>
        <v>7</v>
      </c>
      <c r="AM87" s="351" t="n">
        <f aca="false">AM43+SUM(AM49:AM58)</f>
        <v>7</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1212</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1</v>
      </c>
      <c r="T88" s="351" t="n">
        <f aca="false">T37-T87</f>
        <v>0</v>
      </c>
      <c r="U88" s="351" t="n">
        <f aca="false">U37-U87</f>
        <v>0</v>
      </c>
      <c r="V88" s="351" t="n">
        <f aca="false">V37-V87</f>
        <v>-1</v>
      </c>
      <c r="W88" s="351" t="n">
        <f aca="false">W37-W87</f>
        <v>-2</v>
      </c>
      <c r="X88" s="351" t="n">
        <f aca="false">X37-X87</f>
        <v>-3</v>
      </c>
      <c r="Y88" s="351" t="n">
        <f aca="false">Y37-Y87</f>
        <v>-3</v>
      </c>
      <c r="Z88" s="351" t="n">
        <f aca="false">Z37-Z87</f>
        <v>-2</v>
      </c>
      <c r="AA88" s="351" t="n">
        <f aca="false">AA37-AA87</f>
        <v>-2</v>
      </c>
      <c r="AB88" s="351" t="n">
        <f aca="false">AB37-AB87</f>
        <v>-2</v>
      </c>
      <c r="AC88" s="351" t="n">
        <f aca="false">AC37-AC87</f>
        <v>-2</v>
      </c>
      <c r="AD88" s="351" t="n">
        <f aca="false">AD37-AD87</f>
        <v>-1</v>
      </c>
      <c r="AE88" s="351" t="n">
        <f aca="false">AE37-AE87</f>
        <v>-1</v>
      </c>
      <c r="AF88" s="351" t="n">
        <f aca="false">AF37-AF87</f>
        <v>-1</v>
      </c>
      <c r="AG88" s="351" t="n">
        <f aca="false">AG37-AG87</f>
        <v>-3</v>
      </c>
      <c r="AH88" s="351" t="n">
        <f aca="false">AH37-AH87</f>
        <v>-4</v>
      </c>
      <c r="AI88" s="351" t="n">
        <f aca="false">AI37-AI87</f>
        <v>-4</v>
      </c>
      <c r="AJ88" s="351" t="n">
        <f aca="false">AJ37-AJ87</f>
        <v>-4</v>
      </c>
      <c r="AK88" s="351" t="n">
        <f aca="false">AK37-AK87</f>
        <v>-5</v>
      </c>
      <c r="AL88" s="351" t="n">
        <f aca="false">AL37-AL87</f>
        <v>-5</v>
      </c>
      <c r="AM88" s="351" t="n">
        <f aca="false">AM37-AM87</f>
        <v>-5</v>
      </c>
      <c r="AN88" s="351" t="n">
        <f aca="false">AN37-AN87</f>
        <v>-5</v>
      </c>
      <c r="AO88" s="351" t="n">
        <f aca="false">AO37-AO87</f>
        <v>-6</v>
      </c>
      <c r="AP88" s="351" t="n">
        <f aca="false">AP37-AP87</f>
        <v>-6</v>
      </c>
      <c r="AQ88" s="351" t="n">
        <f aca="false">AQ37-AQ87</f>
        <v>-6</v>
      </c>
      <c r="AR88" s="351" t="n">
        <f aca="false">AR37-AR87</f>
        <v>-6</v>
      </c>
      <c r="AS88" s="351" t="n">
        <f aca="false">AS37-AS87</f>
        <v>-6</v>
      </c>
      <c r="AT88" s="351" t="n">
        <f aca="false">AT37-AT87</f>
        <v>-6</v>
      </c>
      <c r="AU88" s="351" t="n">
        <f aca="false">AU37-AU87</f>
        <v>-6</v>
      </c>
      <c r="AV88" s="351" t="n">
        <f aca="false">AV37-AV87</f>
        <v>-6</v>
      </c>
      <c r="AW88" s="351" t="n">
        <f aca="false">AW37-AW87</f>
        <v>-7</v>
      </c>
      <c r="AX88" s="351" t="n">
        <f aca="false">AX37-AX87</f>
        <v>-7</v>
      </c>
      <c r="AY88" s="351" t="n">
        <f aca="false">AY37-AY87</f>
        <v>-7</v>
      </c>
      <c r="AZ88" s="351" t="n">
        <f aca="false">AZ37-AZ87</f>
        <v>-7</v>
      </c>
      <c r="BA88" s="351" t="n">
        <f aca="false">BA37-BA87</f>
        <v>-7</v>
      </c>
      <c r="BB88" s="351" t="n">
        <f aca="false">BB37-BB87</f>
        <v>-7</v>
      </c>
      <c r="BC88" s="351" t="n">
        <f aca="false">BC37-BC87</f>
        <v>-7</v>
      </c>
      <c r="BD88" s="351" t="n">
        <f aca="false">BD37-BD87</f>
        <v>-7</v>
      </c>
      <c r="BE88" s="351" t="n">
        <f aca="false">BE37-BE87</f>
        <v>-7</v>
      </c>
      <c r="BF88" s="351" t="n">
        <f aca="false">BF37-BF87</f>
        <v>-7</v>
      </c>
      <c r="BG88" s="351" t="n">
        <f aca="false">BG37-BG87</f>
        <v>-7</v>
      </c>
      <c r="BH88" s="351" t="n">
        <f aca="false">BH37-BH87</f>
        <v>-7</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1213</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1.5625</v>
      </c>
      <c r="R89" s="351" t="n">
        <f aca="false">(R87+R44+SUM(R61:R68)+R45+SUM(R71:R74))-(R38+R39+R40)</f>
        <v>1.5625</v>
      </c>
      <c r="S89" s="351" t="n">
        <f aca="false">(S87+S44+SUM(S61:S68)+S45+SUM(S71:S74))-(S38+S39+S40)</f>
        <v>0.912500000000001</v>
      </c>
      <c r="T89" s="351" t="n">
        <f aca="false">(T87+T44+SUM(T61:T68)+T45+SUM(T71:T74))-(T38+T39+T40)</f>
        <v>1.1375</v>
      </c>
      <c r="U89" s="351" t="n">
        <f aca="false">(U87+U44+SUM(U61:U68)+U45+SUM(U71:U74))-(U38+U39+U40)</f>
        <v>2.57</v>
      </c>
      <c r="V89" s="351" t="n">
        <f aca="false">(V87+V44+SUM(V61:V68)+V45+SUM(V71:V74))-(V38+V39+V40)</f>
        <v>2.57</v>
      </c>
      <c r="W89" s="351" t="n">
        <f aca="false">(W87+W44+SUM(W61:W68)+W45+SUM(W71:W74))-(W38+W39+W40)</f>
        <v>3.67</v>
      </c>
      <c r="X89" s="351" t="n">
        <f aca="false">(X87+X44+SUM(X61:X68)+X45+SUM(X71:X74))-(X38+X39+X40)</f>
        <v>4.77</v>
      </c>
      <c r="Y89" s="351" t="n">
        <f aca="false">(Y87+Y44+SUM(Y61:Y68)+Y45+SUM(Y71:Y74))-(Y38+Y39+Y40)</f>
        <v>6.095</v>
      </c>
      <c r="Z89" s="351" t="n">
        <f aca="false">(Z87+Z44+SUM(Z61:Z68)+Z45+SUM(Z71:Z74))-(Z38+Z39+Z40)</f>
        <v>4.32</v>
      </c>
      <c r="AA89" s="351" t="n">
        <f aca="false">(AA87+AA44+SUM(AA61:AA68)+AA45+SUM(AA71:AA74))-(AA38+AA39+AA40)</f>
        <v>4.32</v>
      </c>
      <c r="AB89" s="351" t="n">
        <f aca="false">(AB87+AB44+SUM(AB61:AB68)+AB45+SUM(AB71:AB74))-(AB38+AB39+AB40)</f>
        <v>3.32</v>
      </c>
      <c r="AC89" s="351" t="n">
        <f aca="false">(AC87+AC44+SUM(AC61:AC68)+AC45+SUM(AC71:AC74))-(AC38+AC39+AC40)</f>
        <v>3.42</v>
      </c>
      <c r="AD89" s="351" t="n">
        <f aca="false">(AD87+AD44+SUM(AD61:AD68)+AD45+SUM(AD71:AD74))-(AD38+AD39+AD40)</f>
        <v>3.0775</v>
      </c>
      <c r="AE89" s="351" t="n">
        <f aca="false">(AE87+AE44+SUM(AE61:AE68)+AE45+SUM(AE71:AE74))-(AE38+AE39+AE40)</f>
        <v>3.41</v>
      </c>
      <c r="AF89" s="351" t="n">
        <f aca="false">(AF87+AF44+SUM(AF61:AF68)+AF45+SUM(AF71:AF74))-(AF38+AF39+AF40)</f>
        <v>3.41</v>
      </c>
      <c r="AG89" s="351" t="n">
        <f aca="false">(AG87+AG44+SUM(AG61:AG68)+AG45+SUM(AG71:AG74))-(AG38+AG39+AG40)</f>
        <v>3.41</v>
      </c>
      <c r="AH89" s="351" t="n">
        <f aca="false">(AH87+AH44+SUM(AH61:AH68)+AH45+SUM(AH71:AH74))-(AH38+AH39+AH40)</f>
        <v>5.9425</v>
      </c>
      <c r="AI89" s="351" t="n">
        <f aca="false">(AI87+AI44+SUM(AI61:AI68)+AI45+SUM(AI71:AI74))-(AI38+AI39+AI40)</f>
        <v>7.15</v>
      </c>
      <c r="AJ89" s="351" t="n">
        <f aca="false">(AJ87+AJ44+SUM(AJ61:AJ68)+AJ45+SUM(AJ71:AJ74))-(AJ38+AJ39+AJ40)</f>
        <v>7.15</v>
      </c>
      <c r="AK89" s="351" t="n">
        <f aca="false">(AK87+AK44+SUM(AK61:AK68)+AK45+SUM(AK71:AK74))-(AK38+AK39+AK40)</f>
        <v>7.15</v>
      </c>
      <c r="AL89" s="351" t="n">
        <f aca="false">(AL87+AL44+SUM(AL61:AL68)+AL45+SUM(AL71:AL74))-(AL38+AL39+AL40)</f>
        <v>8.75</v>
      </c>
      <c r="AM89" s="351" t="n">
        <f aca="false">(AM87+AM44+SUM(AM61:AM68)+AM45+SUM(AM71:AM74))-(AM38+AM39+AM40)</f>
        <v>8.75</v>
      </c>
      <c r="AN89" s="351" t="n">
        <f aca="false">(AN87+AN44+SUM(AN61:AN68)+AN45+SUM(AN71:AN74))-(AN38+AN39+AN40)</f>
        <v>8.75</v>
      </c>
      <c r="AO89" s="351" t="n">
        <f aca="false">(AO87+AO44+SUM(AO61:AO68)+AO45+SUM(AO71:AO74))-(AO38+AO39+AO40)</f>
        <v>8.75</v>
      </c>
      <c r="AP89" s="351" t="n">
        <f aca="false">(AP87+AP44+SUM(AP61:AP68)+AP45+SUM(AP71:AP74))-(AP38+AP39+AP40)</f>
        <v>10.125</v>
      </c>
      <c r="AQ89" s="351" t="n">
        <f aca="false">(AQ87+AQ44+SUM(AQ61:AQ68)+AQ45+SUM(AQ71:AQ74))-(AQ38+AQ39+AQ40)</f>
        <v>10.125</v>
      </c>
      <c r="AR89" s="351" t="n">
        <f aca="false">(AR87+AR44+SUM(AR61:AR68)+AR45+SUM(AR71:AR74))-(AR38+AR39+AR40)</f>
        <v>10.125</v>
      </c>
      <c r="AS89" s="351" t="n">
        <f aca="false">(AS87+AS44+SUM(AS61:AS68)+AS45+SUM(AS71:AS74))-(AS38+AS39+AS40)</f>
        <v>10.125</v>
      </c>
      <c r="AT89" s="351" t="n">
        <f aca="false">(AT87+AT44+SUM(AT61:AT68)+AT45+SUM(AT71:AT74))-(AT38+AT39+AT40)</f>
        <v>10.625</v>
      </c>
      <c r="AU89" s="351" t="n">
        <f aca="false">(AU87+AU44+SUM(AU61:AU68)+AU45+SUM(AU71:AU74))-(AU38+AU39+AU40)</f>
        <v>10.625</v>
      </c>
      <c r="AV89" s="351" t="n">
        <f aca="false">(AV87+AV44+SUM(AV61:AV68)+AV45+SUM(AV71:AV74))-(AV38+AV39+AV40)</f>
        <v>10.625</v>
      </c>
      <c r="AW89" s="351" t="n">
        <f aca="false">(AW87+AW44+SUM(AW61:AW68)+AW45+SUM(AW71:AW74))-(AW38+AW39+AW40)</f>
        <v>10.625</v>
      </c>
      <c r="AX89" s="351" t="n">
        <f aca="false">(AX87+AX44+SUM(AX61:AX68)+AX45+SUM(AX71:AX74))-(AX38+AX39+AX40)</f>
        <v>12</v>
      </c>
      <c r="AY89" s="351" t="n">
        <f aca="false">(AY87+AY44+SUM(AY61:AY68)+AY45+SUM(AY71:AY74))-(AY38+AY39+AY40)</f>
        <v>12</v>
      </c>
      <c r="AZ89" s="351" t="n">
        <f aca="false">(AZ87+AZ44+SUM(AZ61:AZ68)+AZ45+SUM(AZ71:AZ74))-(AZ38+AZ39+AZ40)</f>
        <v>12</v>
      </c>
      <c r="BA89" s="351" t="n">
        <f aca="false">(BA87+BA44+SUM(BA61:BA68)+BA45+SUM(BA71:BA74))-(BA38+BA39+BA40)</f>
        <v>12</v>
      </c>
      <c r="BB89" s="351" t="n">
        <f aca="false">(BB87+BB44+SUM(BB61:BB68)+BB45+SUM(BB71:BB74))-(BB38+BB39+BB40)</f>
        <v>12</v>
      </c>
      <c r="BC89" s="351" t="n">
        <f aca="false">(BC87+BC44+SUM(BC61:BC68)+BC45+SUM(BC71:BC74))-(BC38+BC39+BC40)</f>
        <v>12</v>
      </c>
      <c r="BD89" s="351" t="n">
        <f aca="false">(BD87+BD44+SUM(BD61:BD68)+BD45+SUM(BD71:BD74))-(BD38+BD39+BD40)</f>
        <v>12</v>
      </c>
      <c r="BE89" s="351" t="n">
        <f aca="false">(BE87+BE44+SUM(BE61:BE68)+BE45+SUM(BE71:BE74))-(BE38+BE39+BE40)</f>
        <v>12</v>
      </c>
      <c r="BF89" s="351" t="n">
        <f aca="false">(BF87+BF44+SUM(BF61:BF68)+BF45+SUM(BF71:BF74))-(BF38+BF39+BF40)</f>
        <v>12</v>
      </c>
      <c r="BG89" s="351" t="n">
        <f aca="false">(BG87+BG44+SUM(BG61:BG68)+BG45+SUM(BG71:BG74))-(BG38+BG39+BG40)</f>
        <v>12</v>
      </c>
      <c r="BH89" s="351" t="n">
        <f aca="false">(BH87+BH44+SUM(BH61:BH68)+BH45+SUM(BH71:BH74))-(BH38+BH39+BH40)</f>
        <v>12</v>
      </c>
      <c r="BI89" s="351" t="n">
        <f aca="false">(BI87+BI44+SUM(BI61:BI68)+BI45+SUM(BI71:BI74))-(BI38+BI39+BI40)</f>
        <v>12</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1214</v>
      </c>
      <c r="B91" s="210"/>
    </row>
    <row r="92" customFormat="false" ht="13.5" hidden="false" customHeight="true" outlineLevel="0" collapsed="false">
      <c r="A92" s="109" t="s">
        <v>1215</v>
      </c>
      <c r="B92" s="348" t="n">
        <v>1</v>
      </c>
    </row>
    <row r="93" customFormat="false" ht="13.5" hidden="false" customHeight="true" outlineLevel="0" collapsed="false">
      <c r="A93" s="109" t="s">
        <v>1216</v>
      </c>
      <c r="B93" s="348" t="n">
        <v>0.5</v>
      </c>
    </row>
    <row r="94" customFormat="false" ht="13.5" hidden="false" customHeight="true" outlineLevel="0" collapsed="false">
      <c r="A94" s="109" t="s">
        <v>1217</v>
      </c>
      <c r="B94" s="348"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v>
      </c>
      <c r="AM96" s="1" t="n">
        <f aca="false">SUMPRODUCT((Projects!$G$2:$G$45="Yes")*(35&gt;=Projects!$C$2:$C$45-$B$15)*(35&lt;=Projects!$W$2:$W$45+$B$17)*((Projects!$B$2:$B$45&gt;=$B$12)*$B$92+(Projects!$B$2:$B$45&lt;$B$12)*(Projects!$B$2:$B$45&gt;=$B$13)*$B$93+(Projects!$B$2:$B$45&lt;$B$13)*$B$94))</f>
        <v>2</v>
      </c>
      <c r="AN96" s="1" t="n">
        <f aca="false">SUMPRODUCT((Projects!$G$2:$G$45="Yes")*(36&gt;=Projects!$C$2:$C$45-$B$15)*(36&lt;=Projects!$W$2:$W$45+$B$17)*((Projects!$B$2:$B$45&gt;=$B$12)*$B$92+(Projects!$B$2:$B$45&lt;$B$12)*(Projects!$B$2:$B$45&gt;=$B$13)*$B$93+(Projects!$B$2:$B$45&lt;$B$13)*$B$94))</f>
        <v>2</v>
      </c>
      <c r="AO96" s="1" t="n">
        <f aca="false">SUMPRODUCT((Projects!$G$2:$G$45="Yes")*(37&gt;=Projects!$C$2:$C$45-$B$15)*(37&lt;=Projects!$W$2:$W$45+$B$17)*((Projects!$B$2:$B$45&gt;=$B$12)*$B$92+(Projects!$B$2:$B$45&lt;$B$12)*(Projects!$B$2:$B$45&gt;=$B$13)*$B$93+(Projects!$B$2:$B$45&lt;$B$13)*$B$94))</f>
        <v>2</v>
      </c>
      <c r="AP96" s="1" t="n">
        <f aca="false">SUMPRODUCT((Projects!$G$2:$G$45="Yes")*(38&gt;=Projects!$C$2:$C$45-$B$15)*(38&lt;=Projects!$W$2:$W$45+$B$17)*((Projects!$B$2:$B$45&gt;=$B$12)*$B$92+(Projects!$B$2:$B$45&lt;$B$12)*(Projects!$B$2:$B$45&gt;=$B$13)*$B$93+(Projects!$B$2:$B$45&lt;$B$13)*$B$94))</f>
        <v>1</v>
      </c>
      <c r="AQ96" s="1" t="n">
        <f aca="false">SUMPRODUCT((Projects!$G$2:$G$45="Yes")*(39&gt;=Projects!$C$2:$C$45-$B$15)*(39&lt;=Projects!$W$2:$W$45+$B$17)*((Projects!$B$2:$B$45&gt;=$B$12)*$B$92+(Projects!$B$2:$B$45&lt;$B$12)*(Projects!$B$2:$B$45&gt;=$B$13)*$B$93+(Projects!$B$2:$B$45&lt;$B$13)*$B$94))</f>
        <v>1</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1220</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0</v>
      </c>
      <c r="AI99" s="352" t="n">
        <f aca="false">IF(31&lt;5,0,IF(MAX(AD96:AI96)&gt;AI97+0+$B$18,1,0))</f>
        <v>0</v>
      </c>
      <c r="AJ99" s="352" t="n">
        <f aca="false">IF(32&lt;5,0,IF(MAX(AE96:AJ96)&gt;AJ97+0+$B$18,1,0))</f>
        <v>0</v>
      </c>
      <c r="AK99" s="352" t="n">
        <f aca="false">IF(33&lt;5,0,IF(MAX(AF96:AK96)&gt;AK97+0+$B$18,1,0))</f>
        <v>0</v>
      </c>
      <c r="AL99" s="352" t="n">
        <f aca="false">IF(34&lt;5,0,IF(MAX(AG96:AL96)&gt;AL97+0+$B$18,1,0))</f>
        <v>0</v>
      </c>
      <c r="AM99" s="352" t="n">
        <f aca="false">IF(35&lt;5,0,IF(MAX(AH96:AM96)&gt;AM97+0+$B$18,1,0))</f>
        <v>0</v>
      </c>
      <c r="AN99" s="352" t="n">
        <f aca="false">IF(36&lt;5,0,IF(MAX(AI96:AN96)&gt;AN97+0+$B$18,1,0))</f>
        <v>0</v>
      </c>
      <c r="AO99" s="352" t="n">
        <f aca="false">IF(37&lt;5,0,IF(MAX(AJ96:AO96)&gt;AO97+0+$B$18,1,0))</f>
        <v>0</v>
      </c>
      <c r="AP99" s="352" t="n">
        <f aca="false">IF(38&lt;5,0,IF(MAX(AK96:AP96)&gt;AP97+0+$B$18,1,0))</f>
        <v>0</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1221</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0</v>
      </c>
      <c r="AD100" s="352" t="n">
        <f aca="false">IF(26&lt;5,0,IF(MAX(Y96:AD96)&gt;AD97+1+$B$18,1,0))</f>
        <v>0</v>
      </c>
      <c r="AE100" s="352" t="n">
        <f aca="false">IF(27&lt;5,0,IF(MAX(Z96:AE96)&gt;AE97+1+$B$18,1,0))</f>
        <v>0</v>
      </c>
      <c r="AF100" s="352" t="n">
        <f aca="false">IF(28&lt;5,0,IF(MAX(AA96:AF96)&gt;AF97+1+$B$18,1,0))</f>
        <v>0</v>
      </c>
      <c r="AG100" s="352" t="n">
        <f aca="false">IF(29&lt;5,0,IF(MAX(AB96:AG96)&gt;AG97+1+$B$18,1,0))</f>
        <v>0</v>
      </c>
      <c r="AH100" s="352" t="n">
        <f aca="false">IF(30&lt;5,0,IF(MAX(AC96:AH96)&gt;AH97+1+$B$18,1,0))</f>
        <v>0</v>
      </c>
      <c r="AI100" s="352" t="n">
        <f aca="false">IF(31&lt;5,0,IF(MAX(AD96:AI96)&gt;AI97+1+$B$18,1,0))</f>
        <v>0</v>
      </c>
      <c r="AJ100" s="352" t="n">
        <f aca="false">IF(32&lt;5,0,IF(MAX(AE96:AJ96)&gt;AJ97+1+$B$18,1,0))</f>
        <v>0</v>
      </c>
      <c r="AK100" s="352" t="n">
        <f aca="false">IF(33&lt;5,0,IF(MAX(AF96:AK96)&gt;AK97+1+$B$18,1,0))</f>
        <v>0</v>
      </c>
      <c r="AL100" s="352" t="n">
        <f aca="false">IF(34&lt;5,0,IF(MAX(AG96:AL96)&gt;AL97+1+$B$18,1,0))</f>
        <v>0</v>
      </c>
      <c r="AM100" s="352" t="n">
        <f aca="false">IF(35&lt;5,0,IF(MAX(AH96:AM96)&gt;AM97+1+$B$18,1,0))</f>
        <v>0</v>
      </c>
      <c r="AN100" s="352" t="n">
        <f aca="false">IF(36&lt;5,0,IF(MAX(AI96:AN96)&gt;AN97+1+$B$18,1,0))</f>
        <v>0</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1222</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0</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0</v>
      </c>
      <c r="AA101" s="352" t="n">
        <f aca="false">IF(23&lt;5,0,IF(MAX(V96:AA96)&gt;AA97+2+$B$18,1,0))</f>
        <v>0</v>
      </c>
      <c r="AB101" s="352" t="n">
        <f aca="false">IF(24&lt;5,0,IF(MAX(W96:AB96)&gt;AB97+2+$B$18,1,0))</f>
        <v>0</v>
      </c>
      <c r="AC101" s="352" t="n">
        <f aca="false">IF(25&lt;5,0,IF(MAX(X96:AC96)&gt;AC97+2+$B$18,1,0))</f>
        <v>0</v>
      </c>
      <c r="AD101" s="352" t="n">
        <f aca="false">IF(26&lt;5,0,IF(MAX(Y96:AD96)&gt;AD97+2+$B$18,1,0))</f>
        <v>0</v>
      </c>
      <c r="AE101" s="352" t="n">
        <f aca="false">IF(27&lt;5,0,IF(MAX(Z96:AE96)&gt;AE97+2+$B$18,1,0))</f>
        <v>0</v>
      </c>
      <c r="AF101" s="352" t="n">
        <f aca="false">IF(28&lt;5,0,IF(MAX(AA96:AF96)&gt;AF97+2+$B$18,1,0))</f>
        <v>0</v>
      </c>
      <c r="AG101" s="352" t="n">
        <f aca="false">IF(29&lt;5,0,IF(MAX(AB96:AG96)&gt;AG97+2+$B$18,1,0))</f>
        <v>0</v>
      </c>
      <c r="AH101" s="352" t="n">
        <f aca="false">IF(30&lt;5,0,IF(MAX(AC96:AH96)&gt;AH97+2+$B$18,1,0))</f>
        <v>0</v>
      </c>
      <c r="AI101" s="352" t="n">
        <f aca="false">IF(31&lt;5,0,IF(MAX(AD96:AI96)&gt;AI97+2+$B$18,1,0))</f>
        <v>0</v>
      </c>
      <c r="AJ101" s="352" t="n">
        <f aca="false">IF(32&lt;5,0,IF(MAX(AE96:AJ96)&gt;AJ97+2+$B$18,1,0))</f>
        <v>0</v>
      </c>
      <c r="AK101" s="352" t="n">
        <f aca="false">IF(33&lt;5,0,IF(MAX(AF96:AK96)&gt;AK97+2+$B$18,1,0))</f>
        <v>0</v>
      </c>
      <c r="AL101" s="352" t="n">
        <f aca="false">IF(34&lt;5,0,IF(MAX(AG96:AL96)&gt;AL97+2+$B$18,1,0))</f>
        <v>0</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1223</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0</v>
      </c>
      <c r="T102" s="352" t="n">
        <f aca="false">IF(16&lt;5,0,IF(MAX(O96:T96)&gt;T97+3+$B$18,1,0))</f>
        <v>0</v>
      </c>
      <c r="U102" s="352" t="n">
        <f aca="false">IF(17&lt;5,0,IF(MAX(P96:U96)&gt;U97+3+$B$18,1,0))</f>
        <v>0</v>
      </c>
      <c r="V102" s="352" t="n">
        <f aca="false">IF(18&lt;5,0,IF(MAX(Q96:V96)&gt;V97+3+$B$18,1,0))</f>
        <v>0</v>
      </c>
      <c r="W102" s="352" t="n">
        <f aca="false">IF(19&lt;5,0,IF(MAX(R96:W96)&gt;W97+3+$B$18,1,0))</f>
        <v>0</v>
      </c>
      <c r="X102" s="352" t="n">
        <f aca="false">IF(20&lt;5,0,IF(MAX(S96:X96)&gt;X97+3+$B$18,1,0))</f>
        <v>0</v>
      </c>
      <c r="Y102" s="352" t="n">
        <f aca="false">IF(21&lt;5,0,IF(MAX(T96:Y96)&gt;Y97+3+$B$18,1,0))</f>
        <v>0</v>
      </c>
      <c r="Z102" s="352" t="n">
        <f aca="false">IF(22&lt;5,0,IF(MAX(U96:Z96)&gt;Z97+3+$B$18,1,0))</f>
        <v>0</v>
      </c>
      <c r="AA102" s="352" t="n">
        <f aca="false">IF(23&lt;5,0,IF(MAX(V96:AA96)&gt;AA97+3+$B$18,1,0))</f>
        <v>0</v>
      </c>
      <c r="AB102" s="352" t="n">
        <f aca="false">IF(24&lt;5,0,IF(MAX(W96:AB96)&gt;AB97+3+$B$18,1,0))</f>
        <v>0</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1224</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1225</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1226</v>
      </c>
      <c r="B106" s="348" t="n">
        <v>3</v>
      </c>
    </row>
    <row r="107" customFormat="false" ht="13.5" hidden="false" customHeight="true" outlineLevel="0" collapsed="false">
      <c r="A107" s="109" t="s">
        <v>1227</v>
      </c>
      <c r="B107" s="348"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1229</v>
      </c>
    </row>
    <row r="2" customFormat="false" ht="13.5" hidden="false" customHeight="true" outlineLevel="0" collapsed="false">
      <c r="A2" s="354" t="s">
        <v>1230</v>
      </c>
    </row>
    <row r="3" customFormat="false" ht="15" hidden="false" customHeight="true" outlineLevel="0" collapsed="false">
      <c r="A3" s="355" t="s">
        <v>1231</v>
      </c>
    </row>
    <row r="4" customFormat="false" ht="15" hidden="false" customHeight="true" outlineLevel="0" collapsed="false">
      <c r="A4" s="118" t="s">
        <v>1232</v>
      </c>
      <c r="C4" s="356" t="n">
        <f aca="false">Assumptions!$B$15</f>
        <v>0.015</v>
      </c>
      <c r="D4" s="357" t="s">
        <v>1233</v>
      </c>
    </row>
    <row r="5" customFormat="false" ht="15" hidden="false" customHeight="true" outlineLevel="0" collapsed="false">
      <c r="A5" s="118" t="s">
        <v>1234</v>
      </c>
      <c r="C5" s="358" t="n">
        <f aca="false">95034/12993776.05</f>
        <v>0.00731380929102591</v>
      </c>
      <c r="D5" s="357" t="s">
        <v>1235</v>
      </c>
    </row>
    <row r="6" customFormat="false" ht="15" hidden="false" customHeight="true" outlineLevel="0" collapsed="false">
      <c r="A6" s="118" t="s">
        <v>1236</v>
      </c>
      <c r="C6" s="356" t="n">
        <f aca="false">Assumptions!$B$17</f>
        <v>0.0325</v>
      </c>
      <c r="D6" s="357" t="s">
        <v>1237</v>
      </c>
    </row>
    <row r="7" customFormat="false" ht="15" hidden="false" customHeight="true" outlineLevel="0" collapsed="false">
      <c r="A7" s="118" t="s">
        <v>1238</v>
      </c>
      <c r="C7" s="359" t="n">
        <v>1800000</v>
      </c>
      <c r="D7" s="357" t="s">
        <v>1239</v>
      </c>
      <c r="F7" s="118" t="s">
        <v>1240</v>
      </c>
      <c r="H7" s="360" t="n">
        <f aca="false">SUMPRODUCT(($S$11:$S$54=1)*($H$11:$H$54&lt;=$C$8)*$Z$11:$Z$54)</f>
        <v>692876.895125</v>
      </c>
    </row>
    <row r="8" customFormat="false" ht="15" hidden="false" customHeight="true" outlineLevel="0" collapsed="false">
      <c r="A8" s="118" t="s">
        <v>1241</v>
      </c>
      <c r="C8" s="361" t="n">
        <f aca="false">SUMPRODUCT(--(Model!$B$4:$DE$4="Actuals"))-3</f>
        <v>6</v>
      </c>
      <c r="D8" s="357" t="s">
        <v>1242</v>
      </c>
      <c r="F8" s="118" t="s">
        <v>1243</v>
      </c>
      <c r="H8" s="360" t="n">
        <f aca="false">SUMIFS($O$11:$O$54,$H$11:$H$54,"&lt;="&amp;$C$8)</f>
        <v>692876.89</v>
      </c>
    </row>
    <row r="9" customFormat="false" ht="15" hidden="false" customHeight="true" outlineLevel="0" collapsed="false">
      <c r="A9" s="118" t="s">
        <v>1244</v>
      </c>
      <c r="C9" s="362" t="n">
        <f aca="false">SUM(AC11:AC54)</f>
        <v>0.00512500014156103</v>
      </c>
      <c r="D9" s="357" t="s">
        <v>1245</v>
      </c>
      <c r="F9" s="118" t="s">
        <v>1246</v>
      </c>
      <c r="H9" s="363" t="n">
        <v>10</v>
      </c>
    </row>
    <row r="10" customFormat="false" ht="48" hidden="false" customHeight="true" outlineLevel="0" collapsed="false">
      <c r="A10" s="173" t="s">
        <v>468</v>
      </c>
      <c r="B10" s="173" t="s">
        <v>1247</v>
      </c>
      <c r="C10" s="173" t="s">
        <v>566</v>
      </c>
      <c r="D10" s="173" t="s">
        <v>567</v>
      </c>
      <c r="E10" s="173" t="s">
        <v>1248</v>
      </c>
      <c r="F10" s="173" t="s">
        <v>1249</v>
      </c>
      <c r="G10" s="173" t="s">
        <v>1250</v>
      </c>
      <c r="H10" s="173" t="s">
        <v>1251</v>
      </c>
      <c r="I10" s="173" t="s">
        <v>1252</v>
      </c>
      <c r="J10" s="173" t="s">
        <v>1253</v>
      </c>
      <c r="K10" s="173" t="s">
        <v>1254</v>
      </c>
      <c r="L10" s="173" t="s">
        <v>1255</v>
      </c>
      <c r="M10" s="173" t="s">
        <v>1254</v>
      </c>
      <c r="N10" s="173" t="s">
        <v>1256</v>
      </c>
      <c r="O10" s="173" t="s">
        <v>1257</v>
      </c>
      <c r="P10" s="173" t="s">
        <v>1254</v>
      </c>
      <c r="Q10" s="173" t="s">
        <v>1258</v>
      </c>
      <c r="R10" s="173" t="s">
        <v>1259</v>
      </c>
      <c r="S10" s="173" t="s">
        <v>1260</v>
      </c>
      <c r="T10" s="173" t="s">
        <v>1261</v>
      </c>
      <c r="U10" s="173" t="s">
        <v>1262</v>
      </c>
      <c r="V10" s="173" t="s">
        <v>1263</v>
      </c>
      <c r="W10" s="173" t="s">
        <v>1264</v>
      </c>
      <c r="X10" s="173" t="s">
        <v>1265</v>
      </c>
      <c r="Y10" s="173" t="s">
        <v>1266</v>
      </c>
      <c r="Z10" s="173" t="s">
        <v>1267</v>
      </c>
      <c r="AA10" s="173" t="s">
        <v>1268</v>
      </c>
      <c r="AB10" s="173" t="s">
        <v>1269</v>
      </c>
      <c r="AC10" s="173" t="s">
        <v>1270</v>
      </c>
      <c r="AD10" s="173" t="s">
        <v>629</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1271</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1271</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t="n">
        <v>365613.17</v>
      </c>
      <c r="P16" s="365" t="n">
        <v>6</v>
      </c>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0.00350000004982576</v>
      </c>
      <c r="AD16" s="378" t="s">
        <v>1272</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t="n">
        <v>327263.72</v>
      </c>
      <c r="P17" s="365" t="n">
        <v>6</v>
      </c>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0.00162500009173527</v>
      </c>
      <c r="AD17" s="372" t="s">
        <v>1273</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1274</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1275</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No</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0</v>
      </c>
      <c r="T23" s="368" t="n">
        <f aca="false">$S23*IF($J23&lt;&gt;"",$J23,$F23*IF($I23&lt;&gt;"",$I23,$C$4)/(1+IF($I23&lt;&gt;"",$I23,$C$4)))</f>
        <v>0</v>
      </c>
      <c r="U23" s="368" t="n">
        <f aca="false">$S23*IF($L23&lt;&gt;"",$L23,$F23*$C$5)</f>
        <v>0</v>
      </c>
      <c r="V23" s="368" t="n">
        <f aca="false">$S23*$F23*IF($N23&lt;&gt;"",$N23,$C$6)</f>
        <v>0</v>
      </c>
      <c r="W23" s="368" t="n">
        <f aca="false">MAX(0,$V23-$U23)</f>
        <v>0</v>
      </c>
      <c r="X23" s="369" t="n">
        <f aca="false">IF($B23&lt;&gt;"",$B23,100+$H23)</f>
        <v>127</v>
      </c>
      <c r="Y23" s="368" t="n">
        <f aca="false">$S23*MAX(0,MIN($W23,$C$7-SUMIFS($W$11:$W$54,$X$11:$X$54,"&lt;"&amp;$X23)))</f>
        <v>0</v>
      </c>
      <c r="Z23" s="368" t="n">
        <f aca="false">$W23-$Y23</f>
        <v>0</v>
      </c>
      <c r="AA23" s="371" t="n">
        <f aca="false">$S23*($T23-$U23-$Z23)</f>
        <v>0</v>
      </c>
      <c r="AB23" s="371" t="n">
        <f aca="false">$S23*($T23-$U23)</f>
        <v>0</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No</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0</v>
      </c>
      <c r="T24" s="375" t="n">
        <f aca="false">$S24*IF($J24&lt;&gt;"",$J24,$F24*IF($I24&lt;&gt;"",$I24,$C$4)/(1+IF($I24&lt;&gt;"",$I24,$C$4)))</f>
        <v>0</v>
      </c>
      <c r="U24" s="375" t="n">
        <f aca="false">$S24*IF($L24&lt;&gt;"",$L24,$F24*$C$5)</f>
        <v>0</v>
      </c>
      <c r="V24" s="375" t="n">
        <f aca="false">$S24*$F24*IF($N24&lt;&gt;"",$N24,$C$6)</f>
        <v>0</v>
      </c>
      <c r="W24" s="375" t="n">
        <f aca="false">MAX(0,$V24-$U24)</f>
        <v>0</v>
      </c>
      <c r="X24" s="376" t="n">
        <f aca="false">IF($B24&lt;&gt;"",$B24,100+$H24)</f>
        <v>118</v>
      </c>
      <c r="Y24" s="375" t="n">
        <f aca="false">$S24*MAX(0,MIN($W24,$C$7-SUMIFS($W$11:$W$54,$X$11:$X$54,"&lt;"&amp;$X24)))</f>
        <v>0</v>
      </c>
      <c r="Z24" s="375" t="n">
        <f aca="false">$W24-$Y24</f>
        <v>0</v>
      </c>
      <c r="AA24" s="377" t="n">
        <f aca="false">$S24*($T24-$U24-$Z24)</f>
        <v>0</v>
      </c>
      <c r="AB24" s="377" t="n">
        <f aca="false">$S24*($T24-$U24)</f>
        <v>0</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No</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0</v>
      </c>
      <c r="T25" s="368" t="n">
        <f aca="false">$S25*IF($J25&lt;&gt;"",$J25,$F25*IF($I25&lt;&gt;"",$I25,$C$4)/(1+IF($I25&lt;&gt;"",$I25,$C$4)))</f>
        <v>0</v>
      </c>
      <c r="U25" s="368" t="n">
        <f aca="false">$S25*IF($L25&lt;&gt;"",$L25,$F25*$C$5)</f>
        <v>0</v>
      </c>
      <c r="V25" s="368" t="n">
        <f aca="false">$S25*$F25*IF($N25&lt;&gt;"",$N25,$C$6)</f>
        <v>0</v>
      </c>
      <c r="W25" s="368" t="n">
        <f aca="false">MAX(0,$V25-$U25)</f>
        <v>0</v>
      </c>
      <c r="X25" s="369" t="n">
        <f aca="false">IF($B25&lt;&gt;"",$B25,100+$H25)</f>
        <v>114</v>
      </c>
      <c r="Y25" s="368" t="n">
        <f aca="false">$S25*MAX(0,MIN($W25,$C$7-SUMIFS($W$11:$W$54,$X$11:$X$54,"&lt;"&amp;$X25)))</f>
        <v>0</v>
      </c>
      <c r="Z25" s="368" t="n">
        <f aca="false">$W25-$Y25</f>
        <v>0</v>
      </c>
      <c r="AA25" s="371" t="n">
        <f aca="false">$S25*($T25-$U25-$Z25)</f>
        <v>0</v>
      </c>
      <c r="AB25" s="371" t="n">
        <f aca="false">$S25*($T25-$U25)</f>
        <v>0</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No</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0</v>
      </c>
      <c r="T26" s="375" t="n">
        <f aca="false">$S26*IF($J26&lt;&gt;"",$J26,$F26*IF($I26&lt;&gt;"",$I26,$C$4)/(1+IF($I26&lt;&gt;"",$I26,$C$4)))</f>
        <v>0</v>
      </c>
      <c r="U26" s="375" t="n">
        <f aca="false">$S26*IF($L26&lt;&gt;"",$L26,$F26*$C$5)</f>
        <v>0</v>
      </c>
      <c r="V26" s="375" t="n">
        <f aca="false">$S26*$F26*IF($N26&lt;&gt;"",$N26,$C$6)</f>
        <v>0</v>
      </c>
      <c r="W26" s="375" t="n">
        <f aca="false">MAX(0,$V26-$U26)</f>
        <v>0</v>
      </c>
      <c r="X26" s="376" t="n">
        <f aca="false">IF($B26&lt;&gt;"",$B26,100+$H26)</f>
        <v>113</v>
      </c>
      <c r="Y26" s="375" t="n">
        <f aca="false">$S26*MAX(0,MIN($W26,$C$7-SUMIFS($W$11:$W$54,$X$11:$X$54,"&lt;"&amp;$X26)))</f>
        <v>0</v>
      </c>
      <c r="Z26" s="375" t="n">
        <f aca="false">$W26-$Y26</f>
        <v>0</v>
      </c>
      <c r="AA26" s="377" t="n">
        <f aca="false">$S26*($T26-$U26-$Z26)</f>
        <v>0</v>
      </c>
      <c r="AB26" s="377" t="n">
        <f aca="false">$S26*($T26-$U26)</f>
        <v>0</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No</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0</v>
      </c>
      <c r="T29" s="368" t="n">
        <f aca="false">$S29*IF($J29&lt;&gt;"",$J29,$F29*IF($I29&lt;&gt;"",$I29,$C$4)/(1+IF($I29&lt;&gt;"",$I29,$C$4)))</f>
        <v>0</v>
      </c>
      <c r="U29" s="368" t="n">
        <f aca="false">$S29*IF($L29&lt;&gt;"",$L29,$F29*$C$5)</f>
        <v>0</v>
      </c>
      <c r="V29" s="368" t="n">
        <f aca="false">$S29*$F29*IF($N29&lt;&gt;"",$N29,$C$6)</f>
        <v>0</v>
      </c>
      <c r="W29" s="368" t="n">
        <f aca="false">MAX(0,$V29-$U29)</f>
        <v>0</v>
      </c>
      <c r="X29" s="369" t="n">
        <f aca="false">IF($B29&lt;&gt;"",$B29,100+$H29)</f>
        <v>119</v>
      </c>
      <c r="Y29" s="368" t="n">
        <f aca="false">$S29*MAX(0,MIN($W29,$C$7-SUMIFS($W$11:$W$54,$X$11:$X$54,"&lt;"&amp;$X29)))</f>
        <v>0</v>
      </c>
      <c r="Z29" s="368" t="n">
        <f aca="false">$W29-$Y29</f>
        <v>0</v>
      </c>
      <c r="AA29" s="371" t="n">
        <f aca="false">$S29*($T29-$U29-$Z29)</f>
        <v>0</v>
      </c>
      <c r="AB29" s="371" t="n">
        <f aca="false">$S29*($T29-$U29)</f>
        <v>0</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583</v>
      </c>
      <c r="D54" s="374" t="s">
        <v>583</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487</v>
      </c>
      <c r="B56" s="380"/>
      <c r="C56" s="380"/>
      <c r="D56" s="380"/>
      <c r="E56" s="380"/>
      <c r="F56" s="380"/>
      <c r="G56" s="380"/>
      <c r="H56" s="380"/>
      <c r="I56" s="380"/>
      <c r="J56" s="380"/>
      <c r="K56" s="380"/>
      <c r="L56" s="380"/>
      <c r="M56" s="380"/>
      <c r="N56" s="380"/>
      <c r="O56" s="380"/>
      <c r="P56" s="380"/>
      <c r="Q56" s="380"/>
      <c r="R56" s="380"/>
      <c r="S56" s="380"/>
      <c r="T56" s="380" t="n">
        <f aca="false">SUM(T11:T54)</f>
        <v>2651436.80665025</v>
      </c>
      <c r="U56" s="380" t="n">
        <f aca="false">SUM(U11:U54)</f>
        <v>1207914.01204858</v>
      </c>
      <c r="V56" s="380" t="n">
        <f aca="false">SUM(V11:V54)</f>
        <v>5376432.582625</v>
      </c>
      <c r="W56" s="380" t="n">
        <f aca="false">SUM(W11:W54)</f>
        <v>4168518.57057642</v>
      </c>
      <c r="X56" s="380"/>
      <c r="Y56" s="380" t="n">
        <f aca="false">SUM(Y11:Y54)</f>
        <v>1800000</v>
      </c>
      <c r="Z56" s="381" t="n">
        <f aca="false">SUM(Z11:Z54)</f>
        <v>2368518.57057642</v>
      </c>
      <c r="AA56" s="381" t="n">
        <f aca="false">SUM(AA11:AA54)</f>
        <v>-924995.775974754</v>
      </c>
      <c r="AB56" s="381" t="n">
        <f aca="false">SUM(AB11:AB54)</f>
        <v>1443522.79460167</v>
      </c>
      <c r="AC56" s="381" t="n">
        <f aca="false">SUM(AC11:AC54)</f>
        <v>0.00512500014156103</v>
      </c>
      <c r="AD56" s="380"/>
    </row>
    <row r="57" customFormat="false" ht="15" hidden="false" customHeight="true" outlineLevel="0" collapsed="false">
      <c r="A57" s="118" t="s">
        <v>1276</v>
      </c>
      <c r="C57" s="382" t="str">
        <f aca="false">IF(Y56&lt;=$C$7+0.5,"OK","OVER CAP")</f>
        <v>OK</v>
      </c>
      <c r="D57" s="357" t="s">
        <v>1277</v>
      </c>
    </row>
    <row r="58" customFormat="false" ht="15" hidden="false" customHeight="true" outlineLevel="0" collapsed="false">
      <c r="A58" s="118" t="s">
        <v>1276</v>
      </c>
      <c r="C58" s="382" t="str">
        <f aca="false">IF(ABS(SUM(Model!$B$150:$DE$150)-SUMPRODUCT((H11:H54&gt;=-2)*(H11:H54&lt;=105)*T11:T54))&lt;1,"OK","CHECK")</f>
        <v>OK</v>
      </c>
      <c r="D58" s="357" t="s">
        <v>1278</v>
      </c>
    </row>
    <row r="60" customFormat="false" ht="15" hidden="false" customHeight="true" outlineLevel="0" collapsed="false">
      <c r="A60" s="383" t="s">
        <v>1279</v>
      </c>
    </row>
    <row r="61" customFormat="false" ht="15" hidden="false" customHeight="true" outlineLevel="0" collapsed="false">
      <c r="A61" s="357" t="s">
        <v>1280</v>
      </c>
    </row>
    <row r="62" customFormat="false" ht="15" hidden="false" customHeight="true" outlineLevel="0" collapsed="false">
      <c r="A62" s="357" t="s">
        <v>1281</v>
      </c>
    </row>
    <row r="63" customFormat="false" ht="15" hidden="false" customHeight="true" outlineLevel="0" collapsed="false">
      <c r="A63" s="357" t="s">
        <v>1282</v>
      </c>
    </row>
    <row r="64" customFormat="false" ht="15" hidden="false" customHeight="true" outlineLevel="0" collapsed="false">
      <c r="A64" s="357" t="s">
        <v>1283</v>
      </c>
    </row>
    <row r="65" customFormat="false" ht="15" hidden="false" customHeight="true" outlineLevel="0" collapsed="false">
      <c r="A65" s="357" t="s">
        <v>1284</v>
      </c>
    </row>
    <row r="66" customFormat="false" ht="15" hidden="false" customHeight="true" outlineLevel="0" collapsed="false">
      <c r="A66" s="357"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1286</v>
      </c>
    </row>
    <row r="3" customFormat="false" ht="15" hidden="false" customHeight="true" outlineLevel="0" collapsed="false">
      <c r="B3" s="385" t="s">
        <v>1287</v>
      </c>
    </row>
    <row r="5" customFormat="false" ht="15" hidden="false" customHeight="true" outlineLevel="0" collapsed="false">
      <c r="B5" s="386" t="s">
        <v>1288</v>
      </c>
      <c r="C5" s="387" t="s">
        <v>1289</v>
      </c>
    </row>
    <row r="6" customFormat="false" ht="24.75" hidden="false" customHeight="true" outlineLevel="0" collapsed="false">
      <c r="B6" s="386" t="s">
        <v>1290</v>
      </c>
      <c r="C6" s="387" t="s">
        <v>1291</v>
      </c>
    </row>
    <row r="7" customFormat="false" ht="24.75" hidden="false" customHeight="true" outlineLevel="0" collapsed="false">
      <c r="B7" s="386" t="s">
        <v>1292</v>
      </c>
      <c r="C7" s="387" t="s">
        <v>1293</v>
      </c>
    </row>
    <row r="8" customFormat="false" ht="24.75" hidden="false" customHeight="true" outlineLevel="0" collapsed="false">
      <c r="B8" s="386" t="s">
        <v>1294</v>
      </c>
      <c r="C8" s="387" t="s">
        <v>1295</v>
      </c>
    </row>
    <row r="9" customFormat="false" ht="15" hidden="false" customHeight="true" outlineLevel="0" collapsed="false">
      <c r="B9" s="386" t="s">
        <v>1296</v>
      </c>
      <c r="C9" s="387" t="s">
        <v>1297</v>
      </c>
    </row>
    <row r="10" customFormat="false" ht="15" hidden="false" customHeight="true" outlineLevel="0" collapsed="false">
      <c r="B10" s="386" t="s">
        <v>1298</v>
      </c>
      <c r="C10" s="387"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1300</v>
      </c>
    </row>
    <row r="2" customFormat="false" ht="15" hidden="false" customHeight="true" outlineLevel="0" collapsed="false">
      <c r="A2" s="389" t="s">
        <v>1301</v>
      </c>
    </row>
    <row r="3" customFormat="false" ht="15" hidden="false" customHeight="true" outlineLevel="0" collapsed="false">
      <c r="A3" s="390" t="s">
        <v>1302</v>
      </c>
      <c r="B3" s="391" t="s">
        <v>584</v>
      </c>
    </row>
    <row r="5" customFormat="false" ht="15" hidden="false" customHeight="true" outlineLevel="0" collapsed="false">
      <c r="A5" s="392" t="s">
        <v>1303</v>
      </c>
      <c r="B5" s="392" t="s">
        <v>1304</v>
      </c>
      <c r="C5" s="392" t="s">
        <v>629</v>
      </c>
    </row>
    <row r="6" customFormat="false" ht="15" hidden="false" customHeight="true" outlineLevel="0" collapsed="false">
      <c r="A6" s="393" t="s">
        <v>1305</v>
      </c>
      <c r="B6" s="394" t="n">
        <v>46204</v>
      </c>
      <c r="C6" s="395" t="s">
        <v>1306</v>
      </c>
    </row>
    <row r="7" customFormat="false" ht="15" hidden="false" customHeight="true" outlineLevel="0" collapsed="false">
      <c r="A7" s="393" t="s">
        <v>1307</v>
      </c>
      <c r="B7" s="396" t="n">
        <v>150000</v>
      </c>
      <c r="C7" s="395" t="s">
        <v>1308</v>
      </c>
    </row>
    <row r="8" customFormat="false" ht="15" hidden="false" customHeight="true" outlineLevel="0" collapsed="false">
      <c r="A8" s="393" t="s">
        <v>1309</v>
      </c>
      <c r="B8" s="396" t="n">
        <v>225000</v>
      </c>
      <c r="C8" s="395" t="s">
        <v>1310</v>
      </c>
    </row>
    <row r="9" customFormat="false" ht="15" hidden="false" customHeight="true" outlineLevel="0" collapsed="false">
      <c r="A9" s="393" t="s">
        <v>1311</v>
      </c>
      <c r="B9" s="397" t="n">
        <v>72686</v>
      </c>
      <c r="C9" s="395" t="s">
        <v>1312</v>
      </c>
    </row>
    <row r="10" customFormat="false" ht="15" hidden="false" customHeight="true" outlineLevel="0" collapsed="false">
      <c r="A10" s="393" t="s">
        <v>1313</v>
      </c>
      <c r="B10" s="396" t="n">
        <v>25000</v>
      </c>
      <c r="C10" s="395" t="s">
        <v>1314</v>
      </c>
    </row>
    <row r="11" customFormat="false" ht="15" hidden="false" customHeight="true" outlineLevel="0" collapsed="false">
      <c r="A11" s="393" t="s">
        <v>1315</v>
      </c>
      <c r="B11" s="398" t="n">
        <v>0.03</v>
      </c>
      <c r="C11" s="395" t="s">
        <v>1316</v>
      </c>
    </row>
    <row r="12" customFormat="false" ht="15" hidden="false" customHeight="true" outlineLevel="0" collapsed="false">
      <c r="A12" s="393" t="s">
        <v>1317</v>
      </c>
      <c r="B12" s="398" t="n">
        <v>0.03</v>
      </c>
      <c r="C12" s="395" t="s">
        <v>1318</v>
      </c>
    </row>
    <row r="13" customFormat="false" ht="15" hidden="false" customHeight="true" outlineLevel="0" collapsed="false">
      <c r="A13" s="393" t="s">
        <v>1319</v>
      </c>
      <c r="B13" s="398" t="n">
        <v>0.5</v>
      </c>
      <c r="C13" s="395" t="s">
        <v>1320</v>
      </c>
    </row>
    <row r="14" customFormat="false" ht="15" hidden="false" customHeight="true" outlineLevel="0" collapsed="false">
      <c r="A14" s="393" t="s">
        <v>1321</v>
      </c>
      <c r="B14" s="398" t="n">
        <v>0.5</v>
      </c>
      <c r="C14" s="395" t="s">
        <v>1322</v>
      </c>
    </row>
    <row r="15" customFormat="false" ht="15" hidden="false" customHeight="true" outlineLevel="0" collapsed="false">
      <c r="A15" s="393" t="s">
        <v>1323</v>
      </c>
      <c r="B15" s="398" t="n">
        <v>0.21</v>
      </c>
      <c r="C15" s="395" t="s">
        <v>1324</v>
      </c>
    </row>
    <row r="16" customFormat="false" ht="15" hidden="false" customHeight="true" outlineLevel="0" collapsed="false">
      <c r="A16" s="393" t="s">
        <v>1325</v>
      </c>
      <c r="B16" s="399" t="n">
        <v>0.0884</v>
      </c>
      <c r="C16" s="395" t="s">
        <v>1326</v>
      </c>
    </row>
    <row r="17" customFormat="false" ht="15" hidden="false" customHeight="true" outlineLevel="0" collapsed="false">
      <c r="A17" s="393" t="s">
        <v>1327</v>
      </c>
      <c r="B17" s="396" t="n">
        <v>800</v>
      </c>
      <c r="C17" s="395" t="s">
        <v>1328</v>
      </c>
    </row>
    <row r="18" customFormat="false" ht="15" hidden="false" customHeight="true" outlineLevel="0" collapsed="false">
      <c r="A18" s="393" t="s">
        <v>1329</v>
      </c>
      <c r="B18" s="400" t="n">
        <v>3</v>
      </c>
      <c r="C18" s="395" t="s">
        <v>1330</v>
      </c>
    </row>
    <row r="20" customFormat="false" ht="15" hidden="false" customHeight="true" outlineLevel="0" collapsed="false">
      <c r="A20" s="392" t="s">
        <v>1331</v>
      </c>
    </row>
    <row r="21" customFormat="false" ht="36.75" hidden="false" customHeight="true" outlineLevel="0" collapsed="false">
      <c r="A21" s="174" t="s">
        <v>1332</v>
      </c>
      <c r="B21" s="174" t="s">
        <v>627</v>
      </c>
      <c r="C21" s="174" t="s">
        <v>1333</v>
      </c>
      <c r="D21" s="174" t="s">
        <v>1334</v>
      </c>
      <c r="E21" s="174" t="s">
        <v>1335</v>
      </c>
      <c r="F21" s="174" t="s">
        <v>1336</v>
      </c>
      <c r="G21" s="174" t="s">
        <v>1337</v>
      </c>
      <c r="H21" s="174" t="s">
        <v>1338</v>
      </c>
      <c r="I21" s="174" t="s">
        <v>1339</v>
      </c>
      <c r="J21" s="174" t="s">
        <v>1340</v>
      </c>
      <c r="K21" s="174" t="s">
        <v>1341</v>
      </c>
    </row>
    <row r="22" customFormat="false" ht="15" hidden="false" customHeight="true" outlineLevel="0" collapsed="false">
      <c r="A22" s="401" t="s">
        <v>18</v>
      </c>
      <c r="B22" s="393" t="s">
        <v>1342</v>
      </c>
      <c r="C22" s="394" t="n">
        <v>46204</v>
      </c>
      <c r="D22" s="400" t="n">
        <v>11</v>
      </c>
      <c r="E22" s="396" t="n">
        <v>110000</v>
      </c>
      <c r="F22" s="402"/>
      <c r="G22" s="396" t="n">
        <v>6666.66</v>
      </c>
      <c r="H22" s="400" t="n">
        <v>7</v>
      </c>
      <c r="I22" s="403" t="n">
        <v>1</v>
      </c>
      <c r="J22" s="404" t="n">
        <f aca="false">IF(N(D22)&gt;0,N(E22)/D22,0)+N(F22)</f>
        <v>10000</v>
      </c>
      <c r="K22" s="405" t="n">
        <f aca="false">(J22*N(D22)+N(G22))*IF(I22="",1,I22)</f>
        <v>116666.66</v>
      </c>
    </row>
    <row r="23" customFormat="false" ht="15" hidden="false" customHeight="true" outlineLevel="0" collapsed="false">
      <c r="A23" s="401" t="s">
        <v>12</v>
      </c>
      <c r="B23" s="393" t="s">
        <v>1342</v>
      </c>
      <c r="C23" s="394" t="n">
        <v>46235</v>
      </c>
      <c r="D23" s="400" t="n">
        <v>24</v>
      </c>
      <c r="E23" s="396"/>
      <c r="F23" s="402" t="n">
        <v>4166.66</v>
      </c>
      <c r="G23" s="396"/>
      <c r="H23" s="400"/>
      <c r="I23" s="403" t="n">
        <v>1</v>
      </c>
      <c r="J23" s="404" t="n">
        <f aca="false">IF(N(D23)&gt;0,N(E23)/D23,0)+N(F23)</f>
        <v>4166.66</v>
      </c>
      <c r="K23" s="405" t="n">
        <f aca="false">(J23*N(D23)+N(G23))*IF(I23="",1,I23)</f>
        <v>99999.84</v>
      </c>
    </row>
    <row r="24" customFormat="false" ht="15" hidden="false" customHeight="true" outlineLevel="0" collapsed="false">
      <c r="A24" s="401" t="s">
        <v>8</v>
      </c>
      <c r="B24" s="393" t="s">
        <v>1342</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1343</v>
      </c>
      <c r="B25" s="393" t="s">
        <v>1342</v>
      </c>
      <c r="C25" s="394" t="n">
        <v>46357</v>
      </c>
      <c r="D25" s="400" t="n">
        <v>2</v>
      </c>
      <c r="E25" s="396"/>
      <c r="F25" s="402" t="n">
        <v>9750</v>
      </c>
      <c r="G25" s="396"/>
      <c r="H25" s="400"/>
      <c r="I25" s="403" t="n">
        <v>1</v>
      </c>
      <c r="J25" s="404" t="n">
        <f aca="false">IF(N(D25)&gt;0,N(E25)/D25,0)+N(F25)</f>
        <v>9750</v>
      </c>
      <c r="K25" s="405" t="n">
        <f aca="false">(J25*N(D25)+N(G25))*IF(I25="",1,I25)</f>
        <v>19500</v>
      </c>
    </row>
    <row r="26" customFormat="false" ht="15" hidden="false" customHeight="true" outlineLevel="0" collapsed="false">
      <c r="A26" s="406" t="s">
        <v>1344</v>
      </c>
      <c r="B26" s="393" t="s">
        <v>1342</v>
      </c>
      <c r="C26" s="394" t="n">
        <v>46539</v>
      </c>
      <c r="D26" s="400" t="n">
        <v>13</v>
      </c>
      <c r="E26" s="396"/>
      <c r="F26" s="402" t="n">
        <v>4166</v>
      </c>
      <c r="G26" s="396"/>
      <c r="H26" s="400"/>
      <c r="I26" s="403" t="n">
        <v>1</v>
      </c>
      <c r="J26" s="404" t="n">
        <f aca="false">IF(N(D26)&gt;0,N(E26)/D26,0)+N(F26)</f>
        <v>4166</v>
      </c>
      <c r="K26" s="405" t="n">
        <f aca="false">(J26*N(D26)+N(G26))*IF(I26="",1,I26)</f>
        <v>54158</v>
      </c>
    </row>
    <row r="27" customFormat="false" ht="15" hidden="false" customHeight="true" outlineLevel="0" collapsed="false">
      <c r="A27" s="406" t="s">
        <v>1345</v>
      </c>
      <c r="B27" s="393" t="s">
        <v>1346</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1347</v>
      </c>
      <c r="B28" s="393" t="s">
        <v>1346</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1348</v>
      </c>
      <c r="B29" s="393" t="s">
        <v>1346</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1349</v>
      </c>
      <c r="B30" s="393" t="s">
        <v>1346</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1350</v>
      </c>
      <c r="B31" s="393" t="s">
        <v>1346</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1351</v>
      </c>
      <c r="K32" s="40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1352</v>
      </c>
    </row>
    <row r="2" customFormat="false" ht="15" hidden="false" customHeight="true" outlineLevel="0" collapsed="false">
      <c r="A2" s="389" t="s">
        <v>1353</v>
      </c>
    </row>
    <row r="4" customFormat="false" ht="15" hidden="false" customHeight="true" outlineLevel="0" collapsed="false">
      <c r="A4" s="1" t="s">
        <v>1029</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1354</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1355</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16666.66</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0</v>
      </c>
      <c r="T7" s="409" t="n">
        <f aca="false">IF('APA Inputs'!$C$22="",0,(IF(AND(T$4&gt;='APA Inputs'!$C$22,T$4&lt;EDATE('APA Inputs'!$C$22,N('APA Inputs'!$D$22))),'APA Inputs'!$J$22,0)+IF(N('APA Inputs'!$H$22)&gt;0,IF(T$4=EDATE('APA Inputs'!$C$22,'APA Inputs'!$H$22-1),N('APA Inputs'!$G$22),0),0))*IF('APA Inputs'!$I$22="",1,'APA Inputs'!$I$22))</f>
        <v>0</v>
      </c>
      <c r="U7" s="409" t="n">
        <f aca="false">IF('APA Inputs'!$C$22="",0,(IF(AND(U$4&gt;='APA Inputs'!$C$22,U$4&lt;EDATE('APA Inputs'!$C$22,N('APA Inputs'!$D$22))),'APA Inputs'!$J$22,0)+IF(N('APA Inputs'!$H$22)&gt;0,IF(U$4=EDATE('APA Inputs'!$C$22,'APA Inputs'!$H$22-1),N('APA Inputs'!$G$22),0),0))*IF('APA Inputs'!$I$22="",1,'APA Inputs'!$I$22))</f>
        <v>0</v>
      </c>
      <c r="V7" s="409" t="n">
        <f aca="false">IF('APA Inputs'!$C$22="",0,(IF(AND(V$4&gt;='APA Inputs'!$C$22,V$4&lt;EDATE('APA Inputs'!$C$22,N('APA Inputs'!$D$22))),'APA Inputs'!$J$22,0)+IF(N('APA Inputs'!$H$22)&gt;0,IF(V$4=EDATE('APA Inputs'!$C$22,'APA Inputs'!$H$22-1),N('APA Inputs'!$G$22),0),0))*IF('APA Inputs'!$I$22="",1,'APA Inputs'!$I$22))</f>
        <v>0</v>
      </c>
      <c r="W7" s="409" t="n">
        <f aca="false">IF('APA Inputs'!$C$22="",0,(IF(AND(W$4&gt;='APA Inputs'!$C$22,W$4&lt;EDATE('APA Inputs'!$C$22,N('APA Inputs'!$D$22))),'APA Inputs'!$J$22,0)+IF(N('APA Inputs'!$H$22)&gt;0,IF(W$4=EDATE('APA Inputs'!$C$22,'APA Inputs'!$H$22-1),N('APA Inputs'!$G$22),0),0))*IF('APA Inputs'!$I$22="",1,'APA Inputs'!$I$22))</f>
        <v>0</v>
      </c>
      <c r="X7" s="409" t="n">
        <f aca="false">IF('APA Inputs'!$C$22="",0,(IF(AND(X$4&gt;='APA Inputs'!$C$22,X$4&lt;EDATE('APA Inputs'!$C$22,N('APA Inputs'!$D$22))),'APA Inputs'!$J$22,0)+IF(N('APA Inputs'!$H$22)&gt;0,IF(X$4=EDATE('APA Inputs'!$C$22,'APA Inputs'!$H$22-1),N('APA Inputs'!$G$22),0),0))*IF('APA Inputs'!$I$22="",1,'APA Inputs'!$I$22))</f>
        <v>0</v>
      </c>
      <c r="Y7" s="409" t="n">
        <f aca="false">IF('APA Inputs'!$C$22="",0,(IF(AND(Y$4&gt;='APA Inputs'!$C$22,Y$4&lt;EDATE('APA Inputs'!$C$22,N('APA Inputs'!$D$22))),'APA Inputs'!$J$22,0)+IF(N('APA Inputs'!$H$22)&gt;0,IF(Y$4=EDATE('APA Inputs'!$C$22,'APA Inputs'!$H$22-1),N('APA Inputs'!$G$22),0),0))*IF('APA Inputs'!$I$22="",1,'APA Inputs'!$I$22))</f>
        <v>0</v>
      </c>
      <c r="Z7" s="409" t="n">
        <f aca="false">IF('APA Inputs'!$C$22="",0,(IF(AND(Z$4&gt;='APA Inputs'!$C$22,Z$4&lt;EDATE('APA Inputs'!$C$22,N('APA Inputs'!$D$22))),'APA Inputs'!$J$22,0)+IF(N('APA Inputs'!$H$22)&gt;0,IF(Z$4=EDATE('APA Inputs'!$C$22,'APA Inputs'!$H$22-1),N('APA Inputs'!$G$22),0),0))*IF('APA Inputs'!$I$22="",1,'APA Inputs'!$I$22))</f>
        <v>0</v>
      </c>
      <c r="AA7" s="409" t="n">
        <f aca="false">IF('APA Inputs'!$C$22="",0,(IF(AND(AA$4&gt;='APA Inputs'!$C$22,AA$4&lt;EDATE('APA Inputs'!$C$22,N('APA Inputs'!$D$22))),'APA Inputs'!$J$22,0)+IF(N('APA Inputs'!$H$22)&gt;0,IF(AA$4=EDATE('APA Inputs'!$C$22,'APA Inputs'!$H$22-1),N('APA Inputs'!$G$22),0),0))*IF('APA Inputs'!$I$22="",1,'APA Inputs'!$I$22))</f>
        <v>0</v>
      </c>
      <c r="AB7" s="409" t="n">
        <f aca="false">IF('APA Inputs'!$C$22="",0,(IF(AND(AB$4&gt;='APA Inputs'!$C$22,AB$4&lt;EDATE('APA Inputs'!$C$22,N('APA Inputs'!$D$22))),'APA Inputs'!$J$22,0)+IF(N('APA Inputs'!$H$22)&gt;0,IF(AB$4=EDATE('APA Inputs'!$C$22,'APA Inputs'!$H$22-1),N('APA Inputs'!$G$22),0),0))*IF('APA Inputs'!$I$22="",1,'APA Inputs'!$I$22))</f>
        <v>0</v>
      </c>
      <c r="AC7" s="409" t="n">
        <f aca="false">IF('APA Inputs'!$C$22="",0,(IF(AND(AC$4&gt;='APA Inputs'!$C$22,AC$4&lt;EDATE('APA Inputs'!$C$22,N('APA Inputs'!$D$22))),'APA Inputs'!$J$22,0)+IF(N('APA Inputs'!$H$22)&gt;0,IF(AC$4=EDATE('APA Inputs'!$C$22,'APA Inputs'!$H$22-1),N('APA Inputs'!$G$22),0),0))*IF('APA Inputs'!$I$22="",1,'APA Inputs'!$I$22))</f>
        <v>0</v>
      </c>
      <c r="AD7" s="409" t="n">
        <f aca="false">IF('APA Inputs'!$C$22="",0,(IF(AND(AD$4&gt;='APA Inputs'!$C$22,AD$4&lt;EDATE('APA Inputs'!$C$22,N('APA Inputs'!$D$22))),'APA Inputs'!$J$22,0)+IF(N('APA Inputs'!$H$22)&gt;0,IF(AD$4=EDATE('APA Inputs'!$C$22,'APA Inputs'!$H$22-1),N('APA Inputs'!$G$22),0),0))*IF('APA Inputs'!$I$22="",1,'APA Inputs'!$I$22))</f>
        <v>0</v>
      </c>
      <c r="AE7" s="409" t="n">
        <f aca="false">IF('APA Inputs'!$C$22="",0,(IF(AND(AE$4&gt;='APA Inputs'!$C$22,AE$4&lt;EDATE('APA Inputs'!$C$22,N('APA Inputs'!$D$22))),'APA Inputs'!$J$22,0)+IF(N('APA Inputs'!$H$22)&gt;0,IF(AE$4=EDATE('APA Inputs'!$C$22,'APA Inputs'!$H$22-1),N('APA Inputs'!$G$22),0),0))*IF('APA Inputs'!$I$22="",1,'APA Inputs'!$I$22))</f>
        <v>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4166.66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9750</v>
      </c>
      <c r="N10" s="409" t="n">
        <f aca="false">IF('APA Inputs'!$C$25="",0,(IF(AND(N$4&gt;='APA Inputs'!$C$25,N$4&lt;EDATE('APA Inputs'!$C$25,N('APA Inputs'!$D$25))),'APA Inputs'!$J$25,0)+IF(N('APA Inputs'!$H$25)&gt;0,IF(N$4=EDATE('APA Inputs'!$C$25,'APA Inputs'!$H$25-1),N('APA Inputs'!$G$25),0),0))*IF('APA Inputs'!$I$25="",1,'APA Inputs'!$I$25))</f>
        <v>9750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0</v>
      </c>
      <c r="T10" s="409" t="n">
        <f aca="false">IF('APA Inputs'!$C$25="",0,(IF(AND(T$4&gt;='APA Inputs'!$C$25,T$4&lt;EDATE('APA Inputs'!$C$25,N('APA Inputs'!$D$25))),'APA Inputs'!$J$25,0)+IF(N('APA Inputs'!$H$25)&gt;0,IF(T$4=EDATE('APA Inputs'!$C$25,'APA Inputs'!$H$25-1),N('APA Inputs'!$G$25),0),0))*IF('APA Inputs'!$I$25="",1,'APA Inputs'!$I$25))</f>
        <v>0</v>
      </c>
      <c r="U10" s="409" t="n">
        <f aca="false">IF('APA Inputs'!$C$25="",0,(IF(AND(U$4&gt;='APA Inputs'!$C$25,U$4&lt;EDATE('APA Inputs'!$C$25,N('APA Inputs'!$D$25))),'APA Inputs'!$J$25,0)+IF(N('APA Inputs'!$H$25)&gt;0,IF(U$4=EDATE('APA Inputs'!$C$25,'APA Inputs'!$H$25-1),N('APA Inputs'!$G$25),0),0))*IF('APA Inputs'!$I$25="",1,'APA Inputs'!$I$25))</f>
        <v>0</v>
      </c>
      <c r="V10" s="409" t="n">
        <f aca="false">IF('APA Inputs'!$C$25="",0,(IF(AND(V$4&gt;='APA Inputs'!$C$25,V$4&lt;EDATE('APA Inputs'!$C$25,N('APA Inputs'!$D$25))),'APA Inputs'!$J$25,0)+IF(N('APA Inputs'!$H$25)&gt;0,IF(V$4=EDATE('APA Inputs'!$C$25,'APA Inputs'!$H$25-1),N('APA Inputs'!$G$25),0),0))*IF('APA Inputs'!$I$25="",1,'APA Inputs'!$I$25))</f>
        <v>0</v>
      </c>
      <c r="W10" s="409" t="n">
        <f aca="false">IF('APA Inputs'!$C$25="",0,(IF(AND(W$4&gt;='APA Inputs'!$C$25,W$4&lt;EDATE('APA Inputs'!$C$25,N('APA Inputs'!$D$25))),'APA Inputs'!$J$25,0)+IF(N('APA Inputs'!$H$25)&gt;0,IF(W$4=EDATE('APA Inputs'!$C$25,'APA Inputs'!$H$25-1),N('APA Inputs'!$G$25),0),0))*IF('APA Inputs'!$I$25="",1,'APA Inputs'!$I$25))</f>
        <v>0</v>
      </c>
      <c r="X10" s="409" t="n">
        <f aca="false">IF('APA Inputs'!$C$25="",0,(IF(AND(X$4&gt;='APA Inputs'!$C$25,X$4&lt;EDATE('APA Inputs'!$C$25,N('APA Inputs'!$D$25))),'APA Inputs'!$J$25,0)+IF(N('APA Inputs'!$H$25)&gt;0,IF(X$4=EDATE('APA Inputs'!$C$25,'APA Inputs'!$H$25-1),N('APA Inputs'!$G$25),0),0))*IF('APA Inputs'!$I$25="",1,'APA Inputs'!$I$25))</f>
        <v>0</v>
      </c>
      <c r="Y10" s="409" t="n">
        <f aca="false">IF('APA Inputs'!$C$25="",0,(IF(AND(Y$4&gt;='APA Inputs'!$C$25,Y$4&lt;EDATE('APA Inputs'!$C$25,N('APA Inputs'!$D$25))),'APA Inputs'!$J$25,0)+IF(N('APA Inputs'!$H$25)&gt;0,IF(Y$4=EDATE('APA Inputs'!$C$25,'APA Inputs'!$H$25-1),N('APA Inputs'!$G$25),0),0))*IF('APA Inputs'!$I$25="",1,'APA Inputs'!$I$25))</f>
        <v>0</v>
      </c>
      <c r="Z10" s="409" t="n">
        <f aca="false">IF('APA Inputs'!$C$25="",0,(IF(AND(Z$4&gt;='APA Inputs'!$C$25,Z$4&lt;EDATE('APA Inputs'!$C$25,N('APA Inputs'!$D$25))),'APA Inputs'!$J$25,0)+IF(N('APA Inputs'!$H$25)&gt;0,IF(Z$4=EDATE('APA Inputs'!$C$25,'APA Inputs'!$H$25-1),N('APA Inputs'!$G$25),0),0))*IF('APA Inputs'!$I$25="",1,'APA Inputs'!$I$25))</f>
        <v>0</v>
      </c>
      <c r="AA10" s="409" t="n">
        <f aca="false">IF('APA Inputs'!$C$25="",0,(IF(AND(AA$4&gt;='APA Inputs'!$C$25,AA$4&lt;EDATE('APA Inputs'!$C$25,N('APA Inputs'!$D$25))),'APA Inputs'!$J$25,0)+IF(N('APA Inputs'!$H$25)&gt;0,IF(AA$4=EDATE('APA Inputs'!$C$25,'APA Inputs'!$H$25-1),N('APA Inputs'!$G$25),0),0))*IF('APA Inputs'!$I$25="",1,'APA Inputs'!$I$25))</f>
        <v>0</v>
      </c>
      <c r="AB10" s="409" t="n">
        <f aca="false">IF('APA Inputs'!$C$25="",0,(IF(AND(AB$4&gt;='APA Inputs'!$C$25,AB$4&lt;EDATE('APA Inputs'!$C$25,N('APA Inputs'!$D$25))),'APA Inputs'!$J$25,0)+IF(N('APA Inputs'!$H$25)&gt;0,IF(AB$4=EDATE('APA Inputs'!$C$25,'APA Inputs'!$H$25-1),N('APA Inputs'!$G$25),0),0))*IF('APA Inputs'!$I$25="",1,'APA Inputs'!$I$25))</f>
        <v>0</v>
      </c>
      <c r="AC10" s="409" t="n">
        <f aca="false">IF('APA Inputs'!$C$25="",0,(IF(AND(AC$4&gt;='APA Inputs'!$C$25,AC$4&lt;EDATE('APA Inputs'!$C$25,N('APA Inputs'!$D$25))),'APA Inputs'!$J$25,0)+IF(N('APA Inputs'!$H$25)&gt;0,IF(AC$4=EDATE('APA Inputs'!$C$25,'APA Inputs'!$H$25-1),N('APA Inputs'!$G$25),0),0))*IF('APA Inputs'!$I$25="",1,'APA Inputs'!$I$25))</f>
        <v>0</v>
      </c>
      <c r="AD10" s="409" t="n">
        <f aca="false">IF('APA Inputs'!$C$25="",0,(IF(AND(AD$4&gt;='APA Inputs'!$C$25,AD$4&lt;EDATE('APA Inputs'!$C$25,N('APA Inputs'!$D$25))),'APA Inputs'!$J$25,0)+IF(N('APA Inputs'!$H$25)&gt;0,IF(AD$4=EDATE('APA Inputs'!$C$25,'APA Inputs'!$H$25-1),N('APA Inputs'!$G$25),0),0))*IF('APA Inputs'!$I$25="",1,'APA Inputs'!$I$25))</f>
        <v>0</v>
      </c>
      <c r="AE10" s="409" t="n">
        <f aca="false">IF('APA Inputs'!$C$25="",0,(IF(AND(AE$4&gt;='APA Inputs'!$C$25,AE$4&lt;EDATE('APA Inputs'!$C$25,N('APA Inputs'!$D$25))),'APA Inputs'!$J$25,0)+IF(N('APA Inputs'!$H$25)&gt;0,IF(AE$4=EDATE('APA Inputs'!$C$25,'APA Inputs'!$H$25-1),N('APA Inputs'!$G$25),0),0))*IF('APA Inputs'!$I$25="",1,'APA Inputs'!$I$25))</f>
        <v>0</v>
      </c>
      <c r="AF10" s="409" t="n">
        <f aca="false">IF('APA Inputs'!$C$25="",0,(IF(AND(AF$4&gt;='APA Inputs'!$C$25,AF$4&lt;EDATE('APA Inputs'!$C$25,N('APA Inputs'!$D$25))),'APA Inputs'!$J$25,0)+IF(N('APA Inputs'!$H$25)&gt;0,IF(AF$4=EDATE('APA Inputs'!$C$25,'APA Inputs'!$H$25-1),N('APA Inputs'!$G$25),0),0))*IF('APA Inputs'!$I$25="",1,'APA Inputs'!$I$25))</f>
        <v>0</v>
      </c>
      <c r="AG10" s="409" t="n">
        <f aca="false">IF('APA Inputs'!$C$25="",0,(IF(AND(AG$4&gt;='APA Inputs'!$C$25,AG$4&lt;EDATE('APA Inputs'!$C$25,N('APA Inputs'!$D$25))),'APA Inputs'!$J$25,0)+IF(N('APA Inputs'!$H$25)&gt;0,IF(AG$4=EDATE('APA Inputs'!$C$25,'APA Inputs'!$H$25-1),N('APA Inputs'!$G$25),0),0))*IF('APA Inputs'!$I$25="",1,'APA Inputs'!$I$25))</f>
        <v>0</v>
      </c>
      <c r="AH10" s="409" t="n">
        <f aca="false">IF('APA Inputs'!$C$25="",0,(IF(AND(AH$4&gt;='APA Inputs'!$C$25,AH$4&lt;EDATE('APA Inputs'!$C$25,N('APA Inputs'!$D$25))),'APA Inputs'!$J$25,0)+IF(N('APA Inputs'!$H$25)&gt;0,IF(AH$4=EDATE('APA Inputs'!$C$25,'APA Inputs'!$H$25-1),N('APA Inputs'!$G$25),0),0))*IF('APA Inputs'!$I$25="",1,'APA Inputs'!$I$25))</f>
        <v>0</v>
      </c>
      <c r="AI10" s="409" t="n">
        <f aca="false">IF('APA Inputs'!$C$25="",0,(IF(AND(AI$4&gt;='APA Inputs'!$C$25,AI$4&lt;EDATE('APA Inputs'!$C$25,N('APA Inputs'!$D$25))),'APA Inputs'!$J$25,0)+IF(N('APA Inputs'!$H$25)&gt;0,IF(AI$4=EDATE('APA Inputs'!$C$25,'APA Inputs'!$H$25-1),N('APA Inputs'!$G$25),0),0))*IF('APA Inputs'!$I$25="",1,'APA Inputs'!$I$25))</f>
        <v>0</v>
      </c>
      <c r="AJ10" s="409" t="n">
        <f aca="false">IF('APA Inputs'!$C$25="",0,(IF(AND(AJ$4&gt;='APA Inputs'!$C$25,AJ$4&lt;EDATE('APA Inputs'!$C$25,N('APA Inputs'!$D$25))),'APA Inputs'!$J$25,0)+IF(N('APA Inputs'!$H$25)&gt;0,IF(AJ$4=EDATE('APA Inputs'!$C$25,'APA Inputs'!$H$25-1),N('APA Inputs'!$G$25),0),0))*IF('APA Inputs'!$I$25="",1,'APA Inputs'!$I$25))</f>
        <v>0</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4166</v>
      </c>
      <c r="T11" s="409" t="n">
        <f aca="false">IF('APA Inputs'!$C$26="",0,(IF(AND(T$4&gt;='APA Inputs'!$C$26,T$4&lt;EDATE('APA Inputs'!$C$26,N('APA Inputs'!$D$26))),'APA Inputs'!$J$26,0)+IF(N('APA Inputs'!$H$26)&gt;0,IF(T$4=EDATE('APA Inputs'!$C$26,'APA Inputs'!$H$26-1),N('APA Inputs'!$G$26),0),0))*IF('APA Inputs'!$I$26="",1,'APA Inputs'!$I$26))</f>
        <v>4166</v>
      </c>
      <c r="U11" s="409" t="n">
        <f aca="false">IF('APA Inputs'!$C$26="",0,(IF(AND(U$4&gt;='APA Inputs'!$C$26,U$4&lt;EDATE('APA Inputs'!$C$26,N('APA Inputs'!$D$26))),'APA Inputs'!$J$26,0)+IF(N('APA Inputs'!$H$26)&gt;0,IF(U$4=EDATE('APA Inputs'!$C$26,'APA Inputs'!$H$26-1),N('APA Inputs'!$G$26),0),0))*IF('APA Inputs'!$I$26="",1,'APA Inputs'!$I$26))</f>
        <v>4166</v>
      </c>
      <c r="V11" s="409" t="n">
        <f aca="false">IF('APA Inputs'!$C$26="",0,(IF(AND(V$4&gt;='APA Inputs'!$C$26,V$4&lt;EDATE('APA Inputs'!$C$26,N('APA Inputs'!$D$26))),'APA Inputs'!$J$26,0)+IF(N('APA Inputs'!$H$26)&gt;0,IF(V$4=EDATE('APA Inputs'!$C$26,'APA Inputs'!$H$26-1),N('APA Inputs'!$G$26),0),0))*IF('APA Inputs'!$I$26="",1,'APA Inputs'!$I$26))</f>
        <v>4166</v>
      </c>
      <c r="W11" s="409" t="n">
        <f aca="false">IF('APA Inputs'!$C$26="",0,(IF(AND(W$4&gt;='APA Inputs'!$C$26,W$4&lt;EDATE('APA Inputs'!$C$26,N('APA Inputs'!$D$26))),'APA Inputs'!$J$26,0)+IF(N('APA Inputs'!$H$26)&gt;0,IF(W$4=EDATE('APA Inputs'!$C$26,'APA Inputs'!$H$26-1),N('APA Inputs'!$G$26),0),0))*IF('APA Inputs'!$I$26="",1,'APA Inputs'!$I$26))</f>
        <v>4166</v>
      </c>
      <c r="X11" s="409" t="n">
        <f aca="false">IF('APA Inputs'!$C$26="",0,(IF(AND(X$4&gt;='APA Inputs'!$C$26,X$4&lt;EDATE('APA Inputs'!$C$26,N('APA Inputs'!$D$26))),'APA Inputs'!$J$26,0)+IF(N('APA Inputs'!$H$26)&gt;0,IF(X$4=EDATE('APA Inputs'!$C$26,'APA Inputs'!$H$26-1),N('APA Inputs'!$G$26),0),0))*IF('APA Inputs'!$I$26="",1,'APA Inputs'!$I$26))</f>
        <v>4166</v>
      </c>
      <c r="Y11" s="409" t="n">
        <f aca="false">IF('APA Inputs'!$C$26="",0,(IF(AND(Y$4&gt;='APA Inputs'!$C$26,Y$4&lt;EDATE('APA Inputs'!$C$26,N('APA Inputs'!$D$26))),'APA Inputs'!$J$26,0)+IF(N('APA Inputs'!$H$26)&gt;0,IF(Y$4=EDATE('APA Inputs'!$C$26,'APA Inputs'!$H$26-1),N('APA Inputs'!$G$26),0),0))*IF('APA Inputs'!$I$26="",1,'APA Inputs'!$I$26))</f>
        <v>4166</v>
      </c>
      <c r="Z11" s="409" t="n">
        <f aca="false">IF('APA Inputs'!$C$26="",0,(IF(AND(Z$4&gt;='APA Inputs'!$C$26,Z$4&lt;EDATE('APA Inputs'!$C$26,N('APA Inputs'!$D$26))),'APA Inputs'!$J$26,0)+IF(N('APA Inputs'!$H$26)&gt;0,IF(Z$4=EDATE('APA Inputs'!$C$26,'APA Inputs'!$H$26-1),N('APA Inputs'!$G$26),0),0))*IF('APA Inputs'!$I$26="",1,'APA Inputs'!$I$26))</f>
        <v>4166</v>
      </c>
      <c r="AA11" s="409" t="n">
        <f aca="false">IF('APA Inputs'!$C$26="",0,(IF(AND(AA$4&gt;='APA Inputs'!$C$26,AA$4&lt;EDATE('APA Inputs'!$C$26,N('APA Inputs'!$D$26))),'APA Inputs'!$J$26,0)+IF(N('APA Inputs'!$H$26)&gt;0,IF(AA$4=EDATE('APA Inputs'!$C$26,'APA Inputs'!$H$26-1),N('APA Inputs'!$G$26),0),0))*IF('APA Inputs'!$I$26="",1,'APA Inputs'!$I$26))</f>
        <v>4166</v>
      </c>
      <c r="AB11" s="409" t="n">
        <f aca="false">IF('APA Inputs'!$C$26="",0,(IF(AND(AB$4&gt;='APA Inputs'!$C$26,AB$4&lt;EDATE('APA Inputs'!$C$26,N('APA Inputs'!$D$26))),'APA Inputs'!$J$26,0)+IF(N('APA Inputs'!$H$26)&gt;0,IF(AB$4=EDATE('APA Inputs'!$C$26,'APA Inputs'!$H$26-1),N('APA Inputs'!$G$26),0),0))*IF('APA Inputs'!$I$26="",1,'APA Inputs'!$I$26))</f>
        <v>4166</v>
      </c>
      <c r="AC11" s="409" t="n">
        <f aca="false">IF('APA Inputs'!$C$26="",0,(IF(AND(AC$4&gt;='APA Inputs'!$C$26,AC$4&lt;EDATE('APA Inputs'!$C$26,N('APA Inputs'!$D$26))),'APA Inputs'!$J$26,0)+IF(N('APA Inputs'!$H$26)&gt;0,IF(AC$4=EDATE('APA Inputs'!$C$26,'APA Inputs'!$H$26-1),N('APA Inputs'!$G$26),0),0))*IF('APA Inputs'!$I$26="",1,'APA Inputs'!$I$26))</f>
        <v>4166</v>
      </c>
      <c r="AD11" s="409" t="n">
        <f aca="false">IF('APA Inputs'!$C$26="",0,(IF(AND(AD$4&gt;='APA Inputs'!$C$26,AD$4&lt;EDATE('APA Inputs'!$C$26,N('APA Inputs'!$D$26))),'APA Inputs'!$J$26,0)+IF(N('APA Inputs'!$H$26)&gt;0,IF(AD$4=EDATE('APA Inputs'!$C$26,'APA Inputs'!$H$26-1),N('APA Inputs'!$G$26),0),0))*IF('APA Inputs'!$I$26="",1,'APA Inputs'!$I$26))</f>
        <v>4166</v>
      </c>
      <c r="AE11" s="409" t="n">
        <f aca="false">IF('APA Inputs'!$C$26="",0,(IF(AND(AE$4&gt;='APA Inputs'!$C$26,AE$4&lt;EDATE('APA Inputs'!$C$26,N('APA Inputs'!$D$26))),'APA Inputs'!$J$26,0)+IF(N('APA Inputs'!$H$26)&gt;0,IF(AE$4=EDATE('APA Inputs'!$C$26,'APA Inputs'!$H$26-1),N('APA Inputs'!$G$26),0),0))*IF('APA Inputs'!$I$26="",1,'APA Inputs'!$I$26))</f>
        <v>4166</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1356</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27249.38</v>
      </c>
      <c r="N17" s="409" t="n">
        <f aca="false">SUM(N7:N16)</f>
        <v>33916.04</v>
      </c>
      <c r="O17" s="409" t="n">
        <f aca="false">SUM(O7:O16)</f>
        <v>17499.38</v>
      </c>
      <c r="P17" s="409" t="n">
        <f aca="false">SUM(P7:P16)</f>
        <v>17499.38</v>
      </c>
      <c r="Q17" s="409" t="n">
        <f aca="false">SUM(Q7:Q16)</f>
        <v>17499.38</v>
      </c>
      <c r="R17" s="409" t="n">
        <f aca="false">SUM(R7:R16)</f>
        <v>17499.38</v>
      </c>
      <c r="S17" s="409" t="n">
        <f aca="false">SUM(S7:S16)</f>
        <v>11665.38</v>
      </c>
      <c r="T17" s="409" t="n">
        <f aca="false">SUM(T7:T16)</f>
        <v>11665.38</v>
      </c>
      <c r="U17" s="409" t="n">
        <f aca="false">SUM(U7:U16)</f>
        <v>11665.38</v>
      </c>
      <c r="V17" s="409" t="n">
        <f aca="false">SUM(V7:V16)</f>
        <v>8332.66</v>
      </c>
      <c r="W17" s="409" t="n">
        <f aca="false">SUM(W7:W16)</f>
        <v>8332.66</v>
      </c>
      <c r="X17" s="409" t="n">
        <f aca="false">SUM(X7:X16)</f>
        <v>8332.66</v>
      </c>
      <c r="Y17" s="409" t="n">
        <f aca="false">SUM(Y7:Y16)</f>
        <v>8332.66</v>
      </c>
      <c r="Z17" s="409" t="n">
        <f aca="false">SUM(Z7:Z16)</f>
        <v>8332.66</v>
      </c>
      <c r="AA17" s="409" t="n">
        <f aca="false">SUM(AA7:AA16)</f>
        <v>8332.66</v>
      </c>
      <c r="AB17" s="409" t="n">
        <f aca="false">SUM(AB7:AB16)</f>
        <v>8332.66</v>
      </c>
      <c r="AC17" s="409" t="n">
        <f aca="false">SUM(AC7:AC16)</f>
        <v>8332.66</v>
      </c>
      <c r="AD17" s="409" t="n">
        <f aca="false">SUM(AD7:AD16)</f>
        <v>8332.66</v>
      </c>
      <c r="AE17" s="409" t="n">
        <f aca="false">SUM(AE7:AE16)</f>
        <v>8332.66</v>
      </c>
      <c r="AF17" s="409" t="n">
        <f aca="false">SUM(AF7:AF16)</f>
        <v>4166.66</v>
      </c>
      <c r="AG17" s="409" t="n">
        <f aca="false">SUM(AG7:AG16)</f>
        <v>0</v>
      </c>
      <c r="AH17" s="409" t="n">
        <f aca="false">SUM(AH7:AH16)</f>
        <v>0</v>
      </c>
      <c r="AI17" s="409" t="n">
        <f aca="false">SUM(AI7:AI16)</f>
        <v>0</v>
      </c>
      <c r="AJ17" s="409" t="n">
        <f aca="false">SUM(AJ7:AJ16)</f>
        <v>0</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1357</v>
      </c>
    </row>
    <row r="20" customFormat="false" ht="15" hidden="false" customHeight="true" outlineLevel="0" collapsed="false">
      <c r="A20" s="1" t="s">
        <v>1358</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1108.06288333333</v>
      </c>
      <c r="I20" s="409" t="n">
        <f aca="false">IF(I$4&gt;='APA Inputs'!$B$6,INDEX('APA Summary'!$B$32:$J$32,I$5-2025)/INDEX('APA Summary'!$B$22:$J$22,I$5-2025),0)</f>
        <v>1108.06288333333</v>
      </c>
      <c r="J20" s="409" t="n">
        <f aca="false">IF(J$4&gt;='APA Inputs'!$B$6,INDEX('APA Summary'!$B$32:$J$32,J$5-2025)/INDEX('APA Summary'!$B$22:$J$22,J$5-2025),0)</f>
        <v>1108.06288333333</v>
      </c>
      <c r="K20" s="409" t="n">
        <f aca="false">IF(K$4&gt;='APA Inputs'!$B$6,INDEX('APA Summary'!$B$32:$J$32,K$5-2025)/INDEX('APA Summary'!$B$22:$J$22,K$5-2025),0)</f>
        <v>1108.06288333333</v>
      </c>
      <c r="L20" s="409" t="n">
        <f aca="false">IF(L$4&gt;='APA Inputs'!$B$6,INDEX('APA Summary'!$B$32:$J$32,L$5-2025)/INDEX('APA Summary'!$B$22:$J$22,L$5-2025),0)</f>
        <v>1108.06288333333</v>
      </c>
      <c r="M20" s="409" t="n">
        <f aca="false">IF(M$4&gt;='APA Inputs'!$B$6,INDEX('APA Summary'!$B$32:$J$32,M$5-2025)/INDEX('APA Summary'!$B$22:$J$22,M$5-2025),0)</f>
        <v>1108.06288333333</v>
      </c>
      <c r="N20" s="409" t="n">
        <f aca="false">IF(N$4&gt;='APA Inputs'!$B$6,INDEX('APA Summary'!$B$32:$J$32,N$5-2025)/INDEX('APA Summary'!$B$22:$J$22,N$5-2025),0)</f>
        <v>0</v>
      </c>
      <c r="O20" s="409" t="n">
        <f aca="false">IF(O$4&gt;='APA Inputs'!$B$6,INDEX('APA Summary'!$B$32:$J$32,O$5-2025)/INDEX('APA Summary'!$B$22:$J$22,O$5-2025),0)</f>
        <v>0</v>
      </c>
      <c r="P20" s="409" t="n">
        <f aca="false">IF(P$4&gt;='APA Inputs'!$B$6,INDEX('APA Summary'!$B$32:$J$32,P$5-2025)/INDEX('APA Summary'!$B$22:$J$22,P$5-2025),0)</f>
        <v>0</v>
      </c>
      <c r="Q20" s="409" t="n">
        <f aca="false">IF(Q$4&gt;='APA Inputs'!$B$6,INDEX('APA Summary'!$B$32:$J$32,Q$5-2025)/INDEX('APA Summary'!$B$22:$J$22,Q$5-2025),0)</f>
        <v>0</v>
      </c>
      <c r="R20" s="409" t="n">
        <f aca="false">IF(R$4&gt;='APA Inputs'!$B$6,INDEX('APA Summary'!$B$32:$J$32,R$5-2025)/INDEX('APA Summary'!$B$22:$J$22,R$5-2025),0)</f>
        <v>0</v>
      </c>
      <c r="S20" s="409" t="n">
        <f aca="false">IF(S$4&gt;='APA Inputs'!$B$6,INDEX('APA Summary'!$B$32:$J$32,S$5-2025)/INDEX('APA Summary'!$B$22:$J$22,S$5-2025),0)</f>
        <v>0</v>
      </c>
      <c r="T20" s="409" t="n">
        <f aca="false">IF(T$4&gt;='APA Inputs'!$B$6,INDEX('APA Summary'!$B$32:$J$32,T$5-2025)/INDEX('APA Summary'!$B$22:$J$22,T$5-2025),0)</f>
        <v>0</v>
      </c>
      <c r="U20" s="409" t="n">
        <f aca="false">IF(U$4&gt;='APA Inputs'!$B$6,INDEX('APA Summary'!$B$32:$J$32,U$5-2025)/INDEX('APA Summary'!$B$22:$J$22,U$5-2025),0)</f>
        <v>0</v>
      </c>
      <c r="V20" s="409" t="n">
        <f aca="false">IF(V$4&gt;='APA Inputs'!$B$6,INDEX('APA Summary'!$B$32:$J$32,V$5-2025)/INDEX('APA Summary'!$B$22:$J$22,V$5-2025),0)</f>
        <v>0</v>
      </c>
      <c r="W20" s="409" t="n">
        <f aca="false">IF(W$4&gt;='APA Inputs'!$B$6,INDEX('APA Summary'!$B$32:$J$32,W$5-2025)/INDEX('APA Summary'!$B$22:$J$22,W$5-2025),0)</f>
        <v>0</v>
      </c>
      <c r="X20" s="409" t="n">
        <f aca="false">IF(X$4&gt;='APA Inputs'!$B$6,INDEX('APA Summary'!$B$32:$J$32,X$5-2025)/INDEX('APA Summary'!$B$22:$J$22,X$5-2025),0)</f>
        <v>0</v>
      </c>
      <c r="Y20" s="409" t="n">
        <f aca="false">IF(Y$4&gt;='APA Inputs'!$B$6,INDEX('APA Summary'!$B$32:$J$32,Y$5-2025)/INDEX('APA Summary'!$B$22:$J$22,Y$5-2025),0)</f>
        <v>0</v>
      </c>
      <c r="Z20" s="409" t="n">
        <f aca="false">IF(Z$4&gt;='APA Inputs'!$B$6,INDEX('APA Summary'!$B$32:$J$32,Z$5-2025)/INDEX('APA Summary'!$B$22:$J$22,Z$5-2025),0)</f>
        <v>0</v>
      </c>
      <c r="AA20" s="409" t="n">
        <f aca="false">IF(AA$4&gt;='APA Inputs'!$B$6,INDEX('APA Summary'!$B$32:$J$32,AA$5-2025)/INDEX('APA Summary'!$B$22:$J$22,AA$5-2025),0)</f>
        <v>0</v>
      </c>
      <c r="AB20" s="409" t="n">
        <f aca="false">IF(AB$4&gt;='APA Inputs'!$B$6,INDEX('APA Summary'!$B$32:$J$32,AB$5-2025)/INDEX('APA Summary'!$B$22:$J$22,AB$5-2025),0)</f>
        <v>0</v>
      </c>
      <c r="AC20" s="409" t="n">
        <f aca="false">IF(AC$4&gt;='APA Inputs'!$B$6,INDEX('APA Summary'!$B$32:$J$32,AC$5-2025)/INDEX('APA Summary'!$B$22:$J$22,AC$5-2025),0)</f>
        <v>0</v>
      </c>
      <c r="AD20" s="409" t="n">
        <f aca="false">IF(AD$4&gt;='APA Inputs'!$B$6,INDEX('APA Summary'!$B$32:$J$32,AD$5-2025)/INDEX('APA Summary'!$B$22:$J$22,AD$5-2025),0)</f>
        <v>0</v>
      </c>
      <c r="AE20" s="409" t="n">
        <f aca="false">IF(AE$4&gt;='APA Inputs'!$B$6,INDEX('APA Summary'!$B$32:$J$32,AE$5-2025)/INDEX('APA Summary'!$B$22:$J$22,AE$5-2025),0)</f>
        <v>0</v>
      </c>
      <c r="AF20" s="409" t="n">
        <f aca="false">IF(AF$4&gt;='APA Inputs'!$B$6,INDEX('APA Summary'!$B$32:$J$32,AF$5-2025)/INDEX('APA Summary'!$B$22:$J$22,AF$5-2025),0)</f>
        <v>0</v>
      </c>
      <c r="AG20" s="409" t="n">
        <f aca="false">IF(AG$4&gt;='APA Inputs'!$B$6,INDEX('APA Summary'!$B$32:$J$32,AG$5-2025)/INDEX('APA Summary'!$B$22:$J$22,AG$5-2025),0)</f>
        <v>0</v>
      </c>
      <c r="AH20" s="409" t="n">
        <f aca="false">IF(AH$4&gt;='APA Inputs'!$B$6,INDEX('APA Summary'!$B$32:$J$32,AH$5-2025)/INDEX('APA Summary'!$B$22:$J$22,AH$5-2025),0)</f>
        <v>0</v>
      </c>
      <c r="AI20" s="409" t="n">
        <f aca="false">IF(AI$4&gt;='APA Inputs'!$B$6,INDEX('APA Summary'!$B$32:$J$32,AI$5-2025)/INDEX('APA Summary'!$B$22:$J$22,AI$5-2025),0)</f>
        <v>0</v>
      </c>
      <c r="AJ20" s="409" t="n">
        <f aca="false">IF(AJ$4&gt;='APA Inputs'!$B$6,INDEX('APA Summary'!$B$32:$J$32,AJ$5-2025)/INDEX('APA Summary'!$B$22:$J$22,AJ$5-2025),0)</f>
        <v>0</v>
      </c>
      <c r="AK20" s="409" t="n">
        <f aca="false">IF(AK$4&gt;='APA Inputs'!$B$6,INDEX('APA Summary'!$B$32:$J$32,AK$5-2025)/INDEX('APA Summary'!$B$22:$J$22,AK$5-2025),0)</f>
        <v>0</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1359</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915.383032999997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0</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0</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1360</v>
      </c>
      <c r="B22" s="409" t="n">
        <f aca="false">B20+B21</f>
        <v>0</v>
      </c>
      <c r="C22" s="409" t="n">
        <f aca="false">C20+C21</f>
        <v>0</v>
      </c>
      <c r="D22" s="409" t="n">
        <f aca="false">D20+D21</f>
        <v>0</v>
      </c>
      <c r="E22" s="409" t="n">
        <f aca="false">E20+E21</f>
        <v>0</v>
      </c>
      <c r="F22" s="409" t="n">
        <f aca="false">F20+F21</f>
        <v>0</v>
      </c>
      <c r="G22" s="409" t="n">
        <f aca="false">G20+G21</f>
        <v>0</v>
      </c>
      <c r="H22" s="409" t="n">
        <f aca="false">H20+H21</f>
        <v>1108.06288333333</v>
      </c>
      <c r="I22" s="409" t="n">
        <f aca="false">I20+I21</f>
        <v>1108.06288333333</v>
      </c>
      <c r="J22" s="409" t="n">
        <f aca="false">J20+J21</f>
        <v>1108.06288333333</v>
      </c>
      <c r="K22" s="409" t="n">
        <f aca="false">K20+K21</f>
        <v>1108.06288333333</v>
      </c>
      <c r="L22" s="409" t="n">
        <f aca="false">L20+L21</f>
        <v>1108.06288333333</v>
      </c>
      <c r="M22" s="409" t="n">
        <f aca="false">M20+M21</f>
        <v>1108.06288333333</v>
      </c>
      <c r="N22" s="409" t="n">
        <f aca="false">N20+N21</f>
        <v>0</v>
      </c>
      <c r="O22" s="409" t="n">
        <f aca="false">O20+O21</f>
        <v>0</v>
      </c>
      <c r="P22" s="409" t="n">
        <f aca="false">P20+P21</f>
        <v>915.383032999997</v>
      </c>
      <c r="Q22" s="409" t="n">
        <f aca="false">Q20+Q21</f>
        <v>0</v>
      </c>
      <c r="R22" s="409" t="n">
        <f aca="false">R20+R21</f>
        <v>0</v>
      </c>
      <c r="S22" s="409" t="n">
        <f aca="false">S20+S21</f>
        <v>0</v>
      </c>
      <c r="T22" s="409" t="n">
        <f aca="false">T20+T21</f>
        <v>0</v>
      </c>
      <c r="U22" s="409" t="n">
        <f aca="false">U20+U21</f>
        <v>0</v>
      </c>
      <c r="V22" s="409" t="n">
        <f aca="false">V20+V21</f>
        <v>0</v>
      </c>
      <c r="W22" s="409" t="n">
        <f aca="false">W20+W21</f>
        <v>0</v>
      </c>
      <c r="X22" s="409" t="n">
        <f aca="false">X20+X21</f>
        <v>0</v>
      </c>
      <c r="Y22" s="409" t="n">
        <f aca="false">Y20+Y21</f>
        <v>0</v>
      </c>
      <c r="Z22" s="409" t="n">
        <f aca="false">Z20+Z21</f>
        <v>0</v>
      </c>
      <c r="AA22" s="409" t="n">
        <f aca="false">AA20+AA21</f>
        <v>0</v>
      </c>
      <c r="AB22" s="409" t="n">
        <f aca="false">AB20+AB21</f>
        <v>0</v>
      </c>
      <c r="AC22" s="409" t="n">
        <f aca="false">AC20+AC21</f>
        <v>0</v>
      </c>
      <c r="AD22" s="409" t="n">
        <f aca="false">AD20+AD21</f>
        <v>0</v>
      </c>
      <c r="AE22" s="409" t="n">
        <f aca="false">AE20+AE21</f>
        <v>0</v>
      </c>
      <c r="AF22" s="409" t="n">
        <f aca="false">AF20+AF21</f>
        <v>0</v>
      </c>
      <c r="AG22" s="409" t="n">
        <f aca="false">AG20+AG21</f>
        <v>0</v>
      </c>
      <c r="AH22" s="409" t="n">
        <f aca="false">AH20+AH21</f>
        <v>0</v>
      </c>
      <c r="AI22" s="409" t="n">
        <f aca="false">AI20+AI21</f>
        <v>0</v>
      </c>
      <c r="AJ22" s="409" t="n">
        <f aca="false">AJ20+AJ21</f>
        <v>0</v>
      </c>
      <c r="AK22" s="409" t="n">
        <f aca="false">AK20+AK21</f>
        <v>0</v>
      </c>
      <c r="AL22" s="409" t="n">
        <f aca="false">AL20+AL21</f>
        <v>0</v>
      </c>
      <c r="AM22" s="409" t="n">
        <f aca="false">AM20+AM21</f>
        <v>0</v>
      </c>
      <c r="AN22" s="409" t="n">
        <f aca="false">AN20+AN21</f>
        <v>0</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1361</v>
      </c>
    </row>
    <row r="2" customFormat="false" ht="15" hidden="false" customHeight="true" outlineLevel="0" collapsed="false">
      <c r="A2" s="389" t="s">
        <v>1362</v>
      </c>
    </row>
    <row r="20" customFormat="false" ht="15" hidden="false" customHeight="true" outlineLevel="0" collapsed="false">
      <c r="A20" s="392" t="s">
        <v>1363</v>
      </c>
      <c r="B20" s="392" t="s">
        <v>1364</v>
      </c>
      <c r="C20" s="392" t="s">
        <v>1365</v>
      </c>
      <c r="D20" s="392" t="s">
        <v>1366</v>
      </c>
      <c r="E20" s="392" t="s">
        <v>1367</v>
      </c>
      <c r="F20" s="392" t="s">
        <v>1368</v>
      </c>
      <c r="G20" s="392" t="s">
        <v>1369</v>
      </c>
      <c r="H20" s="392" t="s">
        <v>1370</v>
      </c>
      <c r="I20" s="392" t="s">
        <v>1371</v>
      </c>
      <c r="J20" s="392" t="s">
        <v>1372</v>
      </c>
      <c r="K20" s="392" t="s">
        <v>487</v>
      </c>
    </row>
    <row r="21" customFormat="false" ht="15" hidden="false" customHeight="true" outlineLevel="0" collapsed="false">
      <c r="A21" s="393" t="s">
        <v>1373</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1374</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1375</v>
      </c>
      <c r="B23" s="412" t="n">
        <f aca="false">SUMIF('APA Schedule'!$B$5:$DE$5,B21,'APA Schedule'!$B$17:$DE$17)</f>
        <v>103914.18</v>
      </c>
      <c r="C23" s="412" t="n">
        <f aca="false">SUMIF('APA Schedule'!$B$5:$DE$5,C21,'APA Schedule'!$B$17:$DE$17)</f>
        <v>172240.34</v>
      </c>
      <c r="D23" s="412" t="n">
        <f aca="false">SUMIF('APA Schedule'!$B$5:$DE$5,D21,'APA Schedule'!$B$17:$DE$17)</f>
        <v>54162.62</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330317.14</v>
      </c>
    </row>
    <row r="24" customFormat="false" ht="15" hidden="false" customHeight="true" outlineLevel="0" collapsed="false">
      <c r="A24" s="414" t="s">
        <v>1376</v>
      </c>
      <c r="B24" s="411"/>
      <c r="C24" s="411"/>
      <c r="D24" s="411"/>
      <c r="E24" s="411"/>
      <c r="F24" s="411"/>
      <c r="G24" s="411"/>
      <c r="H24" s="411"/>
      <c r="I24" s="411"/>
      <c r="J24" s="411"/>
      <c r="K24" s="411"/>
    </row>
    <row r="25" customFormat="false" ht="15" hidden="false" customHeight="true" outlineLevel="0" collapsed="false">
      <c r="A25" s="393" t="s">
        <v>1377</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1378</v>
      </c>
      <c r="B26" s="413" t="n">
        <f aca="false">B23-B25</f>
        <v>91414.18</v>
      </c>
      <c r="C26" s="413" t="n">
        <f aca="false">C23-C25</f>
        <v>147240.34</v>
      </c>
      <c r="D26" s="413" t="n">
        <f aca="false">D23-D25</f>
        <v>28412.62</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95508.7388436532</v>
      </c>
    </row>
    <row r="27" customFormat="false" ht="15" hidden="false" customHeight="true" outlineLevel="0" collapsed="false">
      <c r="A27" s="414" t="s">
        <v>1379</v>
      </c>
      <c r="B27" s="411"/>
      <c r="C27" s="411"/>
      <c r="D27" s="411"/>
      <c r="E27" s="411"/>
      <c r="F27" s="411"/>
      <c r="G27" s="411"/>
      <c r="H27" s="411"/>
      <c r="I27" s="411"/>
      <c r="J27" s="411"/>
      <c r="K27" s="411"/>
    </row>
    <row r="28" customFormat="false" ht="15" hidden="false" customHeight="true" outlineLevel="0" collapsed="false">
      <c r="A28" s="393" t="s">
        <v>1380</v>
      </c>
      <c r="B28" s="410" t="n">
        <f aca="false">MAX(0,MIN(B22,(B21-YEAR('APA Inputs'!$B$9))*12+13-MONTH('APA Inputs'!$B$9)))</f>
        <v>0</v>
      </c>
      <c r="C28" s="410" t="n">
        <f aca="false">MAX(0,MIN(C22,(C21-YEAR('APA Inputs'!$B$9))*12+13-MONTH('APA Inputs'!$B$9)))</f>
        <v>0</v>
      </c>
      <c r="D28" s="410" t="n">
        <f aca="false">MAX(0,MIN(D22,(D21-YEAR('APA Inputs'!$B$9))*12+13-MONTH('APA Inputs'!$B$9)))</f>
        <v>0</v>
      </c>
      <c r="E28" s="410" t="n">
        <f aca="false">MAX(0,MIN(E22,(E21-YEAR('APA Inputs'!$B$9))*12+13-MONTH('APA Inputs'!$B$9)))</f>
        <v>0</v>
      </c>
      <c r="F28" s="410" t="n">
        <f aca="false">MAX(0,MIN(F22,(F21-YEAR('APA Inputs'!$B$9))*12+13-MONTH('APA Inputs'!$B$9)))</f>
        <v>0</v>
      </c>
      <c r="G28" s="410" t="n">
        <f aca="false">MAX(0,MIN(G22,(G21-YEAR('APA Inputs'!$B$9))*12+13-MONTH('APA Inputs'!$B$9)))</f>
        <v>0</v>
      </c>
      <c r="H28" s="410" t="n">
        <f aca="false">MAX(0,MIN(H22,(H21-YEAR('APA Inputs'!$B$9))*12+13-MONTH('APA Inputs'!$B$9)))</f>
        <v>0</v>
      </c>
      <c r="I28" s="410" t="n">
        <f aca="false">MAX(0,MIN(I22,(I21-YEAR('APA Inputs'!$B$9))*12+13-MONTH('APA Inputs'!$B$9)))</f>
        <v>0</v>
      </c>
      <c r="J28" s="410" t="n">
        <f aca="false">MAX(0,MIN(J22,(J21-YEAR('APA Inputs'!$B$9))*12+13-MONTH('APA Inputs'!$B$9)))</f>
        <v>0</v>
      </c>
      <c r="K28" s="411"/>
    </row>
    <row r="29" customFormat="false" ht="15" hidden="false" customHeight="true" outlineLevel="0" collapsed="false">
      <c r="A29" s="393" t="s">
        <v>1381</v>
      </c>
      <c r="B29" s="405" t="n">
        <f aca="false">(B22-B28)/12*'APA Inputs'!$B$7+B28/12*'APA Inputs'!$B$8</f>
        <v>75000</v>
      </c>
      <c r="C29" s="405" t="n">
        <f aca="false">(C22-C28)/12*'APA Inputs'!$B$7+C28/12*'APA Inputs'!$B$8</f>
        <v>150000</v>
      </c>
      <c r="D29" s="405" t="n">
        <f aca="false">(D22-D28)/12*'APA Inputs'!$B$7+D28/12*'APA Inputs'!$B$8</f>
        <v>150000</v>
      </c>
      <c r="E29" s="405" t="n">
        <f aca="false">(E22-E28)/12*'APA Inputs'!$B$7+E28/12*'APA Inputs'!$B$8</f>
        <v>150000</v>
      </c>
      <c r="F29" s="405" t="n">
        <f aca="false">(F22-F28)/12*'APA Inputs'!$B$7+F28/12*'APA Inputs'!$B$8</f>
        <v>150000</v>
      </c>
      <c r="G29" s="405" t="n">
        <f aca="false">(G22-G28)/12*'APA Inputs'!$B$7+G28/12*'APA Inputs'!$B$8</f>
        <v>150000</v>
      </c>
      <c r="H29" s="405" t="n">
        <f aca="false">(H22-H28)/12*'APA Inputs'!$B$7+H28/12*'APA Inputs'!$B$8</f>
        <v>150000</v>
      </c>
      <c r="I29" s="405" t="n">
        <f aca="false">(I22-I28)/12*'APA Inputs'!$B$7+I28/12*'APA Inputs'!$B$8</f>
        <v>150000</v>
      </c>
      <c r="J29" s="405" t="n">
        <f aca="false">(J22-J28)/12*'APA Inputs'!$B$7+J28/12*'APA Inputs'!$B$8</f>
        <v>150000</v>
      </c>
      <c r="K29" s="413" t="n">
        <f aca="false">SUM(B29:J29)</f>
        <v>1275000</v>
      </c>
    </row>
    <row r="30" customFormat="false" ht="15" hidden="false" customHeight="true" outlineLevel="0" collapsed="false">
      <c r="A30" s="393" t="s">
        <v>1382</v>
      </c>
      <c r="B30" s="405" t="n">
        <f aca="false">MAX(0,B26-B29-B23*'APA Inputs'!$B$12)</f>
        <v>13296.7546</v>
      </c>
      <c r="C30" s="405" t="n">
        <f aca="false">MAX(0,C26-C29-C23*'APA Inputs'!$B$12)</f>
        <v>0</v>
      </c>
      <c r="D30" s="405" t="n">
        <f aca="false">MAX(0,D26-D29-D23*'APA Inputs'!$B$12)</f>
        <v>0</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13296.7546</v>
      </c>
    </row>
    <row r="31" customFormat="false" ht="15" hidden="false" customHeight="true" outlineLevel="0" collapsed="false">
      <c r="A31" s="393" t="s">
        <v>1383</v>
      </c>
      <c r="B31" s="405" t="n">
        <f aca="false">B30*'APA Inputs'!$B$13</f>
        <v>6648.3773</v>
      </c>
      <c r="C31" s="405" t="n">
        <f aca="false">C30*'APA Inputs'!$B$13</f>
        <v>0</v>
      </c>
      <c r="D31" s="405" t="n">
        <f aca="false">D30*'APA Inputs'!$B$13</f>
        <v>0</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6648.3773</v>
      </c>
    </row>
    <row r="32" customFormat="false" ht="15" hidden="false" customHeight="true" outlineLevel="0" collapsed="false">
      <c r="A32" s="393" t="s">
        <v>1384</v>
      </c>
      <c r="B32" s="405" t="n">
        <f aca="false">B30*(1-'APA Inputs'!$B$13)</f>
        <v>6648.3773</v>
      </c>
      <c r="C32" s="405" t="n">
        <f aca="false">C30*(1-'APA Inputs'!$B$13)</f>
        <v>0</v>
      </c>
      <c r="D32" s="405" t="n">
        <f aca="false">D30*(1-'APA Inputs'!$B$13)</f>
        <v>0</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6648.3773</v>
      </c>
    </row>
    <row r="33" customFormat="false" ht="15" hidden="false" customHeight="true" outlineLevel="0" collapsed="false">
      <c r="A33" s="415" t="s">
        <v>1385</v>
      </c>
      <c r="B33" s="416" t="n">
        <f aca="false">B29+B31+B32</f>
        <v>88296.7546</v>
      </c>
      <c r="C33" s="416" t="n">
        <f aca="false">C29+C31+C32</f>
        <v>150000</v>
      </c>
      <c r="D33" s="416" t="n">
        <f aca="false">D29+D31+D32</f>
        <v>150000</v>
      </c>
      <c r="E33" s="416" t="n">
        <f aca="false">E29+E31+E32</f>
        <v>150000</v>
      </c>
      <c r="F33" s="416" t="n">
        <f aca="false">F29+F31+F32</f>
        <v>150000</v>
      </c>
      <c r="G33" s="416" t="n">
        <f aca="false">G29+G31+G32</f>
        <v>150000</v>
      </c>
      <c r="H33" s="416" t="n">
        <f aca="false">H29+H31+H32</f>
        <v>150000</v>
      </c>
      <c r="I33" s="416" t="n">
        <f aca="false">I29+I31+I32</f>
        <v>150000</v>
      </c>
      <c r="J33" s="416" t="n">
        <f aca="false">J29+J31+J32</f>
        <v>150000</v>
      </c>
      <c r="K33" s="413" t="n">
        <f aca="false">SUM(B33:J33)</f>
        <v>1288296.7546</v>
      </c>
    </row>
    <row r="34" customFormat="false" ht="15" hidden="false" customHeight="true" outlineLevel="0" collapsed="false">
      <c r="A34" s="393" t="s">
        <v>1386</v>
      </c>
      <c r="B34" s="417" t="n">
        <f aca="false">IF(B23=0,0,B33/B23)</f>
        <v>0.849708428628316</v>
      </c>
      <c r="C34" s="417" t="n">
        <f aca="false">IF(C23=0,0,C33/C23)</f>
        <v>0.870876125767053</v>
      </c>
      <c r="D34" s="417" t="n">
        <f aca="false">IF(D23=0,0,D33/D23)</f>
        <v>2.7694376675279</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1387</v>
      </c>
      <c r="B35" s="411"/>
      <c r="C35" s="411"/>
      <c r="D35" s="411"/>
      <c r="E35" s="411"/>
      <c r="F35" s="411"/>
      <c r="G35" s="411"/>
      <c r="H35" s="411"/>
      <c r="I35" s="411"/>
      <c r="J35" s="411"/>
      <c r="K35" s="411"/>
    </row>
    <row r="36" customFormat="false" ht="15" hidden="false" customHeight="true" outlineLevel="0" collapsed="false">
      <c r="A36" s="393" t="s">
        <v>1388</v>
      </c>
      <c r="B36" s="405" t="n">
        <f aca="false">B26-B33</f>
        <v>3117.42539999999</v>
      </c>
      <c r="C36" s="405" t="n">
        <f aca="false">C26-C33</f>
        <v>-2759.66</v>
      </c>
      <c r="D36" s="405" t="n">
        <f aca="false">D26-D33</f>
        <v>-121587.38</v>
      </c>
      <c r="E36" s="405" t="n">
        <f aca="false">E26-E33</f>
        <v>-176522.5</v>
      </c>
      <c r="F36" s="405" t="n">
        <f aca="false">F26-F33</f>
        <v>-177318.175</v>
      </c>
      <c r="G36" s="405" t="n">
        <f aca="false">G26-G33</f>
        <v>-178137.72025</v>
      </c>
      <c r="H36" s="405" t="n">
        <f aca="false">H26-H33</f>
        <v>-178981.8518575</v>
      </c>
      <c r="I36" s="405" t="n">
        <f aca="false">I26-I33</f>
        <v>-179851.307413225</v>
      </c>
      <c r="J36" s="405" t="n">
        <f aca="false">J26-J33</f>
        <v>-180746.846635622</v>
      </c>
      <c r="K36" s="413" t="n">
        <f aca="false">SUM(B36:J36)</f>
        <v>-1192788.01575635</v>
      </c>
    </row>
    <row r="37" customFormat="false" ht="15" hidden="false" customHeight="true" outlineLevel="0" collapsed="false">
      <c r="A37" s="393" t="s">
        <v>1389</v>
      </c>
      <c r="B37" s="405" t="n">
        <f aca="false">MAX('APA Inputs'!$B$17,MAX(0,B36)*'APA Inputs'!$B$16)</f>
        <v>800</v>
      </c>
      <c r="C37" s="405" t="n">
        <f aca="false">MAX('APA Inputs'!$B$17,MAX(0,C36)*'APA Inputs'!$B$16)</f>
        <v>800</v>
      </c>
      <c r="D37" s="405" t="n">
        <f aca="false">MAX('APA Inputs'!$B$17,MAX(0,D36)*'APA Inputs'!$B$16)</f>
        <v>800</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7200</v>
      </c>
    </row>
    <row r="38" customFormat="false" ht="15" hidden="false" customHeight="true" outlineLevel="0" collapsed="false">
      <c r="A38" s="393" t="s">
        <v>1390</v>
      </c>
      <c r="B38" s="405" t="n">
        <f aca="false">MAX(0,B36-B37)*'APA Inputs'!$B$15</f>
        <v>486.659333999998</v>
      </c>
      <c r="C38" s="405" t="n">
        <f aca="false">MAX(0,C36-C37)*'APA Inputs'!$B$15</f>
        <v>0</v>
      </c>
      <c r="D38" s="405" t="n">
        <f aca="false">MAX(0,D36-D37)*'APA Inputs'!$B$15</f>
        <v>0</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486.659333999998</v>
      </c>
    </row>
    <row r="39" customFormat="false" ht="15" hidden="false" customHeight="true" outlineLevel="0" collapsed="false">
      <c r="A39" s="401" t="s">
        <v>1391</v>
      </c>
      <c r="B39" s="413" t="n">
        <f aca="false">B36-B37-B38</f>
        <v>1830.76606599999</v>
      </c>
      <c r="C39" s="413" t="n">
        <f aca="false">C36-C37-C38</f>
        <v>-3559.66</v>
      </c>
      <c r="D39" s="413" t="n">
        <f aca="false">D36-D37-D38</f>
        <v>-122387.38</v>
      </c>
      <c r="E39" s="413" t="n">
        <f aca="false">E36-E37-E38</f>
        <v>-177322.5</v>
      </c>
      <c r="F39" s="413" t="n">
        <f aca="false">F36-F37-F38</f>
        <v>-178118.175</v>
      </c>
      <c r="G39" s="413" t="n">
        <f aca="false">G36-G37-G38</f>
        <v>-178937.72025</v>
      </c>
      <c r="H39" s="413" t="n">
        <f aca="false">H36-H37-H38</f>
        <v>-179781.8518575</v>
      </c>
      <c r="I39" s="413" t="n">
        <f aca="false">I36-I37-I38</f>
        <v>-180651.307413225</v>
      </c>
      <c r="J39" s="413" t="n">
        <f aca="false">J36-J37-J38</f>
        <v>-181546.846635622</v>
      </c>
      <c r="K39" s="413" t="n">
        <f aca="false">SUM(B39:J39)</f>
        <v>-1200474.67509035</v>
      </c>
    </row>
    <row r="40" customFormat="false" ht="15" hidden="false" customHeight="true" outlineLevel="0" collapsed="false">
      <c r="A40" s="393" t="s">
        <v>1392</v>
      </c>
      <c r="B40" s="405" t="n">
        <f aca="false">MAX(0,B39)</f>
        <v>1830.76606599999</v>
      </c>
      <c r="C40" s="405" t="n">
        <f aca="false">MAX(0,C39)</f>
        <v>0</v>
      </c>
      <c r="D40" s="405" t="n">
        <f aca="false">MAX(0,D39)</f>
        <v>0</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1830.76606599999</v>
      </c>
    </row>
    <row r="41" customFormat="false" ht="15" hidden="false" customHeight="true" outlineLevel="0" collapsed="false">
      <c r="A41" s="414" t="s">
        <v>1393</v>
      </c>
      <c r="B41" s="411"/>
      <c r="C41" s="411"/>
      <c r="D41" s="411"/>
      <c r="E41" s="411"/>
      <c r="F41" s="411"/>
      <c r="G41" s="411"/>
      <c r="H41" s="411"/>
      <c r="I41" s="411"/>
      <c r="J41" s="411"/>
      <c r="K41" s="411"/>
    </row>
    <row r="42" customFormat="false" ht="15" hidden="false" customHeight="true" outlineLevel="0" collapsed="false">
      <c r="A42" s="393" t="s">
        <v>1394</v>
      </c>
      <c r="B42" s="405" t="n">
        <f aca="false">B29+B31</f>
        <v>81648.3773</v>
      </c>
      <c r="C42" s="405" t="n">
        <f aca="false">C29+C31</f>
        <v>150000</v>
      </c>
      <c r="D42" s="405" t="n">
        <f aca="false">D29+D31</f>
        <v>150000</v>
      </c>
      <c r="E42" s="405" t="n">
        <f aca="false">E29+E31</f>
        <v>150000</v>
      </c>
      <c r="F42" s="405" t="n">
        <f aca="false">F29+F31</f>
        <v>150000</v>
      </c>
      <c r="G42" s="405" t="n">
        <f aca="false">G29+G31</f>
        <v>150000</v>
      </c>
      <c r="H42" s="405" t="n">
        <f aca="false">H29+H31</f>
        <v>150000</v>
      </c>
      <c r="I42" s="405" t="n">
        <f aca="false">I29+I31</f>
        <v>150000</v>
      </c>
      <c r="J42" s="405" t="n">
        <f aca="false">J29+J31</f>
        <v>150000</v>
      </c>
      <c r="K42" s="413" t="n">
        <f aca="false">SUM(B42:J42)</f>
        <v>1281648.3773</v>
      </c>
    </row>
    <row r="43" customFormat="false" ht="15" hidden="false" customHeight="true" outlineLevel="0" collapsed="false">
      <c r="A43" s="393" t="s">
        <v>1395</v>
      </c>
      <c r="B43" s="405" t="n">
        <f aca="false">B40*'APA Inputs'!$B$14</f>
        <v>915.383032999997</v>
      </c>
      <c r="C43" s="405" t="n">
        <f aca="false">C40*'APA Inputs'!$B$14</f>
        <v>0</v>
      </c>
      <c r="D43" s="405" t="n">
        <f aca="false">D40*'APA Inputs'!$B$14</f>
        <v>0</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915.383032999997</v>
      </c>
    </row>
    <row r="44" customFormat="false" ht="15" hidden="false" customHeight="true" outlineLevel="0" collapsed="false">
      <c r="A44" s="415" t="s">
        <v>1396</v>
      </c>
      <c r="B44" s="416" t="n">
        <f aca="false">B42+B43</f>
        <v>82563.760333</v>
      </c>
      <c r="C44" s="416" t="n">
        <f aca="false">C42+C43</f>
        <v>150000</v>
      </c>
      <c r="D44" s="416" t="n">
        <f aca="false">D42+D43</f>
        <v>150000</v>
      </c>
      <c r="E44" s="416" t="n">
        <f aca="false">E42+E43</f>
        <v>150000</v>
      </c>
      <c r="F44" s="416" t="n">
        <f aca="false">F42+F43</f>
        <v>150000</v>
      </c>
      <c r="G44" s="416" t="n">
        <f aca="false">G42+G43</f>
        <v>150000</v>
      </c>
      <c r="H44" s="416" t="n">
        <f aca="false">H42+H43</f>
        <v>150000</v>
      </c>
      <c r="I44" s="416" t="n">
        <f aca="false">I42+I43</f>
        <v>150000</v>
      </c>
      <c r="J44" s="416" t="n">
        <f aca="false">J42+J43</f>
        <v>150000</v>
      </c>
      <c r="K44" s="413" t="n">
        <f aca="false">SUM(B44:J44)</f>
        <v>1282563.760333</v>
      </c>
    </row>
    <row r="45" customFormat="false" ht="15" hidden="false" customHeight="true" outlineLevel="0" collapsed="false">
      <c r="A45" s="414" t="s">
        <v>1397</v>
      </c>
      <c r="B45" s="411"/>
      <c r="C45" s="411"/>
      <c r="D45" s="411"/>
      <c r="E45" s="411"/>
      <c r="F45" s="411"/>
      <c r="G45" s="411"/>
      <c r="H45" s="411"/>
      <c r="I45" s="411"/>
      <c r="J45" s="411"/>
      <c r="K45" s="411"/>
    </row>
    <row r="46" customFormat="false" ht="15" hidden="false" customHeight="true" outlineLevel="0" collapsed="false">
      <c r="A46" s="393" t="s">
        <v>1398</v>
      </c>
      <c r="B46" s="405" t="n">
        <f aca="false">B32</f>
        <v>6648.3773</v>
      </c>
      <c r="C46" s="405" t="n">
        <f aca="false">C32</f>
        <v>0</v>
      </c>
      <c r="D46" s="405" t="n">
        <f aca="false">D32</f>
        <v>0</v>
      </c>
      <c r="E46" s="405" t="n">
        <f aca="false">E32</f>
        <v>0</v>
      </c>
      <c r="F46" s="405" t="n">
        <f aca="false">F32</f>
        <v>0</v>
      </c>
      <c r="G46" s="405" t="n">
        <f aca="false">G32</f>
        <v>0</v>
      </c>
      <c r="H46" s="405" t="n">
        <f aca="false">H32</f>
        <v>0</v>
      </c>
      <c r="I46" s="405" t="n">
        <f aca="false">I32</f>
        <v>0</v>
      </c>
      <c r="J46" s="405" t="n">
        <f aca="false">J32</f>
        <v>0</v>
      </c>
      <c r="K46" s="413" t="n">
        <f aca="false">SUM(B46:J46)</f>
        <v>6648.3773</v>
      </c>
    </row>
    <row r="47" customFormat="false" ht="15" hidden="false" customHeight="true" outlineLevel="0" collapsed="false">
      <c r="A47" s="393" t="s">
        <v>1395</v>
      </c>
      <c r="B47" s="405" t="n">
        <f aca="false">B40*(1-'APA Inputs'!$B$14)</f>
        <v>915.383032999997</v>
      </c>
      <c r="C47" s="405" t="n">
        <f aca="false">C40*(1-'APA Inputs'!$B$14)</f>
        <v>0</v>
      </c>
      <c r="D47" s="405" t="n">
        <f aca="false">D40*(1-'APA Inputs'!$B$14)</f>
        <v>0</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915.383032999997</v>
      </c>
    </row>
    <row r="48" customFormat="false" ht="15" hidden="false" customHeight="true" outlineLevel="0" collapsed="false">
      <c r="A48" s="415" t="s">
        <v>1399</v>
      </c>
      <c r="B48" s="416" t="n">
        <f aca="false">B46+B47</f>
        <v>7563.760333</v>
      </c>
      <c r="C48" s="416" t="n">
        <f aca="false">C46+C47</f>
        <v>0</v>
      </c>
      <c r="D48" s="416" t="n">
        <f aca="false">D46+D47</f>
        <v>0</v>
      </c>
      <c r="E48" s="416" t="n">
        <f aca="false">E46+E47</f>
        <v>0</v>
      </c>
      <c r="F48" s="416" t="n">
        <f aca="false">F46+F47</f>
        <v>0</v>
      </c>
      <c r="G48" s="416" t="n">
        <f aca="false">G46+G47</f>
        <v>0</v>
      </c>
      <c r="H48" s="416" t="n">
        <f aca="false">H46+H47</f>
        <v>0</v>
      </c>
      <c r="I48" s="416" t="n">
        <f aca="false">I46+I47</f>
        <v>0</v>
      </c>
      <c r="J48" s="416" t="n">
        <f aca="false">J46+J47</f>
        <v>0</v>
      </c>
      <c r="K48" s="413" t="n">
        <f aca="false">SUM(B48:J48)</f>
        <v>7563.760333</v>
      </c>
    </row>
    <row r="49" customFormat="false" ht="15" hidden="false" customHeight="true" outlineLevel="0" collapsed="false">
      <c r="A49" s="414" t="s">
        <v>1400</v>
      </c>
      <c r="B49" s="411"/>
      <c r="C49" s="411"/>
      <c r="D49" s="411"/>
      <c r="E49" s="411"/>
      <c r="F49" s="411"/>
      <c r="G49" s="411"/>
      <c r="H49" s="411"/>
      <c r="I49" s="411"/>
      <c r="J49" s="411"/>
      <c r="K49" s="411"/>
    </row>
    <row r="50" customFormat="false" ht="15" hidden="false" customHeight="true" outlineLevel="0" collapsed="false">
      <c r="A50" s="393" t="s">
        <v>1401</v>
      </c>
      <c r="B50" s="405" t="n">
        <f aca="false">-MIN(0,B39)</f>
        <v>-0</v>
      </c>
      <c r="C50" s="405" t="n">
        <f aca="false">-MIN(0,C39)</f>
        <v>3559.66</v>
      </c>
      <c r="D50" s="405" t="n">
        <f aca="false">-MIN(0,D39)</f>
        <v>122387.38</v>
      </c>
      <c r="E50" s="405" t="n">
        <f aca="false">-MIN(0,E39)</f>
        <v>177322.5</v>
      </c>
      <c r="F50" s="405" t="n">
        <f aca="false">-MIN(0,F39)</f>
        <v>178118.175</v>
      </c>
      <c r="G50" s="405" t="n">
        <f aca="false">-MIN(0,G39)</f>
        <v>178937.72025</v>
      </c>
      <c r="H50" s="405" t="n">
        <f aca="false">-MIN(0,H39)</f>
        <v>179781.8518575</v>
      </c>
      <c r="I50" s="405" t="n">
        <f aca="false">-MIN(0,I39)</f>
        <v>180651.307413225</v>
      </c>
      <c r="J50" s="405" t="n">
        <f aca="false">-MIN(0,J39)</f>
        <v>181546.846635622</v>
      </c>
      <c r="K50" s="413" t="n">
        <f aca="false">SUM(B50:J50)</f>
        <v>1202305.44115635</v>
      </c>
    </row>
    <row r="51" customFormat="false" ht="15" hidden="false" customHeight="true" outlineLevel="0" collapsed="false">
      <c r="A51" s="418" t="s">
        <v>1402</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1403</v>
      </c>
      <c r="B53" s="405" t="n">
        <f aca="false">MIN(B29,B50)</f>
        <v>-0</v>
      </c>
      <c r="C53" s="405" t="n">
        <f aca="false">MIN(C29,C50)</f>
        <v>3559.66</v>
      </c>
      <c r="D53" s="405" t="n">
        <f aca="false">MIN(D29,D50)</f>
        <v>122387.38</v>
      </c>
      <c r="E53" s="405" t="n">
        <f aca="false">MIN(E29,E50)</f>
        <v>150000</v>
      </c>
      <c r="F53" s="405" t="n">
        <f aca="false">MIN(F29,F50)</f>
        <v>150000</v>
      </c>
      <c r="G53" s="405" t="n">
        <f aca="false">MIN(G29,G50)</f>
        <v>150000</v>
      </c>
      <c r="H53" s="405" t="n">
        <f aca="false">MIN(H29,H50)</f>
        <v>150000</v>
      </c>
      <c r="I53" s="405" t="n">
        <f aca="false">MIN(I29,I50)</f>
        <v>150000</v>
      </c>
      <c r="J53" s="405" t="n">
        <f aca="false">MIN(J29,J50)</f>
        <v>150000</v>
      </c>
      <c r="K53" s="405" t="n">
        <f aca="false">SUM(B53:J53)</f>
        <v>1025947.04</v>
      </c>
    </row>
    <row r="54" customFormat="false" ht="15" hidden="false" customHeight="true" outlineLevel="0" collapsed="false">
      <c r="A54" s="393" t="s">
        <v>1404</v>
      </c>
      <c r="B54" s="405" t="n">
        <f aca="false">B53</f>
        <v>-0</v>
      </c>
      <c r="C54" s="405" t="n">
        <f aca="false">B54+C53</f>
        <v>3559.66</v>
      </c>
      <c r="D54" s="405" t="n">
        <f aca="false">C54+D53</f>
        <v>125947.04</v>
      </c>
      <c r="E54" s="405" t="n">
        <f aca="false">D54+E53</f>
        <v>275947.04</v>
      </c>
      <c r="F54" s="405" t="n">
        <f aca="false">E54+F53</f>
        <v>425947.04</v>
      </c>
      <c r="G54" s="405" t="n">
        <f aca="false">F54+G53</f>
        <v>575947.04</v>
      </c>
      <c r="H54" s="405" t="n">
        <f aca="false">G54+H53</f>
        <v>725947.04</v>
      </c>
      <c r="I54" s="405" t="n">
        <f aca="false">H54+I53</f>
        <v>875947.04</v>
      </c>
      <c r="J54" s="405" t="n">
        <f aca="false">I54+J53</f>
        <v>1025947.04</v>
      </c>
      <c r="K54" s="405"/>
    </row>
    <row r="56" customFormat="false" ht="15" hidden="false" customHeight="true" outlineLevel="0" collapsed="false">
      <c r="A56" s="389" t="s">
        <v>1405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2026-10-16T18:05:10Z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